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ml.chartshape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ml.chartshape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ml.chartshape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4.xml" ContentType="application/vnd.openxmlformats-officedocument.drawingml.chartshapes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5.xml" ContentType="application/vnd.openxmlformats-officedocument.drawingml.chartshapes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6.xml" ContentType="application/vnd.openxmlformats-officedocument.drawingml.chartshapes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7.xml" ContentType="application/vnd.openxmlformats-officedocument.drawingml.chartshapes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8.xml" ContentType="application/vnd.openxmlformats-officedocument.drawingml.chartshapes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9.xml" ContentType="application/vnd.openxmlformats-officedocument.drawingml.chartshapes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0.xml" ContentType="application/vnd.openxmlformats-officedocument.drawingml.chartshapes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1.xml" ContentType="application/vnd.openxmlformats-officedocument.drawingml.chartshapes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2.xml" ContentType="application/vnd.openxmlformats-officedocument.drawingml.chartshapes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3.xml" ContentType="application/vnd.openxmlformats-officedocument.drawingml.chartshapes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omments1.xml" ContentType="application/vnd.openxmlformats-officedocument.spreadsheetml.comments+xml"/>
  <Override PartName="/xl/drawings/drawing26.xml" ContentType="application/vnd.openxmlformats-officedocument.drawing+xml"/>
  <Override PartName="/xl/comments2.xml" ContentType="application/vnd.openxmlformats-officedocument.spreadsheetml.comments+xml"/>
  <Override PartName="/xl/drawings/drawing27.xml" ContentType="application/vnd.openxmlformats-officedocument.drawing+xml"/>
  <Override PartName="/xl/comments3.xml" ContentType="application/vnd.openxmlformats-officedocument.spreadsheetml.comments+xml"/>
  <Override PartName="/xl/drawings/drawing28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9.xml" ContentType="application/vnd.openxmlformats-officedocument.drawingml.chartshapes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omments4.xml" ContentType="application/vnd.openxmlformats-officedocument.spreadsheetml.comments+xml"/>
  <Override PartName="/xl/drawings/drawing30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31.xml" ContentType="application/vnd.openxmlformats-officedocument.drawingml.chartshapes+xml"/>
  <Override PartName="/xl/drawings/drawing32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33.xml" ContentType="application/vnd.openxmlformats-officedocument.drawingml.chartshapes+xml"/>
  <Override PartName="/xl/drawings/drawing34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35.xml" ContentType="application/vnd.openxmlformats-officedocument.drawingml.chartshapes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36.xml" ContentType="application/vnd.openxmlformats-officedocument.drawingml.chartshapes+xml"/>
  <Override PartName="/xl/drawings/drawing37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38.xml" ContentType="application/vnd.openxmlformats-officedocument.drawingml.chartshapes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39.xml" ContentType="application/vnd.openxmlformats-officedocument.drawingml.chartshapes+xml"/>
  <Override PartName="/xl/drawings/drawing40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41.xml" ContentType="application/vnd.openxmlformats-officedocument.drawingml.chartshapes+xml"/>
  <Override PartName="/xl/drawings/drawing42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43.xml" ContentType="application/vnd.openxmlformats-officedocument.drawingml.chartshapes+xml"/>
  <Override PartName="/xl/drawings/drawing44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45.xml" ContentType="application/vnd.openxmlformats-officedocument.drawingml.chartshapes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46.xml" ContentType="application/vnd.openxmlformats-officedocument.drawingml.chartshapes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47.xml" ContentType="application/vnd.openxmlformats-officedocument.drawing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threadedComments/threadedComment1.xml" ContentType="application/vnd.ms-excel.threaded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drawings/drawing48.xml" ContentType="application/vnd.openxmlformats-officedocument.drawing+xml"/>
  <Override PartName="/xl/charts/chart44.xml" ContentType="application/vnd.openxmlformats-officedocument.drawingml.chart+xml"/>
  <Override PartName="/xl/drawings/drawing49.xml" ContentType="application/vnd.openxmlformats-officedocument.drawingml.chartshapes+xml"/>
  <Override PartName="/xl/charts/chart45.xml" ContentType="application/vnd.openxmlformats-officedocument.drawingml.chart+xml"/>
  <Override PartName="/xl/drawings/drawing50.xml" ContentType="application/vnd.openxmlformats-officedocument.drawingml.chartshapes+xml"/>
  <Override PartName="/xl/charts/chart46.xml" ContentType="application/vnd.openxmlformats-officedocument.drawingml.chart+xml"/>
  <Override PartName="/xl/drawings/drawing51.xml" ContentType="application/vnd.openxmlformats-officedocument.drawingml.chartshapes+xml"/>
  <Override PartName="/xl/drawings/drawing52.xml" ContentType="application/vnd.openxmlformats-officedocument.drawing+xml"/>
  <Override PartName="/xl/charts/chart47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53.xml" ContentType="application/vnd.openxmlformats-officedocument.drawing+xml"/>
  <Override PartName="/xl/comments9.xml" ContentType="application/vnd.openxmlformats-officedocument.spreadsheetml.comments+xml"/>
  <Override PartName="/xl/charts/chart48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9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50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51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52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3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4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5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6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7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8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9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drawings/drawing54.xml" ContentType="application/vnd.openxmlformats-officedocument.drawing+xml"/>
  <Override PartName="/xl/comments10.xml" ContentType="application/vnd.openxmlformats-officedocument.spreadsheetml.comments+xml"/>
  <Override PartName="/xl/charts/chart60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61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drawings/drawing55.xml" ContentType="application/vnd.openxmlformats-officedocument.drawing+xml"/>
  <Override PartName="/xl/charts/chart62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drawings/drawing56.xml" ContentType="application/vnd.openxmlformats-officedocument.drawing+xml"/>
  <Override PartName="/xl/charts/chart63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4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5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drawings/drawing57.xml" ContentType="application/vnd.openxmlformats-officedocument.drawing+xml"/>
  <Override PartName="/xl/charts/chart66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drawings/drawing58.xml" ContentType="application/vnd.openxmlformats-officedocument.drawingml.chartshapes+xml"/>
  <Override PartName="/xl/charts/chart67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drawings/drawing59.xml" ContentType="application/vnd.openxmlformats-officedocument.drawingml.chartshapes+xml"/>
  <Override PartName="/xl/charts/chart68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drawings/drawing60.xml" ContentType="application/vnd.openxmlformats-officedocument.drawingml.chartshapes+xml"/>
  <Override PartName="/xl/charts/chart69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drawings/drawing61.xml" ContentType="application/vnd.openxmlformats-officedocument.drawingml.chartshapes+xml"/>
  <Override PartName="/xl/drawings/drawing62.xml" ContentType="application/vnd.openxmlformats-officedocument.drawing+xml"/>
  <Override PartName="/xl/charts/chart70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drawings/drawing63.xml" ContentType="application/vnd.openxmlformats-officedocument.drawingml.chartshapes+xml"/>
  <Override PartName="/xl/charts/chart71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drawings/drawing64.xml" ContentType="application/vnd.openxmlformats-officedocument.drawing+xml"/>
  <Override PartName="/xl/charts/chart72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drawings/drawing65.xml" ContentType="application/vnd.openxmlformats-officedocument.drawingml.chartshapes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charts/chart73.xml" ContentType="application/vnd.openxmlformats-officedocument.drawingml.chart+xml"/>
  <Override PartName="/xl/drawings/drawing68.xml" ContentType="application/vnd.openxmlformats-officedocument.drawingml.chartshapes+xml"/>
  <Override PartName="/xl/drawings/drawing69.xml" ContentType="application/vnd.openxmlformats-officedocument.drawing+xml"/>
  <Override PartName="/xl/charts/chart74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5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6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7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8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9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80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drawings/drawing70.xml" ContentType="application/vnd.openxmlformats-officedocument.drawing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threadedComments/threadedComment2.xml" ContentType="application/vnd.ms-excel.threadedcomments+xml"/>
  <Override PartName="/xl/comments17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tsr-pj-02\Project2\RHCU Pilot Plant\"/>
    </mc:Choice>
  </mc:AlternateContent>
  <xr:revisionPtr revIDLastSave="0" documentId="13_ncr:1_{CCB251A3-04B6-470D-8875-583C1E6869B3}" xr6:coauthVersionLast="47" xr6:coauthVersionMax="47" xr10:uidLastSave="{00000000-0000-0000-0000-000000000000}"/>
  <bookViews>
    <workbookView xWindow="-110" yWindow="-110" windowWidth="19420" windowHeight="11500" tabRatio="901" firstSheet="5" activeTab="6" xr2:uid="{7ABCFBB2-F5C9-4860-BDAB-D4EB52B92FC9}"/>
  </bookViews>
  <sheets>
    <sheet name="Lab Results Summary" sheetId="21" r:id="rId1"/>
    <sheet name="LTO DAILY" sheetId="6" r:id="rId2"/>
    <sheet name="ISV" sheetId="65" r:id="rId3"/>
    <sheet name="HPS DAILY" sheetId="7" r:id="rId4"/>
    <sheet name="HPS LTO DAILY " sheetId="8" r:id="rId5"/>
    <sheet name="Master Template" sheetId="4" r:id="rId6"/>
    <sheet name="CrkConv" sheetId="67" r:id="rId7"/>
    <sheet name="MetConv(Ni+V)" sheetId="23" r:id="rId8"/>
    <sheet name="SConv" sheetId="59" r:id="rId9"/>
    <sheet name="MCRConv" sheetId="100" r:id="rId10"/>
    <sheet name="SedM" sheetId="38" r:id="rId11"/>
    <sheet name="MoC" sheetId="102" r:id="rId12"/>
    <sheet name="Breakdown Yld" sheetId="27" r:id="rId13"/>
    <sheet name="Sheet1" sheetId="95" r:id="rId14"/>
    <sheet name="LSHS Master Template" sheetId="92" state="hidden" r:id="rId15"/>
    <sheet name="LSHS LTO DAILY" sheetId="91" state="hidden" r:id="rId16"/>
    <sheet name="LSHS HPS DAILY" sheetId="89" state="hidden" r:id="rId17"/>
    <sheet name="CONVERSION D0" sheetId="90" state="hidden" r:id="rId18"/>
    <sheet name="Condition" sheetId="66" r:id="rId19"/>
    <sheet name="ABQ3358" sheetId="101" r:id="rId20"/>
    <sheet name="LCF R1 Products" sheetId="72" r:id="rId21"/>
    <sheet name="LCF R2 Products" sheetId="74" r:id="rId22"/>
    <sheet name="Kinetic" sheetId="69" r:id="rId23"/>
    <sheet name="CII" sheetId="51" r:id="rId24"/>
    <sheet name="FeedStock_Summ" sheetId="46" r:id="rId25"/>
    <sheet name="MetConv_Ni_V" sheetId="62" r:id="rId26"/>
    <sheet name="API" sheetId="70" r:id="rId27"/>
    <sheet name="LTO Split" sheetId="75" r:id="rId28"/>
    <sheet name="560+" sheetId="76" r:id="rId29"/>
    <sheet name="Rx" sheetId="61" r:id="rId30"/>
    <sheet name="To do list" sheetId="16" r:id="rId31"/>
    <sheet name="Sheet3" sheetId="99" r:id="rId32"/>
    <sheet name="HPS Comparing" sheetId="68" r:id="rId33"/>
    <sheet name="SCEP FULL TEST" sheetId="71" r:id="rId34"/>
    <sheet name="Master Template (repro-)" sheetId="81" state="hidden" r:id="rId35"/>
    <sheet name="Master Template (repro+)" sheetId="80" state="hidden" r:id="rId36"/>
    <sheet name="HPS DAILY (repro-)" sheetId="82" state="hidden" r:id="rId37"/>
    <sheet name="HPS DAILY (repro+)" sheetId="83" state="hidden" r:id="rId38"/>
    <sheet name="LTO DAILY (repro-)" sheetId="84" state="hidden" r:id="rId39"/>
    <sheet name="LTO DAILY (repro+)" sheetId="85" state="hidden" r:id="rId40"/>
  </sheets>
  <externalReferences>
    <externalReference r:id="rId41"/>
    <externalReference r:id="rId42"/>
  </externalReferences>
  <definedNames>
    <definedName name="AllottedFunds">#REF!</definedName>
    <definedName name="ColumnTitle2">#REF!</definedName>
    <definedName name="ColumnTitleRegion1..D4.2">#REF!</definedName>
    <definedName name="FundsRemaining">INDEX(#REF!,ROWS(#REF!),1)</definedName>
    <definedName name="FundsRemainingLabel">#REF!</definedName>
    <definedName name="FundsUsed">#REF!</definedName>
    <definedName name="FundsUsedLabel">#REF!</definedName>
    <definedName name="_xlnm.Print_Area" localSheetId="17">'CONVERSION D0'!$D$6:$O$90</definedName>
    <definedName name="_xlnm.Print_Area" localSheetId="32">'HPS Comparing'!$C$1:$N$79</definedName>
    <definedName name="_xlnm.Print_Area" localSheetId="3">'HPS DAILY'!$D$6:$O$90</definedName>
    <definedName name="_xlnm.Print_Area" localSheetId="36">'HPS DAILY (repro-)'!$D$6:$N$90</definedName>
    <definedName name="_xlnm.Print_Area" localSheetId="37">'HPS DAILY (repro+)'!$D$6:$N$90</definedName>
    <definedName name="_xlnm.Print_Area" localSheetId="4">'HPS LTO DAILY '!$C$1:$L$79</definedName>
    <definedName name="_xlnm.Print_Area" localSheetId="2">ISV!$D$6:$K$89</definedName>
    <definedName name="_xlnm.Print_Area" localSheetId="0">'Lab Results Summary'!$A$1:$S$34</definedName>
    <definedName name="_xlnm.Print_Area" localSheetId="16">'LSHS HPS DAILY'!$D$6:$O$90</definedName>
    <definedName name="_xlnm.Print_Area" localSheetId="15">'LSHS LTO DAILY'!$D$5:$H$68</definedName>
    <definedName name="_xlnm.Print_Area" localSheetId="1">'LTO DAILY'!$D$5:$H$68</definedName>
    <definedName name="_xlnm.Print_Area" localSheetId="38">'LTO DAILY (repro-)'!$D$5:$H$68</definedName>
    <definedName name="_xlnm.Print_Area" localSheetId="39">'LTO DAILY (repro+)'!$D$5:$H$68</definedName>
    <definedName name="_xlnm.Print_Area" localSheetId="9">MCRConv!$A$1:$S$40</definedName>
    <definedName name="_xlnm.Print_Area" localSheetId="7">'MetConv(Ni+V)'!$A$1:$U$44</definedName>
    <definedName name="_xlnm.Print_Area" localSheetId="25">MetConv_Ni_V!$A$1:$U$44</definedName>
    <definedName name="_xlnm.Print_Area" localSheetId="8">SConv!$A$1:$S$40</definedName>
    <definedName name="RowTitleRegion1..C11">#REF!</definedName>
    <definedName name="solver_adj" localSheetId="22" hidden="1">Kinetic!$G$8</definedName>
    <definedName name="solver_cvg" localSheetId="22" hidden="1">0.0001</definedName>
    <definedName name="solver_drv" localSheetId="22" hidden="1">1</definedName>
    <definedName name="solver_eng" localSheetId="22" hidden="1">1</definedName>
    <definedName name="solver_est" localSheetId="22" hidden="1">1</definedName>
    <definedName name="solver_itr" localSheetId="22" hidden="1">1000</definedName>
    <definedName name="solver_mip" localSheetId="22" hidden="1">2147483647</definedName>
    <definedName name="solver_mni" localSheetId="22" hidden="1">30</definedName>
    <definedName name="solver_mrt" localSheetId="22" hidden="1">0.075</definedName>
    <definedName name="solver_msl" localSheetId="22" hidden="1">2</definedName>
    <definedName name="solver_neg" localSheetId="22" hidden="1">1</definedName>
    <definedName name="solver_nod" localSheetId="22" hidden="1">2147483647</definedName>
    <definedName name="solver_num" localSheetId="22" hidden="1">0</definedName>
    <definedName name="solver_nwt" localSheetId="22" hidden="1">1</definedName>
    <definedName name="solver_opt" localSheetId="22" hidden="1">Kinetic!$K$5</definedName>
    <definedName name="solver_pre" localSheetId="22" hidden="1">0.000001</definedName>
    <definedName name="solver_rbv" localSheetId="22" hidden="1">1</definedName>
    <definedName name="solver_rlx" localSheetId="22" hidden="1">2</definedName>
    <definedName name="solver_rsd" localSheetId="22" hidden="1">0</definedName>
    <definedName name="solver_scl" localSheetId="22" hidden="1">1</definedName>
    <definedName name="solver_sho" localSheetId="22" hidden="1">2</definedName>
    <definedName name="solver_ssz" localSheetId="22" hidden="1">100</definedName>
    <definedName name="solver_tim" localSheetId="22" hidden="1">2147483647</definedName>
    <definedName name="solver_tol" localSheetId="22" hidden="1">0.01</definedName>
    <definedName name="solver_typ" localSheetId="22" hidden="1">3</definedName>
    <definedName name="solver_val" localSheetId="22" hidden="1">55012000000000</definedName>
    <definedName name="solver_ver" localSheetId="22" hidden="1">3</definedName>
    <definedName name="Title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1" i="7" l="1"/>
  <c r="FH73" i="4"/>
  <c r="EE73" i="4"/>
  <c r="DA73" i="4"/>
  <c r="BX73" i="4"/>
  <c r="R73" i="4"/>
  <c r="FG73" i="4"/>
  <c r="ED73" i="4"/>
  <c r="CZ73" i="4"/>
  <c r="BW73" i="4"/>
  <c r="Q73" i="4"/>
  <c r="AJ232" i="4"/>
  <c r="AJ231" i="4"/>
  <c r="AJ213" i="4"/>
  <c r="AJ212" i="4"/>
  <c r="AJ186" i="4"/>
  <c r="AJ187" i="4"/>
  <c r="BT72" i="4"/>
  <c r="BU73" i="4"/>
  <c r="BT73" i="4"/>
  <c r="CY73" i="4"/>
  <c r="AS73" i="4"/>
  <c r="P74" i="6"/>
  <c r="P73" i="6"/>
  <c r="AQ10" i="6"/>
  <c r="AQ11" i="6"/>
  <c r="AQ12" i="6"/>
  <c r="AQ13" i="6"/>
  <c r="AQ14" i="6"/>
  <c r="AQ15" i="6"/>
  <c r="AQ16" i="6"/>
  <c r="AQ17" i="6"/>
  <c r="AQ18" i="6"/>
  <c r="AQ19" i="6"/>
  <c r="AQ20" i="6"/>
  <c r="AQ21" i="6"/>
  <c r="AQ22" i="6"/>
  <c r="AQ24" i="6"/>
  <c r="AQ25" i="6"/>
  <c r="AQ26" i="6"/>
  <c r="AQ27" i="6"/>
  <c r="AQ34" i="6"/>
  <c r="AQ35" i="6"/>
  <c r="AQ36" i="6"/>
  <c r="AQ37" i="6"/>
  <c r="AQ38" i="6"/>
  <c r="AQ39" i="6"/>
  <c r="AQ45" i="6"/>
  <c r="AQ46" i="6"/>
  <c r="AQ48" i="6"/>
  <c r="AQ49" i="6"/>
  <c r="AQ54" i="6"/>
  <c r="AQ55" i="6"/>
  <c r="AQ56" i="6"/>
  <c r="AQ57" i="6"/>
  <c r="AQ58" i="6"/>
  <c r="AQ59" i="6"/>
  <c r="AQ60" i="6"/>
  <c r="AQ61" i="6"/>
  <c r="AQ9" i="6"/>
  <c r="AL76" i="6"/>
  <c r="AL74" i="6"/>
  <c r="AL73" i="6"/>
  <c r="AL72" i="6"/>
  <c r="AL71" i="6"/>
  <c r="AL70" i="6"/>
  <c r="AL69" i="6"/>
  <c r="AL68" i="6"/>
  <c r="AN62" i="6"/>
  <c r="AM62" i="6"/>
  <c r="AQ62" i="6" s="1"/>
  <c r="AL62" i="6"/>
  <c r="AN53" i="6"/>
  <c r="AM53" i="6"/>
  <c r="AL53" i="6"/>
  <c r="AQ53" i="6" s="1"/>
  <c r="AN52" i="6"/>
  <c r="AM52" i="6"/>
  <c r="AL52" i="6"/>
  <c r="AQ52" i="6" s="1"/>
  <c r="AN51" i="6"/>
  <c r="AM51" i="6"/>
  <c r="AL51" i="6"/>
  <c r="AQ51" i="6" s="1"/>
  <c r="AN50" i="6"/>
  <c r="AM50" i="6"/>
  <c r="AQ50" i="6" s="1"/>
  <c r="AL50" i="6"/>
  <c r="AN49" i="6"/>
  <c r="AM49" i="6"/>
  <c r="AL49" i="6"/>
  <c r="AN48" i="6"/>
  <c r="AM48" i="6"/>
  <c r="AL48" i="6"/>
  <c r="AN47" i="6"/>
  <c r="AM47" i="6"/>
  <c r="AL47" i="6"/>
  <c r="AQ47" i="6" s="1"/>
  <c r="AN46" i="6"/>
  <c r="AM46" i="6"/>
  <c r="AL46" i="6"/>
  <c r="AN45" i="6"/>
  <c r="AM45" i="6"/>
  <c r="AL45" i="6"/>
  <c r="AN44" i="6"/>
  <c r="AM44" i="6"/>
  <c r="AL44" i="6"/>
  <c r="AQ44" i="6" s="1"/>
  <c r="AN43" i="6"/>
  <c r="AM43" i="6"/>
  <c r="AL43" i="6"/>
  <c r="AQ43" i="6" s="1"/>
  <c r="AN42" i="6"/>
  <c r="AM42" i="6"/>
  <c r="AQ42" i="6" s="1"/>
  <c r="AL42" i="6"/>
  <c r="AN41" i="6"/>
  <c r="AM41" i="6"/>
  <c r="AL41" i="6"/>
  <c r="AQ41" i="6" s="1"/>
  <c r="AN40" i="6"/>
  <c r="AM40" i="6"/>
  <c r="AL40" i="6"/>
  <c r="AQ40" i="6" s="1"/>
  <c r="AN23" i="6"/>
  <c r="AN28" i="6" s="1"/>
  <c r="AN32" i="6" s="1"/>
  <c r="AM23" i="6"/>
  <c r="AM28" i="6" s="1"/>
  <c r="AM32" i="6" s="1"/>
  <c r="AL23" i="6"/>
  <c r="P69" i="6"/>
  <c r="P70" i="6"/>
  <c r="P71" i="6"/>
  <c r="P72" i="6"/>
  <c r="P76" i="6"/>
  <c r="P68" i="6"/>
  <c r="CA79" i="7"/>
  <c r="CA72" i="7"/>
  <c r="CA64" i="7"/>
  <c r="CA63" i="7"/>
  <c r="CA62" i="7"/>
  <c r="CA61" i="7"/>
  <c r="CA60" i="7"/>
  <c r="CA59" i="7"/>
  <c r="CA58" i="7"/>
  <c r="CA57" i="7"/>
  <c r="CA56" i="7"/>
  <c r="CA55" i="7"/>
  <c r="CA54" i="7"/>
  <c r="CA53" i="7"/>
  <c r="CA52" i="7"/>
  <c r="CA51" i="7"/>
  <c r="CA49" i="7"/>
  <c r="CA48" i="7"/>
  <c r="CA47" i="7"/>
  <c r="CA25" i="7"/>
  <c r="CA30" i="7" s="1"/>
  <c r="AL28" i="6" l="1"/>
  <c r="AL75" i="6"/>
  <c r="AQ23" i="6"/>
  <c r="AM31" i="6"/>
  <c r="AM29" i="6" s="1"/>
  <c r="AM30" i="6" s="1"/>
  <c r="AM33" i="6" s="1"/>
  <c r="AN31" i="6"/>
  <c r="AN29" i="6" s="1"/>
  <c r="AN30" i="6" s="1"/>
  <c r="AN33" i="6" s="1"/>
  <c r="CA34" i="7"/>
  <c r="CA33" i="7"/>
  <c r="CA31" i="7" s="1"/>
  <c r="CA32" i="7" s="1"/>
  <c r="CA35" i="7" s="1"/>
  <c r="CA73" i="7"/>
  <c r="CA124" i="7" s="1"/>
  <c r="AL32" i="6" l="1"/>
  <c r="AQ32" i="6" s="1"/>
  <c r="AQ28" i="6"/>
  <c r="AL31" i="6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Z35" i="7"/>
  <c r="BZ36" i="7"/>
  <c r="BZ37" i="7"/>
  <c r="BZ38" i="7"/>
  <c r="BZ39" i="7"/>
  <c r="BZ40" i="7"/>
  <c r="BZ41" i="7"/>
  <c r="BZ42" i="7"/>
  <c r="BZ43" i="7"/>
  <c r="BZ44" i="7"/>
  <c r="BZ45" i="7"/>
  <c r="BZ46" i="7"/>
  <c r="BZ47" i="7"/>
  <c r="BZ48" i="7"/>
  <c r="BZ49" i="7"/>
  <c r="BZ50" i="7"/>
  <c r="BZ51" i="7"/>
  <c r="BZ52" i="7"/>
  <c r="BZ53" i="7"/>
  <c r="BZ54" i="7"/>
  <c r="BZ55" i="7"/>
  <c r="BZ56" i="7"/>
  <c r="BZ57" i="7"/>
  <c r="BZ58" i="7"/>
  <c r="BZ59" i="7"/>
  <c r="BZ60" i="7"/>
  <c r="BZ61" i="7"/>
  <c r="BZ62" i="7"/>
  <c r="BZ63" i="7"/>
  <c r="BZ64" i="7"/>
  <c r="BZ65" i="7"/>
  <c r="BZ66" i="7"/>
  <c r="BZ67" i="7"/>
  <c r="BZ68" i="7"/>
  <c r="BZ69" i="7"/>
  <c r="BZ70" i="7"/>
  <c r="BZ71" i="7"/>
  <c r="BZ72" i="7"/>
  <c r="BZ73" i="7"/>
  <c r="BZ74" i="7"/>
  <c r="BZ75" i="7"/>
  <c r="BZ76" i="7"/>
  <c r="BZ77" i="7"/>
  <c r="BZ78" i="7"/>
  <c r="BZ79" i="7"/>
  <c r="BZ80" i="7"/>
  <c r="BZ81" i="7"/>
  <c r="BZ82" i="7"/>
  <c r="BZ83" i="7"/>
  <c r="BZ84" i="7"/>
  <c r="BZ85" i="7"/>
  <c r="BZ86" i="7"/>
  <c r="BZ87" i="7"/>
  <c r="BZ88" i="7"/>
  <c r="BZ89" i="7"/>
  <c r="BZ90" i="7"/>
  <c r="BZ91" i="7"/>
  <c r="BZ92" i="7"/>
  <c r="BZ93" i="7"/>
  <c r="BZ94" i="7"/>
  <c r="BZ95" i="7"/>
  <c r="BZ96" i="7"/>
  <c r="BZ97" i="7"/>
  <c r="BZ98" i="7"/>
  <c r="BZ99" i="7"/>
  <c r="BZ100" i="7"/>
  <c r="BZ101" i="7"/>
  <c r="BZ102" i="7"/>
  <c r="BZ103" i="7"/>
  <c r="BZ104" i="7"/>
  <c r="BZ105" i="7"/>
  <c r="BZ106" i="7"/>
  <c r="BZ107" i="7"/>
  <c r="BZ108" i="7"/>
  <c r="BZ109" i="7"/>
  <c r="BZ110" i="7"/>
  <c r="BZ111" i="7"/>
  <c r="BZ112" i="7"/>
  <c r="BZ113" i="7"/>
  <c r="BZ114" i="7"/>
  <c r="BZ115" i="7"/>
  <c r="BZ116" i="7"/>
  <c r="BZ117" i="7"/>
  <c r="BZ20" i="7"/>
  <c r="BX79" i="7"/>
  <c r="BX73" i="7"/>
  <c r="BX124" i="7" s="1"/>
  <c r="BY72" i="7"/>
  <c r="BY75" i="7" s="1"/>
  <c r="BY64" i="7"/>
  <c r="BX64" i="7"/>
  <c r="BY63" i="7"/>
  <c r="BX63" i="7"/>
  <c r="BY62" i="7"/>
  <c r="BX62" i="7"/>
  <c r="BY61" i="7"/>
  <c r="BX61" i="7"/>
  <c r="BY60" i="7"/>
  <c r="BX60" i="7"/>
  <c r="BY59" i="7"/>
  <c r="BX59" i="7"/>
  <c r="BY58" i="7"/>
  <c r="BX58" i="7"/>
  <c r="BY57" i="7"/>
  <c r="BX57" i="7"/>
  <c r="BY56" i="7"/>
  <c r="BX56" i="7"/>
  <c r="BY55" i="7"/>
  <c r="BX55" i="7"/>
  <c r="BY54" i="7"/>
  <c r="BX54" i="7"/>
  <c r="BY53" i="7"/>
  <c r="BX53" i="7"/>
  <c r="BY52" i="7"/>
  <c r="BX52" i="7"/>
  <c r="BY51" i="7"/>
  <c r="BX51" i="7"/>
  <c r="BY49" i="7"/>
  <c r="BX49" i="7"/>
  <c r="BY48" i="7"/>
  <c r="BX48" i="7"/>
  <c r="BY47" i="7"/>
  <c r="BX47" i="7"/>
  <c r="BY25" i="7"/>
  <c r="BY30" i="7" s="1"/>
  <c r="BX25" i="7"/>
  <c r="BX30" i="7" s="1"/>
  <c r="Q159" i="4"/>
  <c r="Q160" i="4"/>
  <c r="FE73" i="4"/>
  <c r="FD72" i="4"/>
  <c r="FD73" i="4" s="1"/>
  <c r="EB73" i="4"/>
  <c r="EA72" i="4"/>
  <c r="EA73" i="4" s="1"/>
  <c r="CX73" i="4"/>
  <c r="CW72" i="4"/>
  <c r="CW73" i="4" s="1"/>
  <c r="O73" i="4"/>
  <c r="N72" i="4"/>
  <c r="N73" i="4" s="1"/>
  <c r="FF73" i="4"/>
  <c r="EC73" i="4"/>
  <c r="BV73" i="4"/>
  <c r="P73" i="4"/>
  <c r="G31" i="69"/>
  <c r="G28" i="69"/>
  <c r="G29" i="69"/>
  <c r="G30" i="69"/>
  <c r="G32" i="69"/>
  <c r="G33" i="69"/>
  <c r="G34" i="69"/>
  <c r="G35" i="69"/>
  <c r="G36" i="69"/>
  <c r="G27" i="69"/>
  <c r="F28" i="69"/>
  <c r="F29" i="69"/>
  <c r="F30" i="69"/>
  <c r="F31" i="69"/>
  <c r="F32" i="69"/>
  <c r="F33" i="69"/>
  <c r="F34" i="69"/>
  <c r="F35" i="69"/>
  <c r="F36" i="69"/>
  <c r="F27" i="69"/>
  <c r="BV72" i="7"/>
  <c r="BG74" i="7"/>
  <c r="AJ268" i="4"/>
  <c r="AK268" i="4"/>
  <c r="AL268" i="4"/>
  <c r="AM268" i="4"/>
  <c r="AN268" i="4"/>
  <c r="AO268" i="4"/>
  <c r="AP268" i="4"/>
  <c r="AQ268" i="4"/>
  <c r="AR268" i="4"/>
  <c r="AS268" i="4"/>
  <c r="AT268" i="4"/>
  <c r="AI268" i="4"/>
  <c r="P266" i="4"/>
  <c r="O266" i="4"/>
  <c r="N266" i="4"/>
  <c r="M266" i="4"/>
  <c r="L266" i="4"/>
  <c r="K266" i="4"/>
  <c r="J266" i="4"/>
  <c r="I266" i="4"/>
  <c r="H266" i="4"/>
  <c r="G266" i="4"/>
  <c r="F266" i="4"/>
  <c r="I252" i="4"/>
  <c r="H252" i="4"/>
  <c r="G252" i="4"/>
  <c r="F252" i="4"/>
  <c r="I302" i="4"/>
  <c r="J252" i="4"/>
  <c r="K252" i="4"/>
  <c r="L252" i="4"/>
  <c r="M252" i="4"/>
  <c r="N252" i="4"/>
  <c r="O252" i="4"/>
  <c r="P252" i="4"/>
  <c r="P249" i="4"/>
  <c r="O249" i="4"/>
  <c r="N249" i="4"/>
  <c r="M249" i="4"/>
  <c r="L249" i="4"/>
  <c r="K249" i="4"/>
  <c r="J249" i="4"/>
  <c r="I249" i="4"/>
  <c r="H249" i="4"/>
  <c r="G249" i="4"/>
  <c r="F249" i="4"/>
  <c r="P280" i="4"/>
  <c r="O280" i="4"/>
  <c r="N280" i="4"/>
  <c r="M280" i="4"/>
  <c r="L280" i="4"/>
  <c r="K280" i="4"/>
  <c r="J280" i="4"/>
  <c r="I280" i="4"/>
  <c r="H280" i="4"/>
  <c r="G280" i="4"/>
  <c r="F280" i="4"/>
  <c r="F281" i="4" s="1"/>
  <c r="AJ159" i="4" l="1"/>
  <c r="AJ160" i="4"/>
  <c r="AL29" i="6"/>
  <c r="AQ31" i="6"/>
  <c r="BX34" i="7"/>
  <c r="BX33" i="7"/>
  <c r="BY79" i="7"/>
  <c r="BY34" i="7"/>
  <c r="BY33" i="7"/>
  <c r="BY31" i="7" s="1"/>
  <c r="BY32" i="7" s="1"/>
  <c r="BY35" i="7" s="1"/>
  <c r="BY73" i="7"/>
  <c r="BY124" i="7" s="1"/>
  <c r="F282" i="4"/>
  <c r="AL30" i="6" l="1"/>
  <c r="AQ29" i="6"/>
  <c r="BX31" i="7"/>
  <c r="BX32" i="7" s="1"/>
  <c r="BX35" i="7" s="1"/>
  <c r="BE72" i="7"/>
  <c r="BF72" i="7"/>
  <c r="BG72" i="7"/>
  <c r="S47" i="7"/>
  <c r="BS72" i="7"/>
  <c r="BU72" i="7"/>
  <c r="BQ72" i="7"/>
  <c r="BK72" i="7"/>
  <c r="BP72" i="7"/>
  <c r="R72" i="7"/>
  <c r="DZ73" i="4"/>
  <c r="FC73" i="4"/>
  <c r="CV73" i="4"/>
  <c r="BS73" i="4"/>
  <c r="M73" i="4"/>
  <c r="P72" i="7"/>
  <c r="AL33" i="6" l="1"/>
  <c r="AQ33" i="6" s="1"/>
  <c r="AQ30" i="6"/>
  <c r="Q72" i="7"/>
  <c r="BO72" i="7"/>
  <c r="FB73" i="4"/>
  <c r="CU73" i="4"/>
  <c r="BR73" i="4"/>
  <c r="L73" i="4"/>
  <c r="BN72" i="7"/>
  <c r="BM4" i="7" l="1"/>
  <c r="BM3" i="7"/>
  <c r="BL72" i="7"/>
  <c r="BQ73" i="4"/>
  <c r="G72" i="7"/>
  <c r="O72" i="7" l="1"/>
  <c r="BI72" i="7" l="1"/>
  <c r="FA73" i="4"/>
  <c r="DX73" i="4"/>
  <c r="K73" i="4"/>
  <c r="BD72" i="7"/>
  <c r="BP73" i="4"/>
  <c r="J73" i="4"/>
  <c r="AN73" i="4"/>
  <c r="CT73" i="4"/>
  <c r="EZ73" i="4" l="1"/>
  <c r="DW73" i="4"/>
  <c r="CS73" i="4"/>
  <c r="AM73" i="4"/>
  <c r="CR73" i="4" l="1"/>
  <c r="BN73" i="4"/>
  <c r="BO72" i="4"/>
  <c r="BO73" i="4" s="1"/>
  <c r="I71" i="4"/>
  <c r="I69" i="4"/>
  <c r="BB43" i="7"/>
  <c r="BB44" i="7"/>
  <c r="BB45" i="7"/>
  <c r="BB46" i="7"/>
  <c r="BB42" i="7"/>
  <c r="N67" i="7"/>
  <c r="N68" i="7"/>
  <c r="N69" i="7"/>
  <c r="N70" i="7"/>
  <c r="N71" i="7"/>
  <c r="N66" i="7"/>
  <c r="N72" i="7" l="1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62" i="6"/>
  <c r="AX43" i="7"/>
  <c r="AX44" i="7"/>
  <c r="AX45" i="7"/>
  <c r="AX46" i="7"/>
  <c r="AX42" i="7"/>
  <c r="BA72" i="7"/>
  <c r="BA73" i="7" s="1"/>
  <c r="AZ72" i="7"/>
  <c r="AZ73" i="7" s="1"/>
  <c r="AY72" i="7"/>
  <c r="AY73" i="7" s="1"/>
  <c r="AX89" i="7"/>
  <c r="AX67" i="7"/>
  <c r="AX68" i="7"/>
  <c r="AX69" i="7"/>
  <c r="AX70" i="7"/>
  <c r="AX71" i="7"/>
  <c r="AX66" i="7"/>
  <c r="AV72" i="7"/>
  <c r="AV73" i="7" s="1"/>
  <c r="AW72" i="7"/>
  <c r="AW73" i="7" s="1"/>
  <c r="AU72" i="7"/>
  <c r="AU73" i="7" s="1"/>
  <c r="AU79" i="7"/>
  <c r="AU64" i="7"/>
  <c r="AU63" i="7"/>
  <c r="AU62" i="7"/>
  <c r="AU61" i="7"/>
  <c r="AU60" i="7"/>
  <c r="AU59" i="7"/>
  <c r="AU58" i="7"/>
  <c r="AU57" i="7"/>
  <c r="AU56" i="7"/>
  <c r="AU55" i="7"/>
  <c r="AU54" i="7"/>
  <c r="AU53" i="7"/>
  <c r="AU52" i="7"/>
  <c r="AU51" i="7"/>
  <c r="AU49" i="7"/>
  <c r="AU48" i="7"/>
  <c r="AU47" i="7"/>
  <c r="AU25" i="7"/>
  <c r="AU30" i="7" s="1"/>
  <c r="M73" i="7"/>
  <c r="H70" i="4"/>
  <c r="H71" i="4" s="1"/>
  <c r="CP73" i="4"/>
  <c r="DU73" i="4"/>
  <c r="CQ73" i="4"/>
  <c r="H68" i="4"/>
  <c r="H69" i="4" s="1"/>
  <c r="AX72" i="7" l="1"/>
  <c r="AU34" i="7"/>
  <c r="AU33" i="7"/>
  <c r="AS67" i="7"/>
  <c r="AS68" i="7"/>
  <c r="AS69" i="7"/>
  <c r="AS70" i="7"/>
  <c r="AS71" i="7"/>
  <c r="AS66" i="7"/>
  <c r="AS88" i="7"/>
  <c r="AS89" i="7"/>
  <c r="AS87" i="7"/>
  <c r="AS94" i="7"/>
  <c r="AS95" i="7"/>
  <c r="AS96" i="7"/>
  <c r="AS97" i="7"/>
  <c r="AS98" i="7"/>
  <c r="AS99" i="7"/>
  <c r="AS100" i="7"/>
  <c r="AS101" i="7"/>
  <c r="AS102" i="7"/>
  <c r="AS103" i="7"/>
  <c r="AS104" i="7"/>
  <c r="AS106" i="7"/>
  <c r="AS107" i="7"/>
  <c r="AS108" i="7"/>
  <c r="AS109" i="7"/>
  <c r="AS110" i="7"/>
  <c r="AS111" i="7"/>
  <c r="AS112" i="7"/>
  <c r="AS113" i="7"/>
  <c r="AS114" i="7"/>
  <c r="AS115" i="7"/>
  <c r="AS116" i="7"/>
  <c r="AS117" i="7"/>
  <c r="AS93" i="7"/>
  <c r="AR79" i="7"/>
  <c r="AR72" i="7"/>
  <c r="AR73" i="7" s="1"/>
  <c r="AR49" i="7"/>
  <c r="AR48" i="7"/>
  <c r="AR47" i="7"/>
  <c r="AR25" i="7"/>
  <c r="AR30" i="7" s="1"/>
  <c r="EW72" i="4"/>
  <c r="EW73" i="4" s="1"/>
  <c r="DT72" i="4"/>
  <c r="DT73" i="4" s="1"/>
  <c r="BM72" i="4"/>
  <c r="BM73" i="4" s="1"/>
  <c r="G70" i="4"/>
  <c r="G71" i="4" s="1"/>
  <c r="G68" i="4"/>
  <c r="G69" i="4" s="1"/>
  <c r="L72" i="7"/>
  <c r="AU31" i="7" l="1"/>
  <c r="AU32" i="7" s="1"/>
  <c r="AU35" i="7" s="1"/>
  <c r="AR34" i="7"/>
  <c r="AR33" i="7"/>
  <c r="K72" i="7"/>
  <c r="BL72" i="4"/>
  <c r="BL73" i="4" s="1"/>
  <c r="F70" i="4"/>
  <c r="F71" i="4" s="1"/>
  <c r="F68" i="4"/>
  <c r="F69" i="4" s="1"/>
  <c r="AO79" i="7"/>
  <c r="AO72" i="7"/>
  <c r="AO73" i="7" s="1"/>
  <c r="AO49" i="7"/>
  <c r="AO48" i="7"/>
  <c r="AO47" i="7"/>
  <c r="AO25" i="7"/>
  <c r="AO30" i="7" s="1"/>
  <c r="K30" i="7"/>
  <c r="AN79" i="7"/>
  <c r="AN72" i="7"/>
  <c r="AN73" i="7" s="1"/>
  <c r="AN49" i="7"/>
  <c r="AN48" i="7"/>
  <c r="AN47" i="7"/>
  <c r="AN25" i="7"/>
  <c r="AN30" i="7" l="1"/>
  <c r="AN34" i="7" s="1"/>
  <c r="AR31" i="7"/>
  <c r="AR32" i="7" s="1"/>
  <c r="AR35" i="7" s="1"/>
  <c r="AO34" i="7"/>
  <c r="AO33" i="7"/>
  <c r="AO31" i="7" s="1"/>
  <c r="AO32" i="7" s="1"/>
  <c r="AO35" i="7" s="1"/>
  <c r="E14" i="101"/>
  <c r="E11" i="101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F72" i="4"/>
  <c r="F73" i="4" s="1"/>
  <c r="AN33" i="7" l="1"/>
  <c r="AN31" i="7" s="1"/>
  <c r="AN32" i="7" s="1"/>
  <c r="AN35" i="7" s="1"/>
  <c r="F305" i="4" a="1"/>
  <c r="F305" i="4" s="1"/>
  <c r="EI178" i="4"/>
  <c r="EJ178" i="4"/>
  <c r="EK178" i="4"/>
  <c r="EL178" i="4"/>
  <c r="EM178" i="4"/>
  <c r="EN178" i="4"/>
  <c r="K205" i="4" l="1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F20" i="4"/>
  <c r="G20" i="4"/>
  <c r="H20" i="4"/>
  <c r="I20" i="4"/>
  <c r="F24" i="4"/>
  <c r="G24" i="4"/>
  <c r="H24" i="4"/>
  <c r="I24" i="4"/>
  <c r="F28" i="4"/>
  <c r="G28" i="4"/>
  <c r="H28" i="4"/>
  <c r="I28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J79" i="7"/>
  <c r="J72" i="7"/>
  <c r="J73" i="7" s="1"/>
  <c r="J25" i="7"/>
  <c r="J30" i="7" s="1"/>
  <c r="J10" i="7"/>
  <c r="I79" i="7"/>
  <c r="I72" i="7"/>
  <c r="I73" i="7" s="1"/>
  <c r="I25" i="7"/>
  <c r="I30" i="7" s="1"/>
  <c r="I39" i="7" s="1"/>
  <c r="I10" i="7"/>
  <c r="H79" i="7"/>
  <c r="H72" i="7"/>
  <c r="H25" i="7"/>
  <c r="H10" i="7"/>
  <c r="G10" i="7"/>
  <c r="H8" i="8" l="1" a="1"/>
  <c r="H8" i="8" s="1"/>
  <c r="H73" i="7"/>
  <c r="S8" i="4" s="1" a="1"/>
  <c r="S8" i="4" s="1"/>
  <c r="O8" i="4" a="1"/>
  <c r="O8" i="4" s="1"/>
  <c r="N8" i="4" a="1"/>
  <c r="N8" i="4" s="1"/>
  <c r="M8" i="4" a="1"/>
  <c r="M8" i="4" s="1"/>
  <c r="L8" i="4" a="1"/>
  <c r="L8" i="4" s="1"/>
  <c r="W8" i="4" a="1"/>
  <c r="W8" i="4" s="1"/>
  <c r="K8" i="4" a="1"/>
  <c r="K8" i="4" s="1"/>
  <c r="V8" i="4" a="1"/>
  <c r="V8" i="4" s="1"/>
  <c r="J8" i="4" a="1"/>
  <c r="J8" i="4" s="1"/>
  <c r="U8" i="4" a="1"/>
  <c r="U8" i="4" s="1"/>
  <c r="T8" i="4" a="1"/>
  <c r="T8" i="4" s="1"/>
  <c r="Q8" i="4" a="1"/>
  <c r="Q8" i="4" s="1"/>
  <c r="P8" i="4" a="1"/>
  <c r="P8" i="4" s="1"/>
  <c r="H30" i="7"/>
  <c r="J38" i="7"/>
  <c r="J37" i="7"/>
  <c r="J36" i="7"/>
  <c r="J34" i="7"/>
  <c r="J33" i="7"/>
  <c r="J31" i="7" s="1"/>
  <c r="J32" i="7" s="1"/>
  <c r="J35" i="7" s="1"/>
  <c r="J39" i="7"/>
  <c r="I33" i="7"/>
  <c r="I34" i="7"/>
  <c r="I36" i="7"/>
  <c r="I37" i="7"/>
  <c r="I40" i="7" s="1"/>
  <c r="I38" i="7"/>
  <c r="R8" i="4" l="1" a="1"/>
  <c r="R8" i="4" s="1"/>
  <c r="H39" i="7"/>
  <c r="H36" i="7"/>
  <c r="H34" i="7"/>
  <c r="H38" i="7"/>
  <c r="H37" i="7"/>
  <c r="H33" i="7"/>
  <c r="J40" i="7"/>
  <c r="I31" i="7"/>
  <c r="I32" i="7" s="1"/>
  <c r="I35" i="7" s="1"/>
  <c r="H31" i="7" l="1"/>
  <c r="H32" i="7" s="1"/>
  <c r="H35" i="7" s="1"/>
  <c r="H40" i="7"/>
  <c r="G235" i="4"/>
  <c r="H235" i="4"/>
  <c r="I235" i="4"/>
  <c r="J235" i="4"/>
  <c r="K235" i="4"/>
  <c r="L235" i="4"/>
  <c r="M235" i="4"/>
  <c r="N235" i="4"/>
  <c r="O235" i="4"/>
  <c r="P235" i="4"/>
  <c r="Q235" i="4"/>
  <c r="R235" i="4"/>
  <c r="S235" i="4"/>
  <c r="T235" i="4"/>
  <c r="U235" i="4"/>
  <c r="V235" i="4"/>
  <c r="W235" i="4"/>
  <c r="X235" i="4"/>
  <c r="Y235" i="4"/>
  <c r="Z235" i="4"/>
  <c r="AA235" i="4"/>
  <c r="G236" i="4"/>
  <c r="H236" i="4"/>
  <c r="I236" i="4"/>
  <c r="J236" i="4"/>
  <c r="K236" i="4"/>
  <c r="L236" i="4"/>
  <c r="M236" i="4"/>
  <c r="N236" i="4"/>
  <c r="O236" i="4"/>
  <c r="P236" i="4"/>
  <c r="Q236" i="4"/>
  <c r="R236" i="4"/>
  <c r="S236" i="4"/>
  <c r="T236" i="4"/>
  <c r="U236" i="4"/>
  <c r="V236" i="4"/>
  <c r="W236" i="4"/>
  <c r="X236" i="4"/>
  <c r="Y236" i="4"/>
  <c r="Z236" i="4"/>
  <c r="AA236" i="4"/>
  <c r="F236" i="4"/>
  <c r="F235" i="4"/>
  <c r="G215" i="4"/>
  <c r="H215" i="4"/>
  <c r="I215" i="4"/>
  <c r="J215" i="4"/>
  <c r="K215" i="4"/>
  <c r="L215" i="4"/>
  <c r="M215" i="4"/>
  <c r="N215" i="4"/>
  <c r="O215" i="4"/>
  <c r="P215" i="4"/>
  <c r="Q215" i="4"/>
  <c r="R215" i="4"/>
  <c r="S215" i="4"/>
  <c r="T215" i="4"/>
  <c r="U215" i="4"/>
  <c r="V215" i="4"/>
  <c r="W215" i="4"/>
  <c r="X215" i="4"/>
  <c r="Y215" i="4"/>
  <c r="Z215" i="4"/>
  <c r="AA215" i="4"/>
  <c r="G216" i="4"/>
  <c r="H216" i="4"/>
  <c r="I216" i="4"/>
  <c r="J216" i="4"/>
  <c r="K216" i="4"/>
  <c r="L216" i="4"/>
  <c r="M216" i="4"/>
  <c r="N216" i="4"/>
  <c r="O216" i="4"/>
  <c r="P216" i="4"/>
  <c r="Q216" i="4"/>
  <c r="R216" i="4"/>
  <c r="S216" i="4"/>
  <c r="T216" i="4"/>
  <c r="U216" i="4"/>
  <c r="V216" i="4"/>
  <c r="W216" i="4"/>
  <c r="X216" i="4"/>
  <c r="Y216" i="4"/>
  <c r="Z216" i="4"/>
  <c r="AA216" i="4"/>
  <c r="F216" i="4"/>
  <c r="F215" i="4"/>
  <c r="G162" i="4"/>
  <c r="H162" i="4"/>
  <c r="I162" i="4"/>
  <c r="J162" i="4"/>
  <c r="K162" i="4"/>
  <c r="L162" i="4"/>
  <c r="M162" i="4"/>
  <c r="N162" i="4"/>
  <c r="O162" i="4"/>
  <c r="P162" i="4"/>
  <c r="Q162" i="4"/>
  <c r="R162" i="4"/>
  <c r="S162" i="4"/>
  <c r="T162" i="4"/>
  <c r="U162" i="4"/>
  <c r="V162" i="4"/>
  <c r="W162" i="4"/>
  <c r="X162" i="4"/>
  <c r="Y162" i="4"/>
  <c r="Z162" i="4"/>
  <c r="AA162" i="4"/>
  <c r="G163" i="4"/>
  <c r="H163" i="4"/>
  <c r="I163" i="4"/>
  <c r="J163" i="4"/>
  <c r="K163" i="4"/>
  <c r="L163" i="4"/>
  <c r="M163" i="4"/>
  <c r="N163" i="4"/>
  <c r="O163" i="4"/>
  <c r="P163" i="4"/>
  <c r="Q163" i="4"/>
  <c r="R163" i="4"/>
  <c r="S163" i="4"/>
  <c r="T163" i="4"/>
  <c r="U163" i="4"/>
  <c r="V163" i="4"/>
  <c r="W163" i="4"/>
  <c r="X163" i="4"/>
  <c r="Y163" i="4"/>
  <c r="Z163" i="4"/>
  <c r="AA163" i="4"/>
  <c r="F163" i="4"/>
  <c r="F162" i="4"/>
  <c r="G207" i="4"/>
  <c r="H207" i="4"/>
  <c r="I207" i="4"/>
  <c r="J207" i="4"/>
  <c r="K207" i="4"/>
  <c r="L207" i="4"/>
  <c r="M207" i="4"/>
  <c r="N207" i="4"/>
  <c r="O207" i="4"/>
  <c r="P207" i="4"/>
  <c r="Q207" i="4"/>
  <c r="R207" i="4"/>
  <c r="S207" i="4"/>
  <c r="T207" i="4"/>
  <c r="U207" i="4"/>
  <c r="V207" i="4"/>
  <c r="W207" i="4"/>
  <c r="X207" i="4"/>
  <c r="Y207" i="4"/>
  <c r="Z207" i="4"/>
  <c r="AA207" i="4"/>
  <c r="F207" i="4"/>
  <c r="G206" i="4"/>
  <c r="H206" i="4"/>
  <c r="I206" i="4"/>
  <c r="J206" i="4"/>
  <c r="K206" i="4"/>
  <c r="L206" i="4"/>
  <c r="M206" i="4"/>
  <c r="N206" i="4"/>
  <c r="O206" i="4"/>
  <c r="P206" i="4"/>
  <c r="Q206" i="4"/>
  <c r="R206" i="4"/>
  <c r="S206" i="4"/>
  <c r="T206" i="4"/>
  <c r="U206" i="4"/>
  <c r="V206" i="4"/>
  <c r="W206" i="4"/>
  <c r="X206" i="4"/>
  <c r="Y206" i="4"/>
  <c r="Z206" i="4"/>
  <c r="AA206" i="4"/>
  <c r="F206" i="4"/>
  <c r="CD17" i="4"/>
  <c r="K73" i="7"/>
  <c r="L73" i="7"/>
  <c r="BO17" i="4"/>
  <c r="S73" i="7"/>
  <c r="R73" i="7"/>
  <c r="Q73" i="7"/>
  <c r="P73" i="7"/>
  <c r="O73" i="7"/>
  <c r="T72" i="7"/>
  <c r="U72" i="7"/>
  <c r="U73" i="7" s="1"/>
  <c r="G72" i="65"/>
  <c r="G71" i="65"/>
  <c r="L25" i="7"/>
  <c r="M25" i="7"/>
  <c r="M30" i="7" s="1"/>
  <c r="M34" i="7" s="1"/>
  <c r="N25" i="7"/>
  <c r="N30" i="7" s="1"/>
  <c r="N34" i="7" s="1"/>
  <c r="O25" i="7"/>
  <c r="O30" i="7" s="1"/>
  <c r="P25" i="7"/>
  <c r="P30" i="7" s="1"/>
  <c r="Q25" i="7"/>
  <c r="R25" i="7"/>
  <c r="S25" i="7"/>
  <c r="S30" i="7" s="1"/>
  <c r="S33" i="7" s="1"/>
  <c r="T25" i="7"/>
  <c r="T30" i="7" s="1"/>
  <c r="T33" i="7" s="1"/>
  <c r="U25" i="7"/>
  <c r="U30" i="7" s="1"/>
  <c r="V25" i="7"/>
  <c r="V30" i="7" s="1"/>
  <c r="W25" i="7"/>
  <c r="X25" i="7"/>
  <c r="X30" i="7" s="1"/>
  <c r="X34" i="7" s="1"/>
  <c r="Y25" i="7"/>
  <c r="Y30" i="7" s="1"/>
  <c r="Y33" i="7" s="1"/>
  <c r="Z25" i="7"/>
  <c r="Z30" i="7" s="1"/>
  <c r="Z34" i="7" s="1"/>
  <c r="AA25" i="7"/>
  <c r="AA30" i="7" s="1"/>
  <c r="AA34" i="7" s="1"/>
  <c r="AB25" i="7"/>
  <c r="AB30" i="7" s="1"/>
  <c r="AB34" i="7" s="1"/>
  <c r="AC25" i="7"/>
  <c r="AC30" i="7" s="1"/>
  <c r="AD25" i="7"/>
  <c r="AD30" i="7" s="1"/>
  <c r="AE25" i="7"/>
  <c r="AE30" i="7" s="1"/>
  <c r="AE33" i="7" s="1"/>
  <c r="AF25" i="7"/>
  <c r="AF30" i="7" s="1"/>
  <c r="AF33" i="7" s="1"/>
  <c r="K47" i="7"/>
  <c r="L47" i="7"/>
  <c r="M47" i="7"/>
  <c r="N47" i="7"/>
  <c r="O47" i="7"/>
  <c r="P47" i="7"/>
  <c r="Q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K62" i="7"/>
  <c r="L62" i="7"/>
  <c r="M62" i="7"/>
  <c r="N62" i="7"/>
  <c r="O62" i="7"/>
  <c r="P62" i="7"/>
  <c r="Q62" i="7"/>
  <c r="R62" i="7"/>
  <c r="S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K63" i="7"/>
  <c r="L63" i="7"/>
  <c r="M63" i="7"/>
  <c r="N63" i="7"/>
  <c r="O63" i="7"/>
  <c r="P63" i="7"/>
  <c r="Q63" i="7"/>
  <c r="R63" i="7"/>
  <c r="S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K64" i="7"/>
  <c r="L64" i="7"/>
  <c r="M64" i="7"/>
  <c r="N64" i="7"/>
  <c r="O64" i="7"/>
  <c r="P64" i="7"/>
  <c r="Q64" i="7"/>
  <c r="R64" i="7"/>
  <c r="S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V72" i="7"/>
  <c r="BW17" i="4" s="1"/>
  <c r="W72" i="7"/>
  <c r="BX17" i="4" s="1"/>
  <c r="X72" i="7"/>
  <c r="BY17" i="4" s="1"/>
  <c r="Y72" i="7"/>
  <c r="BZ17" i="4" s="1"/>
  <c r="Z72" i="7"/>
  <c r="CA17" i="4" s="1"/>
  <c r="AA72" i="7"/>
  <c r="AA73" i="7" s="1"/>
  <c r="AB72" i="7"/>
  <c r="CC17" i="4" s="1"/>
  <c r="AC72" i="7"/>
  <c r="AC73" i="7" s="1"/>
  <c r="AD72" i="7"/>
  <c r="CE17" i="4" s="1"/>
  <c r="AE72" i="7"/>
  <c r="CF17" i="4" s="1"/>
  <c r="AF72" i="7"/>
  <c r="AF73" i="7" s="1"/>
  <c r="K79" i="7"/>
  <c r="L79" i="7"/>
  <c r="M79" i="7"/>
  <c r="N79" i="7"/>
  <c r="O79" i="7"/>
  <c r="P79" i="7"/>
  <c r="Q79" i="7"/>
  <c r="R79" i="7"/>
  <c r="S79" i="7"/>
  <c r="U79" i="7"/>
  <c r="V79" i="7"/>
  <c r="W79" i="7"/>
  <c r="X79" i="7"/>
  <c r="Y79" i="7"/>
  <c r="Z79" i="7"/>
  <c r="AA79" i="7"/>
  <c r="AB79" i="7"/>
  <c r="AC79" i="7"/>
  <c r="AD79" i="7"/>
  <c r="AE79" i="7"/>
  <c r="AF79" i="7"/>
  <c r="W89" i="100"/>
  <c r="P241" i="4"/>
  <c r="O241" i="4"/>
  <c r="N241" i="4"/>
  <c r="M241" i="4"/>
  <c r="L241" i="4"/>
  <c r="K241" i="4"/>
  <c r="J241" i="4"/>
  <c r="I241" i="4"/>
  <c r="H241" i="4"/>
  <c r="G241" i="4"/>
  <c r="F241" i="4"/>
  <c r="CX33" i="4"/>
  <c r="CY33" i="4"/>
  <c r="P221" i="4"/>
  <c r="O221" i="4"/>
  <c r="N221" i="4"/>
  <c r="M221" i="4"/>
  <c r="L221" i="4"/>
  <c r="K221" i="4"/>
  <c r="J221" i="4"/>
  <c r="I221" i="4"/>
  <c r="H221" i="4"/>
  <c r="G221" i="4"/>
  <c r="F221" i="4"/>
  <c r="P175" i="4"/>
  <c r="O175" i="4"/>
  <c r="N175" i="4"/>
  <c r="M175" i="4"/>
  <c r="L175" i="4"/>
  <c r="K175" i="4"/>
  <c r="J175" i="4"/>
  <c r="I175" i="4"/>
  <c r="H175" i="4"/>
  <c r="G175" i="4"/>
  <c r="F175" i="4"/>
  <c r="P169" i="4"/>
  <c r="O169" i="4"/>
  <c r="N169" i="4"/>
  <c r="M169" i="4"/>
  <c r="L169" i="4"/>
  <c r="K169" i="4"/>
  <c r="J169" i="4"/>
  <c r="I169" i="4"/>
  <c r="H169" i="4"/>
  <c r="G169" i="4"/>
  <c r="F169" i="4"/>
  <c r="CW33" i="4"/>
  <c r="CV33" i="4"/>
  <c r="CU33" i="4"/>
  <c r="CT33" i="4"/>
  <c r="CP33" i="4"/>
  <c r="CO33" i="4"/>
  <c r="CO34" i="4" a="1"/>
  <c r="CO34" i="4" s="1"/>
  <c r="CO37" i="4"/>
  <c r="CY37" i="4"/>
  <c r="CX37" i="4"/>
  <c r="CW37" i="4"/>
  <c r="CV37" i="4"/>
  <c r="CU37" i="4"/>
  <c r="CT37" i="4"/>
  <c r="CR37" i="4"/>
  <c r="CQ37" i="4"/>
  <c r="CS37" i="4"/>
  <c r="CP37" i="4"/>
  <c r="K50" i="4"/>
  <c r="K51" i="4"/>
  <c r="K52" i="4"/>
  <c r="K53" i="4"/>
  <c r="K46" i="4"/>
  <c r="H33" i="4"/>
  <c r="I33" i="4"/>
  <c r="J33" i="4"/>
  <c r="P33" i="4"/>
  <c r="O33" i="4"/>
  <c r="N33" i="4"/>
  <c r="M33" i="4"/>
  <c r="L33" i="4"/>
  <c r="G33" i="4"/>
  <c r="F33" i="4"/>
  <c r="K33" i="4"/>
  <c r="K38" i="4"/>
  <c r="K42" i="4"/>
  <c r="S42" i="4"/>
  <c r="S38" i="4"/>
  <c r="S34" i="4"/>
  <c r="S28" i="4"/>
  <c r="S24" i="4"/>
  <c r="S20" i="4"/>
  <c r="T73" i="7" l="1"/>
  <c r="T79" i="7"/>
  <c r="CG17" i="4"/>
  <c r="CB17" i="4"/>
  <c r="AB73" i="7"/>
  <c r="Z73" i="7"/>
  <c r="BL17" i="4"/>
  <c r="G73" i="7"/>
  <c r="F8" i="4" a="1"/>
  <c r="F8" i="4" s="1"/>
  <c r="W73" i="7"/>
  <c r="AE73" i="7"/>
  <c r="Z33" i="7"/>
  <c r="Z31" i="7" s="1"/>
  <c r="Z32" i="7" s="1"/>
  <c r="Z35" i="7" s="1"/>
  <c r="BU17" i="4"/>
  <c r="S34" i="7"/>
  <c r="S31" i="7" s="1"/>
  <c r="S32" i="7" s="1"/>
  <c r="S35" i="7" s="1"/>
  <c r="AD73" i="7"/>
  <c r="BR17" i="4"/>
  <c r="V73" i="7"/>
  <c r="BV17" i="4"/>
  <c r="AD34" i="7"/>
  <c r="AD33" i="7"/>
  <c r="AD31" i="7" s="1"/>
  <c r="AD32" i="7" s="1"/>
  <c r="AD35" i="7" s="1"/>
  <c r="V33" i="7"/>
  <c r="V34" i="7"/>
  <c r="U33" i="7"/>
  <c r="U34" i="7"/>
  <c r="AC34" i="7"/>
  <c r="AC33" i="7"/>
  <c r="P34" i="7"/>
  <c r="P33" i="7"/>
  <c r="O34" i="7"/>
  <c r="O33" i="7"/>
  <c r="Y73" i="7"/>
  <c r="Y34" i="7"/>
  <c r="Y31" i="7" s="1"/>
  <c r="Y32" i="7" s="1"/>
  <c r="Y35" i="7" s="1"/>
  <c r="N33" i="7"/>
  <c r="N31" i="7" s="1"/>
  <c r="N32" i="7" s="1"/>
  <c r="N35" i="7" s="1"/>
  <c r="L30" i="7"/>
  <c r="L34" i="7" s="1"/>
  <c r="AA33" i="7"/>
  <c r="AA31" i="7" s="1"/>
  <c r="AA32" i="7" s="1"/>
  <c r="AA35" i="7" s="1"/>
  <c r="W30" i="7"/>
  <c r="W34" i="7" s="1"/>
  <c r="BT17" i="4"/>
  <c r="X73" i="7"/>
  <c r="AB33" i="7"/>
  <c r="AB31" i="7" s="1"/>
  <c r="AB32" i="7" s="1"/>
  <c r="AB35" i="7" s="1"/>
  <c r="M33" i="7"/>
  <c r="M31" i="7" s="1"/>
  <c r="M32" i="7" s="1"/>
  <c r="M35" i="7" s="1"/>
  <c r="K34" i="7"/>
  <c r="T34" i="7"/>
  <c r="T31" i="7" s="1"/>
  <c r="T32" i="7" s="1"/>
  <c r="T35" i="7" s="1"/>
  <c r="BS17" i="4"/>
  <c r="X33" i="7"/>
  <c r="X31" i="7" s="1"/>
  <c r="X32" i="7" s="1"/>
  <c r="X35" i="7" s="1"/>
  <c r="AF34" i="7"/>
  <c r="AF31" i="7" s="1"/>
  <c r="AF32" i="7" s="1"/>
  <c r="AF35" i="7" s="1"/>
  <c r="BQ17" i="4"/>
  <c r="AE34" i="7"/>
  <c r="AE31" i="7" s="1"/>
  <c r="AE32" i="7" s="1"/>
  <c r="AE35" i="7" s="1"/>
  <c r="R30" i="7"/>
  <c r="R34" i="7" s="1"/>
  <c r="BP17" i="4"/>
  <c r="Q30" i="7"/>
  <c r="Q34" i="7" s="1"/>
  <c r="BN17" i="4"/>
  <c r="BM17" i="4"/>
  <c r="N73" i="7"/>
  <c r="U23" i="6"/>
  <c r="U31" i="7" l="1"/>
  <c r="H8" i="4" a="1"/>
  <c r="H8" i="4" s="1"/>
  <c r="Y8" i="4" a="1"/>
  <c r="Y8" i="4" s="1"/>
  <c r="Z8" i="4" a="1"/>
  <c r="Z8" i="4" s="1"/>
  <c r="X8" i="4" a="1"/>
  <c r="X8" i="4" s="1"/>
  <c r="AA8" i="4" a="1"/>
  <c r="AA8" i="4" s="1"/>
  <c r="G8" i="4" a="1"/>
  <c r="G8" i="4" s="1"/>
  <c r="O31" i="7"/>
  <c r="O32" i="7" s="1"/>
  <c r="O35" i="7" s="1"/>
  <c r="U32" i="7"/>
  <c r="U35" i="7" s="1"/>
  <c r="R33" i="7"/>
  <c r="R31" i="7" s="1"/>
  <c r="R32" i="7" s="1"/>
  <c r="R35" i="7" s="1"/>
  <c r="P31" i="7"/>
  <c r="P32" i="7" s="1"/>
  <c r="P35" i="7" s="1"/>
  <c r="V31" i="7"/>
  <c r="V32" i="7" s="1"/>
  <c r="V35" i="7" s="1"/>
  <c r="AC31" i="7"/>
  <c r="AC32" i="7" s="1"/>
  <c r="AC35" i="7" s="1"/>
  <c r="I8" i="4" a="1"/>
  <c r="I8" i="4" s="1"/>
  <c r="Q33" i="7"/>
  <c r="Q31" i="7" s="1"/>
  <c r="Q32" i="7" s="1"/>
  <c r="Q35" i="7" s="1"/>
  <c r="K33" i="7"/>
  <c r="K31" i="7" s="1"/>
  <c r="K32" i="7" s="1"/>
  <c r="K35" i="7" s="1"/>
  <c r="W33" i="7"/>
  <c r="W31" i="7" s="1"/>
  <c r="W32" i="7" s="1"/>
  <c r="W35" i="7" s="1"/>
  <c r="L33" i="7"/>
  <c r="L31" i="7" s="1"/>
  <c r="L32" i="7" s="1"/>
  <c r="L35" i="7" s="1"/>
  <c r="O7" i="69"/>
  <c r="N7" i="69" s="1"/>
  <c r="P7" i="69"/>
  <c r="O8" i="69"/>
  <c r="P8" i="69"/>
  <c r="O9" i="69"/>
  <c r="P9" i="69"/>
  <c r="O10" i="69"/>
  <c r="P10" i="69"/>
  <c r="O11" i="69"/>
  <c r="N11" i="69" s="1"/>
  <c r="P11" i="69"/>
  <c r="O12" i="69"/>
  <c r="N12" i="69" s="1"/>
  <c r="P12" i="69"/>
  <c r="O13" i="69"/>
  <c r="N13" i="69" s="1"/>
  <c r="P13" i="69"/>
  <c r="O14" i="69"/>
  <c r="P14" i="69"/>
  <c r="O15" i="69"/>
  <c r="P15" i="69"/>
  <c r="O16" i="69"/>
  <c r="P16" i="69"/>
  <c r="O17" i="69"/>
  <c r="P17" i="69"/>
  <c r="N17" i="69" s="1"/>
  <c r="N8" i="69"/>
  <c r="N9" i="69"/>
  <c r="N10" i="69"/>
  <c r="N14" i="69"/>
  <c r="N15" i="69"/>
  <c r="N16" i="69"/>
  <c r="L7" i="69"/>
  <c r="L8" i="69"/>
  <c r="L9" i="69"/>
  <c r="L10" i="69"/>
  <c r="L11" i="69"/>
  <c r="L12" i="69"/>
  <c r="L13" i="69"/>
  <c r="L14" i="69"/>
  <c r="L15" i="69"/>
  <c r="L16" i="69"/>
  <c r="L17" i="69"/>
  <c r="P19" i="69"/>
  <c r="P20" i="69"/>
  <c r="P21" i="69"/>
  <c r="P22" i="69"/>
  <c r="P23" i="69"/>
  <c r="P24" i="69"/>
  <c r="P25" i="69"/>
  <c r="P26" i="69"/>
  <c r="P27" i="69"/>
  <c r="P28" i="69"/>
  <c r="P29" i="69"/>
  <c r="P30" i="69"/>
  <c r="P31" i="69"/>
  <c r="P32" i="69"/>
  <c r="P33" i="69"/>
  <c r="P34" i="69"/>
  <c r="P35" i="69"/>
  <c r="P36" i="69"/>
  <c r="P37" i="69"/>
  <c r="P38" i="69"/>
  <c r="P18" i="69"/>
  <c r="O20" i="69"/>
  <c r="N20" i="69" s="1"/>
  <c r="O21" i="69"/>
  <c r="N21" i="69" s="1"/>
  <c r="O32" i="69"/>
  <c r="N32" i="69" s="1"/>
  <c r="O33" i="69"/>
  <c r="N33" i="69" s="1"/>
  <c r="O34" i="69"/>
  <c r="N34" i="69" s="1"/>
  <c r="O35" i="69"/>
  <c r="N35" i="69" s="1"/>
  <c r="O36" i="69"/>
  <c r="N36" i="69" s="1"/>
  <c r="O37" i="69"/>
  <c r="N37" i="69" s="1"/>
  <c r="L19" i="69"/>
  <c r="O19" i="69" s="1"/>
  <c r="N19" i="69" s="1"/>
  <c r="L20" i="69"/>
  <c r="L21" i="69"/>
  <c r="L22" i="69"/>
  <c r="O22" i="69" s="1"/>
  <c r="N22" i="69" s="1"/>
  <c r="L23" i="69"/>
  <c r="O23" i="69" s="1"/>
  <c r="N23" i="69" s="1"/>
  <c r="L24" i="69"/>
  <c r="O24" i="69" s="1"/>
  <c r="N24" i="69" s="1"/>
  <c r="L25" i="69"/>
  <c r="O25" i="69" s="1"/>
  <c r="N25" i="69" s="1"/>
  <c r="L26" i="69"/>
  <c r="O26" i="69" s="1"/>
  <c r="N26" i="69" s="1"/>
  <c r="L27" i="69"/>
  <c r="O27" i="69" s="1"/>
  <c r="N27" i="69" s="1"/>
  <c r="L28" i="69"/>
  <c r="O28" i="69" s="1"/>
  <c r="N28" i="69" s="1"/>
  <c r="L29" i="69"/>
  <c r="O29" i="69" s="1"/>
  <c r="N29" i="69" s="1"/>
  <c r="L30" i="69"/>
  <c r="O30" i="69" s="1"/>
  <c r="N30" i="69" s="1"/>
  <c r="L31" i="69"/>
  <c r="O31" i="69" s="1"/>
  <c r="N31" i="69" s="1"/>
  <c r="L32" i="69"/>
  <c r="L33" i="69"/>
  <c r="L34" i="69"/>
  <c r="L35" i="69"/>
  <c r="L36" i="69"/>
  <c r="L37" i="69"/>
  <c r="L38" i="69"/>
  <c r="O38" i="69" s="1"/>
  <c r="N38" i="69" s="1"/>
  <c r="L18" i="69"/>
  <c r="O18" i="69" s="1"/>
  <c r="N18" i="69" s="1"/>
  <c r="AB157" i="4"/>
  <c r="AC157" i="4"/>
  <c r="AD157" i="4"/>
  <c r="AE157" i="4"/>
  <c r="AF157" i="4"/>
  <c r="AG157" i="4"/>
  <c r="Q146" i="4"/>
  <c r="P77" i="4"/>
  <c r="E12" i="69"/>
  <c r="J4" i="95" l="1"/>
  <c r="J5" i="95"/>
  <c r="J6" i="95"/>
  <c r="J7" i="95"/>
  <c r="J8" i="95"/>
  <c r="J9" i="95"/>
  <c r="J10" i="95"/>
  <c r="J3" i="95"/>
  <c r="L4" i="95"/>
  <c r="L5" i="95"/>
  <c r="L6" i="95"/>
  <c r="L7" i="95"/>
  <c r="L8" i="95"/>
  <c r="L9" i="95"/>
  <c r="L10" i="95"/>
  <c r="L11" i="95"/>
  <c r="L12" i="95"/>
  <c r="L13" i="95"/>
  <c r="L3" i="95"/>
  <c r="K4" i="95"/>
  <c r="K5" i="95"/>
  <c r="K6" i="95"/>
  <c r="K7" i="95"/>
  <c r="K8" i="95"/>
  <c r="K9" i="95"/>
  <c r="K10" i="95"/>
  <c r="K11" i="95"/>
  <c r="K12" i="95"/>
  <c r="K13" i="95"/>
  <c r="K3" i="95"/>
  <c r="J11" i="95"/>
  <c r="J12" i="95"/>
  <c r="J13" i="95"/>
  <c r="J140" i="92" l="1"/>
  <c r="K140" i="92"/>
  <c r="L140" i="92"/>
  <c r="M140" i="92"/>
  <c r="N140" i="92"/>
  <c r="O140" i="92"/>
  <c r="DY73" i="4" l="1"/>
  <c r="EX73" i="4"/>
  <c r="H8" i="69" l="1"/>
  <c r="AG47" i="7"/>
  <c r="AH47" i="7"/>
  <c r="AI47" i="7"/>
  <c r="AJ47" i="7"/>
  <c r="AK47" i="7"/>
  <c r="AL47" i="7"/>
  <c r="AG48" i="7"/>
  <c r="AH48" i="7"/>
  <c r="AI48" i="7"/>
  <c r="AJ48" i="7"/>
  <c r="AK48" i="7"/>
  <c r="AL48" i="7"/>
  <c r="AG49" i="7"/>
  <c r="AH49" i="7"/>
  <c r="AI49" i="7"/>
  <c r="AJ49" i="7"/>
  <c r="AK49" i="7"/>
  <c r="AL49" i="7"/>
  <c r="DV73" i="4" l="1"/>
  <c r="EY73" i="4"/>
  <c r="I72" i="4"/>
  <c r="H72" i="4"/>
  <c r="G73" i="4" l="1"/>
  <c r="AE266" i="92"/>
  <c r="AD266" i="92"/>
  <c r="AC266" i="92"/>
  <c r="Z266" i="92"/>
  <c r="Y266" i="92"/>
  <c r="AE265" i="92"/>
  <c r="AE262" i="92"/>
  <c r="AD262" i="92"/>
  <c r="AC262" i="92"/>
  <c r="Z262" i="92"/>
  <c r="Y262" i="92"/>
  <c r="I261" i="92"/>
  <c r="AC261" i="92" s="1"/>
  <c r="AE260" i="92"/>
  <c r="AD260" i="92"/>
  <c r="AC260" i="92"/>
  <c r="Z260" i="92"/>
  <c r="Y260" i="92"/>
  <c r="AE257" i="92"/>
  <c r="AD257" i="92"/>
  <c r="AC257" i="92"/>
  <c r="Z257" i="92"/>
  <c r="Y257" i="92"/>
  <c r="AE254" i="92"/>
  <c r="AD254" i="92"/>
  <c r="AC254" i="92"/>
  <c r="Z254" i="92"/>
  <c r="Y254" i="92"/>
  <c r="U250" i="92"/>
  <c r="T250" i="92"/>
  <c r="S250" i="92"/>
  <c r="R250" i="92"/>
  <c r="Q250" i="92"/>
  <c r="N250" i="92"/>
  <c r="K250" i="92"/>
  <c r="H250" i="92"/>
  <c r="G250" i="92"/>
  <c r="F250" i="92"/>
  <c r="R249" i="92"/>
  <c r="Q249" i="92"/>
  <c r="N249" i="92"/>
  <c r="M249" i="92"/>
  <c r="L249" i="92"/>
  <c r="K249" i="92"/>
  <c r="J249" i="92"/>
  <c r="H249" i="92"/>
  <c r="F249" i="92"/>
  <c r="U248" i="92"/>
  <c r="U249" i="92" s="1"/>
  <c r="T248" i="92"/>
  <c r="T249" i="92" s="1"/>
  <c r="S248" i="92"/>
  <c r="S249" i="92" s="1"/>
  <c r="R248" i="92"/>
  <c r="Q248" i="92"/>
  <c r="P248" i="92"/>
  <c r="O248" i="92"/>
  <c r="N248" i="92"/>
  <c r="M248" i="92"/>
  <c r="M250" i="92" s="1"/>
  <c r="L248" i="92"/>
  <c r="L250" i="92" s="1"/>
  <c r="K248" i="92"/>
  <c r="J248" i="92"/>
  <c r="J250" i="92" s="1"/>
  <c r="I248" i="92"/>
  <c r="H248" i="92"/>
  <c r="G248" i="92"/>
  <c r="G249" i="92" s="1"/>
  <c r="F248" i="92"/>
  <c r="U243" i="92"/>
  <c r="T243" i="92"/>
  <c r="S243" i="92"/>
  <c r="R243" i="92"/>
  <c r="Q243" i="92"/>
  <c r="P243" i="92"/>
  <c r="O243" i="92"/>
  <c r="N243" i="92"/>
  <c r="M243" i="92"/>
  <c r="L243" i="92"/>
  <c r="K243" i="92"/>
  <c r="J243" i="92"/>
  <c r="I243" i="92"/>
  <c r="H243" i="92"/>
  <c r="G243" i="92"/>
  <c r="F243" i="92"/>
  <c r="U242" i="92"/>
  <c r="T242" i="92"/>
  <c r="S242" i="92"/>
  <c r="R242" i="92"/>
  <c r="Q242" i="92"/>
  <c r="P242" i="92"/>
  <c r="O242" i="92"/>
  <c r="N242" i="92"/>
  <c r="M242" i="92"/>
  <c r="L242" i="92"/>
  <c r="K242" i="92"/>
  <c r="J242" i="92"/>
  <c r="I242" i="92"/>
  <c r="H242" i="92"/>
  <c r="G242" i="92"/>
  <c r="F242" i="92"/>
  <c r="AE241" i="92"/>
  <c r="AD241" i="92"/>
  <c r="AC241" i="92"/>
  <c r="Z241" i="92"/>
  <c r="Y241" i="92"/>
  <c r="V239" i="92"/>
  <c r="AE229" i="92"/>
  <c r="AD229" i="92"/>
  <c r="AC229" i="92"/>
  <c r="Z229" i="92"/>
  <c r="Y229" i="92"/>
  <c r="AE227" i="92"/>
  <c r="AD227" i="92"/>
  <c r="AC227" i="92"/>
  <c r="Z227" i="92"/>
  <c r="Y227" i="92"/>
  <c r="V225" i="92"/>
  <c r="V224" i="92"/>
  <c r="V221" i="92"/>
  <c r="V218" i="92"/>
  <c r="V215" i="92"/>
  <c r="V212" i="92"/>
  <c r="U208" i="92"/>
  <c r="T208" i="92"/>
  <c r="S208" i="92"/>
  <c r="R208" i="92"/>
  <c r="Q208" i="92"/>
  <c r="P208" i="92"/>
  <c r="O208" i="92"/>
  <c r="N208" i="92"/>
  <c r="M208" i="92"/>
  <c r="L208" i="92"/>
  <c r="K208" i="92"/>
  <c r="J208" i="92"/>
  <c r="I208" i="92"/>
  <c r="H208" i="92"/>
  <c r="G208" i="92"/>
  <c r="F208" i="92"/>
  <c r="U207" i="92"/>
  <c r="T207" i="92"/>
  <c r="S207" i="92"/>
  <c r="R207" i="92"/>
  <c r="Q207" i="92"/>
  <c r="P207" i="92"/>
  <c r="O207" i="92"/>
  <c r="N207" i="92"/>
  <c r="M207" i="92"/>
  <c r="L207" i="92"/>
  <c r="K207" i="92"/>
  <c r="J207" i="92"/>
  <c r="I207" i="92"/>
  <c r="H207" i="92"/>
  <c r="G207" i="92"/>
  <c r="F207" i="92"/>
  <c r="Q203" i="92"/>
  <c r="P203" i="92"/>
  <c r="L203" i="92"/>
  <c r="K203" i="92"/>
  <c r="R202" i="92"/>
  <c r="Q202" i="92"/>
  <c r="P202" i="92"/>
  <c r="L202" i="92"/>
  <c r="K202" i="92"/>
  <c r="U201" i="92"/>
  <c r="T201" i="92"/>
  <c r="S201" i="92"/>
  <c r="R201" i="92"/>
  <c r="R203" i="92" s="1"/>
  <c r="Q201" i="92"/>
  <c r="P201" i="92"/>
  <c r="O201" i="92"/>
  <c r="N201" i="92"/>
  <c r="M201" i="92"/>
  <c r="M202" i="92" s="1"/>
  <c r="L201" i="92"/>
  <c r="K201" i="92"/>
  <c r="J201" i="92"/>
  <c r="I201" i="92"/>
  <c r="H201" i="92"/>
  <c r="H202" i="92" s="1"/>
  <c r="G201" i="92"/>
  <c r="F201" i="92"/>
  <c r="F202" i="92" s="1"/>
  <c r="AE200" i="92"/>
  <c r="AD200" i="92"/>
  <c r="AC200" i="92"/>
  <c r="AE187" i="92"/>
  <c r="AD187" i="92"/>
  <c r="AC187" i="92"/>
  <c r="T182" i="92"/>
  <c r="S182" i="92"/>
  <c r="Q182" i="92"/>
  <c r="P182" i="92"/>
  <c r="N182" i="92"/>
  <c r="M182" i="92"/>
  <c r="L182" i="92"/>
  <c r="K182" i="92"/>
  <c r="H182" i="92"/>
  <c r="U181" i="92"/>
  <c r="T181" i="92"/>
  <c r="Q181" i="92"/>
  <c r="M181" i="92"/>
  <c r="L181" i="92"/>
  <c r="K181" i="92"/>
  <c r="J181" i="92"/>
  <c r="H181" i="92"/>
  <c r="G181" i="92"/>
  <c r="V180" i="92"/>
  <c r="V182" i="92" s="1"/>
  <c r="U180" i="92"/>
  <c r="U182" i="92" s="1"/>
  <c r="T180" i="92"/>
  <c r="S180" i="92"/>
  <c r="S181" i="92" s="1"/>
  <c r="R180" i="92"/>
  <c r="R181" i="92" s="1"/>
  <c r="Q180" i="92"/>
  <c r="P180" i="92"/>
  <c r="P181" i="92" s="1"/>
  <c r="O180" i="92"/>
  <c r="N180" i="92"/>
  <c r="N181" i="92" s="1"/>
  <c r="M180" i="92"/>
  <c r="L180" i="92"/>
  <c r="K180" i="92"/>
  <c r="J180" i="92"/>
  <c r="J182" i="92" s="1"/>
  <c r="I180" i="92"/>
  <c r="H180" i="92"/>
  <c r="G180" i="92"/>
  <c r="G182" i="92" s="1"/>
  <c r="F180" i="92"/>
  <c r="V174" i="92"/>
  <c r="V169" i="92"/>
  <c r="AE164" i="92"/>
  <c r="AD164" i="92"/>
  <c r="AC164" i="92"/>
  <c r="U154" i="92"/>
  <c r="T154" i="92"/>
  <c r="S154" i="92"/>
  <c r="R154" i="92"/>
  <c r="Q154" i="92"/>
  <c r="P154" i="92"/>
  <c r="O154" i="92"/>
  <c r="N154" i="92"/>
  <c r="M154" i="92"/>
  <c r="L154" i="92"/>
  <c r="K154" i="92"/>
  <c r="J154" i="92"/>
  <c r="I154" i="92"/>
  <c r="H154" i="92"/>
  <c r="G154" i="92"/>
  <c r="F154" i="92"/>
  <c r="U150" i="92"/>
  <c r="T150" i="92"/>
  <c r="S150" i="92"/>
  <c r="R150" i="92"/>
  <c r="Q150" i="92"/>
  <c r="P150" i="92"/>
  <c r="O150" i="92"/>
  <c r="N150" i="92"/>
  <c r="M150" i="92"/>
  <c r="L150" i="92"/>
  <c r="K150" i="92"/>
  <c r="J150" i="92"/>
  <c r="I150" i="92"/>
  <c r="H150" i="92"/>
  <c r="G150" i="92"/>
  <c r="F150" i="92"/>
  <c r="U145" i="92"/>
  <c r="T145" i="92"/>
  <c r="S145" i="92"/>
  <c r="R145" i="92"/>
  <c r="Q145" i="92"/>
  <c r="P145" i="92"/>
  <c r="N145" i="92"/>
  <c r="K145" i="92"/>
  <c r="J145" i="92"/>
  <c r="I145" i="92"/>
  <c r="H145" i="92"/>
  <c r="F145" i="92"/>
  <c r="U144" i="92"/>
  <c r="T144" i="92"/>
  <c r="S144" i="92"/>
  <c r="N144" i="92"/>
  <c r="K144" i="92"/>
  <c r="I144" i="92"/>
  <c r="H144" i="92"/>
  <c r="F144" i="92"/>
  <c r="U143" i="92"/>
  <c r="T143" i="92"/>
  <c r="S143" i="92"/>
  <c r="R143" i="92"/>
  <c r="R144" i="92" s="1"/>
  <c r="Q143" i="92"/>
  <c r="Q144" i="92" s="1"/>
  <c r="P143" i="92"/>
  <c r="P144" i="92" s="1"/>
  <c r="O143" i="92"/>
  <c r="O145" i="92" s="1"/>
  <c r="N143" i="92"/>
  <c r="M143" i="92"/>
  <c r="M145" i="92" s="1"/>
  <c r="L143" i="92"/>
  <c r="K143" i="92"/>
  <c r="J143" i="92"/>
  <c r="J144" i="92" s="1"/>
  <c r="I143" i="92"/>
  <c r="H143" i="92"/>
  <c r="G143" i="92"/>
  <c r="F143" i="92"/>
  <c r="Z142" i="92"/>
  <c r="Y142" i="92"/>
  <c r="AE141" i="92"/>
  <c r="AD141" i="92"/>
  <c r="AC141" i="92"/>
  <c r="BP132" i="92"/>
  <c r="BN132" i="92"/>
  <c r="BB132" i="92"/>
  <c r="BA132" i="92"/>
  <c r="AQ132" i="92"/>
  <c r="AM132" i="92"/>
  <c r="AL132" i="92"/>
  <c r="AK132" i="92"/>
  <c r="AH132" i="92"/>
  <c r="AG132" i="92"/>
  <c r="AF132" i="92"/>
  <c r="AA132" i="92"/>
  <c r="Z132" i="92"/>
  <c r="Y132" i="92"/>
  <c r="X132" i="92"/>
  <c r="V132" i="92"/>
  <c r="P132" i="92"/>
  <c r="J132" i="92"/>
  <c r="K114" i="92"/>
  <c r="K113" i="92"/>
  <c r="K112" i="92"/>
  <c r="K111" i="92"/>
  <c r="K110" i="92"/>
  <c r="K109" i="92"/>
  <c r="K108" i="92"/>
  <c r="K107" i="92"/>
  <c r="AN103" i="92"/>
  <c r="CW102" i="92"/>
  <c r="V102" i="92"/>
  <c r="V103" i="92" s="1"/>
  <c r="BC101" i="92"/>
  <c r="BB101" i="92"/>
  <c r="V101" i="92"/>
  <c r="V94" i="92"/>
  <c r="V93" i="92"/>
  <c r="V92" i="92"/>
  <c r="AN89" i="92"/>
  <c r="AN88" i="92"/>
  <c r="AN85" i="92"/>
  <c r="AN90" i="92" s="1"/>
  <c r="U66" i="92"/>
  <c r="T66" i="92"/>
  <c r="T64" i="92"/>
  <c r="S64" i="92"/>
  <c r="U63" i="92"/>
  <c r="U64" i="92" s="1"/>
  <c r="T63" i="92"/>
  <c r="S63" i="92"/>
  <c r="S66" i="92" s="1"/>
  <c r="G63" i="92"/>
  <c r="U62" i="92"/>
  <c r="T62" i="92"/>
  <c r="S62" i="92"/>
  <c r="R62" i="92"/>
  <c r="Q62" i="92"/>
  <c r="P62" i="92"/>
  <c r="K63" i="92"/>
  <c r="K64" i="92" s="1"/>
  <c r="J63" i="92"/>
  <c r="J64" i="92" s="1"/>
  <c r="R61" i="92"/>
  <c r="Q61" i="92"/>
  <c r="DH59" i="92"/>
  <c r="DG59" i="92"/>
  <c r="DF59" i="92"/>
  <c r="DE59" i="92"/>
  <c r="DD59" i="92"/>
  <c r="DC59" i="92"/>
  <c r="DB59" i="92"/>
  <c r="DA59" i="92"/>
  <c r="CZ59" i="92"/>
  <c r="CY59" i="92"/>
  <c r="CX59" i="92"/>
  <c r="CW59" i="92"/>
  <c r="CU59" i="92"/>
  <c r="CT59" i="92"/>
  <c r="CS59" i="92"/>
  <c r="CP59" i="92"/>
  <c r="CO59" i="92"/>
  <c r="CN59" i="92"/>
  <c r="CM59" i="92"/>
  <c r="CL59" i="92"/>
  <c r="CK59" i="92"/>
  <c r="CJ59" i="92"/>
  <c r="CI59" i="92"/>
  <c r="CH59" i="92"/>
  <c r="CG59" i="92"/>
  <c r="CF59" i="92"/>
  <c r="CE59" i="92"/>
  <c r="CB59" i="92"/>
  <c r="CA59" i="92"/>
  <c r="BX59" i="92"/>
  <c r="BW59" i="92"/>
  <c r="BV59" i="92"/>
  <c r="BU59" i="92"/>
  <c r="BT59" i="92"/>
  <c r="BS59" i="92"/>
  <c r="BR59" i="92"/>
  <c r="BQ59" i="92"/>
  <c r="BP59" i="92"/>
  <c r="BO59" i="92"/>
  <c r="BN59" i="92"/>
  <c r="BM59" i="92"/>
  <c r="BL59" i="92"/>
  <c r="BK59" i="92"/>
  <c r="I61" i="92" s="1"/>
  <c r="BJ59" i="92"/>
  <c r="BI59" i="92"/>
  <c r="BH59" i="92"/>
  <c r="BF59" i="92"/>
  <c r="BE59" i="92"/>
  <c r="BD59" i="92"/>
  <c r="BC59" i="92"/>
  <c r="BB59" i="92"/>
  <c r="BA59" i="92"/>
  <c r="AZ59" i="92"/>
  <c r="AY59" i="92"/>
  <c r="AX59" i="92"/>
  <c r="AW59" i="92"/>
  <c r="AV59" i="92"/>
  <c r="AU59" i="92"/>
  <c r="AU101" i="92" s="1"/>
  <c r="AT59" i="92"/>
  <c r="AQ59" i="92"/>
  <c r="AK59" i="92"/>
  <c r="AJ59" i="92"/>
  <c r="AI59" i="92"/>
  <c r="AI132" i="92" s="1"/>
  <c r="AE59" i="92"/>
  <c r="AD59" i="92"/>
  <c r="AC59" i="92"/>
  <c r="AB59" i="92"/>
  <c r="Z59" i="92"/>
  <c r="Y59" i="92"/>
  <c r="X59" i="92"/>
  <c r="U59" i="92"/>
  <c r="T59" i="92"/>
  <c r="S59" i="92"/>
  <c r="R59" i="92"/>
  <c r="Q59" i="92"/>
  <c r="O59" i="92"/>
  <c r="N59" i="92"/>
  <c r="M59" i="92"/>
  <c r="L59" i="92"/>
  <c r="K59" i="92"/>
  <c r="J59" i="92"/>
  <c r="CX58" i="92"/>
  <c r="CV58" i="92"/>
  <c r="CV59" i="92" s="1"/>
  <c r="CD58" i="92"/>
  <c r="CD59" i="92" s="1"/>
  <c r="CC58" i="92"/>
  <c r="CC59" i="92" s="1"/>
  <c r="BJ58" i="92"/>
  <c r="AS58" i="92"/>
  <c r="AS59" i="92" s="1"/>
  <c r="AR58" i="92"/>
  <c r="AR59" i="92" s="1"/>
  <c r="AP58" i="92"/>
  <c r="AP59" i="92" s="1"/>
  <c r="F58" i="92"/>
  <c r="G57" i="92"/>
  <c r="I56" i="92"/>
  <c r="I57" i="92" s="1"/>
  <c r="H56" i="92"/>
  <c r="H57" i="92" s="1"/>
  <c r="F56" i="92"/>
  <c r="F57" i="92" s="1"/>
  <c r="H55" i="92"/>
  <c r="G55" i="92"/>
  <c r="G59" i="92" s="1"/>
  <c r="F55" i="92"/>
  <c r="I54" i="92"/>
  <c r="I55" i="92" s="1"/>
  <c r="H54" i="92"/>
  <c r="F54" i="92"/>
  <c r="BD44" i="92"/>
  <c r="BC102" i="92"/>
  <c r="BC103" i="92" s="1"/>
  <c r="BB44" i="92"/>
  <c r="AV44" i="92"/>
  <c r="AR44" i="92"/>
  <c r="AM102" i="92"/>
  <c r="AL102" i="92"/>
  <c r="AK102" i="92"/>
  <c r="AJ102" i="92"/>
  <c r="AH102" i="92"/>
  <c r="AG102" i="92"/>
  <c r="AF102" i="92"/>
  <c r="AA102" i="92"/>
  <c r="T102" i="92"/>
  <c r="S44" i="92"/>
  <c r="Q44" i="92"/>
  <c r="P44" i="92"/>
  <c r="O44" i="92"/>
  <c r="K102" i="92"/>
  <c r="BR101" i="92"/>
  <c r="BE101" i="92"/>
  <c r="BD101" i="92"/>
  <c r="AZ101" i="92"/>
  <c r="AM101" i="92"/>
  <c r="AL101" i="92"/>
  <c r="AK101" i="92"/>
  <c r="AH101" i="92"/>
  <c r="AG101" i="92"/>
  <c r="AF101" i="92"/>
  <c r="AA101" i="92"/>
  <c r="T101" i="92"/>
  <c r="P101" i="92"/>
  <c r="K101" i="92"/>
  <c r="BE99" i="92"/>
  <c r="BD99" i="92"/>
  <c r="BA99" i="92"/>
  <c r="AZ99" i="92"/>
  <c r="AL99" i="92"/>
  <c r="AK99" i="92"/>
  <c r="AH99" i="92"/>
  <c r="AG99" i="92"/>
  <c r="AF99" i="92"/>
  <c r="AA99" i="92"/>
  <c r="V99" i="92"/>
  <c r="U99" i="92"/>
  <c r="P99" i="92"/>
  <c r="J99" i="92"/>
  <c r="BC97" i="92"/>
  <c r="AM97" i="92"/>
  <c r="AL97" i="92"/>
  <c r="AK97" i="92"/>
  <c r="AH97" i="92"/>
  <c r="AG97" i="92"/>
  <c r="AF97" i="92"/>
  <c r="AA97" i="92"/>
  <c r="V97" i="92"/>
  <c r="T97" i="92"/>
  <c r="P97" i="92"/>
  <c r="K97" i="92"/>
  <c r="J97" i="92"/>
  <c r="AM96" i="92"/>
  <c r="AL96" i="92"/>
  <c r="AK96" i="92"/>
  <c r="AJ96" i="92"/>
  <c r="AI96" i="92"/>
  <c r="AH96" i="92"/>
  <c r="AG96" i="92"/>
  <c r="AF96" i="92"/>
  <c r="AA96" i="92"/>
  <c r="V96" i="92"/>
  <c r="U96" i="92"/>
  <c r="T96" i="92"/>
  <c r="S96" i="92"/>
  <c r="P96" i="92"/>
  <c r="K96" i="92"/>
  <c r="J28" i="92"/>
  <c r="BR92" i="92"/>
  <c r="AM92" i="92"/>
  <c r="AL92" i="92"/>
  <c r="AK92" i="92"/>
  <c r="AK94" i="92" s="1"/>
  <c r="AH92" i="92"/>
  <c r="AH94" i="92" s="1"/>
  <c r="AG92" i="92"/>
  <c r="AF92" i="92"/>
  <c r="AD92" i="92"/>
  <c r="AC92" i="92"/>
  <c r="AA92" i="92"/>
  <c r="AA94" i="92" s="1"/>
  <c r="U92" i="92"/>
  <c r="S92" i="92"/>
  <c r="P92" i="92"/>
  <c r="K92" i="92"/>
  <c r="J92" i="92"/>
  <c r="BN93" i="92"/>
  <c r="BC93" i="92"/>
  <c r="AM93" i="92"/>
  <c r="AL93" i="92"/>
  <c r="AK93" i="92"/>
  <c r="AH93" i="92"/>
  <c r="AG93" i="92"/>
  <c r="AF93" i="92"/>
  <c r="AA93" i="92"/>
  <c r="S93" i="92"/>
  <c r="P93" i="92"/>
  <c r="K93" i="92"/>
  <c r="J93" i="92"/>
  <c r="G93" i="92"/>
  <c r="BC89" i="92"/>
  <c r="AM89" i="92"/>
  <c r="AL89" i="92"/>
  <c r="AK89" i="92"/>
  <c r="AH89" i="92"/>
  <c r="AG89" i="92"/>
  <c r="AF89" i="92"/>
  <c r="AA89" i="92"/>
  <c r="Z89" i="92"/>
  <c r="Y89" i="92"/>
  <c r="X89" i="92"/>
  <c r="V89" i="92"/>
  <c r="T89" i="92"/>
  <c r="S89" i="92"/>
  <c r="P89" i="92"/>
  <c r="K89" i="92"/>
  <c r="AQ88" i="92"/>
  <c r="AM88" i="92"/>
  <c r="AL88" i="92"/>
  <c r="AH88" i="92"/>
  <c r="AG88" i="92"/>
  <c r="AF88" i="92"/>
  <c r="AA88" i="92"/>
  <c r="Z88" i="92"/>
  <c r="X88" i="92"/>
  <c r="V88" i="92"/>
  <c r="Q88" i="92"/>
  <c r="P88" i="92"/>
  <c r="BD85" i="92"/>
  <c r="AM85" i="92"/>
  <c r="AL85" i="92"/>
  <c r="AK85" i="92"/>
  <c r="AH85" i="92"/>
  <c r="AG85" i="92"/>
  <c r="AF85" i="92"/>
  <c r="AE85" i="92"/>
  <c r="AC85" i="92"/>
  <c r="AA85" i="92"/>
  <c r="V85" i="92"/>
  <c r="V90" i="92" s="1"/>
  <c r="U85" i="92"/>
  <c r="S85" i="92"/>
  <c r="P85" i="92"/>
  <c r="P90" i="92" s="1"/>
  <c r="J85" i="92"/>
  <c r="I83" i="92"/>
  <c r="H83" i="92"/>
  <c r="F83" i="92"/>
  <c r="DH50" i="92"/>
  <c r="DG51" i="92"/>
  <c r="DD107" i="92"/>
  <c r="DC107" i="92"/>
  <c r="DB48" i="92"/>
  <c r="CW50" i="92"/>
  <c r="CV50" i="92"/>
  <c r="CT8" i="92"/>
  <c r="CS48" i="92"/>
  <c r="CJ110" i="92"/>
  <c r="CI110" i="92"/>
  <c r="CH111" i="92"/>
  <c r="CG108" i="92"/>
  <c r="CD107" i="92"/>
  <c r="CC110" i="92"/>
  <c r="CB112" i="92"/>
  <c r="BU80" i="92"/>
  <c r="BT78" i="92"/>
  <c r="BR77" i="92"/>
  <c r="BP77" i="92"/>
  <c r="BO80" i="92"/>
  <c r="BN80" i="92"/>
  <c r="BH76" i="92"/>
  <c r="BF79" i="92"/>
  <c r="BE79" i="92"/>
  <c r="BC75" i="92"/>
  <c r="BB74" i="92"/>
  <c r="BA80" i="92"/>
  <c r="AZ75" i="92"/>
  <c r="AY77" i="92"/>
  <c r="AX77" i="92"/>
  <c r="AV74" i="92"/>
  <c r="AV76" i="92"/>
  <c r="AU78" i="92"/>
  <c r="AT80" i="92"/>
  <c r="AM80" i="92"/>
  <c r="AL79" i="92"/>
  <c r="AK75" i="92"/>
  <c r="AJ75" i="92"/>
  <c r="AI76" i="92"/>
  <c r="AH76" i="92"/>
  <c r="AG76" i="92"/>
  <c r="AF80" i="92"/>
  <c r="AC80" i="92"/>
  <c r="AB79" i="92"/>
  <c r="AA74" i="92"/>
  <c r="Z80" i="92"/>
  <c r="Y76" i="92"/>
  <c r="U74" i="92"/>
  <c r="U80" i="92"/>
  <c r="T74" i="92"/>
  <c r="S74" i="92"/>
  <c r="R75" i="92"/>
  <c r="O74" i="92"/>
  <c r="K78" i="92"/>
  <c r="X62" i="91"/>
  <c r="W62" i="91"/>
  <c r="V62" i="91"/>
  <c r="U62" i="91"/>
  <c r="T62" i="91"/>
  <c r="S62" i="91"/>
  <c r="R62" i="91"/>
  <c r="Q62" i="91"/>
  <c r="P62" i="91"/>
  <c r="O62" i="91"/>
  <c r="N62" i="91"/>
  <c r="M62" i="91"/>
  <c r="L62" i="91"/>
  <c r="K62" i="91"/>
  <c r="J62" i="91"/>
  <c r="I62" i="91"/>
  <c r="H62" i="91"/>
  <c r="G60" i="91"/>
  <c r="U28" i="91"/>
  <c r="U32" i="91" s="1"/>
  <c r="T28" i="91"/>
  <c r="T32" i="91" s="1"/>
  <c r="S28" i="91"/>
  <c r="S32" i="91" s="1"/>
  <c r="R28" i="91"/>
  <c r="R32" i="91" s="1"/>
  <c r="Q28" i="91"/>
  <c r="Q32" i="91" s="1"/>
  <c r="P28" i="91"/>
  <c r="P32" i="91" s="1"/>
  <c r="I28" i="91"/>
  <c r="I32" i="91" s="1"/>
  <c r="H28" i="91"/>
  <c r="H32" i="91" s="1"/>
  <c r="G28" i="91"/>
  <c r="G31" i="91" s="1"/>
  <c r="X23" i="91"/>
  <c r="X28" i="91" s="1"/>
  <c r="X32" i="91" s="1"/>
  <c r="W23" i="91"/>
  <c r="V23" i="91"/>
  <c r="V28" i="91" s="1"/>
  <c r="V32" i="91" s="1"/>
  <c r="U23" i="91"/>
  <c r="U31" i="91" s="1"/>
  <c r="U29" i="91" s="1"/>
  <c r="U30" i="91" s="1"/>
  <c r="U33" i="91" s="1"/>
  <c r="T23" i="91"/>
  <c r="T31" i="91" s="1"/>
  <c r="T29" i="91" s="1"/>
  <c r="T30" i="91" s="1"/>
  <c r="T33" i="91" s="1"/>
  <c r="S23" i="91"/>
  <c r="S31" i="91" s="1"/>
  <c r="S29" i="91" s="1"/>
  <c r="S30" i="91" s="1"/>
  <c r="S33" i="91" s="1"/>
  <c r="R23" i="91"/>
  <c r="R31" i="91" s="1"/>
  <c r="R29" i="91" s="1"/>
  <c r="R30" i="91" s="1"/>
  <c r="R33" i="91" s="1"/>
  <c r="Q23" i="91"/>
  <c r="Q31" i="91" s="1"/>
  <c r="Q29" i="91" s="1"/>
  <c r="Q30" i="91" s="1"/>
  <c r="Q33" i="91" s="1"/>
  <c r="P23" i="91"/>
  <c r="P31" i="91" s="1"/>
  <c r="O23" i="91"/>
  <c r="O28" i="91" s="1"/>
  <c r="O32" i="91" s="1"/>
  <c r="N23" i="91"/>
  <c r="N28" i="91" s="1"/>
  <c r="N32" i="91" s="1"/>
  <c r="M23" i="91"/>
  <c r="M28" i="91" s="1"/>
  <c r="M32" i="91" s="1"/>
  <c r="L23" i="91"/>
  <c r="L28" i="91" s="1"/>
  <c r="L32" i="91" s="1"/>
  <c r="K23" i="91"/>
  <c r="K28" i="91" s="1"/>
  <c r="K32" i="91" s="1"/>
  <c r="J23" i="91"/>
  <c r="J28" i="91" s="1"/>
  <c r="J32" i="91" s="1"/>
  <c r="I23" i="91"/>
  <c r="I31" i="91" s="1"/>
  <c r="I29" i="91" s="1"/>
  <c r="I30" i="91" s="1"/>
  <c r="I33" i="91" s="1"/>
  <c r="H23" i="91"/>
  <c r="H31" i="91" s="1"/>
  <c r="H29" i="91" s="1"/>
  <c r="H30" i="91" s="1"/>
  <c r="H33" i="91" s="1"/>
  <c r="BH74" i="92" l="1"/>
  <c r="AF90" i="92"/>
  <c r="AM94" i="92"/>
  <c r="L44" i="92"/>
  <c r="AZ44" i="92"/>
  <c r="T44" i="92"/>
  <c r="R74" i="92"/>
  <c r="AH90" i="92"/>
  <c r="AG74" i="92"/>
  <c r="AH74" i="92"/>
  <c r="P230" i="92" s="1"/>
  <c r="AP44" i="92"/>
  <c r="BR74" i="92"/>
  <c r="Y74" i="92"/>
  <c r="AU74" i="92"/>
  <c r="AS44" i="92"/>
  <c r="J277" i="92"/>
  <c r="K277" i="92"/>
  <c r="R44" i="92"/>
  <c r="AT44" i="92"/>
  <c r="P102" i="92"/>
  <c r="P270" i="92" s="1"/>
  <c r="BA74" i="92"/>
  <c r="CT10" i="92"/>
  <c r="CT47" i="92" s="1"/>
  <c r="AG103" i="92"/>
  <c r="AU44" i="92"/>
  <c r="BW44" i="92"/>
  <c r="G72" i="4"/>
  <c r="K94" i="92"/>
  <c r="AL90" i="92"/>
  <c r="S183" i="92"/>
  <c r="S184" i="92" s="1"/>
  <c r="BN74" i="92"/>
  <c r="BT74" i="92"/>
  <c r="U199" i="92"/>
  <c r="AB74" i="92"/>
  <c r="AM74" i="92"/>
  <c r="BE74" i="92"/>
  <c r="BH92" i="92"/>
  <c r="BJ44" i="92"/>
  <c r="BU44" i="92"/>
  <c r="CV47" i="92"/>
  <c r="CU49" i="92"/>
  <c r="CS51" i="92"/>
  <c r="BM93" i="92"/>
  <c r="BU74" i="92"/>
  <c r="CO112" i="92"/>
  <c r="CO122" i="92" s="1"/>
  <c r="AL75" i="92"/>
  <c r="R76" i="92"/>
  <c r="AK76" i="92"/>
  <c r="BT76" i="92"/>
  <c r="AZ77" i="92"/>
  <c r="BE78" i="92"/>
  <c r="AF79" i="92"/>
  <c r="BO79" i="92"/>
  <c r="BB80" i="92"/>
  <c r="BE85" i="92"/>
  <c r="U148" i="92" s="1"/>
  <c r="U156" i="92" s="1"/>
  <c r="AT88" i="92"/>
  <c r="BE89" i="92"/>
  <c r="AZ92" i="92"/>
  <c r="AZ94" i="92" s="1"/>
  <c r="BD93" i="92"/>
  <c r="BP102" i="92"/>
  <c r="CE107" i="92"/>
  <c r="CI108" i="92"/>
  <c r="CI118" i="92" s="1"/>
  <c r="CI125" i="92" s="1"/>
  <c r="CD110" i="92"/>
  <c r="CD120" i="92" s="1"/>
  <c r="CU111" i="92"/>
  <c r="CU121" i="92" s="1"/>
  <c r="BH93" i="92"/>
  <c r="BN44" i="92"/>
  <c r="BV44" i="92"/>
  <c r="CW47" i="92"/>
  <c r="CV49" i="92"/>
  <c r="CU51" i="92"/>
  <c r="G85" i="92"/>
  <c r="AM75" i="92"/>
  <c r="U231" i="92" s="1"/>
  <c r="S76" i="92"/>
  <c r="AL76" i="92"/>
  <c r="Y77" i="92"/>
  <c r="BA77" i="92"/>
  <c r="S78" i="92"/>
  <c r="BM78" i="92"/>
  <c r="AK79" i="92"/>
  <c r="BR79" i="92"/>
  <c r="BE80" i="92"/>
  <c r="U140" i="92" s="1"/>
  <c r="U141" i="92" s="1"/>
  <c r="BA92" i="92"/>
  <c r="BE93" i="92"/>
  <c r="AZ97" i="92"/>
  <c r="P205" i="92" s="1"/>
  <c r="BR102" i="92"/>
  <c r="BR103" i="92" s="1"/>
  <c r="CH107" i="92"/>
  <c r="CH124" i="92" s="1"/>
  <c r="DB108" i="92"/>
  <c r="DB125" i="92" s="1"/>
  <c r="CE110" i="92"/>
  <c r="CE120" i="92" s="1"/>
  <c r="DB111" i="92"/>
  <c r="AK74" i="92"/>
  <c r="AP97" i="92"/>
  <c r="J44" i="92"/>
  <c r="BO44" i="92"/>
  <c r="CU46" i="92"/>
  <c r="DC47" i="92"/>
  <c r="CW49" i="92"/>
  <c r="CY51" i="92"/>
  <c r="AS79" i="92"/>
  <c r="L89" i="92"/>
  <c r="BW92" i="92"/>
  <c r="BA75" i="92"/>
  <c r="T76" i="92"/>
  <c r="AZ76" i="92"/>
  <c r="P232" i="92" s="1"/>
  <c r="AF77" i="92"/>
  <c r="BB77" i="92"/>
  <c r="T78" i="92"/>
  <c r="BR78" i="92"/>
  <c r="AT79" i="92"/>
  <c r="T80" i="92"/>
  <c r="BF80" i="92"/>
  <c r="V140" i="92" s="1"/>
  <c r="V141" i="92" s="1"/>
  <c r="BC92" i="92"/>
  <c r="BC94" i="92" s="1"/>
  <c r="BF93" i="92"/>
  <c r="AT96" i="92"/>
  <c r="BA97" i="92"/>
  <c r="BT102" i="92"/>
  <c r="CS107" i="92"/>
  <c r="CS117" i="92" s="1"/>
  <c r="CS124" i="92" s="1"/>
  <c r="DC108" i="92"/>
  <c r="CG110" i="92"/>
  <c r="DC111" i="92"/>
  <c r="M44" i="92"/>
  <c r="BE44" i="92"/>
  <c r="BP44" i="92"/>
  <c r="CV46" i="92"/>
  <c r="DB49" i="92"/>
  <c r="DB51" i="92"/>
  <c r="AY76" i="92"/>
  <c r="BP93" i="92"/>
  <c r="Y75" i="92"/>
  <c r="BB75" i="92"/>
  <c r="U76" i="92"/>
  <c r="BE76" i="92"/>
  <c r="AK77" i="92"/>
  <c r="BE77" i="92"/>
  <c r="AF78" i="92"/>
  <c r="BS78" i="92"/>
  <c r="BA79" i="92"/>
  <c r="AK80" i="92"/>
  <c r="BR80" i="92"/>
  <c r="BN92" i="92"/>
  <c r="BN94" i="92" s="1"/>
  <c r="BA96" i="92"/>
  <c r="BB97" i="92"/>
  <c r="BO101" i="92"/>
  <c r="N44" i="92"/>
  <c r="BQ44" i="92"/>
  <c r="CW46" i="92"/>
  <c r="CU50" i="92"/>
  <c r="DC51" i="92"/>
  <c r="CC112" i="92"/>
  <c r="CC122" i="92" s="1"/>
  <c r="Y85" i="92"/>
  <c r="CA107" i="92"/>
  <c r="CU108" i="92"/>
  <c r="Z75" i="92"/>
  <c r="BE75" i="92"/>
  <c r="BF76" i="92"/>
  <c r="AL77" i="92"/>
  <c r="BN77" i="92"/>
  <c r="AG78" i="92"/>
  <c r="BB79" i="92"/>
  <c r="AL80" i="92"/>
  <c r="BS80" i="92"/>
  <c r="AQ89" i="92"/>
  <c r="BP92" i="92"/>
  <c r="BB96" i="92"/>
  <c r="BQ101" i="92"/>
  <c r="BD102" i="92"/>
  <c r="BD103" i="92" s="1"/>
  <c r="CA108" i="92"/>
  <c r="CA118" i="92" s="1"/>
  <c r="CA125" i="92" s="1"/>
  <c r="CU109" i="92"/>
  <c r="CU119" i="92" s="1"/>
  <c r="CU126" i="92" s="1"/>
  <c r="DB110" i="92"/>
  <c r="DB127" i="92" s="1"/>
  <c r="CF112" i="92"/>
  <c r="CF122" i="92" s="1"/>
  <c r="BR44" i="92"/>
  <c r="DB46" i="92"/>
  <c r="CU48" i="92"/>
  <c r="Z85" i="92"/>
  <c r="Z90" i="92" s="1"/>
  <c r="AQ99" i="92"/>
  <c r="CW110" i="92"/>
  <c r="AA75" i="92"/>
  <c r="BF75" i="92"/>
  <c r="AM77" i="92"/>
  <c r="BO77" i="92"/>
  <c r="AH78" i="92"/>
  <c r="AA79" i="92"/>
  <c r="BA89" i="92"/>
  <c r="AQ93" i="92"/>
  <c r="BC96" i="92"/>
  <c r="S210" i="92" s="1"/>
  <c r="BE102" i="92"/>
  <c r="BE103" i="92" s="1"/>
  <c r="CF108" i="92"/>
  <c r="CG112" i="92"/>
  <c r="CG122" i="92" s="1"/>
  <c r="CT11" i="92"/>
  <c r="CT48" i="92" s="1"/>
  <c r="AA90" i="92"/>
  <c r="AG94" i="92"/>
  <c r="BH102" i="92"/>
  <c r="BS44" i="92"/>
  <c r="Q92" i="92"/>
  <c r="AB97" i="92"/>
  <c r="AT101" i="92"/>
  <c r="BS101" i="92"/>
  <c r="CE109" i="92"/>
  <c r="BR75" i="92"/>
  <c r="BR76" i="92"/>
  <c r="AK78" i="92"/>
  <c r="BM79" i="92"/>
  <c r="AZ80" i="92"/>
  <c r="BC85" i="92"/>
  <c r="S148" i="92" s="1"/>
  <c r="S156" i="92" s="1"/>
  <c r="BB89" i="92"/>
  <c r="BA93" i="92"/>
  <c r="BN102" i="92"/>
  <c r="CB107" i="92"/>
  <c r="CB110" i="92"/>
  <c r="CB111" i="92"/>
  <c r="CB121" i="92" s="1"/>
  <c r="CB128" i="92" s="1"/>
  <c r="CH112" i="92"/>
  <c r="CH122" i="92" s="1"/>
  <c r="CH129" i="92" s="1"/>
  <c r="BM44" i="92"/>
  <c r="BI44" i="92"/>
  <c r="BT44" i="92"/>
  <c r="CU47" i="92"/>
  <c r="DC48" i="92"/>
  <c r="DC50" i="92"/>
  <c r="BL78" i="92"/>
  <c r="BT101" i="92"/>
  <c r="CY48" i="92"/>
  <c r="BS75" i="92"/>
  <c r="BS76" i="92"/>
  <c r="BS77" i="92"/>
  <c r="AC79" i="92"/>
  <c r="BN79" i="92"/>
  <c r="BO102" i="92"/>
  <c r="BO103" i="92" s="1"/>
  <c r="CH108" i="92"/>
  <c r="CH118" i="92" s="1"/>
  <c r="CH125" i="92" s="1"/>
  <c r="CU112" i="92"/>
  <c r="CU122" i="92" s="1"/>
  <c r="CU129" i="92" s="1"/>
  <c r="BV74" i="92"/>
  <c r="DD117" i="92"/>
  <c r="DD124" i="92" s="1"/>
  <c r="AD79" i="92"/>
  <c r="AD76" i="92"/>
  <c r="AD75" i="92"/>
  <c r="AD74" i="92"/>
  <c r="BQ79" i="92"/>
  <c r="BQ77" i="92"/>
  <c r="BQ74" i="92"/>
  <c r="BQ78" i="92"/>
  <c r="AW99" i="92"/>
  <c r="AW85" i="92"/>
  <c r="AW101" i="92"/>
  <c r="AW92" i="92"/>
  <c r="AW89" i="92"/>
  <c r="AW132" i="92"/>
  <c r="AW93" i="92"/>
  <c r="AW97" i="92"/>
  <c r="AW96" i="92"/>
  <c r="AW102" i="92"/>
  <c r="AW103" i="92" s="1"/>
  <c r="AW88" i="92"/>
  <c r="BJ132" i="92"/>
  <c r="BJ93" i="92"/>
  <c r="BJ102" i="92"/>
  <c r="BJ92" i="92"/>
  <c r="BJ101" i="92"/>
  <c r="BJ79" i="92"/>
  <c r="BJ77" i="92"/>
  <c r="BJ75" i="92"/>
  <c r="BJ78" i="92"/>
  <c r="BJ80" i="92"/>
  <c r="BJ76" i="92"/>
  <c r="BJ74" i="92"/>
  <c r="CL112" i="92"/>
  <c r="CL108" i="92"/>
  <c r="CL118" i="92" s="1"/>
  <c r="CL109" i="92"/>
  <c r="CL110" i="92"/>
  <c r="CL111" i="92"/>
  <c r="CL107" i="92"/>
  <c r="DA112" i="92"/>
  <c r="DA50" i="92"/>
  <c r="DA47" i="92"/>
  <c r="DA49" i="92"/>
  <c r="DA107" i="92"/>
  <c r="DA109" i="92"/>
  <c r="DA46" i="92"/>
  <c r="DA51" i="92"/>
  <c r="DA48" i="92"/>
  <c r="DA111" i="92"/>
  <c r="AW78" i="92"/>
  <c r="BV101" i="92"/>
  <c r="AX102" i="92"/>
  <c r="AX88" i="92"/>
  <c r="AX97" i="92"/>
  <c r="AX132" i="92"/>
  <c r="AX101" i="92"/>
  <c r="AX89" i="92"/>
  <c r="AX85" i="92"/>
  <c r="AX93" i="92"/>
  <c r="AX92" i="92"/>
  <c r="AX99" i="92"/>
  <c r="AX96" i="92"/>
  <c r="CM112" i="92"/>
  <c r="CM110" i="92"/>
  <c r="CM108" i="92"/>
  <c r="CM111" i="92"/>
  <c r="CM109" i="92"/>
  <c r="CM107" i="92"/>
  <c r="BQ75" i="92"/>
  <c r="L78" i="92"/>
  <c r="AB101" i="92"/>
  <c r="G202" i="92"/>
  <c r="G203" i="92"/>
  <c r="S202" i="92"/>
  <c r="S203" i="92"/>
  <c r="P80" i="92"/>
  <c r="P79" i="92"/>
  <c r="P78" i="92"/>
  <c r="P77" i="92"/>
  <c r="X77" i="92"/>
  <c r="X75" i="92"/>
  <c r="X80" i="92"/>
  <c r="X79" i="92"/>
  <c r="X78" i="92"/>
  <c r="X76" i="92"/>
  <c r="X74" i="92"/>
  <c r="CB122" i="92"/>
  <c r="CB129" i="92" s="1"/>
  <c r="CX47" i="92"/>
  <c r="CX109" i="92"/>
  <c r="CX119" i="92" s="1"/>
  <c r="CX50" i="92"/>
  <c r="M277" i="92"/>
  <c r="M89" i="92"/>
  <c r="M93" i="92"/>
  <c r="M85" i="92"/>
  <c r="M79" i="92"/>
  <c r="M88" i="92"/>
  <c r="M101" i="92"/>
  <c r="M132" i="92"/>
  <c r="M99" i="92"/>
  <c r="M97" i="92"/>
  <c r="M63" i="92"/>
  <c r="M92" i="92"/>
  <c r="M96" i="92"/>
  <c r="M80" i="92"/>
  <c r="AC96" i="92"/>
  <c r="AC89" i="92"/>
  <c r="AC102" i="92"/>
  <c r="AC88" i="92"/>
  <c r="AC132" i="92"/>
  <c r="BX92" i="92"/>
  <c r="BX101" i="92"/>
  <c r="BX102" i="92"/>
  <c r="BX80" i="92"/>
  <c r="BX78" i="92"/>
  <c r="BX75" i="92"/>
  <c r="BX79" i="92"/>
  <c r="V235" i="92" s="1"/>
  <c r="BX77" i="92"/>
  <c r="BX76" i="92"/>
  <c r="BX74" i="92"/>
  <c r="BK78" i="92"/>
  <c r="AY80" i="92"/>
  <c r="AY92" i="92"/>
  <c r="M102" i="92"/>
  <c r="I74" i="92"/>
  <c r="P74" i="92"/>
  <c r="BC74" i="92"/>
  <c r="CX49" i="92"/>
  <c r="N277" i="92"/>
  <c r="N101" i="92"/>
  <c r="N96" i="92"/>
  <c r="N89" i="92"/>
  <c r="N132" i="92"/>
  <c r="N88" i="92"/>
  <c r="N92" i="92"/>
  <c r="N80" i="92"/>
  <c r="N85" i="92"/>
  <c r="N79" i="92"/>
  <c r="N75" i="92"/>
  <c r="N99" i="92"/>
  <c r="N97" i="92"/>
  <c r="N205" i="92" s="1"/>
  <c r="N63" i="92"/>
  <c r="N93" i="92"/>
  <c r="N102" i="92"/>
  <c r="AD97" i="92"/>
  <c r="AD88" i="92"/>
  <c r="AD96" i="92"/>
  <c r="AD85" i="92"/>
  <c r="AD89" i="92"/>
  <c r="AD102" i="92"/>
  <c r="AD101" i="92"/>
  <c r="AD132" i="92"/>
  <c r="AD93" i="92"/>
  <c r="AD94" i="92" s="1"/>
  <c r="CA117" i="92"/>
  <c r="CA124" i="92" s="1"/>
  <c r="N77" i="92"/>
  <c r="BV93" i="92"/>
  <c r="CX111" i="92"/>
  <c r="U202" i="92"/>
  <c r="U203" i="92"/>
  <c r="J75" i="92"/>
  <c r="J77" i="92"/>
  <c r="J76" i="92"/>
  <c r="Q80" i="92"/>
  <c r="Q140" i="92" s="1"/>
  <c r="Q78" i="92"/>
  <c r="Q79" i="92"/>
  <c r="Q77" i="92"/>
  <c r="Q74" i="92"/>
  <c r="AW79" i="92"/>
  <c r="AW77" i="92"/>
  <c r="AW75" i="92"/>
  <c r="AW80" i="92"/>
  <c r="AW76" i="92"/>
  <c r="BD80" i="92"/>
  <c r="BD78" i="92"/>
  <c r="BD77" i="92"/>
  <c r="BD79" i="92"/>
  <c r="BD74" i="92"/>
  <c r="BD76" i="92"/>
  <c r="BD75" i="92"/>
  <c r="AR97" i="92"/>
  <c r="AR99" i="92"/>
  <c r="AR96" i="92"/>
  <c r="AR88" i="92"/>
  <c r="AR85" i="92"/>
  <c r="AR102" i="92"/>
  <c r="AR101" i="92"/>
  <c r="AR132" i="92"/>
  <c r="AR93" i="92"/>
  <c r="AR92" i="92"/>
  <c r="AR89" i="92"/>
  <c r="O99" i="92"/>
  <c r="O92" i="92"/>
  <c r="O96" i="92"/>
  <c r="O89" i="92"/>
  <c r="O183" i="92" s="1"/>
  <c r="O184" i="92" s="1"/>
  <c r="O132" i="92"/>
  <c r="O63" i="92"/>
  <c r="O93" i="92"/>
  <c r="O277" i="92"/>
  <c r="O79" i="92"/>
  <c r="O97" i="92"/>
  <c r="O101" i="92"/>
  <c r="O85" i="92"/>
  <c r="O102" i="92"/>
  <c r="AE97" i="92"/>
  <c r="AE96" i="92"/>
  <c r="AE89" i="92"/>
  <c r="AE92" i="92"/>
  <c r="AE132" i="92"/>
  <c r="AE93" i="92"/>
  <c r="AE76" i="92"/>
  <c r="AE75" i="92"/>
  <c r="AE101" i="92"/>
  <c r="AE88" i="92"/>
  <c r="AE74" i="92"/>
  <c r="AE79" i="92"/>
  <c r="AE99" i="92"/>
  <c r="DE109" i="92"/>
  <c r="P76" i="92"/>
  <c r="AX76" i="92"/>
  <c r="O77" i="92"/>
  <c r="AD78" i="92"/>
  <c r="AR79" i="92"/>
  <c r="AB93" i="92"/>
  <c r="BX93" i="92"/>
  <c r="CX108" i="92"/>
  <c r="K215" i="92" s="1"/>
  <c r="CJ120" i="92"/>
  <c r="Q76" i="92"/>
  <c r="AE78" i="92"/>
  <c r="AC93" i="92"/>
  <c r="AC94" i="92" s="1"/>
  <c r="AC99" i="92"/>
  <c r="CD117" i="92"/>
  <c r="CD124" i="92" s="1"/>
  <c r="K77" i="92"/>
  <c r="K76" i="92"/>
  <c r="K75" i="92"/>
  <c r="K74" i="92"/>
  <c r="K80" i="92"/>
  <c r="AQ78" i="92"/>
  <c r="AQ76" i="92"/>
  <c r="AQ79" i="92"/>
  <c r="AQ75" i="92"/>
  <c r="AQ80" i="92"/>
  <c r="AQ77" i="92"/>
  <c r="AX80" i="92"/>
  <c r="N236" i="92" s="1"/>
  <c r="N261" i="92" s="1"/>
  <c r="AX74" i="92"/>
  <c r="AX75" i="92"/>
  <c r="AX79" i="92"/>
  <c r="AX78" i="92"/>
  <c r="CD111" i="92"/>
  <c r="CD108" i="92"/>
  <c r="P94" i="92"/>
  <c r="I86" i="92"/>
  <c r="I59" i="92"/>
  <c r="AD77" i="92"/>
  <c r="J80" i="92"/>
  <c r="J141" i="92" s="1"/>
  <c r="AD99" i="92"/>
  <c r="AE102" i="92"/>
  <c r="DA108" i="92"/>
  <c r="AQ74" i="92"/>
  <c r="BA88" i="92"/>
  <c r="Q152" i="92" s="1"/>
  <c r="Q157" i="92" s="1"/>
  <c r="AU88" i="92"/>
  <c r="BC88" i="92"/>
  <c r="BF88" i="92"/>
  <c r="V152" i="92" s="1"/>
  <c r="V157" i="92" s="1"/>
  <c r="F59" i="92"/>
  <c r="F86" i="92"/>
  <c r="AE77" i="92"/>
  <c r="CH117" i="92"/>
  <c r="L74" i="92"/>
  <c r="AB77" i="92"/>
  <c r="AI79" i="92"/>
  <c r="AI77" i="92"/>
  <c r="AI75" i="92"/>
  <c r="AI78" i="92"/>
  <c r="AI80" i="92"/>
  <c r="AR76" i="92"/>
  <c r="AR75" i="92"/>
  <c r="H231" i="92" s="1"/>
  <c r="AR80" i="92"/>
  <c r="AR78" i="92"/>
  <c r="AR77" i="92"/>
  <c r="AR74" i="92"/>
  <c r="AM90" i="92"/>
  <c r="AP88" i="92"/>
  <c r="G39" i="92"/>
  <c r="I39" i="92"/>
  <c r="H39" i="92"/>
  <c r="F39" i="92"/>
  <c r="AF94" i="92"/>
  <c r="AJ103" i="92"/>
  <c r="AX44" i="92"/>
  <c r="CD112" i="92"/>
  <c r="H61" i="92"/>
  <c r="N233" i="92"/>
  <c r="J79" i="92"/>
  <c r="AB80" i="92"/>
  <c r="J94" i="92"/>
  <c r="DA110" i="92"/>
  <c r="CE112" i="92"/>
  <c r="I181" i="92"/>
  <c r="I182" i="92"/>
  <c r="AI74" i="92"/>
  <c r="DC117" i="92"/>
  <c r="DC124" i="92" s="1"/>
  <c r="BB85" i="92"/>
  <c r="BA85" i="92"/>
  <c r="AQ85" i="92"/>
  <c r="S94" i="92"/>
  <c r="U101" i="92"/>
  <c r="U44" i="92"/>
  <c r="K44" i="92"/>
  <c r="AK103" i="92"/>
  <c r="AY44" i="92"/>
  <c r="CV111" i="92"/>
  <c r="CV108" i="92"/>
  <c r="CV51" i="92"/>
  <c r="CV48" i="92"/>
  <c r="CV110" i="92"/>
  <c r="CV120" i="92" s="1"/>
  <c r="CV107" i="92"/>
  <c r="CV112" i="92"/>
  <c r="CV109" i="92"/>
  <c r="CX112" i="92"/>
  <c r="K79" i="92"/>
  <c r="O88" i="92"/>
  <c r="AH103" i="92"/>
  <c r="H203" i="92"/>
  <c r="BV132" i="92"/>
  <c r="BV92" i="92"/>
  <c r="BV77" i="92"/>
  <c r="BV75" i="92"/>
  <c r="BV79" i="92"/>
  <c r="BV76" i="92"/>
  <c r="T61" i="92"/>
  <c r="BV102" i="92"/>
  <c r="BV78" i="92"/>
  <c r="BV80" i="92"/>
  <c r="T236" i="92" s="1"/>
  <c r="T261" i="92" s="1"/>
  <c r="L277" i="92"/>
  <c r="L88" i="92"/>
  <c r="L132" i="92"/>
  <c r="L102" i="92"/>
  <c r="L77" i="92"/>
  <c r="L76" i="92"/>
  <c r="L101" i="92"/>
  <c r="L92" i="92"/>
  <c r="L96" i="92"/>
  <c r="L93" i="92"/>
  <c r="L75" i="92"/>
  <c r="L99" i="92"/>
  <c r="L97" i="92"/>
  <c r="L63" i="92"/>
  <c r="BK92" i="92"/>
  <c r="BK102" i="92"/>
  <c r="BK80" i="92"/>
  <c r="BK132" i="92"/>
  <c r="BK75" i="92"/>
  <c r="BK74" i="92"/>
  <c r="BK101" i="92"/>
  <c r="BK93" i="92"/>
  <c r="BK77" i="92"/>
  <c r="BK76" i="92"/>
  <c r="DE112" i="92"/>
  <c r="I76" i="92"/>
  <c r="BL102" i="92"/>
  <c r="BL101" i="92"/>
  <c r="BL80" i="92"/>
  <c r="BL77" i="92"/>
  <c r="BL76" i="92"/>
  <c r="BL92" i="92"/>
  <c r="BL93" i="92"/>
  <c r="BL75" i="92"/>
  <c r="BL74" i="92"/>
  <c r="AE90" i="92"/>
  <c r="AC101" i="92"/>
  <c r="BL132" i="92"/>
  <c r="G66" i="92"/>
  <c r="G64" i="92"/>
  <c r="I203" i="92"/>
  <c r="I202" i="92"/>
  <c r="J74" i="92"/>
  <c r="AW74" i="92"/>
  <c r="CY108" i="92"/>
  <c r="L215" i="92" s="1"/>
  <c r="AC78" i="92"/>
  <c r="AC76" i="92"/>
  <c r="AC77" i="92"/>
  <c r="AC75" i="92"/>
  <c r="BP80" i="92"/>
  <c r="BP75" i="92"/>
  <c r="BP79" i="92"/>
  <c r="DD112" i="92"/>
  <c r="DD109" i="92"/>
  <c r="DD51" i="92"/>
  <c r="DD48" i="92"/>
  <c r="DD111" i="92"/>
  <c r="DD50" i="92"/>
  <c r="DD47" i="92"/>
  <c r="AL103" i="92"/>
  <c r="F87" i="92"/>
  <c r="F84" i="92"/>
  <c r="F61" i="92"/>
  <c r="CJ111" i="92"/>
  <c r="CY107" i="92"/>
  <c r="CY109" i="92"/>
  <c r="CY47" i="92"/>
  <c r="CY112" i="92"/>
  <c r="CY110" i="92"/>
  <c r="CY120" i="92" s="1"/>
  <c r="CY50" i="92"/>
  <c r="CY49" i="92"/>
  <c r="CY46" i="92"/>
  <c r="J61" i="92"/>
  <c r="P75" i="92"/>
  <c r="BQ76" i="92"/>
  <c r="O232" i="92" s="1"/>
  <c r="L79" i="92"/>
  <c r="BK79" i="92"/>
  <c r="AD80" i="92"/>
  <c r="L85" i="92"/>
  <c r="AC97" i="92"/>
  <c r="CJ109" i="92"/>
  <c r="CJ119" i="92" s="1"/>
  <c r="DD110" i="92"/>
  <c r="AB99" i="92"/>
  <c r="AB92" i="92"/>
  <c r="AB102" i="92"/>
  <c r="AB96" i="92"/>
  <c r="AB85" i="92"/>
  <c r="AB88" i="92"/>
  <c r="AB89" i="92"/>
  <c r="AB75" i="92"/>
  <c r="AB132" i="92"/>
  <c r="BW132" i="92"/>
  <c r="BW93" i="92"/>
  <c r="BW79" i="92"/>
  <c r="BW101" i="92"/>
  <c r="BW77" i="92"/>
  <c r="BW75" i="92"/>
  <c r="BW74" i="92"/>
  <c r="U61" i="92"/>
  <c r="BW76" i="92"/>
  <c r="BW102" i="92"/>
  <c r="BW78" i="92"/>
  <c r="BW80" i="92"/>
  <c r="K103" i="92"/>
  <c r="K270" i="92"/>
  <c r="BC80" i="92"/>
  <c r="BC78" i="92"/>
  <c r="BC76" i="92"/>
  <c r="BC77" i="92"/>
  <c r="BC79" i="92"/>
  <c r="AY101" i="92"/>
  <c r="AY85" i="92"/>
  <c r="AY89" i="92"/>
  <c r="AY132" i="92"/>
  <c r="AY93" i="92"/>
  <c r="AY88" i="92"/>
  <c r="AY99" i="92"/>
  <c r="AY97" i="92"/>
  <c r="O61" i="92"/>
  <c r="AY96" i="92"/>
  <c r="AY75" i="92"/>
  <c r="AY74" i="92"/>
  <c r="AY79" i="92"/>
  <c r="AY102" i="92"/>
  <c r="AY103" i="92" s="1"/>
  <c r="AY78" i="92"/>
  <c r="M77" i="92"/>
  <c r="T203" i="92"/>
  <c r="T202" i="92"/>
  <c r="AP92" i="92"/>
  <c r="AP96" i="92"/>
  <c r="AP99" i="92"/>
  <c r="AP102" i="92"/>
  <c r="AP101" i="92"/>
  <c r="AP93" i="92"/>
  <c r="AP85" i="92"/>
  <c r="AP75" i="92"/>
  <c r="AP77" i="92"/>
  <c r="AP132" i="92"/>
  <c r="AP89" i="92"/>
  <c r="AP79" i="92"/>
  <c r="CY111" i="92"/>
  <c r="AP74" i="92"/>
  <c r="AS96" i="92"/>
  <c r="AS89" i="92"/>
  <c r="AS102" i="92"/>
  <c r="AS101" i="92"/>
  <c r="AS99" i="92"/>
  <c r="AS132" i="92"/>
  <c r="AS80" i="92"/>
  <c r="AS78" i="92"/>
  <c r="AS77" i="92"/>
  <c r="AS93" i="92"/>
  <c r="AS92" i="92"/>
  <c r="AS94" i="92" s="1"/>
  <c r="AS85" i="92"/>
  <c r="AS97" i="92"/>
  <c r="AS76" i="92"/>
  <c r="AS75" i="92"/>
  <c r="AS74" i="92"/>
  <c r="AS88" i="92"/>
  <c r="AJ79" i="92"/>
  <c r="AJ78" i="92"/>
  <c r="AJ76" i="92"/>
  <c r="AJ80" i="92"/>
  <c r="AJ74" i="92"/>
  <c r="AJ77" i="92"/>
  <c r="AC74" i="92"/>
  <c r="BP74" i="92"/>
  <c r="AA103" i="92"/>
  <c r="AM103" i="92"/>
  <c r="BA102" i="92"/>
  <c r="BA44" i="92"/>
  <c r="CX46" i="92"/>
  <c r="AV93" i="92"/>
  <c r="AV132" i="92"/>
  <c r="L61" i="92"/>
  <c r="AV89" i="92"/>
  <c r="AV85" i="92"/>
  <c r="AV101" i="92"/>
  <c r="AV88" i="92"/>
  <c r="AV92" i="92"/>
  <c r="AV99" i="92"/>
  <c r="AV97" i="92"/>
  <c r="AV96" i="92"/>
  <c r="AV102" i="92"/>
  <c r="BI101" i="92"/>
  <c r="BI79" i="92"/>
  <c r="BI77" i="92"/>
  <c r="BI75" i="92"/>
  <c r="BI102" i="92"/>
  <c r="G61" i="92"/>
  <c r="BI132" i="92"/>
  <c r="BI78" i="92"/>
  <c r="BI93" i="92"/>
  <c r="BI74" i="92"/>
  <c r="BI80" i="92"/>
  <c r="BI76" i="92"/>
  <c r="BI92" i="92"/>
  <c r="BU132" i="92"/>
  <c r="BU92" i="92"/>
  <c r="BU77" i="92"/>
  <c r="BU75" i="92"/>
  <c r="S231" i="92" s="1"/>
  <c r="BU79" i="92"/>
  <c r="BU101" i="92"/>
  <c r="BU93" i="92"/>
  <c r="S189" i="92" s="1"/>
  <c r="S195" i="92" s="1"/>
  <c r="S196" i="92" s="1"/>
  <c r="BU76" i="92"/>
  <c r="S61" i="92"/>
  <c r="BU102" i="92"/>
  <c r="BU78" i="92"/>
  <c r="CK108" i="92"/>
  <c r="CK112" i="92"/>
  <c r="CK111" i="92"/>
  <c r="CK110" i="92"/>
  <c r="CK107" i="92"/>
  <c r="P212" i="92" s="1"/>
  <c r="CZ112" i="92"/>
  <c r="CZ108" i="92"/>
  <c r="CZ107" i="92"/>
  <c r="CZ50" i="92"/>
  <c r="CZ47" i="92"/>
  <c r="CZ110" i="92"/>
  <c r="CZ48" i="92"/>
  <c r="CZ51" i="92"/>
  <c r="CZ111" i="92"/>
  <c r="M224" i="92" s="1"/>
  <c r="CZ109" i="92"/>
  <c r="CZ49" i="92"/>
  <c r="CZ46" i="92"/>
  <c r="N61" i="92"/>
  <c r="Q75" i="92"/>
  <c r="J78" i="92"/>
  <c r="AV78" i="92"/>
  <c r="BL79" i="92"/>
  <c r="CK109" i="92"/>
  <c r="AZ93" i="92"/>
  <c r="AZ132" i="92"/>
  <c r="AZ85" i="92"/>
  <c r="P148" i="92" s="1"/>
  <c r="P156" i="92" s="1"/>
  <c r="P158" i="92" s="1"/>
  <c r="AZ88" i="92"/>
  <c r="P152" i="92" s="1"/>
  <c r="P157" i="92" s="1"/>
  <c r="BA62" i="92"/>
  <c r="M144" i="92"/>
  <c r="O250" i="92"/>
  <c r="O249" i="92"/>
  <c r="H86" i="92"/>
  <c r="H59" i="92"/>
  <c r="R277" i="92"/>
  <c r="R132" i="92"/>
  <c r="R96" i="92"/>
  <c r="R93" i="92"/>
  <c r="R89" i="92"/>
  <c r="R85" i="92"/>
  <c r="R88" i="92"/>
  <c r="AJ101" i="92"/>
  <c r="AJ85" i="92"/>
  <c r="AJ99" i="92"/>
  <c r="AJ93" i="92"/>
  <c r="AJ88" i="92"/>
  <c r="CP112" i="92"/>
  <c r="P61" i="92"/>
  <c r="P277" i="92"/>
  <c r="P63" i="92"/>
  <c r="J66" i="92"/>
  <c r="R78" i="92"/>
  <c r="AZ79" i="92"/>
  <c r="P249" i="92"/>
  <c r="P250" i="92"/>
  <c r="CS111" i="92"/>
  <c r="CS108" i="92"/>
  <c r="CS118" i="92" s="1"/>
  <c r="CS112" i="92"/>
  <c r="CS110" i="92"/>
  <c r="CS109" i="92"/>
  <c r="CS49" i="92"/>
  <c r="CS46" i="92"/>
  <c r="AJ97" i="92"/>
  <c r="AI99" i="92"/>
  <c r="AI101" i="92"/>
  <c r="Q102" i="92"/>
  <c r="CA109" i="92"/>
  <c r="DB118" i="92"/>
  <c r="O144" i="92"/>
  <c r="G79" i="92"/>
  <c r="G77" i="92"/>
  <c r="G75" i="92"/>
  <c r="M78" i="92"/>
  <c r="M76" i="92"/>
  <c r="CF110" i="92"/>
  <c r="CF107" i="92"/>
  <c r="CT109" i="92"/>
  <c r="CT111" i="92"/>
  <c r="CT121" i="92" s="1"/>
  <c r="CT49" i="92"/>
  <c r="DF110" i="92"/>
  <c r="DF49" i="92"/>
  <c r="DF46" i="92"/>
  <c r="DF108" i="92"/>
  <c r="DF107" i="92"/>
  <c r="DF112" i="92"/>
  <c r="DF111" i="92"/>
  <c r="DF121" i="92" s="1"/>
  <c r="DF109" i="92"/>
  <c r="BM92" i="92"/>
  <c r="BM94" i="92" s="1"/>
  <c r="R102" i="92"/>
  <c r="CU107" i="92"/>
  <c r="CU110" i="92"/>
  <c r="CU120" i="92" s="1"/>
  <c r="CF111" i="92"/>
  <c r="CF121" i="92" s="1"/>
  <c r="DC118" i="92"/>
  <c r="DC125" i="92" s="1"/>
  <c r="G74" i="92"/>
  <c r="M74" i="92"/>
  <c r="Z74" i="92"/>
  <c r="AF74" i="92"/>
  <c r="AL74" i="92"/>
  <c r="AT74" i="92"/>
  <c r="AZ74" i="92"/>
  <c r="BF74" i="92"/>
  <c r="DB50" i="92"/>
  <c r="DB47" i="92"/>
  <c r="AG90" i="92"/>
  <c r="AF103" i="92"/>
  <c r="DC46" i="92"/>
  <c r="DE47" i="92"/>
  <c r="DC49" i="92"/>
  <c r="DE50" i="92"/>
  <c r="H87" i="92"/>
  <c r="H84" i="92"/>
  <c r="U277" i="92"/>
  <c r="BD97" i="92"/>
  <c r="T205" i="92" s="1"/>
  <c r="BD88" i="92"/>
  <c r="BD96" i="92"/>
  <c r="T210" i="92" s="1"/>
  <c r="BD92" i="92"/>
  <c r="BQ132" i="92"/>
  <c r="BQ102" i="92"/>
  <c r="BQ80" i="92"/>
  <c r="BQ93" i="92"/>
  <c r="CG111" i="92"/>
  <c r="CG107" i="92"/>
  <c r="DG111" i="92"/>
  <c r="DG108" i="92"/>
  <c r="DG107" i="92"/>
  <c r="DG112" i="92"/>
  <c r="DG110" i="92"/>
  <c r="DG109" i="92"/>
  <c r="BM74" i="92"/>
  <c r="AT75" i="92"/>
  <c r="BM75" i="92"/>
  <c r="Z76" i="92"/>
  <c r="AT76" i="92"/>
  <c r="Z77" i="92"/>
  <c r="BF77" i="92"/>
  <c r="U78" i="92"/>
  <c r="AL78" i="92"/>
  <c r="BF78" i="92"/>
  <c r="R79" i="92"/>
  <c r="BT79" i="92"/>
  <c r="R92" i="92"/>
  <c r="AU97" i="92"/>
  <c r="AU99" i="92"/>
  <c r="T270" i="92"/>
  <c r="T103" i="92"/>
  <c r="CJ108" i="92"/>
  <c r="CH121" i="92"/>
  <c r="CH128" i="92" s="1"/>
  <c r="CW112" i="92"/>
  <c r="K132" i="92"/>
  <c r="BD132" i="92"/>
  <c r="O181" i="92"/>
  <c r="O182" i="92"/>
  <c r="O203" i="92"/>
  <c r="O202" i="92"/>
  <c r="H79" i="92"/>
  <c r="H77" i="92"/>
  <c r="H75" i="92"/>
  <c r="N78" i="92"/>
  <c r="N76" i="92"/>
  <c r="T79" i="92"/>
  <c r="T77" i="92"/>
  <c r="T75" i="92"/>
  <c r="AA80" i="92"/>
  <c r="AA78" i="92"/>
  <c r="AA76" i="92"/>
  <c r="AG80" i="92"/>
  <c r="AG79" i="92"/>
  <c r="AG77" i="92"/>
  <c r="AG75" i="92"/>
  <c r="AM78" i="92"/>
  <c r="AM76" i="92"/>
  <c r="AU80" i="92"/>
  <c r="AU79" i="92"/>
  <c r="AU77" i="92"/>
  <c r="AU75" i="92"/>
  <c r="BA78" i="92"/>
  <c r="BA76" i="92"/>
  <c r="CN108" i="92"/>
  <c r="CN112" i="92"/>
  <c r="AL94" i="92"/>
  <c r="BC44" i="92"/>
  <c r="DG46" i="92"/>
  <c r="DF47" i="92"/>
  <c r="DE48" i="92"/>
  <c r="DG49" i="92"/>
  <c r="DF50" i="92"/>
  <c r="DE51" i="92"/>
  <c r="I87" i="92"/>
  <c r="I84" i="92"/>
  <c r="X85" i="92"/>
  <c r="X90" i="92" s="1"/>
  <c r="X102" i="92"/>
  <c r="X97" i="92"/>
  <c r="X99" i="92"/>
  <c r="X92" i="92"/>
  <c r="X101" i="92"/>
  <c r="X96" i="92"/>
  <c r="BE96" i="92"/>
  <c r="U210" i="92" s="1"/>
  <c r="BE88" i="92"/>
  <c r="BE90" i="92" s="1"/>
  <c r="BE97" i="92"/>
  <c r="BE92" i="92"/>
  <c r="BR93" i="92"/>
  <c r="BR94" i="92" s="1"/>
  <c r="BS62" i="92"/>
  <c r="BS63" i="92" s="1"/>
  <c r="BR132" i="92"/>
  <c r="CH109" i="92"/>
  <c r="CH110" i="92"/>
  <c r="DH110" i="92"/>
  <c r="DH107" i="92"/>
  <c r="DH112" i="92"/>
  <c r="DH109" i="92"/>
  <c r="DH108" i="92"/>
  <c r="DH111" i="92"/>
  <c r="DH51" i="92"/>
  <c r="DH48" i="92"/>
  <c r="R63" i="92"/>
  <c r="M75" i="92"/>
  <c r="BN75" i="92"/>
  <c r="AU76" i="92"/>
  <c r="AA77" i="92"/>
  <c r="G78" i="92"/>
  <c r="BH78" i="92"/>
  <c r="AM79" i="92"/>
  <c r="AT85" i="92"/>
  <c r="J88" i="92"/>
  <c r="G89" i="92"/>
  <c r="AT92" i="92"/>
  <c r="X93" i="92"/>
  <c r="P199" i="92"/>
  <c r="R101" i="92"/>
  <c r="AZ102" i="92"/>
  <c r="AZ103" i="92" s="1"/>
  <c r="CF109" i="92"/>
  <c r="BE132" i="92"/>
  <c r="G144" i="92"/>
  <c r="G145" i="92"/>
  <c r="AC265" i="92"/>
  <c r="Z265" i="92"/>
  <c r="Y265" i="92"/>
  <c r="AD265" i="92"/>
  <c r="Q97" i="92"/>
  <c r="Q89" i="92"/>
  <c r="Q132" i="92"/>
  <c r="Q101" i="92"/>
  <c r="Q63" i="92"/>
  <c r="Q93" i="92"/>
  <c r="Q277" i="92"/>
  <c r="Q85" i="92"/>
  <c r="CA110" i="92"/>
  <c r="CA112" i="92"/>
  <c r="CA111" i="92"/>
  <c r="G86" i="92"/>
  <c r="AZ78" i="92"/>
  <c r="AI92" i="92"/>
  <c r="DE111" i="92"/>
  <c r="DE49" i="92"/>
  <c r="DE46" i="92"/>
  <c r="DE110" i="92"/>
  <c r="DE108" i="92"/>
  <c r="DE107" i="92"/>
  <c r="K66" i="92"/>
  <c r="G76" i="92"/>
  <c r="AZ89" i="92"/>
  <c r="P183" i="92" s="1"/>
  <c r="P184" i="92" s="1"/>
  <c r="AJ92" i="92"/>
  <c r="AJ94" i="92" s="1"/>
  <c r="S80" i="92"/>
  <c r="S79" i="92"/>
  <c r="S77" i="92"/>
  <c r="S75" i="92"/>
  <c r="G83" i="92"/>
  <c r="CD109" i="92"/>
  <c r="N74" i="92"/>
  <c r="U230" i="92"/>
  <c r="DH46" i="92"/>
  <c r="DG47" i="92"/>
  <c r="DF48" i="92"/>
  <c r="DH49" i="92"/>
  <c r="DG50" i="92"/>
  <c r="DF51" i="92"/>
  <c r="J102" i="92"/>
  <c r="J101" i="92"/>
  <c r="J96" i="92"/>
  <c r="Y88" i="92"/>
  <c r="Y99" i="92"/>
  <c r="Y97" i="92"/>
  <c r="Y92" i="92"/>
  <c r="Y94" i="92" s="1"/>
  <c r="Y101" i="92"/>
  <c r="Y96" i="92"/>
  <c r="Y102" i="92"/>
  <c r="AT132" i="92"/>
  <c r="AT102" i="92"/>
  <c r="AT103" i="92" s="1"/>
  <c r="AT97" i="92"/>
  <c r="J205" i="92" s="1"/>
  <c r="AT99" i="92"/>
  <c r="AT89" i="92"/>
  <c r="BF102" i="92"/>
  <c r="BF99" i="92"/>
  <c r="V199" i="92" s="1"/>
  <c r="BF96" i="92"/>
  <c r="V210" i="92" s="1"/>
  <c r="BF89" i="92"/>
  <c r="V183" i="92" s="1"/>
  <c r="BF85" i="92"/>
  <c r="BF92" i="92"/>
  <c r="BF94" i="92" s="1"/>
  <c r="BF97" i="92"/>
  <c r="V205" i="92" s="1"/>
  <c r="BF101" i="92"/>
  <c r="BS102" i="92"/>
  <c r="BS79" i="92"/>
  <c r="BS132" i="92"/>
  <c r="BS92" i="92"/>
  <c r="CI111" i="92"/>
  <c r="CI107" i="92"/>
  <c r="CI112" i="92"/>
  <c r="CW111" i="92"/>
  <c r="CW107" i="92"/>
  <c r="CW109" i="92"/>
  <c r="CW119" i="92" s="1"/>
  <c r="CW51" i="92"/>
  <c r="CW48" i="92"/>
  <c r="BO75" i="92"/>
  <c r="Y78" i="92"/>
  <c r="Y79" i="92"/>
  <c r="Y80" i="92"/>
  <c r="AJ89" i="92"/>
  <c r="BD89" i="92"/>
  <c r="T183" i="92" s="1"/>
  <c r="T184" i="92" s="1"/>
  <c r="BQ92" i="92"/>
  <c r="BQ94" i="92" s="1"/>
  <c r="Y93" i="92"/>
  <c r="AT93" i="92"/>
  <c r="BS93" i="92"/>
  <c r="R97" i="92"/>
  <c r="Q99" i="92"/>
  <c r="DB107" i="92"/>
  <c r="CG109" i="92"/>
  <c r="G277" i="92"/>
  <c r="G132" i="92"/>
  <c r="G102" i="92"/>
  <c r="G92" i="92"/>
  <c r="G97" i="92"/>
  <c r="G99" i="92"/>
  <c r="G101" i="92"/>
  <c r="G96" i="92"/>
  <c r="AI102" i="92"/>
  <c r="AI89" i="92"/>
  <c r="AI85" i="92"/>
  <c r="AI90" i="92" s="1"/>
  <c r="AI93" i="92"/>
  <c r="AI88" i="92"/>
  <c r="BM101" i="92"/>
  <c r="BM132" i="92"/>
  <c r="BM102" i="92"/>
  <c r="BM80" i="92"/>
  <c r="BM62" i="92"/>
  <c r="K61" i="92"/>
  <c r="AE80" i="92"/>
  <c r="CC109" i="92"/>
  <c r="CC111" i="92"/>
  <c r="CC108" i="92"/>
  <c r="DD49" i="92"/>
  <c r="R77" i="92"/>
  <c r="AI97" i="92"/>
  <c r="CE108" i="92"/>
  <c r="U233" i="92"/>
  <c r="R80" i="92"/>
  <c r="G88" i="92"/>
  <c r="Q96" i="92"/>
  <c r="Q210" i="92" s="1"/>
  <c r="CE111" i="92"/>
  <c r="CT14" i="92"/>
  <c r="CT13" i="92"/>
  <c r="CT50" i="92" s="1"/>
  <c r="CT12" i="92"/>
  <c r="CT110" i="92" s="1"/>
  <c r="I75" i="92"/>
  <c r="O78" i="92"/>
  <c r="O76" i="92"/>
  <c r="O80" i="92"/>
  <c r="U79" i="92"/>
  <c r="U77" i="92"/>
  <c r="U75" i="92"/>
  <c r="AB78" i="92"/>
  <c r="AB76" i="92"/>
  <c r="AH80" i="92"/>
  <c r="AH79" i="92"/>
  <c r="AH77" i="92"/>
  <c r="AH75" i="92"/>
  <c r="AP80" i="92"/>
  <c r="AP78" i="92"/>
  <c r="AP76" i="92"/>
  <c r="AV79" i="92"/>
  <c r="AV77" i="92"/>
  <c r="AV75" i="92"/>
  <c r="AV80" i="92"/>
  <c r="BB78" i="92"/>
  <c r="BB76" i="92"/>
  <c r="CT9" i="92"/>
  <c r="CT107" i="92" s="1"/>
  <c r="AW44" i="92"/>
  <c r="CS47" i="92"/>
  <c r="DH47" i="92"/>
  <c r="DG48" i="92"/>
  <c r="CS50" i="92"/>
  <c r="K85" i="92"/>
  <c r="K99" i="92"/>
  <c r="K88" i="92"/>
  <c r="Z99" i="92"/>
  <c r="Z101" i="92"/>
  <c r="Z96" i="92"/>
  <c r="Z102" i="92"/>
  <c r="AU132" i="92"/>
  <c r="AU93" i="92"/>
  <c r="AU89" i="92"/>
  <c r="K183" i="92" s="1"/>
  <c r="K184" i="92" s="1"/>
  <c r="AU96" i="92"/>
  <c r="AU92" i="92"/>
  <c r="AU102" i="92"/>
  <c r="AU103" i="92" s="1"/>
  <c r="AU85" i="92"/>
  <c r="BH132" i="92"/>
  <c r="BH80" i="92"/>
  <c r="BH79" i="92"/>
  <c r="BH77" i="92"/>
  <c r="BH75" i="92"/>
  <c r="BT132" i="92"/>
  <c r="BT93" i="92"/>
  <c r="BT80" i="92"/>
  <c r="BT92" i="92"/>
  <c r="BT77" i="92"/>
  <c r="BT75" i="92"/>
  <c r="CJ107" i="92"/>
  <c r="CJ112" i="92"/>
  <c r="CJ122" i="92" s="1"/>
  <c r="CX110" i="92"/>
  <c r="CX107" i="92"/>
  <c r="CX51" i="92"/>
  <c r="CX48" i="92"/>
  <c r="AU62" i="92"/>
  <c r="BS74" i="92"/>
  <c r="O75" i="92"/>
  <c r="AF75" i="92"/>
  <c r="AF76" i="92"/>
  <c r="BM76" i="92"/>
  <c r="AT77" i="92"/>
  <c r="BM77" i="92"/>
  <c r="Z78" i="92"/>
  <c r="AT78" i="92"/>
  <c r="Z79" i="92"/>
  <c r="G80" i="92"/>
  <c r="J89" i="92"/>
  <c r="Z92" i="92"/>
  <c r="Z93" i="92"/>
  <c r="AZ96" i="92"/>
  <c r="P210" i="92" s="1"/>
  <c r="Z97" i="92"/>
  <c r="R99" i="92"/>
  <c r="CC107" i="92"/>
  <c r="CW108" i="92"/>
  <c r="CI109" i="92"/>
  <c r="AJ132" i="92"/>
  <c r="F203" i="92"/>
  <c r="L80" i="92"/>
  <c r="BK44" i="92"/>
  <c r="DD46" i="92"/>
  <c r="G87" i="92"/>
  <c r="G84" i="92"/>
  <c r="S277" i="92"/>
  <c r="S132" i="92"/>
  <c r="S102" i="92"/>
  <c r="S99" i="92"/>
  <c r="S101" i="92"/>
  <c r="S97" i="92"/>
  <c r="S205" i="92" s="1"/>
  <c r="AK88" i="92"/>
  <c r="AK90" i="92" s="1"/>
  <c r="BA101" i="92"/>
  <c r="BN101" i="92"/>
  <c r="CB108" i="92"/>
  <c r="CB118" i="92" s="1"/>
  <c r="CB109" i="92"/>
  <c r="CN110" i="92"/>
  <c r="CN111" i="92"/>
  <c r="DB112" i="92"/>
  <c r="DB109" i="92"/>
  <c r="BN76" i="92"/>
  <c r="BN78" i="92"/>
  <c r="S88" i="92"/>
  <c r="S90" i="92" s="1"/>
  <c r="U97" i="92"/>
  <c r="AQ101" i="92"/>
  <c r="AQ102" i="92"/>
  <c r="AQ103" i="92" s="1"/>
  <c r="CN107" i="92"/>
  <c r="CN109" i="92"/>
  <c r="CO111" i="92"/>
  <c r="CC120" i="92"/>
  <c r="R182" i="92"/>
  <c r="BL44" i="92"/>
  <c r="T93" i="92"/>
  <c r="T92" i="92"/>
  <c r="T277" i="92"/>
  <c r="T99" i="92"/>
  <c r="T199" i="92" s="1"/>
  <c r="BB92" i="92"/>
  <c r="BB102" i="92"/>
  <c r="BB103" i="92" s="1"/>
  <c r="BB99" i="92"/>
  <c r="BO92" i="92"/>
  <c r="BO132" i="92"/>
  <c r="BO93" i="92"/>
  <c r="CO109" i="92"/>
  <c r="CO108" i="92"/>
  <c r="CO118" i="92" s="1"/>
  <c r="DC109" i="92"/>
  <c r="DC119" i="92" s="1"/>
  <c r="DC110" i="92"/>
  <c r="DC120" i="92" s="1"/>
  <c r="DC112" i="92"/>
  <c r="BO74" i="92"/>
  <c r="BO76" i="92"/>
  <c r="BO78" i="92"/>
  <c r="T88" i="92"/>
  <c r="CO107" i="92"/>
  <c r="CP109" i="92"/>
  <c r="CO110" i="92"/>
  <c r="DB120" i="92"/>
  <c r="CB120" i="92"/>
  <c r="CB127" i="92" s="1"/>
  <c r="CM120" i="92"/>
  <c r="CI120" i="92"/>
  <c r="CI127" i="92" s="1"/>
  <c r="CP111" i="92"/>
  <c r="CW120" i="92"/>
  <c r="CW127" i="92" s="1"/>
  <c r="F181" i="92"/>
  <c r="F182" i="92"/>
  <c r="P186" i="92"/>
  <c r="P192" i="92" s="1"/>
  <c r="P193" i="92" s="1"/>
  <c r="P226" i="92" s="1"/>
  <c r="BH101" i="92"/>
  <c r="U102" i="92"/>
  <c r="U89" i="92"/>
  <c r="U183" i="92" s="1"/>
  <c r="U184" i="92" s="1"/>
  <c r="U132" i="92"/>
  <c r="U93" i="92"/>
  <c r="U94" i="92" s="1"/>
  <c r="BC99" i="92"/>
  <c r="BC132" i="92"/>
  <c r="BP101" i="92"/>
  <c r="CP110" i="92"/>
  <c r="DD108" i="92"/>
  <c r="M61" i="92"/>
  <c r="BP76" i="92"/>
  <c r="BP78" i="92"/>
  <c r="T85" i="92"/>
  <c r="U88" i="92"/>
  <c r="U90" i="92" s="1"/>
  <c r="BB88" i="92"/>
  <c r="AQ92" i="92"/>
  <c r="BB93" i="92"/>
  <c r="AQ96" i="92"/>
  <c r="AQ97" i="92"/>
  <c r="CP107" i="92"/>
  <c r="CP108" i="92"/>
  <c r="CP118" i="92" s="1"/>
  <c r="CF118" i="92"/>
  <c r="CF125" i="92" s="1"/>
  <c r="CG118" i="92"/>
  <c r="CG125" i="92" s="1"/>
  <c r="P194" i="92"/>
  <c r="CU118" i="92"/>
  <c r="CU125" i="92" s="1"/>
  <c r="CF120" i="92"/>
  <c r="T132" i="92"/>
  <c r="L145" i="92"/>
  <c r="L144" i="92"/>
  <c r="N202" i="92"/>
  <c r="N203" i="92"/>
  <c r="I250" i="92"/>
  <c r="I249" i="92"/>
  <c r="CM119" i="92"/>
  <c r="CE119" i="92"/>
  <c r="V181" i="92"/>
  <c r="J203" i="92"/>
  <c r="J202" i="92"/>
  <c r="M203" i="92"/>
  <c r="W28" i="91"/>
  <c r="W32" i="91" s="1"/>
  <c r="W31" i="91"/>
  <c r="W29" i="91" s="1"/>
  <c r="W30" i="91" s="1"/>
  <c r="W33" i="91" s="1"/>
  <c r="J31" i="91"/>
  <c r="J29" i="91" s="1"/>
  <c r="J30" i="91" s="1"/>
  <c r="J33" i="91" s="1"/>
  <c r="K31" i="91"/>
  <c r="K29" i="91" s="1"/>
  <c r="K30" i="91" s="1"/>
  <c r="K33" i="91" s="1"/>
  <c r="V31" i="91"/>
  <c r="V29" i="91" s="1"/>
  <c r="V30" i="91" s="1"/>
  <c r="V33" i="91" s="1"/>
  <c r="P29" i="91"/>
  <c r="P30" i="91" s="1"/>
  <c r="P33" i="91" s="1"/>
  <c r="G62" i="91"/>
  <c r="G32" i="91"/>
  <c r="G29" i="91" s="1"/>
  <c r="G30" i="91" s="1"/>
  <c r="G33" i="91" s="1"/>
  <c r="G34" i="91"/>
  <c r="L31" i="91"/>
  <c r="L29" i="91" s="1"/>
  <c r="L30" i="91" s="1"/>
  <c r="L33" i="91" s="1"/>
  <c r="X31" i="91"/>
  <c r="X29" i="91" s="1"/>
  <c r="X30" i="91" s="1"/>
  <c r="X33" i="91" s="1"/>
  <c r="M31" i="91"/>
  <c r="M29" i="91" s="1"/>
  <c r="M30" i="91" s="1"/>
  <c r="M33" i="91" s="1"/>
  <c r="N31" i="91"/>
  <c r="N29" i="91" s="1"/>
  <c r="N30" i="91" s="1"/>
  <c r="N33" i="91" s="1"/>
  <c r="G35" i="91"/>
  <c r="O31" i="91"/>
  <c r="O29" i="91" s="1"/>
  <c r="O30" i="91" s="1"/>
  <c r="O33" i="91" s="1"/>
  <c r="G36" i="91"/>
  <c r="G37" i="91"/>
  <c r="G61" i="91"/>
  <c r="F236" i="92" l="1"/>
  <c r="V232" i="92"/>
  <c r="V255" i="92" s="1"/>
  <c r="G231" i="92"/>
  <c r="K205" i="92"/>
  <c r="BJ81" i="92"/>
  <c r="P233" i="92"/>
  <c r="P255" i="92" s="1"/>
  <c r="CT108" i="92"/>
  <c r="CT118" i="92" s="1"/>
  <c r="U236" i="92"/>
  <c r="U261" i="92" s="1"/>
  <c r="V189" i="92"/>
  <c r="V195" i="92" s="1"/>
  <c r="V196" i="92" s="1"/>
  <c r="V228" i="92" s="1"/>
  <c r="T235" i="92"/>
  <c r="V231" i="92"/>
  <c r="R81" i="92"/>
  <c r="BO94" i="92"/>
  <c r="O221" i="92"/>
  <c r="K210" i="92"/>
  <c r="Q186" i="92"/>
  <c r="Q192" i="92" s="1"/>
  <c r="Q193" i="92" s="1"/>
  <c r="Q183" i="92"/>
  <c r="Q184" i="92" s="1"/>
  <c r="J189" i="92"/>
  <c r="J195" i="92" s="1"/>
  <c r="J196" i="92" s="1"/>
  <c r="J197" i="92" s="1"/>
  <c r="BI94" i="92"/>
  <c r="CE126" i="92"/>
  <c r="O210" i="92"/>
  <c r="G236" i="92"/>
  <c r="G261" i="92" s="1"/>
  <c r="P235" i="92"/>
  <c r="H233" i="92"/>
  <c r="BR81" i="92"/>
  <c r="M236" i="92"/>
  <c r="M261" i="92" s="1"/>
  <c r="O235" i="92"/>
  <c r="N215" i="92"/>
  <c r="T140" i="92"/>
  <c r="T141" i="92" s="1"/>
  <c r="BX103" i="92"/>
  <c r="S236" i="92"/>
  <c r="S261" i="92" s="1"/>
  <c r="BD90" i="92"/>
  <c r="CD132" i="92"/>
  <c r="AR90" i="92"/>
  <c r="J221" i="92"/>
  <c r="AV81" i="92"/>
  <c r="N234" i="92"/>
  <c r="I235" i="92"/>
  <c r="BT81" i="92"/>
  <c r="O231" i="92"/>
  <c r="AZ81" i="92"/>
  <c r="AM81" i="92"/>
  <c r="Q236" i="92"/>
  <c r="Q261" i="92" s="1"/>
  <c r="AQ94" i="92"/>
  <c r="DC132" i="92"/>
  <c r="G140" i="92"/>
  <c r="G141" i="92" s="1"/>
  <c r="BF103" i="92"/>
  <c r="Y90" i="92"/>
  <c r="O233" i="92"/>
  <c r="O255" i="92" s="1"/>
  <c r="G232" i="92"/>
  <c r="O234" i="92"/>
  <c r="O258" i="92" s="1"/>
  <c r="L236" i="92"/>
  <c r="L261" i="92" s="1"/>
  <c r="CU128" i="92"/>
  <c r="V236" i="92"/>
  <c r="K235" i="92"/>
  <c r="AK81" i="92"/>
  <c r="BH94" i="92"/>
  <c r="R140" i="92"/>
  <c r="R141" i="92" s="1"/>
  <c r="K234" i="92"/>
  <c r="K258" i="92" s="1"/>
  <c r="H225" i="92"/>
  <c r="S230" i="92"/>
  <c r="BW103" i="92"/>
  <c r="T233" i="92"/>
  <c r="P189" i="92"/>
  <c r="P195" i="92" s="1"/>
  <c r="P196" i="92" s="1"/>
  <c r="P228" i="92" s="1"/>
  <c r="P103" i="92"/>
  <c r="BC90" i="92"/>
  <c r="P140" i="92"/>
  <c r="G183" i="92"/>
  <c r="G184" i="92" s="1"/>
  <c r="BE94" i="92"/>
  <c r="Q232" i="92"/>
  <c r="BU81" i="92"/>
  <c r="AQ90" i="92"/>
  <c r="BB81" i="92"/>
  <c r="P236" i="92"/>
  <c r="P261" i="92" s="1"/>
  <c r="H218" i="92"/>
  <c r="BS103" i="92"/>
  <c r="J152" i="92"/>
  <c r="J157" i="92" s="1"/>
  <c r="N183" i="92"/>
  <c r="N184" i="92" s="1"/>
  <c r="Q231" i="92"/>
  <c r="J199" i="92"/>
  <c r="Z94" i="92"/>
  <c r="H235" i="92"/>
  <c r="BH81" i="92"/>
  <c r="BP103" i="92"/>
  <c r="AU81" i="92"/>
  <c r="BD94" i="92"/>
  <c r="M215" i="92"/>
  <c r="S232" i="92"/>
  <c r="L152" i="92"/>
  <c r="L157" i="92" s="1"/>
  <c r="AC90" i="92"/>
  <c r="BT103" i="92"/>
  <c r="R231" i="92"/>
  <c r="S140" i="92"/>
  <c r="S141" i="92" s="1"/>
  <c r="R183" i="92"/>
  <c r="R184" i="92" s="1"/>
  <c r="AB94" i="92"/>
  <c r="AX94" i="92"/>
  <c r="V197" i="92"/>
  <c r="S197" i="92"/>
  <c r="S228" i="92"/>
  <c r="U235" i="92"/>
  <c r="O236" i="92"/>
  <c r="O261" i="92" s="1"/>
  <c r="BA103" i="92"/>
  <c r="CE117" i="92"/>
  <c r="CE124" i="92" s="1"/>
  <c r="AE94" i="92"/>
  <c r="O199" i="92"/>
  <c r="Q81" i="92"/>
  <c r="BX94" i="92"/>
  <c r="AX90" i="92"/>
  <c r="BA94" i="92"/>
  <c r="CS132" i="92"/>
  <c r="BP81" i="92"/>
  <c r="BW94" i="92"/>
  <c r="P81" i="92"/>
  <c r="H221" i="92"/>
  <c r="U81" i="92"/>
  <c r="CE132" i="92"/>
  <c r="AD261" i="92"/>
  <c r="R210" i="92"/>
  <c r="G189" i="92"/>
  <c r="G195" i="92" s="1"/>
  <c r="G196" i="92" s="1"/>
  <c r="G197" i="92" s="1"/>
  <c r="R233" i="92"/>
  <c r="AP90" i="92"/>
  <c r="J231" i="92"/>
  <c r="J236" i="92"/>
  <c r="J261" i="92" s="1"/>
  <c r="Q233" i="92"/>
  <c r="M189" i="92"/>
  <c r="M195" i="92" s="1"/>
  <c r="M196" i="92" s="1"/>
  <c r="M228" i="92" s="1"/>
  <c r="K189" i="92"/>
  <c r="K195" i="92" s="1"/>
  <c r="K196" i="92" s="1"/>
  <c r="K197" i="92" s="1"/>
  <c r="L231" i="92"/>
  <c r="DB121" i="92"/>
  <c r="DB128" i="92" s="1"/>
  <c r="I221" i="92"/>
  <c r="T232" i="92"/>
  <c r="G210" i="92"/>
  <c r="N152" i="92"/>
  <c r="N157" i="92" s="1"/>
  <c r="F231" i="92"/>
  <c r="BH44" i="92"/>
  <c r="U152" i="92"/>
  <c r="U157" i="92" s="1"/>
  <c r="U158" i="92" s="1"/>
  <c r="U174" i="92" s="1"/>
  <c r="T152" i="92"/>
  <c r="T157" i="92" s="1"/>
  <c r="BN103" i="92"/>
  <c r="U186" i="92"/>
  <c r="U192" i="92" s="1"/>
  <c r="U193" i="92" s="1"/>
  <c r="U226" i="92" s="1"/>
  <c r="BS94" i="92"/>
  <c r="J210" i="92"/>
  <c r="K236" i="92"/>
  <c r="K261" i="92" s="1"/>
  <c r="Y261" i="92" s="1"/>
  <c r="J235" i="92"/>
  <c r="S234" i="92"/>
  <c r="S233" i="92"/>
  <c r="S255" i="92" s="1"/>
  <c r="AV103" i="92"/>
  <c r="L183" i="92"/>
  <c r="L184" i="92" s="1"/>
  <c r="N235" i="92"/>
  <c r="N258" i="92" s="1"/>
  <c r="G233" i="92"/>
  <c r="AR94" i="92"/>
  <c r="M183" i="92"/>
  <c r="M184" i="92" s="1"/>
  <c r="BP94" i="92"/>
  <c r="DC121" i="92"/>
  <c r="DC128" i="92"/>
  <c r="BE81" i="92"/>
  <c r="O81" i="92"/>
  <c r="L233" i="92"/>
  <c r="P231" i="92"/>
  <c r="BA81" i="92"/>
  <c r="P234" i="92"/>
  <c r="P258" i="92" s="1"/>
  <c r="CO129" i="92"/>
  <c r="BQ103" i="92"/>
  <c r="BU103" i="92"/>
  <c r="BU94" i="92"/>
  <c r="I231" i="92"/>
  <c r="L205" i="92"/>
  <c r="H236" i="92"/>
  <c r="L235" i="92"/>
  <c r="CG120" i="92"/>
  <c r="L221" i="92" s="1"/>
  <c r="BH103" i="92"/>
  <c r="CB117" i="92"/>
  <c r="CB124" i="92" s="1"/>
  <c r="AT94" i="92"/>
  <c r="T81" i="92"/>
  <c r="S235" i="92"/>
  <c r="L199" i="92"/>
  <c r="T231" i="92"/>
  <c r="BQ81" i="92"/>
  <c r="O230" i="92"/>
  <c r="CT120" i="92"/>
  <c r="G221" i="92" s="1"/>
  <c r="P197" i="92"/>
  <c r="CP119" i="92"/>
  <c r="CP126" i="92" s="1"/>
  <c r="G152" i="92"/>
  <c r="G157" i="92" s="1"/>
  <c r="G90" i="92"/>
  <c r="P169" i="92"/>
  <c r="P163" i="92"/>
  <c r="P164" i="92"/>
  <c r="P159" i="92"/>
  <c r="P174" i="92"/>
  <c r="CW121" i="92"/>
  <c r="CW128" i="92" s="1"/>
  <c r="CH119" i="92"/>
  <c r="CA119" i="92"/>
  <c r="CA126" i="92" s="1"/>
  <c r="R90" i="92"/>
  <c r="R148" i="92"/>
  <c r="R156" i="92" s="1"/>
  <c r="CK120" i="92"/>
  <c r="P221" i="92" s="1"/>
  <c r="CY117" i="92"/>
  <c r="L212" i="92"/>
  <c r="CY124" i="92"/>
  <c r="CY132" i="92"/>
  <c r="L64" i="92"/>
  <c r="L66" i="92"/>
  <c r="O66" i="92"/>
  <c r="O64" i="92"/>
  <c r="N148" i="92"/>
  <c r="N156" i="92" s="1"/>
  <c r="N90" i="92"/>
  <c r="CM122" i="92"/>
  <c r="CM129" i="92" s="1"/>
  <c r="N218" i="92"/>
  <c r="DA119" i="92"/>
  <c r="DA126" i="92" s="1"/>
  <c r="U224" i="92"/>
  <c r="CP121" i="92"/>
  <c r="CP128" i="92"/>
  <c r="BN81" i="92"/>
  <c r="S199" i="92"/>
  <c r="AI94" i="92"/>
  <c r="Q189" i="92"/>
  <c r="Q195" i="92" s="1"/>
  <c r="Q196" i="92" s="1"/>
  <c r="X103" i="92"/>
  <c r="O215" i="92"/>
  <c r="CJ118" i="92"/>
  <c r="CJ125" i="92" s="1"/>
  <c r="V233" i="92"/>
  <c r="DG121" i="92"/>
  <c r="DG128" i="92" s="1"/>
  <c r="V230" i="92"/>
  <c r="BF81" i="92"/>
  <c r="H212" i="92"/>
  <c r="CU132" i="92"/>
  <c r="CU117" i="92"/>
  <c r="CU124" i="92" s="1"/>
  <c r="Q270" i="92"/>
  <c r="Q103" i="92"/>
  <c r="M218" i="92"/>
  <c r="CZ119" i="92"/>
  <c r="CZ126" i="92" s="1"/>
  <c r="P224" i="92"/>
  <c r="CK121" i="92"/>
  <c r="CK128" i="92" s="1"/>
  <c r="O224" i="92"/>
  <c r="CJ121" i="92"/>
  <c r="CJ128" i="92" s="1"/>
  <c r="Q218" i="92"/>
  <c r="DD119" i="92"/>
  <c r="DD126" i="92" s="1"/>
  <c r="AW81" i="92"/>
  <c r="DE122" i="92"/>
  <c r="DE129" i="92" s="1"/>
  <c r="M197" i="92"/>
  <c r="AX81" i="92"/>
  <c r="AD90" i="92"/>
  <c r="DA124" i="92"/>
  <c r="DA117" i="92"/>
  <c r="N212" i="92"/>
  <c r="DA132" i="92"/>
  <c r="DG118" i="92"/>
  <c r="DG125" i="92" s="1"/>
  <c r="U189" i="92"/>
  <c r="U195" i="92" s="1"/>
  <c r="U196" i="92" s="1"/>
  <c r="O218" i="92"/>
  <c r="DB119" i="92"/>
  <c r="DB126" i="92" s="1"/>
  <c r="S270" i="92"/>
  <c r="S103" i="92"/>
  <c r="CI132" i="92"/>
  <c r="CI117" i="92"/>
  <c r="CI124" i="92" s="1"/>
  <c r="Q66" i="92"/>
  <c r="Q64" i="92"/>
  <c r="R66" i="92"/>
  <c r="R64" i="92"/>
  <c r="CN122" i="92"/>
  <c r="R270" i="92"/>
  <c r="R103" i="92"/>
  <c r="P66" i="92"/>
  <c r="P64" i="92"/>
  <c r="P141" i="92" s="1"/>
  <c r="R189" i="92"/>
  <c r="R195" i="92" s="1"/>
  <c r="R196" i="92" s="1"/>
  <c r="CK122" i="92"/>
  <c r="CG129" i="92"/>
  <c r="AG81" i="92"/>
  <c r="I218" i="92"/>
  <c r="CV119" i="92"/>
  <c r="CV126" i="92" s="1"/>
  <c r="Q230" i="92"/>
  <c r="AI81" i="92"/>
  <c r="J186" i="92"/>
  <c r="J192" i="92" s="1"/>
  <c r="J193" i="92" s="1"/>
  <c r="F99" i="92"/>
  <c r="F199" i="92" s="1"/>
  <c r="F96" i="92"/>
  <c r="F210" i="92" s="1"/>
  <c r="F277" i="92"/>
  <c r="F93" i="92"/>
  <c r="F189" i="92" s="1"/>
  <c r="F195" i="92" s="1"/>
  <c r="F196" i="92" s="1"/>
  <c r="F88" i="92"/>
  <c r="F152" i="92" s="1"/>
  <c r="F157" i="92" s="1"/>
  <c r="F85" i="92"/>
  <c r="F102" i="92"/>
  <c r="F97" i="92"/>
  <c r="F205" i="92" s="1"/>
  <c r="F92" i="92"/>
  <c r="F101" i="92"/>
  <c r="F79" i="92"/>
  <c r="F80" i="92"/>
  <c r="F140" i="92" s="1"/>
  <c r="F89" i="92"/>
  <c r="F183" i="92" s="1"/>
  <c r="F184" i="92" s="1"/>
  <c r="F78" i="92"/>
  <c r="F77" i="92"/>
  <c r="F76" i="92"/>
  <c r="F75" i="92"/>
  <c r="F132" i="92"/>
  <c r="F74" i="92"/>
  <c r="F63" i="92"/>
  <c r="S81" i="92"/>
  <c r="N94" i="92"/>
  <c r="N186" i="92"/>
  <c r="N192" i="92" s="1"/>
  <c r="N193" i="92" s="1"/>
  <c r="M210" i="92"/>
  <c r="F233" i="92"/>
  <c r="T224" i="92"/>
  <c r="CO121" i="92"/>
  <c r="CO128" i="92" s="1"/>
  <c r="DB122" i="92"/>
  <c r="DB129" i="92" s="1"/>
  <c r="H234" i="92"/>
  <c r="K212" i="92"/>
  <c r="CX117" i="92"/>
  <c r="CX124" i="92" s="1"/>
  <c r="CX132" i="92"/>
  <c r="AI103" i="92"/>
  <c r="N224" i="92"/>
  <c r="CI121" i="92"/>
  <c r="CI128" i="92"/>
  <c r="S215" i="92"/>
  <c r="CN118" i="92"/>
  <c r="CN125" i="92"/>
  <c r="L224" i="92"/>
  <c r="CG121" i="92"/>
  <c r="CG128" i="92" s="1"/>
  <c r="AT81" i="92"/>
  <c r="P215" i="92"/>
  <c r="CK118" i="92"/>
  <c r="CK125" i="92" s="1"/>
  <c r="AS81" i="92"/>
  <c r="DD120" i="92"/>
  <c r="DD127" i="92" s="1"/>
  <c r="BL81" i="92"/>
  <c r="CV122" i="92"/>
  <c r="CV129" i="92" s="1"/>
  <c r="CH132" i="92"/>
  <c r="I277" i="92"/>
  <c r="I101" i="92"/>
  <c r="I89" i="92"/>
  <c r="I183" i="92" s="1"/>
  <c r="I184" i="92" s="1"/>
  <c r="I102" i="92"/>
  <c r="I92" i="92"/>
  <c r="I96" i="92"/>
  <c r="I210" i="92" s="1"/>
  <c r="I63" i="92"/>
  <c r="I88" i="92"/>
  <c r="I152" i="92" s="1"/>
  <c r="I157" i="92" s="1"/>
  <c r="I132" i="92"/>
  <c r="I99" i="92"/>
  <c r="I199" i="92" s="1"/>
  <c r="I97" i="92"/>
  <c r="I205" i="92" s="1"/>
  <c r="I93" i="92"/>
  <c r="I189" i="92" s="1"/>
  <c r="I195" i="92" s="1"/>
  <c r="I196" i="92" s="1"/>
  <c r="I85" i="92"/>
  <c r="I80" i="92"/>
  <c r="I140" i="92" s="1"/>
  <c r="DE119" i="92"/>
  <c r="DE126" i="92" s="1"/>
  <c r="R218" i="92"/>
  <c r="M186" i="92"/>
  <c r="M94" i="92"/>
  <c r="DA118" i="92"/>
  <c r="DA125" i="92" s="1"/>
  <c r="T148" i="92"/>
  <c r="T156" i="92" s="1"/>
  <c r="T90" i="92"/>
  <c r="BB94" i="92"/>
  <c r="CN119" i="92"/>
  <c r="CN126" i="92" s="1"/>
  <c r="CW118" i="92"/>
  <c r="CW125" i="92" s="1"/>
  <c r="I78" i="92"/>
  <c r="Z103" i="92"/>
  <c r="CT117" i="92"/>
  <c r="CT124" i="92" s="1"/>
  <c r="G212" i="92"/>
  <c r="CG119" i="92"/>
  <c r="CG126" i="92" s="1"/>
  <c r="G235" i="92"/>
  <c r="I230" i="92"/>
  <c r="I232" i="92"/>
  <c r="H232" i="92"/>
  <c r="T230" i="92"/>
  <c r="AL81" i="92"/>
  <c r="CT46" i="92"/>
  <c r="K230" i="92"/>
  <c r="AC81" i="92"/>
  <c r="AY90" i="92"/>
  <c r="CJ126" i="92"/>
  <c r="J81" i="92"/>
  <c r="L189" i="92"/>
  <c r="L195" i="92" s="1"/>
  <c r="L196" i="92" s="1"/>
  <c r="CF129" i="92"/>
  <c r="CV132" i="92"/>
  <c r="CV117" i="92"/>
  <c r="CV124" i="92" s="1"/>
  <c r="I212" i="92"/>
  <c r="CJ127" i="92"/>
  <c r="O94" i="92"/>
  <c r="O186" i="92"/>
  <c r="O192" i="92" s="1"/>
  <c r="O193" i="92" s="1"/>
  <c r="M66" i="92"/>
  <c r="M64" i="92"/>
  <c r="CX126" i="92"/>
  <c r="K218" i="92"/>
  <c r="U270" i="92"/>
  <c r="U103" i="92"/>
  <c r="BO81" i="92"/>
  <c r="CN124" i="92"/>
  <c r="CN132" i="92"/>
  <c r="CC132" i="92"/>
  <c r="CC117" i="92"/>
  <c r="CC124" i="92" s="1"/>
  <c r="CJ129" i="92"/>
  <c r="I79" i="92"/>
  <c r="DB132" i="92"/>
  <c r="O212" i="92"/>
  <c r="G234" i="92"/>
  <c r="Y81" i="92"/>
  <c r="AA81" i="92"/>
  <c r="AT90" i="92"/>
  <c r="I234" i="92"/>
  <c r="I258" i="92" s="1"/>
  <c r="N230" i="92"/>
  <c r="AF81" i="92"/>
  <c r="CP122" i="92"/>
  <c r="CP129" i="92" s="1"/>
  <c r="CZ120" i="92"/>
  <c r="CZ127" i="92" s="1"/>
  <c r="DB117" i="92"/>
  <c r="DB124" i="92" s="1"/>
  <c r="L210" i="92"/>
  <c r="BV103" i="92"/>
  <c r="CV127" i="92"/>
  <c r="S186" i="92"/>
  <c r="Q234" i="92"/>
  <c r="M235" i="92"/>
  <c r="O270" i="92"/>
  <c r="O103" i="92"/>
  <c r="N270" i="92"/>
  <c r="N103" i="92"/>
  <c r="M270" i="92"/>
  <c r="M103" i="92"/>
  <c r="M205" i="92"/>
  <c r="DA122" i="92"/>
  <c r="DA129" i="92" s="1"/>
  <c r="DC122" i="92"/>
  <c r="DC129" i="92" s="1"/>
  <c r="CB119" i="92"/>
  <c r="CB126" i="92" s="1"/>
  <c r="R199" i="92"/>
  <c r="CJ132" i="92"/>
  <c r="CJ117" i="92"/>
  <c r="BM63" i="92"/>
  <c r="G199" i="92"/>
  <c r="J270" i="92"/>
  <c r="J103" i="92"/>
  <c r="N81" i="92"/>
  <c r="R212" i="92"/>
  <c r="DE132" i="92"/>
  <c r="DE117" i="92"/>
  <c r="DE124" i="92"/>
  <c r="Q205" i="92"/>
  <c r="DH118" i="92"/>
  <c r="DH125" i="92" s="1"/>
  <c r="I236" i="92"/>
  <c r="H230" i="92"/>
  <c r="Z81" i="92"/>
  <c r="CT128" i="92"/>
  <c r="G224" i="92"/>
  <c r="H102" i="92"/>
  <c r="H93" i="92"/>
  <c r="H189" i="92" s="1"/>
  <c r="H195" i="92" s="1"/>
  <c r="H196" i="92" s="1"/>
  <c r="H97" i="92"/>
  <c r="H205" i="92" s="1"/>
  <c r="H99" i="92"/>
  <c r="H199" i="92" s="1"/>
  <c r="H101" i="92"/>
  <c r="H92" i="92"/>
  <c r="H96" i="92"/>
  <c r="H210" i="92" s="1"/>
  <c r="H85" i="92"/>
  <c r="H74" i="92"/>
  <c r="H89" i="92"/>
  <c r="H183" i="92" s="1"/>
  <c r="H184" i="92" s="1"/>
  <c r="H78" i="92"/>
  <c r="H277" i="92"/>
  <c r="H88" i="92"/>
  <c r="H152" i="92" s="1"/>
  <c r="H157" i="92" s="1"/>
  <c r="H76" i="92"/>
  <c r="H132" i="92"/>
  <c r="H80" i="92"/>
  <c r="H140" i="92" s="1"/>
  <c r="H63" i="92"/>
  <c r="BI81" i="92"/>
  <c r="AP103" i="92"/>
  <c r="AY81" i="92"/>
  <c r="AB90" i="92"/>
  <c r="K231" i="92"/>
  <c r="BL94" i="92"/>
  <c r="BK81" i="92"/>
  <c r="L186" i="92"/>
  <c r="L192" i="92" s="1"/>
  <c r="L193" i="92" s="1"/>
  <c r="L94" i="92"/>
  <c r="AE103" i="92"/>
  <c r="M230" i="92"/>
  <c r="AE81" i="92"/>
  <c r="O148" i="92"/>
  <c r="O156" i="92" s="1"/>
  <c r="O90" i="92"/>
  <c r="T255" i="92"/>
  <c r="J228" i="92"/>
  <c r="CA132" i="92"/>
  <c r="N189" i="92"/>
  <c r="N195" i="92" s="1"/>
  <c r="N196" i="92" s="1"/>
  <c r="N210" i="92"/>
  <c r="AY94" i="92"/>
  <c r="M199" i="92"/>
  <c r="CL117" i="92"/>
  <c r="CL124" i="92" s="1"/>
  <c r="CL132" i="92"/>
  <c r="DF118" i="92"/>
  <c r="P133" i="92"/>
  <c r="DC127" i="92"/>
  <c r="T186" i="92"/>
  <c r="T192" i="92" s="1"/>
  <c r="T193" i="92" s="1"/>
  <c r="T94" i="92"/>
  <c r="G215" i="92"/>
  <c r="CB125" i="92"/>
  <c r="CB132" i="92"/>
  <c r="J232" i="92"/>
  <c r="G205" i="92"/>
  <c r="Q199" i="92"/>
  <c r="CD119" i="92"/>
  <c r="CD126" i="92" s="1"/>
  <c r="DE118" i="92"/>
  <c r="DE125" i="92" s="1"/>
  <c r="G230" i="92"/>
  <c r="U218" i="92"/>
  <c r="R186" i="92"/>
  <c r="R192" i="92" s="1"/>
  <c r="R193" i="92" s="1"/>
  <c r="R94" i="92"/>
  <c r="BM81" i="92"/>
  <c r="M81" i="92"/>
  <c r="CT119" i="92"/>
  <c r="CT126" i="92" s="1"/>
  <c r="G218" i="92"/>
  <c r="CS119" i="92"/>
  <c r="CS126" i="92" s="1"/>
  <c r="F218" i="92"/>
  <c r="F212" i="92"/>
  <c r="R230" i="92"/>
  <c r="AJ81" i="92"/>
  <c r="AS90" i="92"/>
  <c r="AP81" i="92"/>
  <c r="BW81" i="92"/>
  <c r="K233" i="92"/>
  <c r="O152" i="92"/>
  <c r="O157" i="92" s="1"/>
  <c r="BD81" i="92"/>
  <c r="N66" i="92"/>
  <c r="N64" i="92"/>
  <c r="CM132" i="92"/>
  <c r="CM117" i="92"/>
  <c r="Q224" i="92"/>
  <c r="CL121" i="92"/>
  <c r="CL128" i="92" s="1"/>
  <c r="AW94" i="92"/>
  <c r="DD132" i="92"/>
  <c r="CN117" i="92"/>
  <c r="CP125" i="92"/>
  <c r="U215" i="92"/>
  <c r="P218" i="92"/>
  <c r="DC126" i="92"/>
  <c r="T189" i="92"/>
  <c r="T195" i="92" s="1"/>
  <c r="T196" i="92" s="1"/>
  <c r="U205" i="92"/>
  <c r="N232" i="92"/>
  <c r="N255" i="92" s="1"/>
  <c r="K152" i="92"/>
  <c r="K157" i="92" s="1"/>
  <c r="J234" i="92"/>
  <c r="J258" i="92" s="1"/>
  <c r="CT112" i="92"/>
  <c r="CT51" i="92"/>
  <c r="BM103" i="92"/>
  <c r="G186" i="92"/>
  <c r="G192" i="92" s="1"/>
  <c r="G193" i="92" s="1"/>
  <c r="G94" i="92"/>
  <c r="R205" i="92"/>
  <c r="V137" i="92"/>
  <c r="V256" i="92" s="1"/>
  <c r="DE120" i="92"/>
  <c r="DE127" i="92" s="1"/>
  <c r="F224" i="92"/>
  <c r="CA121" i="92"/>
  <c r="CA128" i="92" s="1"/>
  <c r="DH122" i="92"/>
  <c r="DH129" i="92" s="1"/>
  <c r="T218" i="92"/>
  <c r="DG119" i="92"/>
  <c r="DG126" i="92" s="1"/>
  <c r="G81" i="92"/>
  <c r="S218" i="92"/>
  <c r="DF119" i="92"/>
  <c r="DF126" i="92" s="1"/>
  <c r="CS120" i="92"/>
  <c r="CS127" i="92" s="1"/>
  <c r="CK119" i="92"/>
  <c r="CK126" i="92" s="1"/>
  <c r="M212" i="92"/>
  <c r="CZ132" i="92"/>
  <c r="CZ117" i="92"/>
  <c r="CZ124" i="92" s="1"/>
  <c r="AV94" i="92"/>
  <c r="R236" i="92"/>
  <c r="R261" i="92" s="1"/>
  <c r="AE261" i="92" s="1"/>
  <c r="CY121" i="92"/>
  <c r="CY128" i="92" s="1"/>
  <c r="AB103" i="92"/>
  <c r="CY127" i="92"/>
  <c r="K232" i="92"/>
  <c r="J148" i="92"/>
  <c r="J156" i="92" s="1"/>
  <c r="J158" i="92" s="1"/>
  <c r="CV118" i="92"/>
  <c r="CV125" i="92" s="1"/>
  <c r="BA90" i="92"/>
  <c r="Q235" i="92"/>
  <c r="M233" i="92"/>
  <c r="I215" i="92"/>
  <c r="CD118" i="92"/>
  <c r="CD125" i="92" s="1"/>
  <c r="O205" i="92"/>
  <c r="K228" i="92"/>
  <c r="X81" i="92"/>
  <c r="F230" i="92"/>
  <c r="CM126" i="92"/>
  <c r="DA121" i="92"/>
  <c r="DA128" i="92" s="1"/>
  <c r="CL120" i="92"/>
  <c r="BJ94" i="92"/>
  <c r="BV81" i="92"/>
  <c r="CF119" i="92"/>
  <c r="CF126" i="92" s="1"/>
  <c r="CX120" i="92"/>
  <c r="CX127" i="92" s="1"/>
  <c r="CP117" i="92"/>
  <c r="CP124" i="92" s="1"/>
  <c r="CP132" i="92"/>
  <c r="DD118" i="92"/>
  <c r="DD125" i="92" s="1"/>
  <c r="CN120" i="92"/>
  <c r="CO125" i="92"/>
  <c r="T215" i="92"/>
  <c r="V186" i="92"/>
  <c r="V192" i="92" s="1"/>
  <c r="N231" i="92"/>
  <c r="BT94" i="92"/>
  <c r="AU90" i="92"/>
  <c r="K199" i="92"/>
  <c r="CE121" i="92"/>
  <c r="CE128" i="92" s="1"/>
  <c r="J224" i="92"/>
  <c r="G270" i="92"/>
  <c r="G103" i="92"/>
  <c r="Y103" i="92"/>
  <c r="CA122" i="92"/>
  <c r="CT125" i="92"/>
  <c r="I233" i="92"/>
  <c r="DH117" i="92"/>
  <c r="DH124" i="92"/>
  <c r="DH132" i="92"/>
  <c r="U212" i="92"/>
  <c r="DG120" i="92"/>
  <c r="DG127" i="92" s="1"/>
  <c r="DF128" i="92"/>
  <c r="CF117" i="92"/>
  <c r="CF124" i="92" s="1"/>
  <c r="CF132" i="92"/>
  <c r="CS122" i="92"/>
  <c r="CS129" i="92"/>
  <c r="AJ90" i="92"/>
  <c r="AZ90" i="92"/>
  <c r="CZ118" i="92"/>
  <c r="CZ125" i="92" s="1"/>
  <c r="R232" i="92"/>
  <c r="R255" i="92" s="1"/>
  <c r="L148" i="92"/>
  <c r="L156" i="92" s="1"/>
  <c r="L90" i="92"/>
  <c r="CY122" i="92"/>
  <c r="L225" i="92" s="1"/>
  <c r="J90" i="92"/>
  <c r="CV121" i="92"/>
  <c r="CV128" i="92" s="1"/>
  <c r="BB90" i="92"/>
  <c r="CE122" i="92"/>
  <c r="CD122" i="92"/>
  <c r="J233" i="92"/>
  <c r="CD121" i="92"/>
  <c r="CD128" i="92" s="1"/>
  <c r="I224" i="92"/>
  <c r="M231" i="92"/>
  <c r="Q141" i="92"/>
  <c r="N199" i="92"/>
  <c r="M152" i="92"/>
  <c r="M157" i="92" s="1"/>
  <c r="F232" i="92"/>
  <c r="R224" i="92"/>
  <c r="CM121" i="92"/>
  <c r="CM128" i="92" s="1"/>
  <c r="CL119" i="92"/>
  <c r="CL126" i="92" s="1"/>
  <c r="BJ103" i="92"/>
  <c r="AW90" i="92"/>
  <c r="CD127" i="92"/>
  <c r="Q194" i="92"/>
  <c r="CO117" i="92"/>
  <c r="CO124" i="92" s="1"/>
  <c r="CO132" i="92"/>
  <c r="CG132" i="92"/>
  <c r="CG117" i="92"/>
  <c r="CG124" i="92" s="1"/>
  <c r="DD122" i="92"/>
  <c r="DD129" i="92" s="1"/>
  <c r="CE127" i="92"/>
  <c r="CI119" i="92"/>
  <c r="CI126" i="92" s="1"/>
  <c r="J215" i="92"/>
  <c r="CE118" i="92"/>
  <c r="CE125" i="92" s="1"/>
  <c r="J230" i="92"/>
  <c r="AB81" i="92"/>
  <c r="L230" i="92"/>
  <c r="AD81" i="92"/>
  <c r="S224" i="92"/>
  <c r="CN121" i="92"/>
  <c r="CN128" i="92" s="1"/>
  <c r="I77" i="92"/>
  <c r="AS103" i="92"/>
  <c r="DH121" i="92"/>
  <c r="DH128" i="92" s="1"/>
  <c r="L232" i="92"/>
  <c r="S152" i="92"/>
  <c r="S157" i="92" s="1"/>
  <c r="S158" i="92" s="1"/>
  <c r="DH120" i="92"/>
  <c r="DH127" i="92" s="1"/>
  <c r="U232" i="92"/>
  <c r="U255" i="92" s="1"/>
  <c r="CW122" i="92"/>
  <c r="CW129" i="92" s="1"/>
  <c r="DG122" i="92"/>
  <c r="T225" i="92" s="1"/>
  <c r="CF128" i="92"/>
  <c r="K224" i="92"/>
  <c r="CF127" i="92"/>
  <c r="CZ122" i="92"/>
  <c r="CZ129" i="92" s="1"/>
  <c r="R234" i="92"/>
  <c r="DD121" i="92"/>
  <c r="DD128" i="92" s="1"/>
  <c r="CY118" i="92"/>
  <c r="CY125" i="92" s="1"/>
  <c r="BK103" i="92"/>
  <c r="L270" i="92"/>
  <c r="L103" i="92"/>
  <c r="DA120" i="92"/>
  <c r="N221" i="92" s="1"/>
  <c r="G148" i="92"/>
  <c r="G156" i="92" s="1"/>
  <c r="L81" i="92"/>
  <c r="AQ81" i="92"/>
  <c r="K81" i="92"/>
  <c r="M234" i="92"/>
  <c r="M232" i="92"/>
  <c r="CX121" i="92"/>
  <c r="CX128" i="92" s="1"/>
  <c r="BC81" i="92"/>
  <c r="BX81" i="92"/>
  <c r="AC103" i="92"/>
  <c r="F234" i="92"/>
  <c r="R215" i="92"/>
  <c r="CM118" i="92"/>
  <c r="CM125" i="92" s="1"/>
  <c r="Q215" i="92"/>
  <c r="CL125" i="92"/>
  <c r="Q212" i="92"/>
  <c r="CC119" i="92"/>
  <c r="CC126" i="92" s="1"/>
  <c r="CI122" i="92"/>
  <c r="CI129" i="92"/>
  <c r="CZ121" i="92"/>
  <c r="CZ128" i="92" s="1"/>
  <c r="DF120" i="92"/>
  <c r="DF127" i="92" s="1"/>
  <c r="K221" i="92"/>
  <c r="CP120" i="92"/>
  <c r="CO119" i="92"/>
  <c r="CO126" i="92" s="1"/>
  <c r="K148" i="92"/>
  <c r="K156" i="92" s="1"/>
  <c r="K90" i="92"/>
  <c r="H215" i="92"/>
  <c r="CC118" i="92"/>
  <c r="CC125" i="92" s="1"/>
  <c r="J218" i="92"/>
  <c r="CW126" i="92"/>
  <c r="CA120" i="92"/>
  <c r="X94" i="92"/>
  <c r="V234" i="92"/>
  <c r="V258" i="92" s="1"/>
  <c r="DF122" i="92"/>
  <c r="DF129" i="92" s="1"/>
  <c r="CS125" i="92"/>
  <c r="F215" i="92"/>
  <c r="AR81" i="92"/>
  <c r="CX122" i="92"/>
  <c r="CX129" i="92" s="1"/>
  <c r="DH119" i="92"/>
  <c r="DH126" i="92" s="1"/>
  <c r="CX118" i="92"/>
  <c r="CX125" i="92" s="1"/>
  <c r="CO120" i="92"/>
  <c r="Q226" i="92"/>
  <c r="K186" i="92"/>
  <c r="K192" i="92" s="1"/>
  <c r="K193" i="92" s="1"/>
  <c r="J183" i="92"/>
  <c r="J184" i="92" s="1"/>
  <c r="BS81" i="92"/>
  <c r="AU94" i="92"/>
  <c r="H224" i="92"/>
  <c r="CC121" i="92"/>
  <c r="CC128" i="92"/>
  <c r="CW132" i="92"/>
  <c r="J212" i="92"/>
  <c r="CW117" i="92"/>
  <c r="CW124" i="92" s="1"/>
  <c r="BF90" i="92"/>
  <c r="V148" i="92"/>
  <c r="V156" i="92" s="1"/>
  <c r="V158" i="92" s="1"/>
  <c r="DE121" i="92"/>
  <c r="DE128" i="92" s="1"/>
  <c r="Q90" i="92"/>
  <c r="Q148" i="92"/>
  <c r="Q156" i="92" s="1"/>
  <c r="Q158" i="92" s="1"/>
  <c r="CH120" i="92"/>
  <c r="M221" i="92" s="1"/>
  <c r="U234" i="92"/>
  <c r="T234" i="92"/>
  <c r="DG117" i="92"/>
  <c r="DG124" i="92" s="1"/>
  <c r="T212" i="92"/>
  <c r="DG132" i="92"/>
  <c r="CU127" i="92"/>
  <c r="S212" i="92"/>
  <c r="DF117" i="92"/>
  <c r="DF124" i="92"/>
  <c r="DF132" i="92"/>
  <c r="CS121" i="92"/>
  <c r="CS128" i="92" s="1"/>
  <c r="R152" i="92"/>
  <c r="R157" i="92" s="1"/>
  <c r="CK132" i="92"/>
  <c r="CK117" i="92"/>
  <c r="CK124" i="92"/>
  <c r="BI103" i="92"/>
  <c r="AV90" i="92"/>
  <c r="R235" i="92"/>
  <c r="AP94" i="92"/>
  <c r="L218" i="92"/>
  <c r="CY119" i="92"/>
  <c r="CY126" i="92" s="1"/>
  <c r="Q94" i="92"/>
  <c r="BL103" i="92"/>
  <c r="BK94" i="92"/>
  <c r="BV94" i="92"/>
  <c r="CC129" i="92"/>
  <c r="AH81" i="92"/>
  <c r="L234" i="92"/>
  <c r="O189" i="92"/>
  <c r="O195" i="92" s="1"/>
  <c r="O196" i="92" s="1"/>
  <c r="AR103" i="92"/>
  <c r="CC127" i="92"/>
  <c r="AD103" i="92"/>
  <c r="M90" i="92"/>
  <c r="M148" i="92"/>
  <c r="M156" i="92" s="1"/>
  <c r="F235" i="92"/>
  <c r="CM127" i="92"/>
  <c r="AX103" i="92"/>
  <c r="CL122" i="92"/>
  <c r="CL129" i="92" s="1"/>
  <c r="G38" i="91"/>
  <c r="H255" i="92" l="1"/>
  <c r="T258" i="92"/>
  <c r="Z140" i="92"/>
  <c r="L158" i="92"/>
  <c r="AC140" i="92"/>
  <c r="O225" i="92"/>
  <c r="O245" i="92" s="1"/>
  <c r="O246" i="92" s="1"/>
  <c r="P239" i="92"/>
  <c r="V261" i="92"/>
  <c r="V259" i="92"/>
  <c r="N158" i="92"/>
  <c r="N159" i="92" s="1"/>
  <c r="CU156" i="92"/>
  <c r="AE140" i="92"/>
  <c r="N141" i="92"/>
  <c r="DC156" i="92"/>
  <c r="M258" i="92"/>
  <c r="J225" i="92"/>
  <c r="CS156" i="92"/>
  <c r="O141" i="92"/>
  <c r="G255" i="92"/>
  <c r="Q255" i="92"/>
  <c r="J135" i="92"/>
  <c r="F255" i="92"/>
  <c r="F256" i="92" s="1"/>
  <c r="H258" i="92"/>
  <c r="H259" i="92" s="1"/>
  <c r="P225" i="92"/>
  <c r="P252" i="92" s="1"/>
  <c r="U169" i="92"/>
  <c r="CG127" i="92"/>
  <c r="P135" i="92"/>
  <c r="DG129" i="92"/>
  <c r="DG156" i="92" s="1"/>
  <c r="U135" i="92"/>
  <c r="H81" i="92"/>
  <c r="U163" i="92"/>
  <c r="CB156" i="92"/>
  <c r="DB156" i="92"/>
  <c r="U159" i="92"/>
  <c r="M137" i="92"/>
  <c r="M216" i="92" s="1"/>
  <c r="G228" i="92"/>
  <c r="S258" i="92"/>
  <c r="K135" i="92"/>
  <c r="CT127" i="92"/>
  <c r="CW156" i="92"/>
  <c r="Q137" i="92"/>
  <c r="Q259" i="92" s="1"/>
  <c r="U258" i="92"/>
  <c r="L255" i="92"/>
  <c r="I225" i="92"/>
  <c r="I245" i="92" s="1"/>
  <c r="O158" i="92"/>
  <c r="O163" i="92" s="1"/>
  <c r="R221" i="92"/>
  <c r="R239" i="92" s="1"/>
  <c r="U194" i="92"/>
  <c r="U164" i="92"/>
  <c r="O137" i="92"/>
  <c r="Q258" i="92"/>
  <c r="L258" i="92"/>
  <c r="I81" i="92"/>
  <c r="Q221" i="92"/>
  <c r="Q222" i="92" s="1"/>
  <c r="I255" i="92"/>
  <c r="T158" i="92"/>
  <c r="T164" i="92" s="1"/>
  <c r="K225" i="92"/>
  <c r="K252" i="92" s="1"/>
  <c r="S225" i="92"/>
  <c r="S245" i="92" s="1"/>
  <c r="S246" i="92" s="1"/>
  <c r="S221" i="92"/>
  <c r="S239" i="92" s="1"/>
  <c r="S240" i="92" s="1"/>
  <c r="T135" i="92"/>
  <c r="F221" i="92"/>
  <c r="F222" i="92" s="1"/>
  <c r="U221" i="92"/>
  <c r="U239" i="92" s="1"/>
  <c r="R258" i="92"/>
  <c r="J255" i="92"/>
  <c r="S137" i="92"/>
  <c r="S259" i="92" s="1"/>
  <c r="F137" i="92"/>
  <c r="F261" i="92" s="1"/>
  <c r="L141" i="92"/>
  <c r="M225" i="92"/>
  <c r="M245" i="92" s="1"/>
  <c r="L135" i="92"/>
  <c r="U271" i="92"/>
  <c r="U272" i="92" s="1"/>
  <c r="DD156" i="92"/>
  <c r="CC156" i="92"/>
  <c r="H271" i="92"/>
  <c r="CV156" i="92"/>
  <c r="CX156" i="92"/>
  <c r="CG156" i="92"/>
  <c r="O259" i="92"/>
  <c r="O222" i="92"/>
  <c r="O256" i="92"/>
  <c r="CZ156" i="92"/>
  <c r="K133" i="92"/>
  <c r="K194" i="92"/>
  <c r="K226" i="92"/>
  <c r="N133" i="92"/>
  <c r="N226" i="92"/>
  <c r="N194" i="92"/>
  <c r="J133" i="92"/>
  <c r="J194" i="92"/>
  <c r="J226" i="92"/>
  <c r="Q228" i="92"/>
  <c r="Q197" i="92"/>
  <c r="DF125" i="92"/>
  <c r="DF156" i="92" s="1"/>
  <c r="Q213" i="92"/>
  <c r="Q239" i="92"/>
  <c r="Q240" i="92" s="1"/>
  <c r="Q133" i="92"/>
  <c r="AE186" i="92"/>
  <c r="S192" i="92"/>
  <c r="S193" i="92" s="1"/>
  <c r="S135" i="92" s="1"/>
  <c r="M158" i="92"/>
  <c r="P137" i="92"/>
  <c r="P216" i="92" s="1"/>
  <c r="T221" i="92"/>
  <c r="CP127" i="92"/>
  <c r="H137" i="92"/>
  <c r="H256" i="92" s="1"/>
  <c r="CE129" i="92"/>
  <c r="J271" i="92" s="1"/>
  <c r="J272" i="92" s="1"/>
  <c r="CL127" i="92"/>
  <c r="Q271" i="92" s="1"/>
  <c r="Q272" i="92" s="1"/>
  <c r="Q273" i="92" s="1"/>
  <c r="Q274" i="92" s="1"/>
  <c r="Q275" i="92" s="1"/>
  <c r="Q276" i="92" s="1"/>
  <c r="Q278" i="92" s="1"/>
  <c r="P245" i="92"/>
  <c r="V245" i="92"/>
  <c r="V246" i="92" s="1"/>
  <c r="V252" i="92"/>
  <c r="V253" i="92" s="1"/>
  <c r="R225" i="92"/>
  <c r="R252" i="92" s="1"/>
  <c r="CO127" i="92"/>
  <c r="CA127" i="92"/>
  <c r="M255" i="92"/>
  <c r="J252" i="92"/>
  <c r="J245" i="92"/>
  <c r="S219" i="92"/>
  <c r="N137" i="92"/>
  <c r="N216" i="92" s="1"/>
  <c r="O226" i="92"/>
  <c r="O133" i="92"/>
  <c r="O194" i="92"/>
  <c r="K239" i="92"/>
  <c r="F186" i="92"/>
  <c r="F192" i="92" s="1"/>
  <c r="F193" i="92" s="1"/>
  <c r="F94" i="92"/>
  <c r="L239" i="92"/>
  <c r="J239" i="92"/>
  <c r="DH156" i="92"/>
  <c r="V213" i="92"/>
  <c r="V240" i="92"/>
  <c r="R137" i="92"/>
  <c r="R213" i="92" s="1"/>
  <c r="H186" i="92"/>
  <c r="H94" i="92"/>
  <c r="CN127" i="92"/>
  <c r="AD186" i="92"/>
  <c r="M192" i="92"/>
  <c r="M193" i="92" s="1"/>
  <c r="CP156" i="92"/>
  <c r="R133" i="92"/>
  <c r="R226" i="92"/>
  <c r="R194" i="92"/>
  <c r="H64" i="92"/>
  <c r="H141" i="92" s="1"/>
  <c r="H66" i="92"/>
  <c r="F81" i="92"/>
  <c r="F270" i="92"/>
  <c r="F103" i="92"/>
  <c r="CN129" i="92"/>
  <c r="O219" i="92"/>
  <c r="N174" i="92"/>
  <c r="N164" i="92"/>
  <c r="R135" i="92"/>
  <c r="Y140" i="92"/>
  <c r="K141" i="92"/>
  <c r="AD199" i="92"/>
  <c r="CJ124" i="92"/>
  <c r="I137" i="92"/>
  <c r="I222" i="92" s="1"/>
  <c r="M141" i="92"/>
  <c r="AD140" i="92"/>
  <c r="P222" i="92"/>
  <c r="CH126" i="92"/>
  <c r="CH127" i="92"/>
  <c r="F258" i="92"/>
  <c r="L137" i="92"/>
  <c r="U137" i="92"/>
  <c r="U216" i="92" s="1"/>
  <c r="G133" i="92"/>
  <c r="G226" i="92"/>
  <c r="G194" i="92"/>
  <c r="G258" i="92"/>
  <c r="I270" i="92"/>
  <c r="I103" i="92"/>
  <c r="U197" i="92"/>
  <c r="U228" i="92"/>
  <c r="CK127" i="92"/>
  <c r="O228" i="92"/>
  <c r="O197" i="92"/>
  <c r="Q163" i="92"/>
  <c r="Q169" i="92"/>
  <c r="Q164" i="92"/>
  <c r="Q159" i="92"/>
  <c r="Q174" i="92"/>
  <c r="H252" i="92"/>
  <c r="H253" i="92" s="1"/>
  <c r="H245" i="92"/>
  <c r="H246" i="92" s="1"/>
  <c r="G158" i="92"/>
  <c r="CF156" i="92"/>
  <c r="F225" i="92"/>
  <c r="F245" i="92" s="1"/>
  <c r="M239" i="92"/>
  <c r="H197" i="92"/>
  <c r="H228" i="92"/>
  <c r="AE199" i="92"/>
  <c r="O239" i="92"/>
  <c r="O213" i="92"/>
  <c r="Z261" i="92"/>
  <c r="U133" i="92"/>
  <c r="T245" i="92"/>
  <c r="T252" i="92"/>
  <c r="F197" i="92"/>
  <c r="F228" i="92"/>
  <c r="S169" i="92"/>
  <c r="S163" i="92"/>
  <c r="S164" i="92"/>
  <c r="S159" i="92"/>
  <c r="S174" i="92"/>
  <c r="O216" i="92"/>
  <c r="R158" i="92"/>
  <c r="N225" i="92"/>
  <c r="N245" i="92" s="1"/>
  <c r="K271" i="92"/>
  <c r="K272" i="92" s="1"/>
  <c r="CY129" i="92"/>
  <c r="L271" i="92" s="1"/>
  <c r="L272" i="92" s="1"/>
  <c r="L273" i="92" s="1"/>
  <c r="L274" i="92" s="1"/>
  <c r="L275" i="92" s="1"/>
  <c r="L276" i="92" s="1"/>
  <c r="L278" i="92" s="1"/>
  <c r="CA129" i="92"/>
  <c r="K255" i="92"/>
  <c r="F219" i="92"/>
  <c r="T133" i="92"/>
  <c r="T226" i="92"/>
  <c r="T194" i="92"/>
  <c r="N228" i="92"/>
  <c r="N197" i="92"/>
  <c r="L133" i="92"/>
  <c r="L226" i="92"/>
  <c r="L194" i="92"/>
  <c r="H270" i="92"/>
  <c r="H103" i="92"/>
  <c r="I239" i="92"/>
  <c r="G239" i="92"/>
  <c r="Q225" i="92"/>
  <c r="Q252" i="92" s="1"/>
  <c r="Q253" i="92" s="1"/>
  <c r="K158" i="92"/>
  <c r="DA127" i="92"/>
  <c r="DA156" i="92" s="1"/>
  <c r="J137" i="92"/>
  <c r="J222" i="92" s="1"/>
  <c r="K137" i="92"/>
  <c r="K216" i="92" s="1"/>
  <c r="CT122" i="92"/>
  <c r="G225" i="92" s="1"/>
  <c r="G245" i="92" s="1"/>
  <c r="CT132" i="92"/>
  <c r="G135" i="92" s="1"/>
  <c r="I148" i="92"/>
  <c r="I156" i="92" s="1"/>
  <c r="I158" i="92" s="1"/>
  <c r="I90" i="92"/>
  <c r="CK129" i="92"/>
  <c r="N239" i="92"/>
  <c r="V164" i="92"/>
  <c r="V159" i="92"/>
  <c r="V163" i="92"/>
  <c r="N135" i="92"/>
  <c r="H148" i="92"/>
  <c r="H156" i="92" s="1"/>
  <c r="H158" i="92" s="1"/>
  <c r="H90" i="92"/>
  <c r="L228" i="92"/>
  <c r="L197" i="92"/>
  <c r="L252" i="92"/>
  <c r="L245" i="92"/>
  <c r="T228" i="92"/>
  <c r="T197" i="92"/>
  <c r="Q135" i="92"/>
  <c r="I64" i="92"/>
  <c r="I141" i="92" s="1"/>
  <c r="I66" i="92"/>
  <c r="F66" i="92"/>
  <c r="F64" i="92"/>
  <c r="F141" i="92" s="1"/>
  <c r="CM124" i="92"/>
  <c r="O135" i="92"/>
  <c r="AC199" i="92"/>
  <c r="I186" i="92"/>
  <c r="I192" i="92" s="1"/>
  <c r="I193" i="92" s="1"/>
  <c r="I94" i="92"/>
  <c r="F90" i="92"/>
  <c r="F148" i="92"/>
  <c r="F156" i="92" s="1"/>
  <c r="F158" i="92" s="1"/>
  <c r="J169" i="92"/>
  <c r="J159" i="92"/>
  <c r="J164" i="92"/>
  <c r="J174" i="92"/>
  <c r="J163" i="92"/>
  <c r="DE156" i="92"/>
  <c r="T137" i="92"/>
  <c r="T216" i="92" s="1"/>
  <c r="CD129" i="92"/>
  <c r="I271" i="92" s="1"/>
  <c r="I272" i="92" s="1"/>
  <c r="I273" i="92" s="1"/>
  <c r="I274" i="92" s="1"/>
  <c r="I275" i="92" s="1"/>
  <c r="I276" i="92" s="1"/>
  <c r="I278" i="92" s="1"/>
  <c r="L163" i="92"/>
  <c r="L174" i="92"/>
  <c r="L164" i="92"/>
  <c r="L169" i="92"/>
  <c r="L159" i="92"/>
  <c r="V193" i="92"/>
  <c r="V135" i="92"/>
  <c r="U225" i="92"/>
  <c r="U245" i="92" s="1"/>
  <c r="I228" i="92"/>
  <c r="I197" i="92"/>
  <c r="R228" i="92"/>
  <c r="R197" i="92"/>
  <c r="CI156" i="92"/>
  <c r="H239" i="92"/>
  <c r="H213" i="92"/>
  <c r="H240" i="92" l="1"/>
  <c r="O252" i="92"/>
  <c r="O253" i="92" s="1"/>
  <c r="F213" i="92"/>
  <c r="N163" i="92"/>
  <c r="M256" i="92"/>
  <c r="V167" i="92"/>
  <c r="N169" i="92"/>
  <c r="S213" i="92"/>
  <c r="F239" i="92"/>
  <c r="F240" i="92" s="1"/>
  <c r="S216" i="92"/>
  <c r="M219" i="92"/>
  <c r="Q216" i="92"/>
  <c r="T222" i="92"/>
  <c r="M246" i="92"/>
  <c r="Y228" i="92"/>
  <c r="F246" i="92"/>
  <c r="L259" i="92"/>
  <c r="M259" i="92"/>
  <c r="M222" i="92"/>
  <c r="M213" i="92"/>
  <c r="M240" i="92"/>
  <c r="R253" i="92"/>
  <c r="R259" i="92"/>
  <c r="AE259" i="92" s="1"/>
  <c r="R256" i="92"/>
  <c r="I256" i="92"/>
  <c r="AC256" i="92" s="1"/>
  <c r="R216" i="92"/>
  <c r="S222" i="92"/>
  <c r="S256" i="92"/>
  <c r="O164" i="92"/>
  <c r="Q256" i="92"/>
  <c r="O174" i="92"/>
  <c r="I252" i="92"/>
  <c r="I253" i="92" s="1"/>
  <c r="AC253" i="92" s="1"/>
  <c r="O169" i="92"/>
  <c r="T163" i="92"/>
  <c r="L256" i="92"/>
  <c r="F259" i="92"/>
  <c r="K245" i="92"/>
  <c r="K246" i="92" s="1"/>
  <c r="S252" i="92"/>
  <c r="S253" i="92" s="1"/>
  <c r="O159" i="92"/>
  <c r="CN156" i="92"/>
  <c r="T271" i="92"/>
  <c r="T272" i="92" s="1"/>
  <c r="T273" i="92" s="1"/>
  <c r="T274" i="92" s="1"/>
  <c r="T275" i="92" s="1"/>
  <c r="T276" i="92" s="1"/>
  <c r="T278" i="92" s="1"/>
  <c r="AC228" i="92"/>
  <c r="F216" i="92"/>
  <c r="H216" i="92"/>
  <c r="J259" i="92"/>
  <c r="Q219" i="92"/>
  <c r="O240" i="92"/>
  <c r="T159" i="92"/>
  <c r="U246" i="92"/>
  <c r="U256" i="92"/>
  <c r="CL156" i="92"/>
  <c r="N222" i="92"/>
  <c r="CD156" i="92"/>
  <c r="M252" i="92"/>
  <c r="M253" i="92" s="1"/>
  <c r="N259" i="92"/>
  <c r="AD259" i="92" s="1"/>
  <c r="J213" i="92"/>
  <c r="N240" i="92"/>
  <c r="AD240" i="92" s="1"/>
  <c r="J240" i="92"/>
  <c r="Z228" i="92"/>
  <c r="T169" i="92"/>
  <c r="CE156" i="92"/>
  <c r="N246" i="92"/>
  <c r="N271" i="92"/>
  <c r="N272" i="92" s="1"/>
  <c r="K259" i="92"/>
  <c r="N213" i="92"/>
  <c r="G252" i="92"/>
  <c r="CK156" i="92"/>
  <c r="I259" i="92"/>
  <c r="I216" i="92"/>
  <c r="T174" i="92"/>
  <c r="AC259" i="92"/>
  <c r="L240" i="92"/>
  <c r="J256" i="92"/>
  <c r="CH156" i="92"/>
  <c r="M271" i="92"/>
  <c r="M272" i="92" s="1"/>
  <c r="M273" i="92" s="1"/>
  <c r="M274" i="92" s="1"/>
  <c r="M275" i="92" s="1"/>
  <c r="M276" i="92" s="1"/>
  <c r="M278" i="92" s="1"/>
  <c r="F271" i="92"/>
  <c r="F272" i="92" s="1"/>
  <c r="F273" i="92" s="1"/>
  <c r="F274" i="92" s="1"/>
  <c r="F275" i="92" s="1"/>
  <c r="F276" i="92" s="1"/>
  <c r="F278" i="92" s="1"/>
  <c r="CA156" i="92"/>
  <c r="H174" i="92"/>
  <c r="H159" i="92"/>
  <c r="H164" i="92"/>
  <c r="H163" i="92"/>
  <c r="H169" i="92"/>
  <c r="O268" i="92"/>
  <c r="U252" i="92"/>
  <c r="U253" i="92" s="1"/>
  <c r="I133" i="92"/>
  <c r="I226" i="92"/>
  <c r="I194" i="92"/>
  <c r="R245" i="92"/>
  <c r="R246" i="92" s="1"/>
  <c r="G174" i="92"/>
  <c r="G163" i="92"/>
  <c r="G169" i="92"/>
  <c r="G164" i="92"/>
  <c r="G159" i="92"/>
  <c r="S271" i="92"/>
  <c r="S272" i="92" s="1"/>
  <c r="S273" i="92" s="1"/>
  <c r="S274" i="92" s="1"/>
  <c r="S275" i="92" s="1"/>
  <c r="S276" i="92" s="1"/>
  <c r="S278" i="92" s="1"/>
  <c r="I135" i="92"/>
  <c r="N252" i="92"/>
  <c r="N253" i="92" s="1"/>
  <c r="I246" i="92"/>
  <c r="U213" i="92"/>
  <c r="F169" i="92"/>
  <c r="F170" i="92" s="1"/>
  <c r="F164" i="92"/>
  <c r="F165" i="92" s="1"/>
  <c r="F159" i="92"/>
  <c r="F160" i="92" s="1"/>
  <c r="F163" i="92"/>
  <c r="F174" i="92"/>
  <c r="F175" i="92" s="1"/>
  <c r="T213" i="92"/>
  <c r="CT129" i="92"/>
  <c r="CO156" i="92"/>
  <c r="M194" i="92"/>
  <c r="M133" i="92"/>
  <c r="M226" i="92"/>
  <c r="CY156" i="92"/>
  <c r="T239" i="92"/>
  <c r="T240" i="92" s="1"/>
  <c r="K273" i="92"/>
  <c r="K274" i="92" s="1"/>
  <c r="K275" i="92" s="1"/>
  <c r="K276" i="92" s="1"/>
  <c r="K278" i="92" s="1"/>
  <c r="T253" i="92"/>
  <c r="T219" i="92"/>
  <c r="Q245" i="92"/>
  <c r="Q246" i="92" s="1"/>
  <c r="P256" i="92"/>
  <c r="P259" i="92"/>
  <c r="P213" i="92"/>
  <c r="T246" i="92"/>
  <c r="T259" i="92"/>
  <c r="Z259" i="92" s="1"/>
  <c r="M164" i="92"/>
  <c r="M169" i="92"/>
  <c r="M174" i="92"/>
  <c r="M159" i="92"/>
  <c r="M163" i="92"/>
  <c r="AD163" i="92" s="1"/>
  <c r="T256" i="92"/>
  <c r="H272" i="92"/>
  <c r="H273" i="92" s="1"/>
  <c r="H274" i="92" s="1"/>
  <c r="H275" i="92" s="1"/>
  <c r="H276" i="92" s="1"/>
  <c r="H278" i="92" s="1"/>
  <c r="V194" i="92"/>
  <c r="V226" i="92"/>
  <c r="U219" i="92"/>
  <c r="I174" i="92"/>
  <c r="I164" i="92"/>
  <c r="I163" i="92"/>
  <c r="I159" i="92"/>
  <c r="I169" i="92"/>
  <c r="AD228" i="92"/>
  <c r="P240" i="92"/>
  <c r="U222" i="92"/>
  <c r="N273" i="92"/>
  <c r="N274" i="92" s="1"/>
  <c r="N275" i="92" s="1"/>
  <c r="N276" i="92" s="1"/>
  <c r="N278" i="92" s="1"/>
  <c r="R159" i="92"/>
  <c r="R174" i="92"/>
  <c r="R163" i="92"/>
  <c r="R164" i="92"/>
  <c r="R169" i="92"/>
  <c r="CJ156" i="92"/>
  <c r="O271" i="92"/>
  <c r="O272" i="92" s="1"/>
  <c r="O273" i="92" s="1"/>
  <c r="O274" i="92" s="1"/>
  <c r="O275" i="92" s="1"/>
  <c r="O276" i="92" s="1"/>
  <c r="O278" i="92" s="1"/>
  <c r="H192" i="92"/>
  <c r="H193" i="92" s="1"/>
  <c r="AC186" i="92"/>
  <c r="P253" i="92"/>
  <c r="S133" i="92"/>
  <c r="S194" i="92"/>
  <c r="S226" i="92"/>
  <c r="Z226" i="92"/>
  <c r="K219" i="92"/>
  <c r="L222" i="92"/>
  <c r="L216" i="92"/>
  <c r="L213" i="92"/>
  <c r="J246" i="92"/>
  <c r="P246" i="92"/>
  <c r="U240" i="92"/>
  <c r="Q268" i="92"/>
  <c r="J216" i="92"/>
  <c r="L246" i="92"/>
  <c r="P219" i="92"/>
  <c r="J253" i="92"/>
  <c r="J273" i="92"/>
  <c r="J274" i="92" s="1"/>
  <c r="J275" i="92" s="1"/>
  <c r="J276" i="92" s="1"/>
  <c r="J278" i="92" s="1"/>
  <c r="R222" i="92"/>
  <c r="P271" i="92"/>
  <c r="P272" i="92" s="1"/>
  <c r="P273" i="92" s="1"/>
  <c r="P274" i="92" s="1"/>
  <c r="P275" i="92" s="1"/>
  <c r="P276" i="92" s="1"/>
  <c r="P278" i="92" s="1"/>
  <c r="U273" i="92"/>
  <c r="U274" i="92" s="1"/>
  <c r="U275" i="92" s="1"/>
  <c r="U276" i="92" s="1"/>
  <c r="U278" i="92" s="1"/>
  <c r="AE228" i="92"/>
  <c r="L253" i="92"/>
  <c r="R240" i="92"/>
  <c r="Z240" i="92" s="1"/>
  <c r="K174" i="92"/>
  <c r="K163" i="92"/>
  <c r="K169" i="92"/>
  <c r="K159" i="92"/>
  <c r="K164" i="92"/>
  <c r="I213" i="92"/>
  <c r="G137" i="92"/>
  <c r="F133" i="92"/>
  <c r="F226" i="92"/>
  <c r="F194" i="92"/>
  <c r="F135" i="92"/>
  <c r="H222" i="92"/>
  <c r="H219" i="92"/>
  <c r="N256" i="92"/>
  <c r="AD256" i="92" s="1"/>
  <c r="K253" i="92"/>
  <c r="M135" i="92"/>
  <c r="R219" i="92"/>
  <c r="I240" i="92"/>
  <c r="K256" i="92"/>
  <c r="J219" i="92"/>
  <c r="K240" i="92"/>
  <c r="F252" i="92"/>
  <c r="F253" i="92" s="1"/>
  <c r="CM156" i="92"/>
  <c r="R271" i="92"/>
  <c r="R272" i="92" s="1"/>
  <c r="R273" i="92" s="1"/>
  <c r="R274" i="92" s="1"/>
  <c r="R275" i="92" s="1"/>
  <c r="R276" i="92" s="1"/>
  <c r="R278" i="92" s="1"/>
  <c r="L219" i="92"/>
  <c r="I219" i="92"/>
  <c r="K213" i="92"/>
  <c r="K222" i="92"/>
  <c r="N219" i="92"/>
  <c r="J268" i="92" l="1"/>
  <c r="T268" i="92"/>
  <c r="AC240" i="92"/>
  <c r="F268" i="92"/>
  <c r="L268" i="92"/>
  <c r="Y259" i="92"/>
  <c r="Y240" i="92"/>
  <c r="Z253" i="92"/>
  <c r="AE163" i="92"/>
  <c r="S268" i="92"/>
  <c r="Z256" i="92"/>
  <c r="Y256" i="92"/>
  <c r="R279" i="92"/>
  <c r="U268" i="92"/>
  <c r="AE256" i="92"/>
  <c r="AE226" i="92"/>
  <c r="AC163" i="92"/>
  <c r="AE240" i="92"/>
  <c r="AD253" i="92"/>
  <c r="G165" i="92"/>
  <c r="F167" i="92"/>
  <c r="F172" i="92"/>
  <c r="G170" i="92"/>
  <c r="H133" i="92"/>
  <c r="H226" i="92"/>
  <c r="H194" i="92"/>
  <c r="H135" i="92"/>
  <c r="CT156" i="92"/>
  <c r="G271" i="92"/>
  <c r="G272" i="92" s="1"/>
  <c r="G273" i="92" s="1"/>
  <c r="G274" i="92" s="1"/>
  <c r="G275" i="92" s="1"/>
  <c r="G276" i="92" s="1"/>
  <c r="G278" i="92" s="1"/>
  <c r="G279" i="92" s="1"/>
  <c r="I268" i="92"/>
  <c r="Y253" i="92"/>
  <c r="R268" i="92"/>
  <c r="P268" i="92"/>
  <c r="AD226" i="92"/>
  <c r="M268" i="92"/>
  <c r="G256" i="92"/>
  <c r="G222" i="92"/>
  <c r="G216" i="92"/>
  <c r="G213" i="92"/>
  <c r="G219" i="92"/>
  <c r="G259" i="92"/>
  <c r="Y226" i="92"/>
  <c r="G253" i="92"/>
  <c r="K268" i="92"/>
  <c r="F177" i="92"/>
  <c r="G175" i="92"/>
  <c r="AE253" i="92"/>
  <c r="G240" i="92"/>
  <c r="K279" i="92"/>
  <c r="G246" i="92"/>
  <c r="N268" i="92"/>
  <c r="G160" i="92"/>
  <c r="F162" i="92"/>
  <c r="G167" i="92" l="1"/>
  <c r="H165" i="92"/>
  <c r="G268" i="92"/>
  <c r="H268" i="92"/>
  <c r="AC226" i="92"/>
  <c r="H175" i="92"/>
  <c r="G177" i="92"/>
  <c r="G172" i="92"/>
  <c r="H170" i="92"/>
  <c r="G162" i="92"/>
  <c r="H160" i="92"/>
  <c r="H162" i="92" l="1"/>
  <c r="I160" i="92"/>
  <c r="I170" i="92"/>
  <c r="H172" i="92"/>
  <c r="H177" i="92"/>
  <c r="I175" i="92"/>
  <c r="H167" i="92"/>
  <c r="I165" i="92"/>
  <c r="J160" i="92" l="1"/>
  <c r="I162" i="92"/>
  <c r="J165" i="92"/>
  <c r="I167" i="92"/>
  <c r="J175" i="92"/>
  <c r="I177" i="92"/>
  <c r="I172" i="92"/>
  <c r="J170" i="92"/>
  <c r="K170" i="92" l="1"/>
  <c r="J172" i="92"/>
  <c r="J177" i="92"/>
  <c r="K175" i="92"/>
  <c r="J167" i="92"/>
  <c r="K165" i="92"/>
  <c r="J162" i="92"/>
  <c r="K160" i="92"/>
  <c r="K162" i="92" l="1"/>
  <c r="L160" i="92"/>
  <c r="K167" i="92"/>
  <c r="L165" i="92"/>
  <c r="K177" i="92"/>
  <c r="L175" i="92"/>
  <c r="K172" i="92"/>
  <c r="L170" i="92"/>
  <c r="M170" i="92" l="1"/>
  <c r="L172" i="92"/>
  <c r="L177" i="92"/>
  <c r="M175" i="92"/>
  <c r="M165" i="92"/>
  <c r="L167" i="92"/>
  <c r="L162" i="92"/>
  <c r="M160" i="92"/>
  <c r="M167" i="92" l="1"/>
  <c r="N165" i="92"/>
  <c r="N160" i="92"/>
  <c r="M162" i="92"/>
  <c r="N175" i="92"/>
  <c r="M177" i="92"/>
  <c r="M172" i="92"/>
  <c r="N170" i="92"/>
  <c r="O170" i="92" l="1"/>
  <c r="N172" i="92"/>
  <c r="N177" i="92"/>
  <c r="O175" i="92"/>
  <c r="O160" i="92"/>
  <c r="N162" i="92"/>
  <c r="N167" i="92"/>
  <c r="O165" i="92"/>
  <c r="P170" i="92" l="1"/>
  <c r="O172" i="92"/>
  <c r="O167" i="92"/>
  <c r="P165" i="92"/>
  <c r="O162" i="92"/>
  <c r="P160" i="92"/>
  <c r="P175" i="92"/>
  <c r="O177" i="92"/>
  <c r="P162" i="92" l="1"/>
  <c r="Q160" i="92"/>
  <c r="Q165" i="92"/>
  <c r="P167" i="92"/>
  <c r="Q175" i="92"/>
  <c r="P177" i="92"/>
  <c r="Q170" i="92"/>
  <c r="P172" i="92"/>
  <c r="R170" i="92" l="1"/>
  <c r="Q172" i="92"/>
  <c r="R175" i="92"/>
  <c r="Q177" i="92"/>
  <c r="R165" i="92"/>
  <c r="Q167" i="92"/>
  <c r="R160" i="92"/>
  <c r="Q162" i="92"/>
  <c r="R162" i="92" l="1"/>
  <c r="S160" i="92"/>
  <c r="S165" i="92"/>
  <c r="R167" i="92"/>
  <c r="S175" i="92"/>
  <c r="R177" i="92"/>
  <c r="R172" i="92"/>
  <c r="S170" i="92"/>
  <c r="S177" i="92" l="1"/>
  <c r="T175" i="92"/>
  <c r="T165" i="92"/>
  <c r="S167" i="92"/>
  <c r="S172" i="92"/>
  <c r="T170" i="92"/>
  <c r="T160" i="92"/>
  <c r="S162" i="92"/>
  <c r="U170" i="92" l="1"/>
  <c r="U172" i="92" s="1"/>
  <c r="T172" i="92"/>
  <c r="U165" i="92"/>
  <c r="U167" i="92" s="1"/>
  <c r="T167" i="92"/>
  <c r="T162" i="92"/>
  <c r="U160" i="92"/>
  <c r="T177" i="92"/>
  <c r="U175" i="92"/>
  <c r="U177" i="92" s="1"/>
  <c r="U162" i="92" l="1"/>
  <c r="V160" i="92"/>
  <c r="V162" i="92" s="1"/>
  <c r="CO73" i="4" l="1"/>
  <c r="DS73" i="4" l="1"/>
  <c r="EV73" i="4"/>
  <c r="AL79" i="90"/>
  <c r="AK79" i="90"/>
  <c r="AJ79" i="90"/>
  <c r="AI79" i="90"/>
  <c r="AH79" i="90"/>
  <c r="AG79" i="90"/>
  <c r="AF79" i="90"/>
  <c r="AE79" i="90"/>
  <c r="AD79" i="90"/>
  <c r="AC79" i="90"/>
  <c r="AB79" i="90"/>
  <c r="AA79" i="90"/>
  <c r="Z79" i="90"/>
  <c r="Y79" i="90"/>
  <c r="X79" i="90"/>
  <c r="W79" i="90"/>
  <c r="V79" i="90"/>
  <c r="U79" i="90"/>
  <c r="T79" i="90"/>
  <c r="S79" i="90"/>
  <c r="R79" i="90"/>
  <c r="Q79" i="90"/>
  <c r="P79" i="90"/>
  <c r="O79" i="90"/>
  <c r="N79" i="90"/>
  <c r="M79" i="90"/>
  <c r="L79" i="90"/>
  <c r="K79" i="90"/>
  <c r="H79" i="90"/>
  <c r="G79" i="90"/>
  <c r="AI73" i="90"/>
  <c r="AH73" i="90"/>
  <c r="AG73" i="90"/>
  <c r="AF73" i="90"/>
  <c r="AE73" i="90"/>
  <c r="AD73" i="90"/>
  <c r="AC73" i="90"/>
  <c r="AB73" i="90"/>
  <c r="W73" i="90"/>
  <c r="V73" i="90"/>
  <c r="U73" i="90"/>
  <c r="T73" i="90"/>
  <c r="T124" i="90" s="1"/>
  <c r="S73" i="90"/>
  <c r="R73" i="90"/>
  <c r="Q73" i="90"/>
  <c r="P73" i="90"/>
  <c r="K73" i="90"/>
  <c r="J73" i="90"/>
  <c r="I73" i="90"/>
  <c r="H73" i="90"/>
  <c r="G73" i="90"/>
  <c r="AL72" i="90"/>
  <c r="AL73" i="90" s="1"/>
  <c r="AK72" i="90"/>
  <c r="AK73" i="90" s="1"/>
  <c r="AJ72" i="90"/>
  <c r="AJ73" i="90" s="1"/>
  <c r="AI72" i="90"/>
  <c r="AH72" i="90"/>
  <c r="AG72" i="90"/>
  <c r="AF72" i="90"/>
  <c r="AE72" i="90"/>
  <c r="AD72" i="90"/>
  <c r="AC72" i="90"/>
  <c r="AB72" i="90"/>
  <c r="AA72" i="90"/>
  <c r="AA73" i="90" s="1"/>
  <c r="Z72" i="90"/>
  <c r="Z73" i="90" s="1"/>
  <c r="Y72" i="90"/>
  <c r="Y73" i="90" s="1"/>
  <c r="X72" i="90"/>
  <c r="X73" i="90" s="1"/>
  <c r="W72" i="90"/>
  <c r="V72" i="90"/>
  <c r="V124" i="90" s="1"/>
  <c r="U72" i="90"/>
  <c r="U124" i="90" s="1"/>
  <c r="T72" i="90"/>
  <c r="S72" i="90"/>
  <c r="S124" i="90" s="1"/>
  <c r="R72" i="90"/>
  <c r="R124" i="90" s="1"/>
  <c r="Q72" i="90"/>
  <c r="Q124" i="90" s="1"/>
  <c r="P72" i="90"/>
  <c r="O72" i="90"/>
  <c r="O73" i="90" s="1"/>
  <c r="N72" i="90"/>
  <c r="N73" i="90" s="1"/>
  <c r="M72" i="90"/>
  <c r="M73" i="90" s="1"/>
  <c r="L72" i="90"/>
  <c r="L73" i="90" s="1"/>
  <c r="K72" i="90"/>
  <c r="J72" i="90"/>
  <c r="I72" i="90"/>
  <c r="H72" i="90"/>
  <c r="G72" i="90"/>
  <c r="AL64" i="90"/>
  <c r="AK64" i="90"/>
  <c r="AJ64" i="90"/>
  <c r="AI64" i="90"/>
  <c r="AH64" i="90"/>
  <c r="AG64" i="90"/>
  <c r="AF64" i="90"/>
  <c r="AE64" i="90"/>
  <c r="AD64" i="90"/>
  <c r="AC64" i="90"/>
  <c r="AB64" i="90"/>
  <c r="AA64" i="90"/>
  <c r="Z64" i="90"/>
  <c r="Y64" i="90"/>
  <c r="X64" i="90"/>
  <c r="W64" i="90"/>
  <c r="V64" i="90"/>
  <c r="U64" i="90"/>
  <c r="T64" i="90"/>
  <c r="S64" i="90"/>
  <c r="R64" i="90"/>
  <c r="Q64" i="90"/>
  <c r="P64" i="90"/>
  <c r="O64" i="90"/>
  <c r="N64" i="90"/>
  <c r="M64" i="90"/>
  <c r="L64" i="90"/>
  <c r="K64" i="90"/>
  <c r="J64" i="90"/>
  <c r="I64" i="90"/>
  <c r="AL63" i="90"/>
  <c r="AK63" i="90"/>
  <c r="AJ63" i="90"/>
  <c r="AI63" i="90"/>
  <c r="AH63" i="90"/>
  <c r="AG63" i="90"/>
  <c r="AF63" i="90"/>
  <c r="AE63" i="90"/>
  <c r="AD63" i="90"/>
  <c r="AC63" i="90"/>
  <c r="AB63" i="90"/>
  <c r="AA63" i="90"/>
  <c r="Z63" i="90"/>
  <c r="Y63" i="90"/>
  <c r="X63" i="90"/>
  <c r="W63" i="90"/>
  <c r="V63" i="90"/>
  <c r="U63" i="90"/>
  <c r="T63" i="90"/>
  <c r="S63" i="90"/>
  <c r="R63" i="90"/>
  <c r="Q63" i="90"/>
  <c r="P63" i="90"/>
  <c r="O63" i="90"/>
  <c r="N63" i="90"/>
  <c r="M63" i="90"/>
  <c r="L63" i="90"/>
  <c r="K63" i="90"/>
  <c r="J63" i="90"/>
  <c r="I63" i="90"/>
  <c r="AL62" i="90"/>
  <c r="AK62" i="90"/>
  <c r="AJ62" i="90"/>
  <c r="AI62" i="90"/>
  <c r="AH62" i="90"/>
  <c r="AG62" i="90"/>
  <c r="AF62" i="90"/>
  <c r="AE62" i="90"/>
  <c r="AD62" i="90"/>
  <c r="AC62" i="90"/>
  <c r="AB62" i="90"/>
  <c r="AA62" i="90"/>
  <c r="Z62" i="90"/>
  <c r="Y62" i="90"/>
  <c r="X62" i="90"/>
  <c r="W62" i="90"/>
  <c r="V62" i="90"/>
  <c r="U62" i="90"/>
  <c r="T62" i="90"/>
  <c r="S62" i="90"/>
  <c r="R62" i="90"/>
  <c r="Q62" i="90"/>
  <c r="P62" i="90"/>
  <c r="O62" i="90"/>
  <c r="N62" i="90"/>
  <c r="M62" i="90"/>
  <c r="L62" i="90"/>
  <c r="K62" i="90"/>
  <c r="J62" i="90"/>
  <c r="I62" i="90"/>
  <c r="AL61" i="90"/>
  <c r="AK61" i="90"/>
  <c r="AJ61" i="90"/>
  <c r="AI61" i="90"/>
  <c r="AH61" i="90"/>
  <c r="AG61" i="90"/>
  <c r="AF61" i="90"/>
  <c r="AE61" i="90"/>
  <c r="AD61" i="90"/>
  <c r="AC61" i="90"/>
  <c r="AB61" i="90"/>
  <c r="AA61" i="90"/>
  <c r="Z61" i="90"/>
  <c r="Y61" i="90"/>
  <c r="X61" i="90"/>
  <c r="W61" i="90"/>
  <c r="V61" i="90"/>
  <c r="U61" i="90"/>
  <c r="T61" i="90"/>
  <c r="S61" i="90"/>
  <c r="R61" i="90"/>
  <c r="Q61" i="90"/>
  <c r="P61" i="90"/>
  <c r="O61" i="90"/>
  <c r="N61" i="90"/>
  <c r="M61" i="90"/>
  <c r="L61" i="90"/>
  <c r="K61" i="90"/>
  <c r="J61" i="90"/>
  <c r="I61" i="90"/>
  <c r="AL60" i="90"/>
  <c r="AK60" i="90"/>
  <c r="AJ60" i="90"/>
  <c r="AI60" i="90"/>
  <c r="AH60" i="90"/>
  <c r="AG60" i="90"/>
  <c r="AF60" i="90"/>
  <c r="AE60" i="90"/>
  <c r="AD60" i="90"/>
  <c r="AC60" i="90"/>
  <c r="AB60" i="90"/>
  <c r="AA60" i="90"/>
  <c r="Z60" i="90"/>
  <c r="Y60" i="90"/>
  <c r="X60" i="90"/>
  <c r="W60" i="90"/>
  <c r="V60" i="90"/>
  <c r="U60" i="90"/>
  <c r="T60" i="90"/>
  <c r="S60" i="90"/>
  <c r="R60" i="90"/>
  <c r="Q60" i="90"/>
  <c r="P60" i="90"/>
  <c r="O60" i="90"/>
  <c r="N60" i="90"/>
  <c r="M60" i="90"/>
  <c r="L60" i="90"/>
  <c r="K60" i="90"/>
  <c r="J60" i="90"/>
  <c r="I60" i="90"/>
  <c r="AL59" i="90"/>
  <c r="AK59" i="90"/>
  <c r="AJ59" i="90"/>
  <c r="AI59" i="90"/>
  <c r="AH59" i="90"/>
  <c r="AG59" i="90"/>
  <c r="AF59" i="90"/>
  <c r="AE59" i="90"/>
  <c r="AD59" i="90"/>
  <c r="AC59" i="90"/>
  <c r="AB59" i="90"/>
  <c r="AA59" i="90"/>
  <c r="Z59" i="90"/>
  <c r="Y59" i="90"/>
  <c r="X59" i="90"/>
  <c r="W59" i="90"/>
  <c r="V59" i="90"/>
  <c r="U59" i="90"/>
  <c r="T59" i="90"/>
  <c r="S59" i="90"/>
  <c r="R59" i="90"/>
  <c r="Q59" i="90"/>
  <c r="P59" i="90"/>
  <c r="O59" i="90"/>
  <c r="N59" i="90"/>
  <c r="M59" i="90"/>
  <c r="L59" i="90"/>
  <c r="K59" i="90"/>
  <c r="J59" i="90"/>
  <c r="I59" i="90"/>
  <c r="AL58" i="90"/>
  <c r="AK58" i="90"/>
  <c r="AJ58" i="90"/>
  <c r="AI58" i="90"/>
  <c r="AH58" i="90"/>
  <c r="AG58" i="90"/>
  <c r="AF58" i="90"/>
  <c r="AE58" i="90"/>
  <c r="AD58" i="90"/>
  <c r="AC58" i="90"/>
  <c r="AB58" i="90"/>
  <c r="AA58" i="90"/>
  <c r="Z58" i="90"/>
  <c r="Y58" i="90"/>
  <c r="X58" i="90"/>
  <c r="W58" i="90"/>
  <c r="V58" i="90"/>
  <c r="U58" i="90"/>
  <c r="T58" i="90"/>
  <c r="S58" i="90"/>
  <c r="R58" i="90"/>
  <c r="Q58" i="90"/>
  <c r="P58" i="90"/>
  <c r="O58" i="90"/>
  <c r="N58" i="90"/>
  <c r="M58" i="90"/>
  <c r="L58" i="90"/>
  <c r="K58" i="90"/>
  <c r="J58" i="90"/>
  <c r="I58" i="90"/>
  <c r="AL57" i="90"/>
  <c r="AK57" i="90"/>
  <c r="AJ57" i="90"/>
  <c r="AI57" i="90"/>
  <c r="AH57" i="90"/>
  <c r="AG57" i="90"/>
  <c r="AF57" i="90"/>
  <c r="AE57" i="90"/>
  <c r="AD57" i="90"/>
  <c r="AC57" i="90"/>
  <c r="AB57" i="90"/>
  <c r="AA57" i="90"/>
  <c r="Z57" i="90"/>
  <c r="Y57" i="90"/>
  <c r="X57" i="90"/>
  <c r="W57" i="90"/>
  <c r="V57" i="90"/>
  <c r="U57" i="90"/>
  <c r="T57" i="90"/>
  <c r="S57" i="90"/>
  <c r="R57" i="90"/>
  <c r="Q57" i="90"/>
  <c r="P57" i="90"/>
  <c r="O57" i="90"/>
  <c r="N57" i="90"/>
  <c r="M57" i="90"/>
  <c r="L57" i="90"/>
  <c r="K57" i="90"/>
  <c r="J57" i="90"/>
  <c r="I57" i="90"/>
  <c r="AL56" i="90"/>
  <c r="AK56" i="90"/>
  <c r="AJ56" i="90"/>
  <c r="AI56" i="90"/>
  <c r="AH56" i="90"/>
  <c r="AG56" i="90"/>
  <c r="AF56" i="90"/>
  <c r="AE56" i="90"/>
  <c r="AD56" i="90"/>
  <c r="AC56" i="90"/>
  <c r="AB56" i="90"/>
  <c r="AA56" i="90"/>
  <c r="Z56" i="90"/>
  <c r="Y56" i="90"/>
  <c r="X56" i="90"/>
  <c r="W56" i="90"/>
  <c r="V56" i="90"/>
  <c r="U56" i="90"/>
  <c r="T56" i="90"/>
  <c r="S56" i="90"/>
  <c r="R56" i="90"/>
  <c r="Q56" i="90"/>
  <c r="P56" i="90"/>
  <c r="O56" i="90"/>
  <c r="N56" i="90"/>
  <c r="M56" i="90"/>
  <c r="L56" i="90"/>
  <c r="K56" i="90"/>
  <c r="J56" i="90"/>
  <c r="I56" i="90"/>
  <c r="AL55" i="90"/>
  <c r="AK55" i="90"/>
  <c r="AJ55" i="90"/>
  <c r="AI55" i="90"/>
  <c r="AH55" i="90"/>
  <c r="AG55" i="90"/>
  <c r="AF55" i="90"/>
  <c r="AE55" i="90"/>
  <c r="AD55" i="90"/>
  <c r="AC55" i="90"/>
  <c r="AB55" i="90"/>
  <c r="AA55" i="90"/>
  <c r="Z55" i="90"/>
  <c r="Y55" i="90"/>
  <c r="X55" i="90"/>
  <c r="W55" i="90"/>
  <c r="V55" i="90"/>
  <c r="U55" i="90"/>
  <c r="T55" i="90"/>
  <c r="S55" i="90"/>
  <c r="R55" i="90"/>
  <c r="Q55" i="90"/>
  <c r="P55" i="90"/>
  <c r="O55" i="90"/>
  <c r="N55" i="90"/>
  <c r="M55" i="90"/>
  <c r="L55" i="90"/>
  <c r="K55" i="90"/>
  <c r="J55" i="90"/>
  <c r="I55" i="90"/>
  <c r="AL54" i="90"/>
  <c r="AK54" i="90"/>
  <c r="AJ54" i="90"/>
  <c r="AI54" i="90"/>
  <c r="AH54" i="90"/>
  <c r="AG54" i="90"/>
  <c r="AF54" i="90"/>
  <c r="AE54" i="90"/>
  <c r="AD54" i="90"/>
  <c r="AC54" i="90"/>
  <c r="AB54" i="90"/>
  <c r="AA54" i="90"/>
  <c r="Z54" i="90"/>
  <c r="Y54" i="90"/>
  <c r="X54" i="90"/>
  <c r="W54" i="90"/>
  <c r="V54" i="90"/>
  <c r="U54" i="90"/>
  <c r="T54" i="90"/>
  <c r="S54" i="90"/>
  <c r="R54" i="90"/>
  <c r="Q54" i="90"/>
  <c r="P54" i="90"/>
  <c r="O54" i="90"/>
  <c r="N54" i="90"/>
  <c r="M54" i="90"/>
  <c r="L54" i="90"/>
  <c r="K54" i="90"/>
  <c r="J54" i="90"/>
  <c r="I54" i="90"/>
  <c r="AL53" i="90"/>
  <c r="AK53" i="90"/>
  <c r="AJ53" i="90"/>
  <c r="AI53" i="90"/>
  <c r="AH53" i="90"/>
  <c r="AG53" i="90"/>
  <c r="AF53" i="90"/>
  <c r="AE53" i="90"/>
  <c r="AD53" i="90"/>
  <c r="AC53" i="90"/>
  <c r="AB53" i="90"/>
  <c r="AA53" i="90"/>
  <c r="Z53" i="90"/>
  <c r="Y53" i="90"/>
  <c r="X53" i="90"/>
  <c r="W53" i="90"/>
  <c r="V53" i="90"/>
  <c r="U53" i="90"/>
  <c r="T53" i="90"/>
  <c r="S53" i="90"/>
  <c r="R53" i="90"/>
  <c r="Q53" i="90"/>
  <c r="P53" i="90"/>
  <c r="O53" i="90"/>
  <c r="N53" i="90"/>
  <c r="M53" i="90"/>
  <c r="L53" i="90"/>
  <c r="K53" i="90"/>
  <c r="J53" i="90"/>
  <c r="I53" i="90"/>
  <c r="AL52" i="90"/>
  <c r="AK52" i="90"/>
  <c r="AJ52" i="90"/>
  <c r="AI52" i="90"/>
  <c r="AH52" i="90"/>
  <c r="AG52" i="90"/>
  <c r="AF52" i="90"/>
  <c r="AE52" i="90"/>
  <c r="AD52" i="90"/>
  <c r="AC52" i="90"/>
  <c r="AB52" i="90"/>
  <c r="AA52" i="90"/>
  <c r="Z52" i="90"/>
  <c r="Y52" i="90"/>
  <c r="X52" i="90"/>
  <c r="W52" i="90"/>
  <c r="V52" i="90"/>
  <c r="U52" i="90"/>
  <c r="T52" i="90"/>
  <c r="S52" i="90"/>
  <c r="R52" i="90"/>
  <c r="Q52" i="90"/>
  <c r="P52" i="90"/>
  <c r="O52" i="90"/>
  <c r="N52" i="90"/>
  <c r="M52" i="90"/>
  <c r="L52" i="90"/>
  <c r="K52" i="90"/>
  <c r="J52" i="90"/>
  <c r="I52" i="90"/>
  <c r="AL51" i="90"/>
  <c r="AK51" i="90"/>
  <c r="AJ51" i="90"/>
  <c r="AI51" i="90"/>
  <c r="AH51" i="90"/>
  <c r="AG51" i="90"/>
  <c r="AF51" i="90"/>
  <c r="AE51" i="90"/>
  <c r="AD51" i="90"/>
  <c r="AC51" i="90"/>
  <c r="AB51" i="90"/>
  <c r="AA51" i="90"/>
  <c r="Z51" i="90"/>
  <c r="Y51" i="90"/>
  <c r="X51" i="90"/>
  <c r="W51" i="90"/>
  <c r="V51" i="90"/>
  <c r="U51" i="90"/>
  <c r="T51" i="90"/>
  <c r="S51" i="90"/>
  <c r="R51" i="90"/>
  <c r="Q51" i="90"/>
  <c r="P51" i="90"/>
  <c r="O51" i="90"/>
  <c r="N51" i="90"/>
  <c r="M51" i="90"/>
  <c r="L51" i="90"/>
  <c r="K51" i="90"/>
  <c r="J51" i="90"/>
  <c r="I51" i="90"/>
  <c r="AL49" i="90"/>
  <c r="AK49" i="90"/>
  <c r="AJ49" i="90"/>
  <c r="AI49" i="90"/>
  <c r="AH49" i="90"/>
  <c r="AG49" i="90"/>
  <c r="AF49" i="90"/>
  <c r="AE49" i="90"/>
  <c r="AD49" i="90"/>
  <c r="AC49" i="90"/>
  <c r="AB49" i="90"/>
  <c r="AA49" i="90"/>
  <c r="Z49" i="90"/>
  <c r="Y49" i="90"/>
  <c r="X49" i="90"/>
  <c r="W49" i="90"/>
  <c r="V49" i="90"/>
  <c r="U49" i="90"/>
  <c r="T49" i="90"/>
  <c r="S49" i="90"/>
  <c r="R49" i="90"/>
  <c r="Q49" i="90"/>
  <c r="P49" i="90"/>
  <c r="O49" i="90"/>
  <c r="N49" i="90"/>
  <c r="M49" i="90"/>
  <c r="L49" i="90"/>
  <c r="K49" i="90"/>
  <c r="AL48" i="90"/>
  <c r="AK48" i="90"/>
  <c r="AJ48" i="90"/>
  <c r="AI48" i="90"/>
  <c r="AH48" i="90"/>
  <c r="AG48" i="90"/>
  <c r="AF48" i="90"/>
  <c r="AE48" i="90"/>
  <c r="AD48" i="90"/>
  <c r="AC48" i="90"/>
  <c r="AB48" i="90"/>
  <c r="AA48" i="90"/>
  <c r="Z48" i="90"/>
  <c r="Y48" i="90"/>
  <c r="X48" i="90"/>
  <c r="W48" i="90"/>
  <c r="V48" i="90"/>
  <c r="U48" i="90"/>
  <c r="T48" i="90"/>
  <c r="S48" i="90"/>
  <c r="R48" i="90"/>
  <c r="Q48" i="90"/>
  <c r="P48" i="90"/>
  <c r="O48" i="90"/>
  <c r="N48" i="90"/>
  <c r="M48" i="90"/>
  <c r="L48" i="90"/>
  <c r="K48" i="90"/>
  <c r="AL47" i="90"/>
  <c r="AK47" i="90"/>
  <c r="AJ47" i="90"/>
  <c r="AI47" i="90"/>
  <c r="AH47" i="90"/>
  <c r="AG47" i="90"/>
  <c r="AF47" i="90"/>
  <c r="AE47" i="90"/>
  <c r="AD47" i="90"/>
  <c r="AC47" i="90"/>
  <c r="AB47" i="90"/>
  <c r="AA47" i="90"/>
  <c r="Z47" i="90"/>
  <c r="Y47" i="90"/>
  <c r="X47" i="90"/>
  <c r="W47" i="90"/>
  <c r="V47" i="90"/>
  <c r="U47" i="90"/>
  <c r="T47" i="90"/>
  <c r="S47" i="90"/>
  <c r="R47" i="90"/>
  <c r="Q47" i="90"/>
  <c r="P47" i="90"/>
  <c r="O47" i="90"/>
  <c r="N47" i="90"/>
  <c r="M47" i="90"/>
  <c r="L47" i="90"/>
  <c r="K47" i="90"/>
  <c r="AJ34" i="90"/>
  <c r="AI34" i="90"/>
  <c r="AH34" i="90"/>
  <c r="AG34" i="90"/>
  <c r="X34" i="90"/>
  <c r="W34" i="90"/>
  <c r="V34" i="90"/>
  <c r="U34" i="90"/>
  <c r="L34" i="90"/>
  <c r="K34" i="90"/>
  <c r="J34" i="90"/>
  <c r="I34" i="90"/>
  <c r="I31" i="90" s="1"/>
  <c r="I32" i="90" s="1"/>
  <c r="I35" i="90" s="1"/>
  <c r="AD33" i="90"/>
  <c r="AD31" i="90" s="1"/>
  <c r="AD32" i="90" s="1"/>
  <c r="AD35" i="90" s="1"/>
  <c r="AC33" i="90"/>
  <c r="AC31" i="90" s="1"/>
  <c r="AC32" i="90" s="1"/>
  <c r="AC35" i="90" s="1"/>
  <c r="AI31" i="90"/>
  <c r="AI32" i="90" s="1"/>
  <c r="AI35" i="90" s="1"/>
  <c r="AH31" i="90"/>
  <c r="AH32" i="90" s="1"/>
  <c r="AH35" i="90" s="1"/>
  <c r="AG31" i="90"/>
  <c r="AG32" i="90" s="1"/>
  <c r="AG35" i="90" s="1"/>
  <c r="J31" i="90"/>
  <c r="J32" i="90" s="1"/>
  <c r="J35" i="90" s="1"/>
  <c r="AJ30" i="90"/>
  <c r="AJ33" i="90" s="1"/>
  <c r="AJ31" i="90" s="1"/>
  <c r="AJ32" i="90" s="1"/>
  <c r="AJ35" i="90" s="1"/>
  <c r="AI30" i="90"/>
  <c r="AI33" i="90" s="1"/>
  <c r="AH30" i="90"/>
  <c r="AH33" i="90" s="1"/>
  <c r="AG30" i="90"/>
  <c r="AG33" i="90" s="1"/>
  <c r="AF30" i="90"/>
  <c r="AF34" i="90" s="1"/>
  <c r="AE30" i="90"/>
  <c r="AD30" i="90"/>
  <c r="AD34" i="90" s="1"/>
  <c r="AC30" i="90"/>
  <c r="AC34" i="90" s="1"/>
  <c r="X30" i="90"/>
  <c r="X33" i="90" s="1"/>
  <c r="X31" i="90" s="1"/>
  <c r="X32" i="90" s="1"/>
  <c r="X35" i="90" s="1"/>
  <c r="W30" i="90"/>
  <c r="W33" i="90" s="1"/>
  <c r="W31" i="90" s="1"/>
  <c r="W32" i="90" s="1"/>
  <c r="W35" i="90" s="1"/>
  <c r="V30" i="90"/>
  <c r="V33" i="90" s="1"/>
  <c r="V31" i="90" s="1"/>
  <c r="V32" i="90" s="1"/>
  <c r="V35" i="90" s="1"/>
  <c r="U30" i="90"/>
  <c r="U33" i="90" s="1"/>
  <c r="U31" i="90" s="1"/>
  <c r="U32" i="90" s="1"/>
  <c r="U35" i="90" s="1"/>
  <c r="T30" i="90"/>
  <c r="T34" i="90" s="1"/>
  <c r="S30" i="90"/>
  <c r="R30" i="90"/>
  <c r="R34" i="90" s="1"/>
  <c r="Q30" i="90"/>
  <c r="Q34" i="90" s="1"/>
  <c r="L30" i="90"/>
  <c r="L33" i="90" s="1"/>
  <c r="L31" i="90" s="1"/>
  <c r="L32" i="90" s="1"/>
  <c r="L35" i="90" s="1"/>
  <c r="K30" i="90"/>
  <c r="K33" i="90" s="1"/>
  <c r="K31" i="90" s="1"/>
  <c r="K32" i="90" s="1"/>
  <c r="K35" i="90" s="1"/>
  <c r="J30" i="90"/>
  <c r="J33" i="90" s="1"/>
  <c r="I30" i="90"/>
  <c r="I33" i="90" s="1"/>
  <c r="H30" i="90"/>
  <c r="H34" i="90" s="1"/>
  <c r="G30" i="90"/>
  <c r="AL25" i="90"/>
  <c r="AK25" i="90"/>
  <c r="AJ25" i="90"/>
  <c r="AI25" i="90"/>
  <c r="AH25" i="90"/>
  <c r="AG25" i="90"/>
  <c r="AF25" i="90"/>
  <c r="AE25" i="90"/>
  <c r="AD25" i="90"/>
  <c r="AC25" i="90"/>
  <c r="AB25" i="90"/>
  <c r="AA25" i="90"/>
  <c r="Z25" i="90"/>
  <c r="Y25" i="90"/>
  <c r="X25" i="90"/>
  <c r="W25" i="90"/>
  <c r="V25" i="90"/>
  <c r="U25" i="90"/>
  <c r="T25" i="90"/>
  <c r="S25" i="90"/>
  <c r="R25" i="90"/>
  <c r="Q25" i="90"/>
  <c r="P25" i="90"/>
  <c r="O25" i="90"/>
  <c r="N25" i="90"/>
  <c r="M25" i="90"/>
  <c r="L25" i="90"/>
  <c r="K25" i="90"/>
  <c r="H25" i="90"/>
  <c r="G25" i="90"/>
  <c r="J10" i="90"/>
  <c r="I10" i="90"/>
  <c r="H10" i="90"/>
  <c r="G10" i="90"/>
  <c r="O113" i="89"/>
  <c r="N113" i="89"/>
  <c r="M113" i="89"/>
  <c r="L113" i="89"/>
  <c r="K113" i="89"/>
  <c r="O100" i="89"/>
  <c r="N100" i="89"/>
  <c r="M100" i="89"/>
  <c r="L100" i="89"/>
  <c r="K100" i="89"/>
  <c r="AA79" i="89"/>
  <c r="Z79" i="89"/>
  <c r="Y79" i="89"/>
  <c r="X79" i="89"/>
  <c r="W79" i="89"/>
  <c r="V79" i="89"/>
  <c r="U79" i="89"/>
  <c r="T79" i="89"/>
  <c r="S79" i="89"/>
  <c r="R79" i="89"/>
  <c r="Q79" i="89"/>
  <c r="P79" i="89"/>
  <c r="O79" i="89"/>
  <c r="N79" i="89"/>
  <c r="M79" i="89"/>
  <c r="L79" i="89"/>
  <c r="K79" i="89"/>
  <c r="J79" i="89"/>
  <c r="I79" i="89"/>
  <c r="G79" i="89"/>
  <c r="X73" i="89"/>
  <c r="W73" i="89"/>
  <c r="V73" i="89"/>
  <c r="U73" i="89"/>
  <c r="U124" i="89" s="1"/>
  <c r="T73" i="89"/>
  <c r="S73" i="89"/>
  <c r="R73" i="89"/>
  <c r="R124" i="89" s="1"/>
  <c r="Q73" i="89"/>
  <c r="L73" i="89"/>
  <c r="K73" i="89"/>
  <c r="J73" i="89"/>
  <c r="I73" i="89"/>
  <c r="G73" i="89"/>
  <c r="AA72" i="89"/>
  <c r="AA73" i="89" s="1"/>
  <c r="Z72" i="89"/>
  <c r="Z73" i="89" s="1"/>
  <c r="Y72" i="89"/>
  <c r="Y73" i="89" s="1"/>
  <c r="X72" i="89"/>
  <c r="W72" i="89"/>
  <c r="V72" i="89"/>
  <c r="V124" i="89" s="1"/>
  <c r="U72" i="89"/>
  <c r="T72" i="89"/>
  <c r="T124" i="89" s="1"/>
  <c r="S72" i="89"/>
  <c r="S124" i="89" s="1"/>
  <c r="R72" i="89"/>
  <c r="Q72" i="89"/>
  <c r="Q124" i="89" s="1"/>
  <c r="P72" i="89"/>
  <c r="P73" i="89" s="1"/>
  <c r="O72" i="89"/>
  <c r="O73" i="89" s="1"/>
  <c r="N72" i="89"/>
  <c r="N73" i="89" s="1"/>
  <c r="M72" i="89"/>
  <c r="M73" i="89" s="1"/>
  <c r="L72" i="89"/>
  <c r="K72" i="89"/>
  <c r="J72" i="89"/>
  <c r="I72" i="89"/>
  <c r="G72" i="89"/>
  <c r="AA49" i="89"/>
  <c r="Z49" i="89"/>
  <c r="Y49" i="89"/>
  <c r="X49" i="89"/>
  <c r="W49" i="89"/>
  <c r="V49" i="89"/>
  <c r="U49" i="89"/>
  <c r="T49" i="89"/>
  <c r="S49" i="89"/>
  <c r="R49" i="89"/>
  <c r="Q49" i="89"/>
  <c r="P49" i="89"/>
  <c r="O49" i="89"/>
  <c r="N49" i="89"/>
  <c r="M49" i="89"/>
  <c r="L49" i="89"/>
  <c r="K49" i="89"/>
  <c r="AA48" i="89"/>
  <c r="Z48" i="89"/>
  <c r="Y48" i="89"/>
  <c r="X48" i="89"/>
  <c r="W48" i="89"/>
  <c r="V48" i="89"/>
  <c r="U48" i="89"/>
  <c r="T48" i="89"/>
  <c r="S48" i="89"/>
  <c r="R48" i="89"/>
  <c r="Q48" i="89"/>
  <c r="P48" i="89"/>
  <c r="O48" i="89"/>
  <c r="N48" i="89"/>
  <c r="M48" i="89"/>
  <c r="L48" i="89"/>
  <c r="K48" i="89"/>
  <c r="AA47" i="89"/>
  <c r="Z47" i="89"/>
  <c r="Y47" i="89"/>
  <c r="X47" i="89"/>
  <c r="W47" i="89"/>
  <c r="V47" i="89"/>
  <c r="U47" i="89"/>
  <c r="T47" i="89"/>
  <c r="S47" i="89"/>
  <c r="R47" i="89"/>
  <c r="Q47" i="89"/>
  <c r="P47" i="89"/>
  <c r="O47" i="89"/>
  <c r="N47" i="89"/>
  <c r="M47" i="89"/>
  <c r="L47" i="89"/>
  <c r="K47" i="89"/>
  <c r="Y34" i="89"/>
  <c r="T33" i="89"/>
  <c r="H33" i="89"/>
  <c r="AA30" i="89"/>
  <c r="AA34" i="89" s="1"/>
  <c r="Z30" i="89"/>
  <c r="Z33" i="89" s="1"/>
  <c r="Y30" i="89"/>
  <c r="X30" i="89"/>
  <c r="X34" i="89" s="1"/>
  <c r="W30" i="89"/>
  <c r="W34" i="89" s="1"/>
  <c r="T30" i="89"/>
  <c r="T34" i="89" s="1"/>
  <c r="Q30" i="89"/>
  <c r="Q33" i="89" s="1"/>
  <c r="O30" i="89"/>
  <c r="O34" i="89" s="1"/>
  <c r="N30" i="89"/>
  <c r="N34" i="89" s="1"/>
  <c r="M30" i="89"/>
  <c r="M34" i="89" s="1"/>
  <c r="L30" i="89"/>
  <c r="L34" i="89" s="1"/>
  <c r="K30" i="89"/>
  <c r="K34" i="89" s="1"/>
  <c r="H30" i="89"/>
  <c r="H34" i="89" s="1"/>
  <c r="H29" i="89"/>
  <c r="AA25" i="89"/>
  <c r="AA33" i="89" s="1"/>
  <c r="Z25" i="89"/>
  <c r="Y25" i="89"/>
  <c r="Y33" i="89" s="1"/>
  <c r="Y31" i="89" s="1"/>
  <c r="Y32" i="89" s="1"/>
  <c r="Y35" i="89" s="1"/>
  <c r="X25" i="89"/>
  <c r="X33" i="89" s="1"/>
  <c r="X31" i="89" s="1"/>
  <c r="X32" i="89" s="1"/>
  <c r="X35" i="89" s="1"/>
  <c r="W25" i="89"/>
  <c r="W33" i="89" s="1"/>
  <c r="V25" i="89"/>
  <c r="V30" i="89" s="1"/>
  <c r="V34" i="89" s="1"/>
  <c r="U25" i="89"/>
  <c r="U30" i="89" s="1"/>
  <c r="U34" i="89" s="1"/>
  <c r="T25" i="89"/>
  <c r="S25" i="89"/>
  <c r="R25" i="89"/>
  <c r="Q25" i="89"/>
  <c r="P25" i="89"/>
  <c r="O25" i="89"/>
  <c r="O33" i="89" s="1"/>
  <c r="O31" i="89" s="1"/>
  <c r="O32" i="89" s="1"/>
  <c r="O35" i="89" s="1"/>
  <c r="N25" i="89"/>
  <c r="M25" i="89"/>
  <c r="M33" i="89" s="1"/>
  <c r="M31" i="89" s="1"/>
  <c r="M32" i="89" s="1"/>
  <c r="M35" i="89" s="1"/>
  <c r="L25" i="89"/>
  <c r="L33" i="89" s="1"/>
  <c r="L31" i="89" s="1"/>
  <c r="L32" i="89" s="1"/>
  <c r="L35" i="89" s="1"/>
  <c r="K25" i="89"/>
  <c r="K33" i="89" s="1"/>
  <c r="J25" i="89"/>
  <c r="J30" i="89" s="1"/>
  <c r="J34" i="89" s="1"/>
  <c r="I25" i="89"/>
  <c r="I30" i="89" s="1"/>
  <c r="I34" i="89" s="1"/>
  <c r="G25" i="89"/>
  <c r="J10" i="89"/>
  <c r="I10" i="89"/>
  <c r="G10" i="89"/>
  <c r="G6" i="89"/>
  <c r="F146" i="4" l="1"/>
  <c r="N30" i="90"/>
  <c r="N34" i="90" s="1"/>
  <c r="N33" i="90"/>
  <c r="N31" i="90" s="1"/>
  <c r="N32" i="90" s="1"/>
  <c r="N35" i="90" s="1"/>
  <c r="Z30" i="90"/>
  <c r="Z34" i="90" s="1"/>
  <c r="AL30" i="90"/>
  <c r="AL34" i="90" s="1"/>
  <c r="O33" i="90"/>
  <c r="O31" i="90" s="1"/>
  <c r="O32" i="90" s="1"/>
  <c r="O35" i="90" s="1"/>
  <c r="O30" i="90"/>
  <c r="O34" i="90" s="1"/>
  <c r="AA30" i="90"/>
  <c r="AA34" i="90" s="1"/>
  <c r="G34" i="90"/>
  <c r="G39" i="90"/>
  <c r="G38" i="90"/>
  <c r="G37" i="90"/>
  <c r="G36" i="90"/>
  <c r="G33" i="90"/>
  <c r="Q33" i="90"/>
  <c r="Q31" i="90" s="1"/>
  <c r="Q32" i="90" s="1"/>
  <c r="Q35" i="90" s="1"/>
  <c r="R33" i="90"/>
  <c r="R31" i="90" s="1"/>
  <c r="R32" i="90" s="1"/>
  <c r="R35" i="90" s="1"/>
  <c r="AE34" i="90"/>
  <c r="AE33" i="90"/>
  <c r="AE31" i="90" s="1"/>
  <c r="AE32" i="90" s="1"/>
  <c r="AE35" i="90" s="1"/>
  <c r="S34" i="90"/>
  <c r="S33" i="90"/>
  <c r="S31" i="90" s="1"/>
  <c r="S32" i="90" s="1"/>
  <c r="S35" i="90" s="1"/>
  <c r="P124" i="90"/>
  <c r="M30" i="90"/>
  <c r="M34" i="90" s="1"/>
  <c r="Y30" i="90"/>
  <c r="Y34" i="90" s="1"/>
  <c r="AK30" i="90"/>
  <c r="AK34" i="90" s="1"/>
  <c r="H33" i="90"/>
  <c r="H31" i="90" s="1"/>
  <c r="H32" i="90" s="1"/>
  <c r="H35" i="90" s="1"/>
  <c r="AF33" i="90"/>
  <c r="AF31" i="90" s="1"/>
  <c r="AF32" i="90" s="1"/>
  <c r="AF35" i="90" s="1"/>
  <c r="T33" i="90"/>
  <c r="T31" i="90" s="1"/>
  <c r="T32" i="90" s="1"/>
  <c r="T35" i="90" s="1"/>
  <c r="P30" i="90"/>
  <c r="P34" i="90" s="1"/>
  <c r="AB30" i="90"/>
  <c r="AB34" i="90" s="1"/>
  <c r="AA31" i="89"/>
  <c r="AA32" i="89" s="1"/>
  <c r="AA35" i="89" s="1"/>
  <c r="H31" i="89"/>
  <c r="H32" i="89" s="1"/>
  <c r="H35" i="89" s="1"/>
  <c r="S33" i="89"/>
  <c r="S31" i="89" s="1"/>
  <c r="S32" i="89" s="1"/>
  <c r="S35" i="89" s="1"/>
  <c r="T31" i="89"/>
  <c r="T32" i="89" s="1"/>
  <c r="T35" i="89" s="1"/>
  <c r="K31" i="89"/>
  <c r="K32" i="89" s="1"/>
  <c r="K35" i="89" s="1"/>
  <c r="W31" i="89"/>
  <c r="W32" i="89" s="1"/>
  <c r="W35" i="89" s="1"/>
  <c r="Q31" i="89"/>
  <c r="Q32" i="89" s="1"/>
  <c r="Q35" i="89" s="1"/>
  <c r="P30" i="89"/>
  <c r="P34" i="89" s="1"/>
  <c r="P124" i="89"/>
  <c r="U33" i="89"/>
  <c r="U31" i="89" s="1"/>
  <c r="U32" i="89" s="1"/>
  <c r="U35" i="89" s="1"/>
  <c r="Z34" i="89"/>
  <c r="Z31" i="89" s="1"/>
  <c r="Z32" i="89" s="1"/>
  <c r="Z35" i="89" s="1"/>
  <c r="N33" i="89"/>
  <c r="N31" i="89" s="1"/>
  <c r="N32" i="89" s="1"/>
  <c r="N35" i="89" s="1"/>
  <c r="Q34" i="89"/>
  <c r="R30" i="89"/>
  <c r="R34" i="89" s="1"/>
  <c r="G30" i="89"/>
  <c r="G33" i="89" s="1"/>
  <c r="S30" i="89"/>
  <c r="S34" i="89" s="1"/>
  <c r="I33" i="89"/>
  <c r="I31" i="89" s="1"/>
  <c r="I32" i="89" s="1"/>
  <c r="I35" i="89" s="1"/>
  <c r="J33" i="89"/>
  <c r="J31" i="89" s="1"/>
  <c r="J32" i="89" s="1"/>
  <c r="J35" i="89" s="1"/>
  <c r="V33" i="89"/>
  <c r="V31" i="89" s="1"/>
  <c r="V32" i="89" s="1"/>
  <c r="V35" i="89" s="1"/>
  <c r="AA33" i="90" l="1"/>
  <c r="AA31" i="90" s="1"/>
  <c r="AA32" i="90" s="1"/>
  <c r="AA35" i="90" s="1"/>
  <c r="AL33" i="90"/>
  <c r="AL31" i="90" s="1"/>
  <c r="AL32" i="90" s="1"/>
  <c r="AL35" i="90" s="1"/>
  <c r="G31" i="90"/>
  <c r="G32" i="90" s="1"/>
  <c r="G35" i="90" s="1"/>
  <c r="Z33" i="90"/>
  <c r="Z31" i="90" s="1"/>
  <c r="Z32" i="90" s="1"/>
  <c r="Z35" i="90" s="1"/>
  <c r="G40" i="90"/>
  <c r="AK33" i="90"/>
  <c r="AK31" i="90" s="1"/>
  <c r="AK32" i="90" s="1"/>
  <c r="AK35" i="90" s="1"/>
  <c r="AB33" i="90"/>
  <c r="AB31" i="90" s="1"/>
  <c r="AB32" i="90" s="1"/>
  <c r="AB35" i="90" s="1"/>
  <c r="P33" i="90"/>
  <c r="P31" i="90" s="1"/>
  <c r="P32" i="90" s="1"/>
  <c r="P35" i="90" s="1"/>
  <c r="Y33" i="90"/>
  <c r="Y31" i="90" s="1"/>
  <c r="Y32" i="90" s="1"/>
  <c r="Y35" i="90" s="1"/>
  <c r="M33" i="90"/>
  <c r="M31" i="90" s="1"/>
  <c r="M32" i="90" s="1"/>
  <c r="M35" i="90" s="1"/>
  <c r="G38" i="89"/>
  <c r="G37" i="89"/>
  <c r="G36" i="89"/>
  <c r="G34" i="89"/>
  <c r="G31" i="89" s="1"/>
  <c r="G32" i="89" s="1"/>
  <c r="G35" i="89" s="1"/>
  <c r="G39" i="89"/>
  <c r="R33" i="89"/>
  <c r="R31" i="89" s="1"/>
  <c r="R32" i="89" s="1"/>
  <c r="R35" i="89" s="1"/>
  <c r="P33" i="89"/>
  <c r="P31" i="89" s="1"/>
  <c r="P32" i="89" s="1"/>
  <c r="P35" i="89" s="1"/>
  <c r="G40" i="89" l="1"/>
  <c r="AD8" i="4" l="1" a="1"/>
  <c r="Z28" i="4"/>
  <c r="AA28" i="4"/>
  <c r="AB28" i="4"/>
  <c r="AC28" i="4"/>
  <c r="AD28" i="4"/>
  <c r="AE28" i="4"/>
  <c r="AF28" i="4"/>
  <c r="AG28" i="4"/>
  <c r="Y28" i="4"/>
  <c r="Z24" i="4"/>
  <c r="AA24" i="4"/>
  <c r="AB24" i="4"/>
  <c r="AC24" i="4"/>
  <c r="AD24" i="4"/>
  <c r="AE24" i="4"/>
  <c r="AF24" i="4"/>
  <c r="AG24" i="4"/>
  <c r="Y24" i="4"/>
  <c r="Z20" i="4"/>
  <c r="AA20" i="4"/>
  <c r="AB20" i="4"/>
  <c r="AC20" i="4"/>
  <c r="AD20" i="4"/>
  <c r="AE20" i="4"/>
  <c r="AF20" i="4"/>
  <c r="AG20" i="4"/>
  <c r="Y20" i="4"/>
  <c r="Z34" i="4"/>
  <c r="AA34" i="4"/>
  <c r="AB34" i="4"/>
  <c r="AC34" i="4"/>
  <c r="AD34" i="4"/>
  <c r="AE34" i="4"/>
  <c r="AF34" i="4"/>
  <c r="AG34" i="4"/>
  <c r="Z30" i="4"/>
  <c r="AA30" i="4"/>
  <c r="AB30" i="4"/>
  <c r="AC30" i="4"/>
  <c r="AD30" i="4"/>
  <c r="AE30" i="4"/>
  <c r="AF30" i="4"/>
  <c r="AG30" i="4"/>
  <c r="Y34" i="4"/>
  <c r="Y30" i="4"/>
  <c r="T30" i="4"/>
  <c r="U30" i="4"/>
  <c r="V30" i="4"/>
  <c r="W30" i="4"/>
  <c r="X30" i="4"/>
  <c r="T34" i="4"/>
  <c r="U34" i="4"/>
  <c r="V34" i="4"/>
  <c r="W34" i="4"/>
  <c r="X34" i="4"/>
  <c r="Z38" i="4"/>
  <c r="AA38" i="4"/>
  <c r="AB38" i="4"/>
  <c r="AC38" i="4"/>
  <c r="AD38" i="4"/>
  <c r="AE38" i="4"/>
  <c r="AF38" i="4"/>
  <c r="AG38" i="4"/>
  <c r="Y38" i="4"/>
  <c r="Z42" i="4"/>
  <c r="AA42" i="4"/>
  <c r="AB42" i="4"/>
  <c r="AC42" i="4"/>
  <c r="AD42" i="4"/>
  <c r="AE42" i="4"/>
  <c r="AF42" i="4"/>
  <c r="AG42" i="4"/>
  <c r="Y42" i="4"/>
  <c r="Z46" i="4"/>
  <c r="AA46" i="4"/>
  <c r="AB46" i="4"/>
  <c r="AC46" i="4"/>
  <c r="AD46" i="4"/>
  <c r="AE46" i="4"/>
  <c r="AF46" i="4"/>
  <c r="AG46" i="4"/>
  <c r="Y46" i="4"/>
  <c r="U46" i="4"/>
  <c r="V46" i="4"/>
  <c r="W46" i="4"/>
  <c r="X46" i="4"/>
  <c r="T46" i="4"/>
  <c r="S46" i="4"/>
  <c r="R46" i="4"/>
  <c r="Q46" i="4"/>
  <c r="P46" i="4"/>
  <c r="R34" i="4"/>
  <c r="Q34" i="4"/>
  <c r="P34" i="4"/>
  <c r="R38" i="4"/>
  <c r="Q38" i="4"/>
  <c r="P38" i="4"/>
  <c r="R42" i="4"/>
  <c r="Q42" i="4"/>
  <c r="P42" i="4"/>
  <c r="P28" i="4"/>
  <c r="Q28" i="4"/>
  <c r="R28" i="4"/>
  <c r="P24" i="4"/>
  <c r="Q24" i="4"/>
  <c r="R24" i="4"/>
  <c r="P20" i="4"/>
  <c r="Q20" i="4"/>
  <c r="R20" i="4"/>
  <c r="AG79" i="7"/>
  <c r="AH79" i="7"/>
  <c r="AI79" i="7"/>
  <c r="AJ79" i="7"/>
  <c r="AK79" i="7"/>
  <c r="AL79" i="7"/>
  <c r="H50" i="65"/>
  <c r="I50" i="65"/>
  <c r="J50" i="65"/>
  <c r="K50" i="65"/>
  <c r="L50" i="65"/>
  <c r="M50" i="65"/>
  <c r="N50" i="65"/>
  <c r="O50" i="65"/>
  <c r="P50" i="65"/>
  <c r="Q50" i="65"/>
  <c r="R50" i="65"/>
  <c r="S50" i="65"/>
  <c r="T50" i="65"/>
  <c r="U50" i="65"/>
  <c r="V50" i="65"/>
  <c r="W50" i="65"/>
  <c r="X50" i="65"/>
  <c r="Y50" i="65"/>
  <c r="Z50" i="65"/>
  <c r="AA50" i="65"/>
  <c r="AB50" i="65"/>
  <c r="AC50" i="65"/>
  <c r="AD50" i="65"/>
  <c r="AE50" i="65"/>
  <c r="AF50" i="65"/>
  <c r="AG50" i="65"/>
  <c r="AH50" i="65"/>
  <c r="H51" i="65"/>
  <c r="I51" i="65"/>
  <c r="J51" i="65"/>
  <c r="K51" i="65"/>
  <c r="L51" i="65"/>
  <c r="M51" i="65"/>
  <c r="N51" i="65"/>
  <c r="O51" i="65"/>
  <c r="P51" i="65"/>
  <c r="Q51" i="65"/>
  <c r="R51" i="65"/>
  <c r="S51" i="65"/>
  <c r="T51" i="65"/>
  <c r="U51" i="65"/>
  <c r="V51" i="65"/>
  <c r="W51" i="65"/>
  <c r="X51" i="65"/>
  <c r="Y51" i="65"/>
  <c r="Z51" i="65"/>
  <c r="AA51" i="65"/>
  <c r="AB51" i="65"/>
  <c r="AC51" i="65"/>
  <c r="AD51" i="65"/>
  <c r="AE51" i="65"/>
  <c r="AF51" i="65"/>
  <c r="AG51" i="65"/>
  <c r="AH51" i="65"/>
  <c r="H52" i="65"/>
  <c r="I52" i="65"/>
  <c r="J52" i="65"/>
  <c r="K52" i="65"/>
  <c r="L52" i="65"/>
  <c r="M52" i="65"/>
  <c r="N52" i="65"/>
  <c r="O52" i="65"/>
  <c r="P52" i="65"/>
  <c r="Q52" i="65"/>
  <c r="R52" i="65"/>
  <c r="S52" i="65"/>
  <c r="T52" i="65"/>
  <c r="U52" i="65"/>
  <c r="V52" i="65"/>
  <c r="W52" i="65"/>
  <c r="X52" i="65"/>
  <c r="Y52" i="65"/>
  <c r="Z52" i="65"/>
  <c r="AA52" i="65"/>
  <c r="AB52" i="65"/>
  <c r="AC52" i="65"/>
  <c r="AD52" i="65"/>
  <c r="AE52" i="65"/>
  <c r="AF52" i="65"/>
  <c r="AG52" i="65"/>
  <c r="AH52" i="65"/>
  <c r="H53" i="65"/>
  <c r="I53" i="65"/>
  <c r="J53" i="65"/>
  <c r="K53" i="65"/>
  <c r="L53" i="65"/>
  <c r="M53" i="65"/>
  <c r="N53" i="65"/>
  <c r="O53" i="65"/>
  <c r="P53" i="65"/>
  <c r="Q53" i="65"/>
  <c r="R53" i="65"/>
  <c r="S53" i="65"/>
  <c r="T53" i="65"/>
  <c r="U53" i="65"/>
  <c r="V53" i="65"/>
  <c r="W53" i="65"/>
  <c r="X53" i="65"/>
  <c r="Y53" i="65"/>
  <c r="Z53" i="65"/>
  <c r="AA53" i="65"/>
  <c r="AB53" i="65"/>
  <c r="AC53" i="65"/>
  <c r="AD53" i="65"/>
  <c r="AE53" i="65"/>
  <c r="AF53" i="65"/>
  <c r="AG53" i="65"/>
  <c r="AH53" i="65"/>
  <c r="H54" i="65"/>
  <c r="I54" i="65"/>
  <c r="J54" i="65"/>
  <c r="K54" i="65"/>
  <c r="L54" i="65"/>
  <c r="M54" i="65"/>
  <c r="N54" i="65"/>
  <c r="O54" i="65"/>
  <c r="P54" i="65"/>
  <c r="Q54" i="65"/>
  <c r="R54" i="65"/>
  <c r="S54" i="65"/>
  <c r="T54" i="65"/>
  <c r="U54" i="65"/>
  <c r="V54" i="65"/>
  <c r="W54" i="65"/>
  <c r="X54" i="65"/>
  <c r="Y54" i="65"/>
  <c r="Z54" i="65"/>
  <c r="AA54" i="65"/>
  <c r="AB54" i="65"/>
  <c r="AC54" i="65"/>
  <c r="AD54" i="65"/>
  <c r="AE54" i="65"/>
  <c r="AF54" i="65"/>
  <c r="AG54" i="65"/>
  <c r="AH54" i="65"/>
  <c r="H55" i="65"/>
  <c r="I55" i="65"/>
  <c r="J55" i="65"/>
  <c r="K55" i="65"/>
  <c r="L55" i="65"/>
  <c r="M55" i="65"/>
  <c r="N55" i="65"/>
  <c r="O55" i="65"/>
  <c r="P55" i="65"/>
  <c r="Q55" i="65"/>
  <c r="R55" i="65"/>
  <c r="S55" i="65"/>
  <c r="T55" i="65"/>
  <c r="U55" i="65"/>
  <c r="V55" i="65"/>
  <c r="W55" i="65"/>
  <c r="X55" i="65"/>
  <c r="Y55" i="65"/>
  <c r="Z55" i="65"/>
  <c r="AA55" i="65"/>
  <c r="AB55" i="65"/>
  <c r="AC55" i="65"/>
  <c r="AD55" i="65"/>
  <c r="AE55" i="65"/>
  <c r="AF55" i="65"/>
  <c r="AG55" i="65"/>
  <c r="AH55" i="65"/>
  <c r="H56" i="65"/>
  <c r="I56" i="65"/>
  <c r="J56" i="65"/>
  <c r="K56" i="65"/>
  <c r="L56" i="65"/>
  <c r="M56" i="65"/>
  <c r="N56" i="65"/>
  <c r="O56" i="65"/>
  <c r="P56" i="65"/>
  <c r="Q56" i="65"/>
  <c r="R56" i="65"/>
  <c r="S56" i="65"/>
  <c r="T56" i="65"/>
  <c r="U56" i="65"/>
  <c r="V56" i="65"/>
  <c r="W56" i="65"/>
  <c r="X56" i="65"/>
  <c r="Y56" i="65"/>
  <c r="Z56" i="65"/>
  <c r="AA56" i="65"/>
  <c r="AB56" i="65"/>
  <c r="AC56" i="65"/>
  <c r="AD56" i="65"/>
  <c r="AE56" i="65"/>
  <c r="AF56" i="65"/>
  <c r="AG56" i="65"/>
  <c r="AH56" i="65"/>
  <c r="H57" i="65"/>
  <c r="I57" i="65"/>
  <c r="J57" i="65"/>
  <c r="K57" i="65"/>
  <c r="L57" i="65"/>
  <c r="M57" i="65"/>
  <c r="N57" i="65"/>
  <c r="O57" i="65"/>
  <c r="P57" i="65"/>
  <c r="Q57" i="65"/>
  <c r="R57" i="65"/>
  <c r="S57" i="65"/>
  <c r="T57" i="65"/>
  <c r="U57" i="65"/>
  <c r="V57" i="65"/>
  <c r="W57" i="65"/>
  <c r="X57" i="65"/>
  <c r="Y57" i="65"/>
  <c r="Z57" i="65"/>
  <c r="AA57" i="65"/>
  <c r="AB57" i="65"/>
  <c r="AC57" i="65"/>
  <c r="AD57" i="65"/>
  <c r="AE57" i="65"/>
  <c r="AF57" i="65"/>
  <c r="AG57" i="65"/>
  <c r="AH57" i="65"/>
  <c r="H58" i="65"/>
  <c r="I58" i="65"/>
  <c r="J58" i="65"/>
  <c r="K58" i="65"/>
  <c r="L58" i="65"/>
  <c r="M58" i="65"/>
  <c r="N58" i="65"/>
  <c r="O58" i="65"/>
  <c r="P58" i="65"/>
  <c r="Q58" i="65"/>
  <c r="R58" i="65"/>
  <c r="S58" i="65"/>
  <c r="T58" i="65"/>
  <c r="U58" i="65"/>
  <c r="V58" i="65"/>
  <c r="W58" i="65"/>
  <c r="X58" i="65"/>
  <c r="Y58" i="65"/>
  <c r="Z58" i="65"/>
  <c r="AA58" i="65"/>
  <c r="AB58" i="65"/>
  <c r="AC58" i="65"/>
  <c r="AD58" i="65"/>
  <c r="AE58" i="65"/>
  <c r="AF58" i="65"/>
  <c r="AG58" i="65"/>
  <c r="AH58" i="65"/>
  <c r="H59" i="65"/>
  <c r="I59" i="65"/>
  <c r="J59" i="65"/>
  <c r="K59" i="65"/>
  <c r="L59" i="65"/>
  <c r="M59" i="65"/>
  <c r="N59" i="65"/>
  <c r="O59" i="65"/>
  <c r="P59" i="65"/>
  <c r="Q59" i="65"/>
  <c r="R59" i="65"/>
  <c r="S59" i="65"/>
  <c r="T59" i="65"/>
  <c r="U59" i="65"/>
  <c r="V59" i="65"/>
  <c r="W59" i="65"/>
  <c r="X59" i="65"/>
  <c r="Y59" i="65"/>
  <c r="Z59" i="65"/>
  <c r="AA59" i="65"/>
  <c r="AB59" i="65"/>
  <c r="AC59" i="65"/>
  <c r="AD59" i="65"/>
  <c r="AE59" i="65"/>
  <c r="AF59" i="65"/>
  <c r="AG59" i="65"/>
  <c r="AH59" i="65"/>
  <c r="H60" i="65"/>
  <c r="I60" i="65"/>
  <c r="J60" i="65"/>
  <c r="K60" i="65"/>
  <c r="L60" i="65"/>
  <c r="M60" i="65"/>
  <c r="N60" i="65"/>
  <c r="O60" i="65"/>
  <c r="P60" i="65"/>
  <c r="Q60" i="65"/>
  <c r="R60" i="65"/>
  <c r="S60" i="65"/>
  <c r="T60" i="65"/>
  <c r="U60" i="65"/>
  <c r="V60" i="65"/>
  <c r="W60" i="65"/>
  <c r="X60" i="65"/>
  <c r="Y60" i="65"/>
  <c r="Z60" i="65"/>
  <c r="AA60" i="65"/>
  <c r="AB60" i="65"/>
  <c r="AC60" i="65"/>
  <c r="AD60" i="65"/>
  <c r="AE60" i="65"/>
  <c r="AF60" i="65"/>
  <c r="AG60" i="65"/>
  <c r="AH60" i="65"/>
  <c r="H61" i="65"/>
  <c r="I61" i="65"/>
  <c r="J61" i="65"/>
  <c r="K61" i="65"/>
  <c r="L61" i="65"/>
  <c r="M61" i="65"/>
  <c r="N61" i="65"/>
  <c r="O61" i="65"/>
  <c r="P61" i="65"/>
  <c r="Q61" i="65"/>
  <c r="R61" i="65"/>
  <c r="S61" i="65"/>
  <c r="T61" i="65"/>
  <c r="U61" i="65"/>
  <c r="V61" i="65"/>
  <c r="W61" i="65"/>
  <c r="X61" i="65"/>
  <c r="Y61" i="65"/>
  <c r="Z61" i="65"/>
  <c r="AA61" i="65"/>
  <c r="AB61" i="65"/>
  <c r="AC61" i="65"/>
  <c r="AD61" i="65"/>
  <c r="AE61" i="65"/>
  <c r="AF61" i="65"/>
  <c r="AG61" i="65"/>
  <c r="AH61" i="65"/>
  <c r="H62" i="65"/>
  <c r="I62" i="65"/>
  <c r="J62" i="65"/>
  <c r="K62" i="65"/>
  <c r="L62" i="65"/>
  <c r="M62" i="65"/>
  <c r="N62" i="65"/>
  <c r="O62" i="65"/>
  <c r="P62" i="65"/>
  <c r="Q62" i="65"/>
  <c r="R62" i="65"/>
  <c r="S62" i="65"/>
  <c r="T62" i="65"/>
  <c r="U62" i="65"/>
  <c r="V62" i="65"/>
  <c r="W62" i="65"/>
  <c r="X62" i="65"/>
  <c r="Y62" i="65"/>
  <c r="Z62" i="65"/>
  <c r="AA62" i="65"/>
  <c r="AB62" i="65"/>
  <c r="AC62" i="65"/>
  <c r="AD62" i="65"/>
  <c r="AE62" i="65"/>
  <c r="AF62" i="65"/>
  <c r="AG62" i="65"/>
  <c r="AH62" i="65"/>
  <c r="H63" i="65"/>
  <c r="I63" i="65"/>
  <c r="J63" i="65"/>
  <c r="K63" i="65"/>
  <c r="L63" i="65"/>
  <c r="M63" i="65"/>
  <c r="N63" i="65"/>
  <c r="O63" i="65"/>
  <c r="P63" i="65"/>
  <c r="Q63" i="65"/>
  <c r="R63" i="65"/>
  <c r="S63" i="65"/>
  <c r="T63" i="65"/>
  <c r="U63" i="65"/>
  <c r="V63" i="65"/>
  <c r="W63" i="65"/>
  <c r="X63" i="65"/>
  <c r="Y63" i="65"/>
  <c r="Z63" i="65"/>
  <c r="AA63" i="65"/>
  <c r="AB63" i="65"/>
  <c r="AC63" i="65"/>
  <c r="AD63" i="65"/>
  <c r="AE63" i="65"/>
  <c r="AF63" i="65"/>
  <c r="AG63" i="65"/>
  <c r="AH63" i="65"/>
  <c r="AG57" i="4" l="1"/>
  <c r="AD8" i="4"/>
  <c r="AD88" i="4" s="1"/>
  <c r="AD89" i="4"/>
  <c r="AD90" i="4"/>
  <c r="AD91" i="4"/>
  <c r="AD92" i="4"/>
  <c r="AD93" i="4"/>
  <c r="AD94" i="4"/>
  <c r="AG8" i="4" a="1"/>
  <c r="AF8" i="4" a="1"/>
  <c r="AE8" i="4" a="1"/>
  <c r="AC8" i="4" a="1"/>
  <c r="AB8" i="4" a="1"/>
  <c r="W77" i="4"/>
  <c r="X77" i="4"/>
  <c r="Y77" i="4"/>
  <c r="Z77" i="4"/>
  <c r="AA77" i="4"/>
  <c r="AB77" i="4"/>
  <c r="AC77" i="4"/>
  <c r="AD77" i="4"/>
  <c r="AE77" i="4"/>
  <c r="AF77" i="4"/>
  <c r="AG77" i="4"/>
  <c r="V77" i="4"/>
  <c r="BL28" i="80" a="1"/>
  <c r="BL28" i="80" s="1"/>
  <c r="BL22" i="80" a="1"/>
  <c r="BL22" i="80" s="1"/>
  <c r="EO178" i="4"/>
  <c r="EP178" i="4"/>
  <c r="EQ178" i="4"/>
  <c r="ER178" i="4"/>
  <c r="ES178" i="4"/>
  <c r="ET178" i="4"/>
  <c r="BL34" i="4" a="1"/>
  <c r="BL34" i="4" s="1"/>
  <c r="BL24" i="4" a="1"/>
  <c r="BL24" i="4" s="1"/>
  <c r="BL20" i="4" a="1"/>
  <c r="BL20" i="4" s="1"/>
  <c r="EV18" i="4" a="1"/>
  <c r="EV18" i="4" s="1"/>
  <c r="FW8" i="4" a="1"/>
  <c r="FW8" i="4" s="1"/>
  <c r="FV8" i="4" a="1"/>
  <c r="FV8" i="4" s="1"/>
  <c r="FU8" i="4" a="1"/>
  <c r="FU8" i="4" s="1"/>
  <c r="ET8" i="4" a="1"/>
  <c r="ET8" i="4" s="1"/>
  <c r="ES8" i="4" a="1"/>
  <c r="ES8" i="4" s="1"/>
  <c r="ER8" i="4" a="1"/>
  <c r="ER8" i="4" s="1"/>
  <c r="DP73" i="4"/>
  <c r="DP146" i="4" s="1"/>
  <c r="DO73" i="4"/>
  <c r="DO146" i="4" s="1"/>
  <c r="DN73" i="4"/>
  <c r="DN146" i="4" s="1"/>
  <c r="CM73" i="4"/>
  <c r="CM111" i="4" s="1"/>
  <c r="CL73" i="4"/>
  <c r="CL111" i="4" s="1"/>
  <c r="CK73" i="4"/>
  <c r="CK111" i="4" s="1"/>
  <c r="CM53" i="4"/>
  <c r="CL53" i="4"/>
  <c r="CK53" i="4"/>
  <c r="CM52" i="4"/>
  <c r="CL52" i="4"/>
  <c r="CK52" i="4"/>
  <c r="CM51" i="4"/>
  <c r="CL51" i="4"/>
  <c r="CK51" i="4"/>
  <c r="CM50" i="4"/>
  <c r="CL50" i="4"/>
  <c r="CK50" i="4"/>
  <c r="CM46" i="4"/>
  <c r="CL46" i="4"/>
  <c r="CK46" i="4"/>
  <c r="BJ146" i="4"/>
  <c r="BI146" i="4"/>
  <c r="BH146" i="4"/>
  <c r="BJ53" i="4"/>
  <c r="BI53" i="4"/>
  <c r="BH53" i="4"/>
  <c r="BJ52" i="4"/>
  <c r="BI52" i="4"/>
  <c r="BH52" i="4"/>
  <c r="BJ51" i="4"/>
  <c r="BI51" i="4"/>
  <c r="BH51" i="4"/>
  <c r="BJ50" i="4"/>
  <c r="BI50" i="4"/>
  <c r="BH50" i="4"/>
  <c r="BJ46" i="4"/>
  <c r="BI46" i="4"/>
  <c r="BH46" i="4"/>
  <c r="BJ42" i="4"/>
  <c r="BJ111" i="4" s="1"/>
  <c r="BI42" i="4"/>
  <c r="BI111" i="4" s="1"/>
  <c r="BH42" i="4"/>
  <c r="BH111" i="4" s="1"/>
  <c r="BJ38" i="4"/>
  <c r="BJ110" i="4" s="1"/>
  <c r="BI38" i="4"/>
  <c r="BI110" i="4" s="1"/>
  <c r="BH38" i="4"/>
  <c r="BH110" i="4" s="1"/>
  <c r="BJ34" i="4"/>
  <c r="BJ106" i="4" s="1"/>
  <c r="BI34" i="4"/>
  <c r="BI106" i="4" s="1"/>
  <c r="BH34" i="4"/>
  <c r="BH106" i="4" s="1"/>
  <c r="BJ28" i="4"/>
  <c r="BJ103" i="4" s="1"/>
  <c r="BI28" i="4"/>
  <c r="BI103" i="4" s="1"/>
  <c r="BH28" i="4"/>
  <c r="BH103" i="4" s="1"/>
  <c r="BJ24" i="4"/>
  <c r="BJ102" i="4" s="1"/>
  <c r="BI24" i="4"/>
  <c r="BI102" i="4" s="1"/>
  <c r="BH24" i="4"/>
  <c r="BH102" i="4" s="1"/>
  <c r="BJ20" i="4"/>
  <c r="BJ99" i="4" s="1"/>
  <c r="BI20" i="4"/>
  <c r="BI99" i="4" s="1"/>
  <c r="BH20" i="4"/>
  <c r="BH99" i="4" s="1"/>
  <c r="AG205" i="4"/>
  <c r="AG207" i="4" s="1"/>
  <c r="AF205" i="4"/>
  <c r="AF207" i="4" s="1"/>
  <c r="AE205" i="4"/>
  <c r="AE206" i="4" s="1"/>
  <c r="AG146" i="4"/>
  <c r="AF146" i="4"/>
  <c r="AE146" i="4"/>
  <c r="AG107" i="4"/>
  <c r="AF107" i="4"/>
  <c r="AE107" i="4"/>
  <c r="AG106" i="4"/>
  <c r="AF106" i="4"/>
  <c r="AE106" i="4"/>
  <c r="AG53" i="4"/>
  <c r="AF53" i="4"/>
  <c r="AE53" i="4"/>
  <c r="AG52" i="4"/>
  <c r="AF52" i="4"/>
  <c r="AE52" i="4"/>
  <c r="AG51" i="4"/>
  <c r="AF51" i="4"/>
  <c r="AE51" i="4"/>
  <c r="AG50" i="4"/>
  <c r="AF50" i="4"/>
  <c r="AE50" i="4"/>
  <c r="AG113" i="4"/>
  <c r="AF113" i="4"/>
  <c r="AE113" i="4"/>
  <c r="AE230" i="4" s="1"/>
  <c r="AG111" i="4"/>
  <c r="AF111" i="4"/>
  <c r="AE111" i="4"/>
  <c r="AE238" i="4" s="1"/>
  <c r="AG110" i="4"/>
  <c r="AF110" i="4"/>
  <c r="AE110" i="4"/>
  <c r="AE245" i="4" s="1"/>
  <c r="AG103" i="4"/>
  <c r="AG208" i="4" s="1"/>
  <c r="AF103" i="4"/>
  <c r="AF208" i="4" s="1"/>
  <c r="AE103" i="4"/>
  <c r="AE208" i="4" s="1"/>
  <c r="AG100" i="4"/>
  <c r="AF100" i="4"/>
  <c r="AE100" i="4"/>
  <c r="AE99" i="4"/>
  <c r="AE166" i="4" s="1"/>
  <c r="AE178" i="4" s="1"/>
  <c r="EV16" i="80" a="1"/>
  <c r="EV16" i="80" s="1"/>
  <c r="CM39" i="80"/>
  <c r="CL39" i="80"/>
  <c r="CK39" i="80"/>
  <c r="CM38" i="80"/>
  <c r="CL38" i="80"/>
  <c r="CK38" i="80"/>
  <c r="CM37" i="80"/>
  <c r="CL37" i="80"/>
  <c r="CK37" i="80"/>
  <c r="Y57" i="4" l="1"/>
  <c r="AF57" i="4"/>
  <c r="AE57" i="4"/>
  <c r="AD57" i="4"/>
  <c r="Z57" i="4"/>
  <c r="AC57" i="4"/>
  <c r="AB57" i="4"/>
  <c r="AA57" i="4"/>
  <c r="CL146" i="4"/>
  <c r="AE75" i="4"/>
  <c r="CM146" i="4"/>
  <c r="AG75" i="4"/>
  <c r="CK146" i="4"/>
  <c r="AF75" i="4"/>
  <c r="FV124" i="4"/>
  <c r="AG8" i="4"/>
  <c r="AG88" i="4" s="1"/>
  <c r="AG89" i="4"/>
  <c r="AG90" i="4"/>
  <c r="AG91" i="4"/>
  <c r="AG92" i="4"/>
  <c r="AG93" i="4"/>
  <c r="AG94" i="4"/>
  <c r="AA88" i="4"/>
  <c r="AA89" i="4"/>
  <c r="AA90" i="4"/>
  <c r="AA91" i="4"/>
  <c r="AA92" i="4"/>
  <c r="AA93" i="4"/>
  <c r="AA94" i="4"/>
  <c r="AB8" i="4"/>
  <c r="AB88" i="4" s="1"/>
  <c r="AB89" i="4"/>
  <c r="AB90" i="4"/>
  <c r="AB91" i="4"/>
  <c r="AB92" i="4"/>
  <c r="AB93" i="4"/>
  <c r="AB94" i="4"/>
  <c r="Z88" i="4"/>
  <c r="Z89" i="4"/>
  <c r="Z90" i="4"/>
  <c r="Z91" i="4"/>
  <c r="Z92" i="4"/>
  <c r="Z93" i="4"/>
  <c r="Z94" i="4"/>
  <c r="AE8" i="4"/>
  <c r="AE88" i="4" s="1"/>
  <c r="AE89" i="4"/>
  <c r="AE90" i="4"/>
  <c r="AE91" i="4"/>
  <c r="AE92" i="4"/>
  <c r="AE93" i="4"/>
  <c r="AE94" i="4"/>
  <c r="Y88" i="4"/>
  <c r="Y89" i="4"/>
  <c r="Y90" i="4"/>
  <c r="Y91" i="4"/>
  <c r="Y92" i="4"/>
  <c r="Y93" i="4"/>
  <c r="Y94" i="4"/>
  <c r="AC8" i="4"/>
  <c r="AC88" i="4" s="1"/>
  <c r="AC89" i="4"/>
  <c r="AC90" i="4"/>
  <c r="AC91" i="4"/>
  <c r="AC92" i="4"/>
  <c r="AC93" i="4"/>
  <c r="AC94" i="4"/>
  <c r="AF8" i="4"/>
  <c r="AF88" i="4" s="1"/>
  <c r="AF89" i="4"/>
  <c r="AF90" i="4"/>
  <c r="AF91" i="4"/>
  <c r="AF92" i="4"/>
  <c r="AF93" i="4"/>
  <c r="AF94" i="4"/>
  <c r="AD95" i="4"/>
  <c r="FW123" i="4"/>
  <c r="AG253" i="4" s="1"/>
  <c r="FV123" i="4"/>
  <c r="AF253" i="4" s="1"/>
  <c r="FW122" i="4"/>
  <c r="FV122" i="4"/>
  <c r="AF250" i="4" s="1"/>
  <c r="FW121" i="4"/>
  <c r="AG247" i="4" s="1"/>
  <c r="FV121" i="4"/>
  <c r="FW126" i="4"/>
  <c r="FV126" i="4"/>
  <c r="FW125" i="4"/>
  <c r="FV125" i="4"/>
  <c r="FW124" i="4"/>
  <c r="FU125" i="4"/>
  <c r="FU123" i="4"/>
  <c r="FU121" i="4"/>
  <c r="FU126" i="4"/>
  <c r="FU124" i="4"/>
  <c r="FU122" i="4"/>
  <c r="CM102" i="4"/>
  <c r="DN106" i="4"/>
  <c r="DO106" i="4"/>
  <c r="DP106" i="4"/>
  <c r="CK103" i="4"/>
  <c r="CL103" i="4"/>
  <c r="CM103" i="4"/>
  <c r="CM106" i="4"/>
  <c r="CL113" i="4"/>
  <c r="CM99" i="4"/>
  <c r="CK113" i="4"/>
  <c r="CK102" i="4"/>
  <c r="CL102" i="4"/>
  <c r="CM113" i="4"/>
  <c r="CK110" i="4"/>
  <c r="CL110" i="4"/>
  <c r="CM110" i="4"/>
  <c r="CK99" i="4"/>
  <c r="CK106" i="4"/>
  <c r="CL99" i="4"/>
  <c r="CL106" i="4"/>
  <c r="BH104" i="4"/>
  <c r="BI104" i="4"/>
  <c r="BJ104" i="4"/>
  <c r="AE108" i="4"/>
  <c r="AE207" i="4"/>
  <c r="AE97" i="4"/>
  <c r="AE196" i="4" s="1"/>
  <c r="AF206" i="4"/>
  <c r="AG206" i="4"/>
  <c r="AF102" i="4"/>
  <c r="AG102" i="4"/>
  <c r="AF108" i="4"/>
  <c r="AG108" i="4"/>
  <c r="AE102" i="4"/>
  <c r="AE172" i="4" s="1"/>
  <c r="AE179" i="4" s="1"/>
  <c r="AE180" i="4" s="1"/>
  <c r="AG99" i="4"/>
  <c r="AG97" i="4"/>
  <c r="AF99" i="4"/>
  <c r="AF97" i="4"/>
  <c r="AC55" i="4" l="1"/>
  <c r="AE55" i="4"/>
  <c r="AB55" i="4"/>
  <c r="Z55" i="4"/>
  <c r="AG55" i="4"/>
  <c r="AD55" i="4"/>
  <c r="AA55" i="4"/>
  <c r="AB56" i="4"/>
  <c r="Y55" i="4"/>
  <c r="AF55" i="4"/>
  <c r="AE56" i="4"/>
  <c r="AG56" i="4"/>
  <c r="Z95" i="4"/>
  <c r="AG250" i="4"/>
  <c r="AF95" i="4"/>
  <c r="AE95" i="4"/>
  <c r="AA95" i="4"/>
  <c r="Y95" i="4"/>
  <c r="AB95" i="4"/>
  <c r="AC95" i="4"/>
  <c r="AG95" i="4"/>
  <c r="AF247" i="4"/>
  <c r="AG259" i="4"/>
  <c r="AF259" i="4"/>
  <c r="FW146" i="4"/>
  <c r="FV146" i="4"/>
  <c r="AE250" i="4"/>
  <c r="AE247" i="4"/>
  <c r="FU146" i="4"/>
  <c r="AE259" i="4"/>
  <c r="AE253" i="4"/>
  <c r="CM104" i="4"/>
  <c r="CK104" i="4"/>
  <c r="CL104" i="4"/>
  <c r="AE191" i="4"/>
  <c r="AE186" i="4"/>
  <c r="AE181" i="4"/>
  <c r="AE185" i="4"/>
  <c r="AF196" i="4"/>
  <c r="AF191" i="4"/>
  <c r="AG104" i="4"/>
  <c r="AE104" i="4"/>
  <c r="AF104" i="4"/>
  <c r="AG196" i="4"/>
  <c r="AG191" i="4"/>
  <c r="AF56" i="4" l="1"/>
  <c r="AD56" i="4"/>
  <c r="AD58" i="4" s="1"/>
  <c r="Y56" i="4"/>
  <c r="Z56" i="4"/>
  <c r="AA56" i="4"/>
  <c r="AC56" i="4"/>
  <c r="AC58" i="4" s="1"/>
  <c r="AB58" i="4"/>
  <c r="AE58" i="4"/>
  <c r="AG58" i="4"/>
  <c r="AF58" i="4"/>
  <c r="AI61" i="85"/>
  <c r="AH61" i="85"/>
  <c r="AG61" i="85"/>
  <c r="AI60" i="85"/>
  <c r="AH60" i="85"/>
  <c r="AG60" i="85"/>
  <c r="AI59" i="85"/>
  <c r="AH59" i="85"/>
  <c r="AG59" i="85"/>
  <c r="AI58" i="85"/>
  <c r="AH58" i="85"/>
  <c r="AG58" i="85"/>
  <c r="AI57" i="85"/>
  <c r="AH57" i="85"/>
  <c r="AG57" i="85"/>
  <c r="AI56" i="85"/>
  <c r="AH56" i="85"/>
  <c r="AG56" i="85"/>
  <c r="AI55" i="85"/>
  <c r="AH55" i="85"/>
  <c r="AG55" i="85"/>
  <c r="AI53" i="85"/>
  <c r="AH53" i="85"/>
  <c r="AG53" i="85"/>
  <c r="AI52" i="85"/>
  <c r="AH52" i="85"/>
  <c r="AG52" i="85"/>
  <c r="AI51" i="85"/>
  <c r="AH51" i="85"/>
  <c r="AG51" i="85"/>
  <c r="AI50" i="85"/>
  <c r="AH50" i="85"/>
  <c r="AG50" i="85"/>
  <c r="AI49" i="85"/>
  <c r="AH49" i="85"/>
  <c r="AG49" i="85"/>
  <c r="AI48" i="85"/>
  <c r="AH48" i="85"/>
  <c r="AG48" i="85"/>
  <c r="AI47" i="85"/>
  <c r="AH47" i="85"/>
  <c r="AG47" i="85"/>
  <c r="AI46" i="85"/>
  <c r="AH46" i="85"/>
  <c r="AG46" i="85"/>
  <c r="AI45" i="85"/>
  <c r="AH45" i="85"/>
  <c r="AG45" i="85"/>
  <c r="AI44" i="85"/>
  <c r="AH44" i="85"/>
  <c r="AG44" i="85"/>
  <c r="AI43" i="85"/>
  <c r="AH43" i="85"/>
  <c r="AG43" i="85"/>
  <c r="AI42" i="85"/>
  <c r="AH42" i="85"/>
  <c r="AG42" i="85"/>
  <c r="AI41" i="85"/>
  <c r="AH41" i="85"/>
  <c r="AG41" i="85"/>
  <c r="AI40" i="85"/>
  <c r="AH40" i="85"/>
  <c r="AG40" i="85"/>
  <c r="AI26" i="85"/>
  <c r="AH26" i="85"/>
  <c r="AG26" i="85"/>
  <c r="AI25" i="85"/>
  <c r="AH25" i="85"/>
  <c r="AG25" i="85"/>
  <c r="AI22" i="85"/>
  <c r="AI23" i="85" s="1"/>
  <c r="AH22" i="85"/>
  <c r="AH23" i="85" s="1"/>
  <c r="AG22" i="85"/>
  <c r="AG23" i="85" s="1"/>
  <c r="AI18" i="85"/>
  <c r="AH18" i="85"/>
  <c r="AG18" i="85"/>
  <c r="AI62" i="84"/>
  <c r="AH62" i="84"/>
  <c r="AG62" i="84"/>
  <c r="AI53" i="84"/>
  <c r="AH53" i="84"/>
  <c r="AG53" i="84"/>
  <c r="AI52" i="84"/>
  <c r="AH52" i="84"/>
  <c r="AG52" i="84"/>
  <c r="AI51" i="84"/>
  <c r="AH51" i="84"/>
  <c r="AG51" i="84"/>
  <c r="AI50" i="84"/>
  <c r="AH50" i="84"/>
  <c r="AG50" i="84"/>
  <c r="AI49" i="84"/>
  <c r="AH49" i="84"/>
  <c r="AG49" i="84"/>
  <c r="AI48" i="84"/>
  <c r="AH48" i="84"/>
  <c r="AG48" i="84"/>
  <c r="AI47" i="84"/>
  <c r="AH47" i="84"/>
  <c r="AG47" i="84"/>
  <c r="AI46" i="84"/>
  <c r="AH46" i="84"/>
  <c r="AG46" i="84"/>
  <c r="AI45" i="84"/>
  <c r="AH45" i="84"/>
  <c r="AG45" i="84"/>
  <c r="AI44" i="84"/>
  <c r="AH44" i="84"/>
  <c r="AG44" i="84"/>
  <c r="AI43" i="84"/>
  <c r="AH43" i="84"/>
  <c r="AG43" i="84"/>
  <c r="AI42" i="84"/>
  <c r="AH42" i="84"/>
  <c r="AG42" i="84"/>
  <c r="AI41" i="84"/>
  <c r="AH41" i="84"/>
  <c r="AG41" i="84"/>
  <c r="AI40" i="84"/>
  <c r="AH40" i="84"/>
  <c r="AG40" i="84"/>
  <c r="AI26" i="84"/>
  <c r="AH26" i="84"/>
  <c r="AG26" i="84"/>
  <c r="AI22" i="84"/>
  <c r="AI23" i="84" s="1"/>
  <c r="AH22" i="84"/>
  <c r="AH23" i="84" s="1"/>
  <c r="AG22" i="84"/>
  <c r="AG23" i="84" s="1"/>
  <c r="AI18" i="84"/>
  <c r="AH18" i="84"/>
  <c r="AG18" i="84"/>
  <c r="AK89" i="83"/>
  <c r="AJ89" i="83"/>
  <c r="AI89" i="83"/>
  <c r="AK88" i="83"/>
  <c r="AJ88" i="83"/>
  <c r="AI88" i="83"/>
  <c r="AK87" i="83"/>
  <c r="AJ87" i="83"/>
  <c r="AI87" i="83"/>
  <c r="AK71" i="83"/>
  <c r="AJ71" i="83"/>
  <c r="AI71" i="83"/>
  <c r="AK70" i="83"/>
  <c r="AJ70" i="83"/>
  <c r="AI70" i="83"/>
  <c r="AK69" i="83"/>
  <c r="AJ69" i="83"/>
  <c r="AI69" i="83"/>
  <c r="AK68" i="83"/>
  <c r="AJ68" i="83"/>
  <c r="AI68" i="83"/>
  <c r="AK67" i="83"/>
  <c r="AJ67" i="83"/>
  <c r="AI67" i="83"/>
  <c r="AK66" i="83"/>
  <c r="AJ66" i="83"/>
  <c r="AI66" i="83"/>
  <c r="AK64" i="83"/>
  <c r="AJ64" i="83"/>
  <c r="AI64" i="83"/>
  <c r="AK63" i="83"/>
  <c r="AJ63" i="83"/>
  <c r="AI63" i="83"/>
  <c r="AK62" i="83"/>
  <c r="AJ62" i="83"/>
  <c r="AI62" i="83"/>
  <c r="AK61" i="83"/>
  <c r="AJ61" i="83"/>
  <c r="AI61" i="83"/>
  <c r="AK60" i="83"/>
  <c r="AJ60" i="83"/>
  <c r="AI60" i="83"/>
  <c r="AK59" i="83"/>
  <c r="AJ59" i="83"/>
  <c r="AI59" i="83"/>
  <c r="AK58" i="83"/>
  <c r="AJ58" i="83"/>
  <c r="AI58" i="83"/>
  <c r="AK57" i="83"/>
  <c r="AJ57" i="83"/>
  <c r="AI57" i="83"/>
  <c r="AK56" i="83"/>
  <c r="AJ56" i="83"/>
  <c r="AI56" i="83"/>
  <c r="AK55" i="83"/>
  <c r="AJ55" i="83"/>
  <c r="AI55" i="83"/>
  <c r="AK54" i="83"/>
  <c r="AJ54" i="83"/>
  <c r="AI54" i="83"/>
  <c r="AK53" i="83"/>
  <c r="AJ53" i="83"/>
  <c r="AI53" i="83"/>
  <c r="AK52" i="83"/>
  <c r="AJ52" i="83"/>
  <c r="AI52" i="83"/>
  <c r="AK51" i="83"/>
  <c r="AJ51" i="83"/>
  <c r="AI51" i="83"/>
  <c r="AK49" i="83"/>
  <c r="AJ49" i="83"/>
  <c r="AI49" i="83"/>
  <c r="AK48" i="83"/>
  <c r="AJ48" i="83"/>
  <c r="AI48" i="83"/>
  <c r="AK47" i="83"/>
  <c r="AJ47" i="83"/>
  <c r="AI47" i="83"/>
  <c r="AK28" i="83"/>
  <c r="AJ28" i="83"/>
  <c r="AI28" i="83"/>
  <c r="AK27" i="83"/>
  <c r="AJ27" i="83"/>
  <c r="AI27" i="83"/>
  <c r="AK24" i="83"/>
  <c r="AK25" i="83" s="1"/>
  <c r="AJ24" i="83"/>
  <c r="AJ25" i="83" s="1"/>
  <c r="AI24" i="83"/>
  <c r="AI25" i="83" s="1"/>
  <c r="AK20" i="83"/>
  <c r="AJ20" i="83"/>
  <c r="AI20" i="83"/>
  <c r="AK11" i="83"/>
  <c r="AJ11" i="83"/>
  <c r="AI11" i="83"/>
  <c r="AK10" i="83"/>
  <c r="AJ10" i="83"/>
  <c r="AI10" i="83"/>
  <c r="FW8" i="81" a="1"/>
  <c r="FV8" i="81" a="1"/>
  <c r="FV8" i="81" s="1"/>
  <c r="FU8" i="81" a="1"/>
  <c r="FU8" i="81" s="1"/>
  <c r="FT8" i="81" a="1"/>
  <c r="FT8" i="81" s="1"/>
  <c r="FS8" i="81" a="1"/>
  <c r="FS8" i="81" s="1"/>
  <c r="FR8" i="81" a="1"/>
  <c r="FR8" i="81" s="1"/>
  <c r="FQ8" i="81" a="1"/>
  <c r="FQ8" i="81" s="1"/>
  <c r="FP8" i="81" a="1"/>
  <c r="FP8" i="81" s="1"/>
  <c r="FO8" i="81" a="1"/>
  <c r="FO8" i="81" s="1"/>
  <c r="FN8" i="81" a="1"/>
  <c r="FN8" i="81" s="1"/>
  <c r="FM8" i="81" a="1"/>
  <c r="FM8" i="81" s="1"/>
  <c r="EV16" i="81" a="1"/>
  <c r="EV16" i="81" s="1"/>
  <c r="DS16" i="81" a="1"/>
  <c r="DS16" i="81" s="1"/>
  <c r="ET8" i="81" a="1"/>
  <c r="ET8" i="81" s="1"/>
  <c r="ES8" i="81" a="1"/>
  <c r="ES8" i="81" s="1"/>
  <c r="ER8" i="81" a="1"/>
  <c r="ER8" i="81" s="1"/>
  <c r="EQ8" i="81" a="1"/>
  <c r="EQ8" i="81" s="1"/>
  <c r="EP8" i="81" a="1"/>
  <c r="EP8" i="81" s="1"/>
  <c r="EO8" i="81" a="1"/>
  <c r="EO8" i="81" s="1"/>
  <c r="EN8" i="81" a="1"/>
  <c r="EN8" i="81" s="1"/>
  <c r="EM8" i="81" a="1"/>
  <c r="EM8" i="81" s="1"/>
  <c r="EL8" i="81" a="1"/>
  <c r="EL8" i="81" s="1"/>
  <c r="EK8" i="81" a="1"/>
  <c r="EK8" i="81" s="1"/>
  <c r="EJ8" i="81" a="1"/>
  <c r="EJ8" i="81" s="1"/>
  <c r="CO26" i="81" a="1"/>
  <c r="CO26" i="81" s="1"/>
  <c r="AK89" i="82"/>
  <c r="AJ89" i="82"/>
  <c r="AI89" i="82"/>
  <c r="AK88" i="82"/>
  <c r="AJ88" i="82"/>
  <c r="AI88" i="82"/>
  <c r="AK87" i="82"/>
  <c r="AJ87" i="82"/>
  <c r="AI87" i="82"/>
  <c r="AK79" i="82"/>
  <c r="AJ79" i="82"/>
  <c r="AI79" i="82"/>
  <c r="AK73" i="82"/>
  <c r="AJ73" i="82"/>
  <c r="AK72" i="82"/>
  <c r="AJ72" i="82"/>
  <c r="AI72" i="82"/>
  <c r="AI73" i="82" s="1"/>
  <c r="AK64" i="82"/>
  <c r="AJ64" i="82"/>
  <c r="AI64" i="82"/>
  <c r="AK63" i="82"/>
  <c r="AJ63" i="82"/>
  <c r="AI63" i="82"/>
  <c r="AK62" i="82"/>
  <c r="AJ62" i="82"/>
  <c r="AI62" i="82"/>
  <c r="AK61" i="82"/>
  <c r="AJ61" i="82"/>
  <c r="AI61" i="82"/>
  <c r="AK60" i="82"/>
  <c r="AJ60" i="82"/>
  <c r="AI60" i="82"/>
  <c r="AK59" i="82"/>
  <c r="AJ59" i="82"/>
  <c r="AI59" i="82"/>
  <c r="AK58" i="82"/>
  <c r="AJ58" i="82"/>
  <c r="AI58" i="82"/>
  <c r="AK57" i="82"/>
  <c r="AJ57" i="82"/>
  <c r="AI57" i="82"/>
  <c r="AK56" i="82"/>
  <c r="AJ56" i="82"/>
  <c r="AI56" i="82"/>
  <c r="AK55" i="82"/>
  <c r="AJ55" i="82"/>
  <c r="AI55" i="82"/>
  <c r="AK54" i="82"/>
  <c r="AJ54" i="82"/>
  <c r="AI54" i="82"/>
  <c r="AK53" i="82"/>
  <c r="AJ53" i="82"/>
  <c r="AI53" i="82"/>
  <c r="AK52" i="82"/>
  <c r="AJ52" i="82"/>
  <c r="AI52" i="82"/>
  <c r="AK51" i="82"/>
  <c r="AJ51" i="82"/>
  <c r="AI51" i="82"/>
  <c r="AK49" i="82"/>
  <c r="AJ49" i="82"/>
  <c r="AI49" i="82"/>
  <c r="AK48" i="82"/>
  <c r="AJ48" i="82"/>
  <c r="AI48" i="82"/>
  <c r="AK47" i="82"/>
  <c r="AJ47" i="82"/>
  <c r="AI47" i="82"/>
  <c r="AK28" i="82"/>
  <c r="AJ28" i="82"/>
  <c r="AI28" i="82"/>
  <c r="AK27" i="82"/>
  <c r="AJ27" i="82"/>
  <c r="AI27" i="82"/>
  <c r="AK24" i="82"/>
  <c r="AK25" i="82" s="1"/>
  <c r="AJ24" i="82"/>
  <c r="AJ25" i="82" s="1"/>
  <c r="AI24" i="82"/>
  <c r="AI25" i="82" s="1"/>
  <c r="AK20" i="82"/>
  <c r="CM39" i="81" s="1"/>
  <c r="AJ20" i="82"/>
  <c r="CL39" i="81" s="1"/>
  <c r="AI20" i="82"/>
  <c r="CK39" i="81" s="1"/>
  <c r="AG180" i="81"/>
  <c r="AF180" i="81"/>
  <c r="AF181" i="81" s="1"/>
  <c r="AE180" i="81"/>
  <c r="AE182" i="81" s="1"/>
  <c r="AD180" i="81"/>
  <c r="AD182" i="81" s="1"/>
  <c r="AC180" i="81"/>
  <c r="AC182" i="81" s="1"/>
  <c r="AB180" i="81"/>
  <c r="AA180" i="81"/>
  <c r="AA181" i="81" s="1"/>
  <c r="Z180" i="81"/>
  <c r="Z182" i="81" s="1"/>
  <c r="Y180" i="81"/>
  <c r="Y182" i="81" s="1"/>
  <c r="X180" i="81"/>
  <c r="W180" i="81"/>
  <c r="W182" i="81" s="1"/>
  <c r="AG174" i="81"/>
  <c r="AF174" i="81"/>
  <c r="AE174" i="81"/>
  <c r="AD174" i="81"/>
  <c r="AC174" i="81"/>
  <c r="AB174" i="81"/>
  <c r="AA174" i="81"/>
  <c r="Z174" i="81"/>
  <c r="Y174" i="81"/>
  <c r="X174" i="81"/>
  <c r="W174" i="81"/>
  <c r="AG169" i="81"/>
  <c r="AF169" i="81"/>
  <c r="AE169" i="81"/>
  <c r="AD169" i="81"/>
  <c r="AC169" i="81"/>
  <c r="AB169" i="81"/>
  <c r="AA169" i="81"/>
  <c r="Z169" i="81"/>
  <c r="Y169" i="81"/>
  <c r="X169" i="81"/>
  <c r="W169" i="81"/>
  <c r="W140" i="81"/>
  <c r="W141" i="81" s="1"/>
  <c r="FW8" i="80" a="1"/>
  <c r="FW8" i="80" s="1"/>
  <c r="FV8" i="80" a="1"/>
  <c r="FV8" i="80" s="1"/>
  <c r="FU8" i="80" a="1"/>
  <c r="FU8" i="80" s="1"/>
  <c r="ET8" i="80" a="1"/>
  <c r="ET8" i="80" s="1"/>
  <c r="ES8" i="80" a="1"/>
  <c r="ER8" i="80" a="1"/>
  <c r="AG180" i="80"/>
  <c r="AG182" i="80" s="1"/>
  <c r="AF180" i="80"/>
  <c r="AF181" i="80" s="1"/>
  <c r="AE180" i="80"/>
  <c r="AE181" i="80" s="1"/>
  <c r="AG174" i="80"/>
  <c r="AF174" i="80"/>
  <c r="AE174" i="80"/>
  <c r="AG169" i="80"/>
  <c r="AF169" i="80"/>
  <c r="AE169" i="80"/>
  <c r="AG62" i="85" l="1"/>
  <c r="AJ30" i="82"/>
  <c r="AJ34" i="82" s="1"/>
  <c r="AK30" i="82"/>
  <c r="AK34" i="82" s="1"/>
  <c r="AH62" i="85"/>
  <c r="AI62" i="85"/>
  <c r="AI30" i="82"/>
  <c r="AI33" i="82" s="1"/>
  <c r="FW8" i="81"/>
  <c r="AG28" i="85"/>
  <c r="AG32" i="85" s="1"/>
  <c r="AH28" i="85"/>
  <c r="AH32" i="85" s="1"/>
  <c r="AI28" i="85"/>
  <c r="AI32" i="85" s="1"/>
  <c r="AH28" i="84"/>
  <c r="AH32" i="84" s="1"/>
  <c r="AI28" i="84"/>
  <c r="AI31" i="84" s="1"/>
  <c r="AG28" i="84"/>
  <c r="AG32" i="84" s="1"/>
  <c r="AI30" i="83"/>
  <c r="AI33" i="83" s="1"/>
  <c r="AJ30" i="83"/>
  <c r="AJ34" i="83" s="1"/>
  <c r="AK30" i="83"/>
  <c r="AK34" i="83" s="1"/>
  <c r="W181" i="81"/>
  <c r="Y181" i="81"/>
  <c r="Z181" i="81"/>
  <c r="AC181" i="81"/>
  <c r="AD181" i="81"/>
  <c r="AE181" i="81"/>
  <c r="X182" i="81"/>
  <c r="X181" i="81"/>
  <c r="AF182" i="81"/>
  <c r="AA182" i="81"/>
  <c r="AG181" i="81"/>
  <c r="AG182" i="81"/>
  <c r="AB181" i="81"/>
  <c r="AB182" i="81"/>
  <c r="ER8" i="80"/>
  <c r="ES8" i="80"/>
  <c r="AE182" i="80"/>
  <c r="AF182" i="80"/>
  <c r="AG181" i="80"/>
  <c r="AL72" i="7"/>
  <c r="AK72" i="7"/>
  <c r="AJ72" i="7"/>
  <c r="AL64" i="7"/>
  <c r="AK64" i="7"/>
  <c r="AJ64" i="7"/>
  <c r="AL63" i="7"/>
  <c r="AK63" i="7"/>
  <c r="AJ63" i="7"/>
  <c r="AL62" i="7"/>
  <c r="AK62" i="7"/>
  <c r="AJ62" i="7"/>
  <c r="AL61" i="7"/>
  <c r="AK61" i="7"/>
  <c r="AJ61" i="7"/>
  <c r="AL60" i="7"/>
  <c r="AK60" i="7"/>
  <c r="AJ60" i="7"/>
  <c r="AL59" i="7"/>
  <c r="AK59" i="7"/>
  <c r="AJ59" i="7"/>
  <c r="AL58" i="7"/>
  <c r="AK58" i="7"/>
  <c r="AJ58" i="7"/>
  <c r="AL57" i="7"/>
  <c r="AK57" i="7"/>
  <c r="AJ57" i="7"/>
  <c r="AL56" i="7"/>
  <c r="AK56" i="7"/>
  <c r="AJ56" i="7"/>
  <c r="AL55" i="7"/>
  <c r="AK55" i="7"/>
  <c r="AJ55" i="7"/>
  <c r="AL54" i="7"/>
  <c r="AK54" i="7"/>
  <c r="AJ54" i="7"/>
  <c r="AL53" i="7"/>
  <c r="AK53" i="7"/>
  <c r="AJ53" i="7"/>
  <c r="AL52" i="7"/>
  <c r="AK52" i="7"/>
  <c r="AJ52" i="7"/>
  <c r="AL51" i="7"/>
  <c r="AK51" i="7"/>
  <c r="AJ51" i="7"/>
  <c r="AL25" i="7"/>
  <c r="AL30" i="7" s="1"/>
  <c r="AL34" i="7" s="1"/>
  <c r="AK25" i="7"/>
  <c r="AJ25" i="7"/>
  <c r="AI62" i="6"/>
  <c r="AH62" i="6"/>
  <c r="AG62" i="6"/>
  <c r="AI53" i="6"/>
  <c r="AH53" i="6"/>
  <c r="AG53" i="6"/>
  <c r="AI52" i="6"/>
  <c r="AH52" i="6"/>
  <c r="AG52" i="6"/>
  <c r="AI51" i="6"/>
  <c r="AH51" i="6"/>
  <c r="AG51" i="6"/>
  <c r="AI50" i="6"/>
  <c r="AH50" i="6"/>
  <c r="AG50" i="6"/>
  <c r="AI49" i="6"/>
  <c r="AH49" i="6"/>
  <c r="AG49" i="6"/>
  <c r="AI48" i="6"/>
  <c r="AH48" i="6"/>
  <c r="AG48" i="6"/>
  <c r="AI47" i="6"/>
  <c r="AH47" i="6"/>
  <c r="AG47" i="6"/>
  <c r="AI46" i="6"/>
  <c r="AH46" i="6"/>
  <c r="AG46" i="6"/>
  <c r="AI45" i="6"/>
  <c r="AH45" i="6"/>
  <c r="AG45" i="6"/>
  <c r="AI44" i="6"/>
  <c r="AH44" i="6"/>
  <c r="AG44" i="6"/>
  <c r="AI43" i="6"/>
  <c r="AH43" i="6"/>
  <c r="AG43" i="6"/>
  <c r="AI42" i="6"/>
  <c r="AH42" i="6"/>
  <c r="AG42" i="6"/>
  <c r="AI41" i="6"/>
  <c r="AH41" i="6"/>
  <c r="AG41" i="6"/>
  <c r="AI40" i="6"/>
  <c r="AH40" i="6"/>
  <c r="AG40" i="6"/>
  <c r="AI23" i="6"/>
  <c r="AI28" i="6" s="1"/>
  <c r="AI32" i="6" s="1"/>
  <c r="AH23" i="6"/>
  <c r="AH28" i="6" s="1"/>
  <c r="AH32" i="6" s="1"/>
  <c r="AG23" i="6"/>
  <c r="AG28" i="6" s="1"/>
  <c r="AG32" i="6" s="1"/>
  <c r="AH71" i="65"/>
  <c r="AG71" i="65"/>
  <c r="AF71" i="65"/>
  <c r="AH48" i="65"/>
  <c r="AG48" i="65"/>
  <c r="AF48" i="65"/>
  <c r="AH47" i="65"/>
  <c r="AG47" i="65"/>
  <c r="AF47" i="65"/>
  <c r="AH46" i="65"/>
  <c r="AG46" i="65"/>
  <c r="AF46" i="65"/>
  <c r="AH24" i="65"/>
  <c r="AG24" i="65"/>
  <c r="AF24" i="65"/>
  <c r="EQ8" i="4" a="1"/>
  <c r="EQ8" i="4" s="1"/>
  <c r="EP8" i="4" a="1"/>
  <c r="EP8" i="4" s="1"/>
  <c r="EO8" i="4" a="1"/>
  <c r="EO8" i="4" s="1"/>
  <c r="EN8" i="4" a="1"/>
  <c r="EN8" i="4" s="1"/>
  <c r="EM8" i="4" a="1"/>
  <c r="EM8" i="4" s="1"/>
  <c r="EL8" i="4" a="1"/>
  <c r="EL8" i="4" s="1"/>
  <c r="EK8" i="4" a="1"/>
  <c r="EK8" i="4" s="1"/>
  <c r="EJ8" i="4" a="1"/>
  <c r="EJ8" i="4" s="1"/>
  <c r="FT8" i="4" a="1"/>
  <c r="FS8" i="4" a="1"/>
  <c r="FR8" i="4" a="1"/>
  <c r="FQ8" i="4" a="1"/>
  <c r="FP8" i="4" a="1"/>
  <c r="FO8" i="4" a="1"/>
  <c r="FN8" i="4" a="1"/>
  <c r="FM8" i="4" a="1"/>
  <c r="DM73" i="4"/>
  <c r="DL73" i="4"/>
  <c r="DK73" i="4"/>
  <c r="DJ73" i="4"/>
  <c r="DI73" i="4"/>
  <c r="DH73" i="4"/>
  <c r="DG73" i="4"/>
  <c r="DF73" i="4"/>
  <c r="CJ73" i="4"/>
  <c r="CI73" i="4"/>
  <c r="CH73" i="4"/>
  <c r="CG73" i="4"/>
  <c r="CF73" i="4"/>
  <c r="CE73" i="4"/>
  <c r="CE146" i="4" s="1"/>
  <c r="CD73" i="4"/>
  <c r="CD146" i="4" s="1"/>
  <c r="CC73" i="4"/>
  <c r="CC146" i="4" s="1"/>
  <c r="CJ53" i="4"/>
  <c r="CI53" i="4"/>
  <c r="CH53" i="4"/>
  <c r="CG53" i="4"/>
  <c r="CF53" i="4"/>
  <c r="CE53" i="4"/>
  <c r="CD53" i="4"/>
  <c r="CC53" i="4"/>
  <c r="CJ52" i="4"/>
  <c r="CI52" i="4"/>
  <c r="CH52" i="4"/>
  <c r="CG52" i="4"/>
  <c r="CF52" i="4"/>
  <c r="CE52" i="4"/>
  <c r="CD52" i="4"/>
  <c r="CC52" i="4"/>
  <c r="CJ51" i="4"/>
  <c r="CI51" i="4"/>
  <c r="CH51" i="4"/>
  <c r="CG51" i="4"/>
  <c r="CF51" i="4"/>
  <c r="CE51" i="4"/>
  <c r="CD51" i="4"/>
  <c r="CC51" i="4"/>
  <c r="CJ50" i="4"/>
  <c r="CI50" i="4"/>
  <c r="CH50" i="4"/>
  <c r="CG50" i="4"/>
  <c r="CF50" i="4"/>
  <c r="CE50" i="4"/>
  <c r="CD50" i="4"/>
  <c r="CC50" i="4"/>
  <c r="CJ46" i="4"/>
  <c r="CI46" i="4"/>
  <c r="CH46" i="4"/>
  <c r="CG46" i="4"/>
  <c r="CF46" i="4"/>
  <c r="CE46" i="4"/>
  <c r="CD46" i="4"/>
  <c r="CC46" i="4"/>
  <c r="BG146" i="4"/>
  <c r="BF146" i="4"/>
  <c r="BE146" i="4"/>
  <c r="BD146" i="4"/>
  <c r="BC146" i="4"/>
  <c r="BB146" i="4"/>
  <c r="BA146" i="4"/>
  <c r="AZ146" i="4"/>
  <c r="AY146" i="4"/>
  <c r="BG53" i="4"/>
  <c r="BF53" i="4"/>
  <c r="BE53" i="4"/>
  <c r="BD53" i="4"/>
  <c r="BC53" i="4"/>
  <c r="BB53" i="4"/>
  <c r="BA53" i="4"/>
  <c r="AZ53" i="4"/>
  <c r="AY53" i="4"/>
  <c r="BG52" i="4"/>
  <c r="BF52" i="4"/>
  <c r="BE52" i="4"/>
  <c r="BD52" i="4"/>
  <c r="BC52" i="4"/>
  <c r="BB52" i="4"/>
  <c r="BA52" i="4"/>
  <c r="AZ52" i="4"/>
  <c r="AY52" i="4"/>
  <c r="BG51" i="4"/>
  <c r="BF51" i="4"/>
  <c r="BE51" i="4"/>
  <c r="BD51" i="4"/>
  <c r="BC51" i="4"/>
  <c r="BB51" i="4"/>
  <c r="BA51" i="4"/>
  <c r="AZ51" i="4"/>
  <c r="AY51" i="4"/>
  <c r="BG50" i="4"/>
  <c r="BF50" i="4"/>
  <c r="BE50" i="4"/>
  <c r="BD50" i="4"/>
  <c r="BC50" i="4"/>
  <c r="BB50" i="4"/>
  <c r="BA50" i="4"/>
  <c r="AZ50" i="4"/>
  <c r="AY50" i="4"/>
  <c r="BG46" i="4"/>
  <c r="BF46" i="4"/>
  <c r="BE46" i="4"/>
  <c r="BD46" i="4"/>
  <c r="BC46" i="4"/>
  <c r="BB46" i="4"/>
  <c r="BA46" i="4"/>
  <c r="AZ46" i="4"/>
  <c r="AY46" i="4"/>
  <c r="BG42" i="4"/>
  <c r="BG111" i="4" s="1"/>
  <c r="BF42" i="4"/>
  <c r="BF111" i="4" s="1"/>
  <c r="BE42" i="4"/>
  <c r="BE111" i="4" s="1"/>
  <c r="BD42" i="4"/>
  <c r="BD111" i="4" s="1"/>
  <c r="BC42" i="4"/>
  <c r="BC111" i="4" s="1"/>
  <c r="BB42" i="4"/>
  <c r="BB111" i="4" s="1"/>
  <c r="BA42" i="4"/>
  <c r="BA111" i="4" s="1"/>
  <c r="AZ42" i="4"/>
  <c r="AZ111" i="4" s="1"/>
  <c r="AY42" i="4"/>
  <c r="AY111" i="4" s="1"/>
  <c r="BG38" i="4"/>
  <c r="BG110" i="4" s="1"/>
  <c r="BF38" i="4"/>
  <c r="BF110" i="4" s="1"/>
  <c r="BE38" i="4"/>
  <c r="BE110" i="4" s="1"/>
  <c r="BD38" i="4"/>
  <c r="BD110" i="4" s="1"/>
  <c r="BC38" i="4"/>
  <c r="BC110" i="4" s="1"/>
  <c r="BB38" i="4"/>
  <c r="BB110" i="4" s="1"/>
  <c r="BA38" i="4"/>
  <c r="BA110" i="4" s="1"/>
  <c r="AZ38" i="4"/>
  <c r="AZ110" i="4" s="1"/>
  <c r="AY38" i="4"/>
  <c r="AY110" i="4" s="1"/>
  <c r="BG34" i="4"/>
  <c r="BG106" i="4" s="1"/>
  <c r="BF34" i="4"/>
  <c r="BF106" i="4" s="1"/>
  <c r="BE34" i="4"/>
  <c r="BE106" i="4" s="1"/>
  <c r="BD34" i="4"/>
  <c r="BD106" i="4" s="1"/>
  <c r="BC34" i="4"/>
  <c r="BC106" i="4" s="1"/>
  <c r="BB34" i="4"/>
  <c r="BB106" i="4" s="1"/>
  <c r="BA34" i="4"/>
  <c r="BA106" i="4" s="1"/>
  <c r="AZ34" i="4"/>
  <c r="AZ106" i="4" s="1"/>
  <c r="AY34" i="4"/>
  <c r="AY106" i="4" s="1"/>
  <c r="BG28" i="4"/>
  <c r="BG103" i="4" s="1"/>
  <c r="BF28" i="4"/>
  <c r="BF103" i="4" s="1"/>
  <c r="BE28" i="4"/>
  <c r="BE103" i="4" s="1"/>
  <c r="BD28" i="4"/>
  <c r="BD103" i="4" s="1"/>
  <c r="BC28" i="4"/>
  <c r="BC103" i="4" s="1"/>
  <c r="BB28" i="4"/>
  <c r="BB103" i="4" s="1"/>
  <c r="BA28" i="4"/>
  <c r="BA103" i="4" s="1"/>
  <c r="AZ28" i="4"/>
  <c r="AZ103" i="4" s="1"/>
  <c r="AY28" i="4"/>
  <c r="AY103" i="4" s="1"/>
  <c r="BG24" i="4"/>
  <c r="BG102" i="4" s="1"/>
  <c r="BF24" i="4"/>
  <c r="BF102" i="4" s="1"/>
  <c r="BE24" i="4"/>
  <c r="BE102" i="4" s="1"/>
  <c r="BD24" i="4"/>
  <c r="BD102" i="4" s="1"/>
  <c r="BC24" i="4"/>
  <c r="BC102" i="4" s="1"/>
  <c r="BB24" i="4"/>
  <c r="BB102" i="4" s="1"/>
  <c r="BA24" i="4"/>
  <c r="BA102" i="4" s="1"/>
  <c r="AZ24" i="4"/>
  <c r="AZ102" i="4" s="1"/>
  <c r="AY24" i="4"/>
  <c r="AY102" i="4" s="1"/>
  <c r="BG20" i="4"/>
  <c r="BG99" i="4" s="1"/>
  <c r="BF20" i="4"/>
  <c r="BF99" i="4" s="1"/>
  <c r="BE20" i="4"/>
  <c r="BE99" i="4" s="1"/>
  <c r="BD20" i="4"/>
  <c r="BD99" i="4" s="1"/>
  <c r="BC20" i="4"/>
  <c r="BC99" i="4" s="1"/>
  <c r="BB20" i="4"/>
  <c r="BB99" i="4" s="1"/>
  <c r="BA20" i="4"/>
  <c r="BA99" i="4" s="1"/>
  <c r="AZ20" i="4"/>
  <c r="AZ99" i="4" s="1"/>
  <c r="AY20" i="4"/>
  <c r="AY99" i="4" s="1"/>
  <c r="AD205" i="4"/>
  <c r="AD207" i="4" s="1"/>
  <c r="AC205" i="4"/>
  <c r="AC207" i="4" s="1"/>
  <c r="AB205" i="4"/>
  <c r="AB207" i="4" s="1"/>
  <c r="AA205" i="4"/>
  <c r="Z205" i="4"/>
  <c r="Y205" i="4"/>
  <c r="X205" i="4"/>
  <c r="W205" i="4"/>
  <c r="AD146" i="4"/>
  <c r="AC146" i="4"/>
  <c r="AB146" i="4"/>
  <c r="AA146" i="4"/>
  <c r="Z146" i="4"/>
  <c r="Y146" i="4"/>
  <c r="X146" i="4"/>
  <c r="W146" i="4"/>
  <c r="AD107" i="4"/>
  <c r="AC107" i="4"/>
  <c r="AB107" i="4"/>
  <c r="AA107" i="4"/>
  <c r="Z107" i="4"/>
  <c r="Y107" i="4"/>
  <c r="X107" i="4"/>
  <c r="W107" i="4"/>
  <c r="AD106" i="4"/>
  <c r="AC106" i="4"/>
  <c r="AB106" i="4"/>
  <c r="AA106" i="4"/>
  <c r="Z106" i="4"/>
  <c r="Y106" i="4"/>
  <c r="X106" i="4"/>
  <c r="W106" i="4"/>
  <c r="AD53" i="4"/>
  <c r="AC53" i="4"/>
  <c r="AB53" i="4"/>
  <c r="AA53" i="4"/>
  <c r="Z53" i="4"/>
  <c r="Y53" i="4"/>
  <c r="X53" i="4"/>
  <c r="W53" i="4"/>
  <c r="AD52" i="4"/>
  <c r="AC52" i="4"/>
  <c r="AB52" i="4"/>
  <c r="AA52" i="4"/>
  <c r="Z52" i="4"/>
  <c r="Y52" i="4"/>
  <c r="X52" i="4"/>
  <c r="W52" i="4"/>
  <c r="AD51" i="4"/>
  <c r="AC51" i="4"/>
  <c r="AB51" i="4"/>
  <c r="AA51" i="4"/>
  <c r="Z51" i="4"/>
  <c r="Y51" i="4"/>
  <c r="X51" i="4"/>
  <c r="W51" i="4"/>
  <c r="AD50" i="4"/>
  <c r="AC50" i="4"/>
  <c r="AB50" i="4"/>
  <c r="AA50" i="4"/>
  <c r="Z50" i="4"/>
  <c r="Y50" i="4"/>
  <c r="X50" i="4"/>
  <c r="W50" i="4"/>
  <c r="AD113" i="4"/>
  <c r="AD230" i="4" s="1"/>
  <c r="AC113" i="4"/>
  <c r="AC230" i="4" s="1"/>
  <c r="AB113" i="4"/>
  <c r="AB230" i="4" s="1"/>
  <c r="AA113" i="4"/>
  <c r="AA230" i="4" s="1"/>
  <c r="Z113" i="4"/>
  <c r="Z230" i="4" s="1"/>
  <c r="Y113" i="4"/>
  <c r="Y230" i="4" s="1"/>
  <c r="X113" i="4"/>
  <c r="X230" i="4" s="1"/>
  <c r="W113" i="4"/>
  <c r="W230" i="4" s="1"/>
  <c r="AD111" i="4"/>
  <c r="AC111" i="4"/>
  <c r="AB111" i="4"/>
  <c r="AA111" i="4"/>
  <c r="Z111" i="4"/>
  <c r="Y111" i="4"/>
  <c r="X42" i="4"/>
  <c r="X111" i="4" s="1"/>
  <c r="W42" i="4"/>
  <c r="W111" i="4" s="1"/>
  <c r="AD110" i="4"/>
  <c r="AC110" i="4"/>
  <c r="AB110" i="4"/>
  <c r="AA110" i="4"/>
  <c r="Z110" i="4"/>
  <c r="Y110" i="4"/>
  <c r="X38" i="4"/>
  <c r="X110" i="4" s="1"/>
  <c r="W38" i="4"/>
  <c r="W110" i="4" s="1"/>
  <c r="AD103" i="4"/>
  <c r="AD208" i="4" s="1"/>
  <c r="AC103" i="4"/>
  <c r="AC208" i="4" s="1"/>
  <c r="AB103" i="4"/>
  <c r="AB208" i="4" s="1"/>
  <c r="AA103" i="4"/>
  <c r="AA208" i="4" s="1"/>
  <c r="Z103" i="4"/>
  <c r="Z208" i="4" s="1"/>
  <c r="Y103" i="4"/>
  <c r="Y208" i="4" s="1"/>
  <c r="X28" i="4"/>
  <c r="X103" i="4" s="1"/>
  <c r="X208" i="4" s="1"/>
  <c r="W28" i="4"/>
  <c r="W103" i="4" s="1"/>
  <c r="W208" i="4" s="1"/>
  <c r="X24" i="4"/>
  <c r="W24" i="4"/>
  <c r="X20" i="4"/>
  <c r="W20" i="4"/>
  <c r="G5" i="69"/>
  <c r="G10" i="69"/>
  <c r="W24" i="65"/>
  <c r="AY30" i="4" s="1"/>
  <c r="AY107" i="4" s="1"/>
  <c r="X24" i="65"/>
  <c r="AZ30" i="4" s="1"/>
  <c r="AZ107" i="4" s="1"/>
  <c r="Y24" i="65"/>
  <c r="Y29" i="65" s="1"/>
  <c r="Z24" i="65"/>
  <c r="Z29" i="65" s="1"/>
  <c r="AA24" i="65"/>
  <c r="AA29" i="65" s="1"/>
  <c r="AB24" i="65"/>
  <c r="AB29" i="65" s="1"/>
  <c r="AC24" i="65"/>
  <c r="AC29" i="65" s="1"/>
  <c r="AD24" i="65"/>
  <c r="AD29" i="65" s="1"/>
  <c r="AE24" i="65"/>
  <c r="AE29" i="65" s="1"/>
  <c r="W46" i="65"/>
  <c r="X46" i="65"/>
  <c r="Y46" i="65"/>
  <c r="Z46" i="65"/>
  <c r="AA46" i="65"/>
  <c r="AB46" i="65"/>
  <c r="AC46" i="65"/>
  <c r="AD46" i="65"/>
  <c r="AE46" i="65"/>
  <c r="W47" i="65"/>
  <c r="X47" i="65"/>
  <c r="Y47" i="65"/>
  <c r="Z47" i="65"/>
  <c r="AA47" i="65"/>
  <c r="AB47" i="65"/>
  <c r="AC47" i="65"/>
  <c r="AD47" i="65"/>
  <c r="AE47" i="65"/>
  <c r="W48" i="65"/>
  <c r="X48" i="65"/>
  <c r="Y48" i="65"/>
  <c r="Z48" i="65"/>
  <c r="AA48" i="65"/>
  <c r="AB48" i="65"/>
  <c r="AC48" i="65"/>
  <c r="AD48" i="65"/>
  <c r="AE48" i="65"/>
  <c r="W71" i="65"/>
  <c r="X71" i="65"/>
  <c r="Y71" i="65"/>
  <c r="Z71" i="65"/>
  <c r="Z72" i="65" s="1"/>
  <c r="AA71" i="65"/>
  <c r="AA72" i="65" s="1"/>
  <c r="AB71" i="65"/>
  <c r="AB72" i="65" s="1"/>
  <c r="BD8" i="4" s="1" a="1"/>
  <c r="BD93" i="4" s="1"/>
  <c r="AC71" i="65"/>
  <c r="AC72" i="65" s="1"/>
  <c r="AD71" i="65"/>
  <c r="AD72" i="65" s="1"/>
  <c r="AE71" i="65"/>
  <c r="AF62" i="6"/>
  <c r="DM8" i="81" s="1" a="1"/>
  <c r="AE62" i="6"/>
  <c r="AD62" i="6"/>
  <c r="AC62" i="6"/>
  <c r="DJ8" i="81" s="1" a="1"/>
  <c r="DJ8" i="81" s="1"/>
  <c r="AB62" i="6"/>
  <c r="DI8" i="81" s="1" a="1"/>
  <c r="DI8" i="81" s="1"/>
  <c r="AF53" i="6"/>
  <c r="AE53" i="6"/>
  <c r="AD53" i="6"/>
  <c r="AC53" i="6"/>
  <c r="AB53" i="6"/>
  <c r="AF52" i="6"/>
  <c r="AE52" i="6"/>
  <c r="AD52" i="6"/>
  <c r="AC52" i="6"/>
  <c r="AB52" i="6"/>
  <c r="AF51" i="6"/>
  <c r="AE51" i="6"/>
  <c r="AD51" i="6"/>
  <c r="AC51" i="6"/>
  <c r="AB51" i="6"/>
  <c r="AF50" i="6"/>
  <c r="AE50" i="6"/>
  <c r="AD50" i="6"/>
  <c r="AC50" i="6"/>
  <c r="AB50" i="6"/>
  <c r="AF49" i="6"/>
  <c r="AE49" i="6"/>
  <c r="AD49" i="6"/>
  <c r="AC49" i="6"/>
  <c r="AB49" i="6"/>
  <c r="AF48" i="6"/>
  <c r="AE48" i="6"/>
  <c r="AD48" i="6"/>
  <c r="AC48" i="6"/>
  <c r="AB48" i="6"/>
  <c r="AF47" i="6"/>
  <c r="AE47" i="6"/>
  <c r="AD47" i="6"/>
  <c r="AC47" i="6"/>
  <c r="AB47" i="6"/>
  <c r="AF46" i="6"/>
  <c r="AE46" i="6"/>
  <c r="AD46" i="6"/>
  <c r="AC46" i="6"/>
  <c r="AB46" i="6"/>
  <c r="AF45" i="6"/>
  <c r="AE45" i="6"/>
  <c r="AD45" i="6"/>
  <c r="AC45" i="6"/>
  <c r="AB45" i="6"/>
  <c r="AF44" i="6"/>
  <c r="AE44" i="6"/>
  <c r="AD44" i="6"/>
  <c r="AC44" i="6"/>
  <c r="AB44" i="6"/>
  <c r="AF43" i="6"/>
  <c r="AE43" i="6"/>
  <c r="AD43" i="6"/>
  <c r="AC43" i="6"/>
  <c r="AB43" i="6"/>
  <c r="AF42" i="6"/>
  <c r="AE42" i="6"/>
  <c r="AD42" i="6"/>
  <c r="AC42" i="6"/>
  <c r="AB42" i="6"/>
  <c r="AF41" i="6"/>
  <c r="AE41" i="6"/>
  <c r="AD41" i="6"/>
  <c r="AC41" i="6"/>
  <c r="AB41" i="6"/>
  <c r="AF40" i="6"/>
  <c r="AE40" i="6"/>
  <c r="AD40" i="6"/>
  <c r="AC40" i="6"/>
  <c r="AB40" i="6"/>
  <c r="AC28" i="6"/>
  <c r="AC31" i="6" s="1"/>
  <c r="AB28" i="6"/>
  <c r="AB32" i="6" s="1"/>
  <c r="AF23" i="6"/>
  <c r="AE23" i="6"/>
  <c r="AD23" i="6"/>
  <c r="AC23" i="6"/>
  <c r="AB23" i="6"/>
  <c r="AA62" i="6"/>
  <c r="DH8" i="81" s="1" a="1"/>
  <c r="DH8" i="81" s="1"/>
  <c r="AA53" i="6"/>
  <c r="AA52" i="6"/>
  <c r="AA51" i="6"/>
  <c r="AA50" i="6"/>
  <c r="AA49" i="6"/>
  <c r="AA48" i="6"/>
  <c r="AA47" i="6"/>
  <c r="AA46" i="6"/>
  <c r="AA45" i="6"/>
  <c r="AA44" i="6"/>
  <c r="AA43" i="6"/>
  <c r="AA42" i="6"/>
  <c r="AA41" i="6"/>
  <c r="AA40" i="6"/>
  <c r="AA23" i="6"/>
  <c r="Z62" i="6"/>
  <c r="Z53" i="6"/>
  <c r="Z52" i="6"/>
  <c r="Z51" i="6"/>
  <c r="Z50" i="6"/>
  <c r="Z49" i="6"/>
  <c r="Z48" i="6"/>
  <c r="Z47" i="6"/>
  <c r="Z46" i="6"/>
  <c r="Z45" i="6"/>
  <c r="Z44" i="6"/>
  <c r="Z43" i="6"/>
  <c r="Z42" i="6"/>
  <c r="Z41" i="6"/>
  <c r="Z40" i="6"/>
  <c r="Z23" i="6"/>
  <c r="Z28" i="6" s="1"/>
  <c r="Z32" i="6" s="1"/>
  <c r="Y62" i="6"/>
  <c r="DF8" i="4" s="1" a="1"/>
  <c r="DF8" i="4" s="1"/>
  <c r="Y53" i="6"/>
  <c r="Y52" i="6"/>
  <c r="Y51" i="6"/>
  <c r="Y50" i="6"/>
  <c r="Y49" i="6"/>
  <c r="Y48" i="6"/>
  <c r="Y47" i="6"/>
  <c r="Y46" i="6"/>
  <c r="Y45" i="6"/>
  <c r="Y44" i="6"/>
  <c r="Y43" i="6"/>
  <c r="Y42" i="6"/>
  <c r="Y41" i="6"/>
  <c r="Y40" i="6"/>
  <c r="Y23" i="6"/>
  <c r="AI72" i="7"/>
  <c r="AI64" i="7"/>
  <c r="AI63" i="7"/>
  <c r="AI62" i="7"/>
  <c r="AI61" i="7"/>
  <c r="AI60" i="7"/>
  <c r="AI59" i="7"/>
  <c r="AI58" i="7"/>
  <c r="AI57" i="7"/>
  <c r="AI56" i="7"/>
  <c r="AI55" i="7"/>
  <c r="AI54" i="7"/>
  <c r="AI53" i="7"/>
  <c r="AI52" i="7"/>
  <c r="AI51" i="7"/>
  <c r="AI25" i="7"/>
  <c r="AI30" i="7" s="1"/>
  <c r="AH72" i="7"/>
  <c r="AH73" i="7" s="1"/>
  <c r="AH64" i="7"/>
  <c r="AH63" i="7"/>
  <c r="AH62" i="7"/>
  <c r="AH61" i="7"/>
  <c r="AH60" i="7"/>
  <c r="AH59" i="7"/>
  <c r="AH58" i="7"/>
  <c r="AH57" i="7"/>
  <c r="AH56" i="7"/>
  <c r="AH55" i="7"/>
  <c r="AH54" i="7"/>
  <c r="AH53" i="7"/>
  <c r="AH52" i="7"/>
  <c r="AH51" i="7"/>
  <c r="AH25" i="7"/>
  <c r="AH30" i="7" s="1"/>
  <c r="AG72" i="7"/>
  <c r="AG73" i="7" s="1"/>
  <c r="AG64" i="7"/>
  <c r="AG63" i="7"/>
  <c r="AG62" i="7"/>
  <c r="AG61" i="7"/>
  <c r="AG60" i="7"/>
  <c r="AG59" i="7"/>
  <c r="AG58" i="7"/>
  <c r="AG57" i="7"/>
  <c r="AG56" i="7"/>
  <c r="AG55" i="7"/>
  <c r="AG54" i="7"/>
  <c r="AG53" i="7"/>
  <c r="AG52" i="7"/>
  <c r="AG51" i="7"/>
  <c r="AG25" i="7"/>
  <c r="AG30" i="7" s="1"/>
  <c r="AD180" i="80"/>
  <c r="AD182" i="80" s="1"/>
  <c r="AD174" i="80"/>
  <c r="AD169" i="80"/>
  <c r="AC180" i="80"/>
  <c r="AC182" i="80" s="1"/>
  <c r="AC174" i="80"/>
  <c r="AC169" i="80"/>
  <c r="AB180" i="80"/>
  <c r="AB182" i="80" s="1"/>
  <c r="AB174" i="80"/>
  <c r="AB169" i="80"/>
  <c r="AA180" i="80"/>
  <c r="AA182" i="80" s="1"/>
  <c r="AA174" i="80"/>
  <c r="AA169" i="80"/>
  <c r="Z180" i="80"/>
  <c r="Z182" i="80" s="1"/>
  <c r="Z174" i="80"/>
  <c r="Z169" i="80"/>
  <c r="Y180" i="80"/>
  <c r="Y182" i="80" s="1"/>
  <c r="Y174" i="80"/>
  <c r="Y169" i="80"/>
  <c r="CJ39" i="80"/>
  <c r="CJ38" i="80"/>
  <c r="CJ37" i="80"/>
  <c r="CI39" i="80"/>
  <c r="CI38" i="80"/>
  <c r="CI37" i="80"/>
  <c r="CH39" i="80"/>
  <c r="CH38" i="80"/>
  <c r="CH37" i="80"/>
  <c r="CG39" i="80"/>
  <c r="CG38" i="80"/>
  <c r="CG37" i="80"/>
  <c r="CF39" i="80"/>
  <c r="CF38" i="80"/>
  <c r="CF37" i="80"/>
  <c r="CE39" i="80"/>
  <c r="CE38" i="80"/>
  <c r="CE37" i="80"/>
  <c r="CD39" i="80"/>
  <c r="CD38" i="80"/>
  <c r="CD37" i="80"/>
  <c r="CC39" i="80"/>
  <c r="CC38" i="80"/>
  <c r="CC37" i="80"/>
  <c r="DJ8" i="80" a="1"/>
  <c r="DJ8" i="80" s="1"/>
  <c r="DS16" i="80" a="1"/>
  <c r="DS16" i="80" s="1"/>
  <c r="EQ8" i="80" a="1"/>
  <c r="EQ8" i="80" s="1"/>
  <c r="EP8" i="80" a="1"/>
  <c r="EP8" i="80" s="1"/>
  <c r="EO8" i="80" a="1"/>
  <c r="EO8" i="80" s="1"/>
  <c r="EN8" i="80" a="1"/>
  <c r="EN8" i="80" s="1"/>
  <c r="EM8" i="80" a="1"/>
  <c r="EM8" i="80" s="1"/>
  <c r="EL8" i="80" a="1"/>
  <c r="EL8" i="80" s="1"/>
  <c r="EK8" i="80" a="1"/>
  <c r="EK8" i="80" s="1"/>
  <c r="EJ8" i="80" a="1"/>
  <c r="EJ8" i="80" s="1"/>
  <c r="EI8" i="80" a="1"/>
  <c r="EI8" i="80" s="1"/>
  <c r="FT8" i="80" a="1"/>
  <c r="FT8" i="80" s="1"/>
  <c r="FS8" i="80" a="1"/>
  <c r="FS8" i="80" s="1"/>
  <c r="FR8" i="80" a="1"/>
  <c r="FR8" i="80" s="1"/>
  <c r="FQ8" i="80" a="1"/>
  <c r="FQ8" i="80" s="1"/>
  <c r="FP8" i="80" a="1"/>
  <c r="FP8" i="80" s="1"/>
  <c r="FO8" i="80" a="1"/>
  <c r="FO8" i="80" s="1"/>
  <c r="FN8" i="80" a="1"/>
  <c r="FN8" i="80" s="1"/>
  <c r="FM8" i="80" a="1"/>
  <c r="FM8" i="80" s="1"/>
  <c r="X180" i="80"/>
  <c r="X182" i="80" s="1"/>
  <c r="X174" i="80"/>
  <c r="X169" i="80"/>
  <c r="W180" i="80"/>
  <c r="W182" i="80" s="1"/>
  <c r="W174" i="80"/>
  <c r="W169" i="80"/>
  <c r="W140" i="80"/>
  <c r="W141" i="80" s="1"/>
  <c r="AA20" i="82"/>
  <c r="CC39" i="81" s="1"/>
  <c r="AB20" i="82"/>
  <c r="CD39" i="81" s="1"/>
  <c r="AC20" i="82"/>
  <c r="CE39" i="81" s="1"/>
  <c r="AD20" i="82"/>
  <c r="CF39" i="81" s="1"/>
  <c r="AE20" i="82"/>
  <c r="CG39" i="81" s="1"/>
  <c r="AF20" i="82"/>
  <c r="CH39" i="81" s="1"/>
  <c r="AG20" i="82"/>
  <c r="CI39" i="81" s="1"/>
  <c r="AH20" i="82"/>
  <c r="CJ39" i="81" s="1"/>
  <c r="AA24" i="82"/>
  <c r="AA25" i="82" s="1"/>
  <c r="AB24" i="82"/>
  <c r="AB25" i="82" s="1"/>
  <c r="AC24" i="82"/>
  <c r="AC25" i="82" s="1"/>
  <c r="AD24" i="82"/>
  <c r="AD25" i="82" s="1"/>
  <c r="AE24" i="82"/>
  <c r="AE25" i="82" s="1"/>
  <c r="AF24" i="82"/>
  <c r="AF25" i="82" s="1"/>
  <c r="AG24" i="82"/>
  <c r="AG25" i="82" s="1"/>
  <c r="AH24" i="82"/>
  <c r="AH25" i="82" s="1"/>
  <c r="AA27" i="82"/>
  <c r="AB27" i="82"/>
  <c r="AC27" i="82"/>
  <c r="AD27" i="82"/>
  <c r="AE27" i="82"/>
  <c r="AF27" i="82"/>
  <c r="AG27" i="82"/>
  <c r="AH27" i="82"/>
  <c r="AA28" i="82"/>
  <c r="AB28" i="82"/>
  <c r="AC28" i="82"/>
  <c r="AD28" i="82"/>
  <c r="AE28" i="82"/>
  <c r="AF28" i="82"/>
  <c r="AG28" i="82"/>
  <c r="AH28" i="82"/>
  <c r="AA47" i="82"/>
  <c r="AB47" i="82"/>
  <c r="AC47" i="82"/>
  <c r="AD47" i="82"/>
  <c r="AE47" i="82"/>
  <c r="AF47" i="82"/>
  <c r="AG47" i="82"/>
  <c r="AH47" i="82"/>
  <c r="AA48" i="82"/>
  <c r="AB48" i="82"/>
  <c r="AC48" i="82"/>
  <c r="AD48" i="82"/>
  <c r="AE48" i="82"/>
  <c r="AF48" i="82"/>
  <c r="AG48" i="82"/>
  <c r="AH48" i="82"/>
  <c r="AA49" i="82"/>
  <c r="AB49" i="82"/>
  <c r="AC49" i="82"/>
  <c r="AD49" i="82"/>
  <c r="AE49" i="82"/>
  <c r="AF49" i="82"/>
  <c r="AG49" i="82"/>
  <c r="AH49" i="82"/>
  <c r="AA51" i="82"/>
  <c r="AB51" i="82"/>
  <c r="AC51" i="82"/>
  <c r="AD51" i="82"/>
  <c r="AE51" i="82"/>
  <c r="AF51" i="82"/>
  <c r="AG51" i="82"/>
  <c r="AH51" i="82"/>
  <c r="AA52" i="82"/>
  <c r="AB52" i="82"/>
  <c r="AC52" i="82"/>
  <c r="AD52" i="82"/>
  <c r="AE52" i="82"/>
  <c r="AF52" i="82"/>
  <c r="AG52" i="82"/>
  <c r="AH52" i="82"/>
  <c r="AA53" i="82"/>
  <c r="AB53" i="82"/>
  <c r="AC53" i="82"/>
  <c r="AD53" i="82"/>
  <c r="AE53" i="82"/>
  <c r="AF53" i="82"/>
  <c r="AG53" i="82"/>
  <c r="AH53" i="82"/>
  <c r="AA54" i="82"/>
  <c r="AB54" i="82"/>
  <c r="AC54" i="82"/>
  <c r="AD54" i="82"/>
  <c r="AE54" i="82"/>
  <c r="AF54" i="82"/>
  <c r="AG54" i="82"/>
  <c r="AH54" i="82"/>
  <c r="AA55" i="82"/>
  <c r="AB55" i="82"/>
  <c r="AC55" i="82"/>
  <c r="AD55" i="82"/>
  <c r="AE55" i="82"/>
  <c r="AF55" i="82"/>
  <c r="AG55" i="82"/>
  <c r="AH55" i="82"/>
  <c r="AA56" i="82"/>
  <c r="AB56" i="82"/>
  <c r="AC56" i="82"/>
  <c r="AD56" i="82"/>
  <c r="AE56" i="82"/>
  <c r="AF56" i="82"/>
  <c r="AG56" i="82"/>
  <c r="AH56" i="82"/>
  <c r="AA57" i="82"/>
  <c r="AB57" i="82"/>
  <c r="AC57" i="82"/>
  <c r="AD57" i="82"/>
  <c r="AE57" i="82"/>
  <c r="AF57" i="82"/>
  <c r="AG57" i="82"/>
  <c r="AH57" i="82"/>
  <c r="AA58" i="82"/>
  <c r="AB58" i="82"/>
  <c r="AC58" i="82"/>
  <c r="AD58" i="82"/>
  <c r="AE58" i="82"/>
  <c r="AF58" i="82"/>
  <c r="AG58" i="82"/>
  <c r="AH58" i="82"/>
  <c r="AA59" i="82"/>
  <c r="AB59" i="82"/>
  <c r="AC59" i="82"/>
  <c r="AD59" i="82"/>
  <c r="AE59" i="82"/>
  <c r="AF59" i="82"/>
  <c r="AG59" i="82"/>
  <c r="AH59" i="82"/>
  <c r="AA60" i="82"/>
  <c r="AB60" i="82"/>
  <c r="AC60" i="82"/>
  <c r="AD60" i="82"/>
  <c r="AE60" i="82"/>
  <c r="AF60" i="82"/>
  <c r="AG60" i="82"/>
  <c r="AH60" i="82"/>
  <c r="AA61" i="82"/>
  <c r="AB61" i="82"/>
  <c r="AC61" i="82"/>
  <c r="AD61" i="82"/>
  <c r="AE61" i="82"/>
  <c r="AF61" i="82"/>
  <c r="AG61" i="82"/>
  <c r="AH61" i="82"/>
  <c r="AA62" i="82"/>
  <c r="AB62" i="82"/>
  <c r="AC62" i="82"/>
  <c r="AD62" i="82"/>
  <c r="AE62" i="82"/>
  <c r="AF62" i="82"/>
  <c r="AG62" i="82"/>
  <c r="AH62" i="82"/>
  <c r="AA63" i="82"/>
  <c r="AB63" i="82"/>
  <c r="AC63" i="82"/>
  <c r="AD63" i="82"/>
  <c r="AE63" i="82"/>
  <c r="AF63" i="82"/>
  <c r="AG63" i="82"/>
  <c r="AH63" i="82"/>
  <c r="AA64" i="82"/>
  <c r="AB64" i="82"/>
  <c r="AC64" i="82"/>
  <c r="AD64" i="82"/>
  <c r="AE64" i="82"/>
  <c r="AF64" i="82"/>
  <c r="AG64" i="82"/>
  <c r="AH64" i="82"/>
  <c r="AA72" i="82"/>
  <c r="AA73" i="82" s="1"/>
  <c r="AB72" i="82"/>
  <c r="AB73" i="82" s="1"/>
  <c r="AC72" i="82"/>
  <c r="AC73" i="82" s="1"/>
  <c r="AD72" i="82"/>
  <c r="AD73" i="82" s="1"/>
  <c r="AE72" i="82"/>
  <c r="AF72" i="82"/>
  <c r="AG72" i="82"/>
  <c r="AH72" i="82"/>
  <c r="AE73" i="82"/>
  <c r="AF73" i="82"/>
  <c r="AG73" i="82"/>
  <c r="AH73" i="82"/>
  <c r="AA79" i="82"/>
  <c r="AB79" i="82"/>
  <c r="AC79" i="82"/>
  <c r="AD79" i="82"/>
  <c r="AE79" i="82"/>
  <c r="AF79" i="82"/>
  <c r="AG79" i="82"/>
  <c r="AH79" i="82"/>
  <c r="AA87" i="82"/>
  <c r="AB87" i="82"/>
  <c r="AC87" i="82"/>
  <c r="AD87" i="82"/>
  <c r="AE87" i="82"/>
  <c r="AF87" i="82"/>
  <c r="AG87" i="82"/>
  <c r="AH87" i="82"/>
  <c r="AA88" i="82"/>
  <c r="AB88" i="82"/>
  <c r="AC88" i="82"/>
  <c r="AD88" i="82"/>
  <c r="AE88" i="82"/>
  <c r="AF88" i="82"/>
  <c r="AG88" i="82"/>
  <c r="AH88" i="82"/>
  <c r="AA89" i="82"/>
  <c r="AB89" i="82"/>
  <c r="AC89" i="82"/>
  <c r="AD89" i="82"/>
  <c r="AE89" i="82"/>
  <c r="AF89" i="82"/>
  <c r="AG89" i="82"/>
  <c r="AH89" i="82"/>
  <c r="AA66" i="83"/>
  <c r="AA10" i="83"/>
  <c r="AB10" i="83"/>
  <c r="AC10" i="83"/>
  <c r="AD10" i="83"/>
  <c r="AE10" i="83"/>
  <c r="AF10" i="83"/>
  <c r="AG10" i="83"/>
  <c r="AH10" i="83"/>
  <c r="AA11" i="83"/>
  <c r="AB11" i="83"/>
  <c r="AC11" i="83"/>
  <c r="AD11" i="83"/>
  <c r="AE11" i="83"/>
  <c r="AF11" i="83"/>
  <c r="AG11" i="83"/>
  <c r="AH11" i="83"/>
  <c r="AA20" i="83"/>
  <c r="AB20" i="83"/>
  <c r="AC20" i="83"/>
  <c r="AD20" i="83"/>
  <c r="AE20" i="83"/>
  <c r="AF20" i="83"/>
  <c r="AG20" i="83"/>
  <c r="AH20" i="83"/>
  <c r="AA24" i="83"/>
  <c r="AA25" i="83" s="1"/>
  <c r="AB24" i="83"/>
  <c r="AB25" i="83" s="1"/>
  <c r="AC24" i="83"/>
  <c r="AC25" i="83" s="1"/>
  <c r="AD24" i="83"/>
  <c r="AD25" i="83" s="1"/>
  <c r="AE24" i="83"/>
  <c r="AE25" i="83" s="1"/>
  <c r="AF24" i="83"/>
  <c r="AF25" i="83" s="1"/>
  <c r="AG24" i="83"/>
  <c r="AG25" i="83" s="1"/>
  <c r="AH24" i="83"/>
  <c r="AH25" i="83" s="1"/>
  <c r="AA27" i="83"/>
  <c r="AB27" i="83"/>
  <c r="AC27" i="83"/>
  <c r="AD27" i="83"/>
  <c r="AE27" i="83"/>
  <c r="AF27" i="83"/>
  <c r="AG27" i="83"/>
  <c r="AH27" i="83"/>
  <c r="AA28" i="83"/>
  <c r="AB28" i="83"/>
  <c r="AC28" i="83"/>
  <c r="AD28" i="83"/>
  <c r="AE28" i="83"/>
  <c r="AF28" i="83"/>
  <c r="AG28" i="83"/>
  <c r="AH28" i="83"/>
  <c r="AA47" i="83"/>
  <c r="AB47" i="83"/>
  <c r="AC47" i="83"/>
  <c r="AD47" i="83"/>
  <c r="AE47" i="83"/>
  <c r="AF47" i="83"/>
  <c r="AG47" i="83"/>
  <c r="AH47" i="83"/>
  <c r="AA48" i="83"/>
  <c r="AB48" i="83"/>
  <c r="AC48" i="83"/>
  <c r="AD48" i="83"/>
  <c r="AE48" i="83"/>
  <c r="AF48" i="83"/>
  <c r="AG48" i="83"/>
  <c r="AH48" i="83"/>
  <c r="AA49" i="83"/>
  <c r="AB49" i="83"/>
  <c r="AC49" i="83"/>
  <c r="AD49" i="83"/>
  <c r="AE49" i="83"/>
  <c r="AF49" i="83"/>
  <c r="AG49" i="83"/>
  <c r="AH49" i="83"/>
  <c r="AA51" i="83"/>
  <c r="AB51" i="83"/>
  <c r="AC51" i="83"/>
  <c r="AD51" i="83"/>
  <c r="AE51" i="83"/>
  <c r="AF51" i="83"/>
  <c r="AG51" i="83"/>
  <c r="AH51" i="83"/>
  <c r="AA52" i="83"/>
  <c r="AB52" i="83"/>
  <c r="AC52" i="83"/>
  <c r="AD52" i="83"/>
  <c r="AE52" i="83"/>
  <c r="AF52" i="83"/>
  <c r="AG52" i="83"/>
  <c r="AH52" i="83"/>
  <c r="AA53" i="83"/>
  <c r="AB53" i="83"/>
  <c r="AC53" i="83"/>
  <c r="AD53" i="83"/>
  <c r="AE53" i="83"/>
  <c r="AF53" i="83"/>
  <c r="AG53" i="83"/>
  <c r="AH53" i="83"/>
  <c r="AA54" i="83"/>
  <c r="AB54" i="83"/>
  <c r="AC54" i="83"/>
  <c r="AD54" i="83"/>
  <c r="AE54" i="83"/>
  <c r="AF54" i="83"/>
  <c r="AG54" i="83"/>
  <c r="AH54" i="83"/>
  <c r="AA55" i="83"/>
  <c r="AB55" i="83"/>
  <c r="AC55" i="83"/>
  <c r="AD55" i="83"/>
  <c r="AE55" i="83"/>
  <c r="AF55" i="83"/>
  <c r="AG55" i="83"/>
  <c r="AH55" i="83"/>
  <c r="AA56" i="83"/>
  <c r="AB56" i="83"/>
  <c r="AC56" i="83"/>
  <c r="AD56" i="83"/>
  <c r="AE56" i="83"/>
  <c r="AF56" i="83"/>
  <c r="AG56" i="83"/>
  <c r="AH56" i="83"/>
  <c r="AA57" i="83"/>
  <c r="AB57" i="83"/>
  <c r="AC57" i="83"/>
  <c r="AD57" i="83"/>
  <c r="AE57" i="83"/>
  <c r="AF57" i="83"/>
  <c r="AG57" i="83"/>
  <c r="AH57" i="83"/>
  <c r="AA58" i="83"/>
  <c r="AB58" i="83"/>
  <c r="AC58" i="83"/>
  <c r="AD58" i="83"/>
  <c r="AE58" i="83"/>
  <c r="AF58" i="83"/>
  <c r="AG58" i="83"/>
  <c r="AH58" i="83"/>
  <c r="AA59" i="83"/>
  <c r="AB59" i="83"/>
  <c r="AC59" i="83"/>
  <c r="AD59" i="83"/>
  <c r="AE59" i="83"/>
  <c r="AF59" i="83"/>
  <c r="AG59" i="83"/>
  <c r="AH59" i="83"/>
  <c r="AA60" i="83"/>
  <c r="AB60" i="83"/>
  <c r="AC60" i="83"/>
  <c r="AD60" i="83"/>
  <c r="AE60" i="83"/>
  <c r="AF60" i="83"/>
  <c r="AG60" i="83"/>
  <c r="AH60" i="83"/>
  <c r="AA61" i="83"/>
  <c r="AB61" i="83"/>
  <c r="AC61" i="83"/>
  <c r="AD61" i="83"/>
  <c r="AE61" i="83"/>
  <c r="AF61" i="83"/>
  <c r="AG61" i="83"/>
  <c r="AH61" i="83"/>
  <c r="AA62" i="83"/>
  <c r="AB62" i="83"/>
  <c r="AC62" i="83"/>
  <c r="AD62" i="83"/>
  <c r="AE62" i="83"/>
  <c r="AF62" i="83"/>
  <c r="AG62" i="83"/>
  <c r="AH62" i="83"/>
  <c r="AA63" i="83"/>
  <c r="AB63" i="83"/>
  <c r="AC63" i="83"/>
  <c r="AD63" i="83"/>
  <c r="AE63" i="83"/>
  <c r="AF63" i="83"/>
  <c r="AG63" i="83"/>
  <c r="AH63" i="83"/>
  <c r="AA64" i="83"/>
  <c r="AB64" i="83"/>
  <c r="AC64" i="83"/>
  <c r="AD64" i="83"/>
  <c r="AE64" i="83"/>
  <c r="AF64" i="83"/>
  <c r="AG64" i="83"/>
  <c r="AH64" i="83"/>
  <c r="AB66" i="83"/>
  <c r="AC66" i="83"/>
  <c r="AD66" i="83"/>
  <c r="AE66" i="83"/>
  <c r="AF66" i="83"/>
  <c r="AG66" i="83"/>
  <c r="AH66" i="83"/>
  <c r="AA67" i="83"/>
  <c r="AB67" i="83"/>
  <c r="AC67" i="83"/>
  <c r="AD67" i="83"/>
  <c r="AE67" i="83"/>
  <c r="AF67" i="83"/>
  <c r="AG67" i="83"/>
  <c r="AH67" i="83"/>
  <c r="AA68" i="83"/>
  <c r="AB68" i="83"/>
  <c r="AC68" i="83"/>
  <c r="AD68" i="83"/>
  <c r="AE68" i="83"/>
  <c r="AF68" i="83"/>
  <c r="AG68" i="83"/>
  <c r="AH68" i="83"/>
  <c r="AA69" i="83"/>
  <c r="AB69" i="83"/>
  <c r="AC69" i="83"/>
  <c r="AD69" i="83"/>
  <c r="AE69" i="83"/>
  <c r="AF69" i="83"/>
  <c r="AG69" i="83"/>
  <c r="AH69" i="83"/>
  <c r="AA70" i="83"/>
  <c r="AB70" i="83"/>
  <c r="AC70" i="83"/>
  <c r="AD70" i="83"/>
  <c r="AE70" i="83"/>
  <c r="AF70" i="83"/>
  <c r="AG70" i="83"/>
  <c r="AH70" i="83"/>
  <c r="AA71" i="83"/>
  <c r="AB71" i="83"/>
  <c r="AC71" i="83"/>
  <c r="AD71" i="83"/>
  <c r="AE71" i="83"/>
  <c r="AF71" i="83"/>
  <c r="AG71" i="83"/>
  <c r="AH71" i="83"/>
  <c r="AC72" i="83"/>
  <c r="AA87" i="83"/>
  <c r="AB87" i="83"/>
  <c r="AC87" i="83"/>
  <c r="AD87" i="83"/>
  <c r="AE87" i="83"/>
  <c r="AF87" i="83"/>
  <c r="AG87" i="83"/>
  <c r="AH87" i="83"/>
  <c r="AA88" i="83"/>
  <c r="AB88" i="83"/>
  <c r="AC88" i="83"/>
  <c r="AD88" i="83"/>
  <c r="AE88" i="83"/>
  <c r="AF88" i="83"/>
  <c r="AG88" i="83"/>
  <c r="AH88" i="83"/>
  <c r="AA89" i="83"/>
  <c r="AB89" i="83"/>
  <c r="AC89" i="83"/>
  <c r="AD89" i="83"/>
  <c r="AE89" i="83"/>
  <c r="AF89" i="83"/>
  <c r="AG89" i="83"/>
  <c r="AH89" i="83"/>
  <c r="Y18" i="84"/>
  <c r="Z18" i="84"/>
  <c r="AA18" i="84"/>
  <c r="AB18" i="84"/>
  <c r="AC18" i="84"/>
  <c r="AD18" i="84"/>
  <c r="AE18" i="84"/>
  <c r="AF18" i="84"/>
  <c r="Y22" i="84"/>
  <c r="Y23" i="84" s="1"/>
  <c r="Z22" i="84"/>
  <c r="Z23" i="84" s="1"/>
  <c r="AA22" i="84"/>
  <c r="AA23" i="84" s="1"/>
  <c r="AB22" i="84"/>
  <c r="AB23" i="84" s="1"/>
  <c r="AC22" i="84"/>
  <c r="AC23" i="84" s="1"/>
  <c r="AD22" i="84"/>
  <c r="AD23" i="84" s="1"/>
  <c r="AE22" i="84"/>
  <c r="AE23" i="84" s="1"/>
  <c r="AF22" i="84"/>
  <c r="AF23" i="84" s="1"/>
  <c r="Y26" i="84"/>
  <c r="Z26" i="84"/>
  <c r="AA26" i="84"/>
  <c r="AB26" i="84"/>
  <c r="AC26" i="84"/>
  <c r="AD26" i="84"/>
  <c r="AE26" i="84"/>
  <c r="AF26" i="84"/>
  <c r="Y40" i="84"/>
  <c r="Z40" i="84"/>
  <c r="AA40" i="84"/>
  <c r="AB40" i="84"/>
  <c r="AC40" i="84"/>
  <c r="AD40" i="84"/>
  <c r="AE40" i="84"/>
  <c r="AF40" i="84"/>
  <c r="Y41" i="84"/>
  <c r="Z41" i="84"/>
  <c r="AA41" i="84"/>
  <c r="AB41" i="84"/>
  <c r="AC41" i="84"/>
  <c r="AD41" i="84"/>
  <c r="AE41" i="84"/>
  <c r="AF41" i="84"/>
  <c r="Y42" i="84"/>
  <c r="Z42" i="84"/>
  <c r="AA42" i="84"/>
  <c r="AB42" i="84"/>
  <c r="AC42" i="84"/>
  <c r="AD42" i="84"/>
  <c r="AE42" i="84"/>
  <c r="AF42" i="84"/>
  <c r="Y43" i="84"/>
  <c r="Z43" i="84"/>
  <c r="AA43" i="84"/>
  <c r="AB43" i="84"/>
  <c r="AC43" i="84"/>
  <c r="AD43" i="84"/>
  <c r="AE43" i="84"/>
  <c r="AF43" i="84"/>
  <c r="Y44" i="84"/>
  <c r="Z44" i="84"/>
  <c r="AA44" i="84"/>
  <c r="AB44" i="84"/>
  <c r="AC44" i="84"/>
  <c r="AD44" i="84"/>
  <c r="AE44" i="84"/>
  <c r="AF44" i="84"/>
  <c r="Y45" i="84"/>
  <c r="Z45" i="84"/>
  <c r="AA45" i="84"/>
  <c r="AB45" i="84"/>
  <c r="AC45" i="84"/>
  <c r="AD45" i="84"/>
  <c r="AE45" i="84"/>
  <c r="AF45" i="84"/>
  <c r="Y46" i="84"/>
  <c r="Z46" i="84"/>
  <c r="AA46" i="84"/>
  <c r="AB46" i="84"/>
  <c r="AC46" i="84"/>
  <c r="AD46" i="84"/>
  <c r="AE46" i="84"/>
  <c r="AF46" i="84"/>
  <c r="Y47" i="84"/>
  <c r="Z47" i="84"/>
  <c r="AA47" i="84"/>
  <c r="AB47" i="84"/>
  <c r="AC47" i="84"/>
  <c r="AD47" i="84"/>
  <c r="AE47" i="84"/>
  <c r="AF47" i="84"/>
  <c r="Y48" i="84"/>
  <c r="Z48" i="84"/>
  <c r="AA48" i="84"/>
  <c r="AB48" i="84"/>
  <c r="AC48" i="84"/>
  <c r="AD48" i="84"/>
  <c r="AE48" i="84"/>
  <c r="AF48" i="84"/>
  <c r="Y49" i="84"/>
  <c r="Z49" i="84"/>
  <c r="AA49" i="84"/>
  <c r="AB49" i="84"/>
  <c r="AC49" i="84"/>
  <c r="AD49" i="84"/>
  <c r="AE49" i="84"/>
  <c r="AF49" i="84"/>
  <c r="Y50" i="84"/>
  <c r="Z50" i="84"/>
  <c r="AA50" i="84"/>
  <c r="AB50" i="84"/>
  <c r="AC50" i="84"/>
  <c r="AD50" i="84"/>
  <c r="AE50" i="84"/>
  <c r="AF50" i="84"/>
  <c r="Y51" i="84"/>
  <c r="Z51" i="84"/>
  <c r="AA51" i="84"/>
  <c r="AB51" i="84"/>
  <c r="AC51" i="84"/>
  <c r="AD51" i="84"/>
  <c r="AE51" i="84"/>
  <c r="AF51" i="84"/>
  <c r="Y52" i="84"/>
  <c r="Z52" i="84"/>
  <c r="AA52" i="84"/>
  <c r="AB52" i="84"/>
  <c r="AC52" i="84"/>
  <c r="AD52" i="84"/>
  <c r="AE52" i="84"/>
  <c r="AF52" i="84"/>
  <c r="Y53" i="84"/>
  <c r="Z53" i="84"/>
  <c r="AA53" i="84"/>
  <c r="AB53" i="84"/>
  <c r="AC53" i="84"/>
  <c r="AD53" i="84"/>
  <c r="AE53" i="84"/>
  <c r="AF53" i="84"/>
  <c r="Y62" i="84"/>
  <c r="Z62" i="84"/>
  <c r="AA62" i="84"/>
  <c r="AB62" i="84"/>
  <c r="AC62" i="84"/>
  <c r="AD62" i="84"/>
  <c r="AE62" i="84"/>
  <c r="AF62" i="84"/>
  <c r="Y18" i="85"/>
  <c r="Z18" i="85"/>
  <c r="AA18" i="85"/>
  <c r="AB18" i="85"/>
  <c r="AC18" i="85"/>
  <c r="AD18" i="85"/>
  <c r="AE18" i="85"/>
  <c r="AF18" i="85"/>
  <c r="Y22" i="85"/>
  <c r="Y23" i="85" s="1"/>
  <c r="Z22" i="85"/>
  <c r="Z23" i="85" s="1"/>
  <c r="AA22" i="85"/>
  <c r="AA23" i="85" s="1"/>
  <c r="AB22" i="85"/>
  <c r="AB23" i="85" s="1"/>
  <c r="AC22" i="85"/>
  <c r="AC23" i="85" s="1"/>
  <c r="AD22" i="85"/>
  <c r="AD23" i="85" s="1"/>
  <c r="AE22" i="85"/>
  <c r="AE23" i="85" s="1"/>
  <c r="AF22" i="85"/>
  <c r="AF23" i="85" s="1"/>
  <c r="Y25" i="85"/>
  <c r="Z25" i="85"/>
  <c r="AA25" i="85"/>
  <c r="AB25" i="85"/>
  <c r="AC25" i="85"/>
  <c r="AD25" i="85"/>
  <c r="AE25" i="85"/>
  <c r="AF25" i="85"/>
  <c r="Y26" i="85"/>
  <c r="Z26" i="85"/>
  <c r="AA26" i="85"/>
  <c r="AB26" i="85"/>
  <c r="AC26" i="85"/>
  <c r="AD26" i="85"/>
  <c r="AE26" i="85"/>
  <c r="AF26" i="85"/>
  <c r="Y40" i="85"/>
  <c r="Z40" i="85"/>
  <c r="AA40" i="85"/>
  <c r="AB40" i="85"/>
  <c r="AC40" i="85"/>
  <c r="AD40" i="85"/>
  <c r="AE40" i="85"/>
  <c r="AF40" i="85"/>
  <c r="Y41" i="85"/>
  <c r="Z41" i="85"/>
  <c r="AA41" i="85"/>
  <c r="AB41" i="85"/>
  <c r="AC41" i="85"/>
  <c r="AD41" i="85"/>
  <c r="AE41" i="85"/>
  <c r="AF41" i="85"/>
  <c r="Y42" i="85"/>
  <c r="Z42" i="85"/>
  <c r="AA42" i="85"/>
  <c r="AB42" i="85"/>
  <c r="AC42" i="85"/>
  <c r="AD42" i="85"/>
  <c r="AE42" i="85"/>
  <c r="AF42" i="85"/>
  <c r="Y43" i="85"/>
  <c r="Z43" i="85"/>
  <c r="AA43" i="85"/>
  <c r="AB43" i="85"/>
  <c r="AC43" i="85"/>
  <c r="AD43" i="85"/>
  <c r="AE43" i="85"/>
  <c r="AF43" i="85"/>
  <c r="Y44" i="85"/>
  <c r="Z44" i="85"/>
  <c r="AA44" i="85"/>
  <c r="AB44" i="85"/>
  <c r="AC44" i="85"/>
  <c r="AD44" i="85"/>
  <c r="AE44" i="85"/>
  <c r="AF44" i="85"/>
  <c r="Y45" i="85"/>
  <c r="Z45" i="85"/>
  <c r="AA45" i="85"/>
  <c r="AB45" i="85"/>
  <c r="AC45" i="85"/>
  <c r="AD45" i="85"/>
  <c r="AE45" i="85"/>
  <c r="AF45" i="85"/>
  <c r="Y46" i="85"/>
  <c r="Z46" i="85"/>
  <c r="AA46" i="85"/>
  <c r="AB46" i="85"/>
  <c r="AC46" i="85"/>
  <c r="AD46" i="85"/>
  <c r="AE46" i="85"/>
  <c r="AF46" i="85"/>
  <c r="Y47" i="85"/>
  <c r="Z47" i="85"/>
  <c r="AA47" i="85"/>
  <c r="AB47" i="85"/>
  <c r="AC47" i="85"/>
  <c r="AD47" i="85"/>
  <c r="AE47" i="85"/>
  <c r="AF47" i="85"/>
  <c r="Y48" i="85"/>
  <c r="Z48" i="85"/>
  <c r="AA48" i="85"/>
  <c r="AB48" i="85"/>
  <c r="AC48" i="85"/>
  <c r="AD48" i="85"/>
  <c r="AE48" i="85"/>
  <c r="AF48" i="85"/>
  <c r="Y49" i="85"/>
  <c r="Z49" i="85"/>
  <c r="AA49" i="85"/>
  <c r="AB49" i="85"/>
  <c r="AC49" i="85"/>
  <c r="AD49" i="85"/>
  <c r="AE49" i="85"/>
  <c r="AF49" i="85"/>
  <c r="Y50" i="85"/>
  <c r="Z50" i="85"/>
  <c r="AA50" i="85"/>
  <c r="AB50" i="85"/>
  <c r="AC50" i="85"/>
  <c r="AD50" i="85"/>
  <c r="AE50" i="85"/>
  <c r="AF50" i="85"/>
  <c r="Y51" i="85"/>
  <c r="Z51" i="85"/>
  <c r="AA51" i="85"/>
  <c r="AB51" i="85"/>
  <c r="AC51" i="85"/>
  <c r="AD51" i="85"/>
  <c r="AE51" i="85"/>
  <c r="AF51" i="85"/>
  <c r="Y52" i="85"/>
  <c r="Z52" i="85"/>
  <c r="AA52" i="85"/>
  <c r="AB52" i="85"/>
  <c r="AC52" i="85"/>
  <c r="AD52" i="85"/>
  <c r="AE52" i="85"/>
  <c r="AF52" i="85"/>
  <c r="Y53" i="85"/>
  <c r="Z53" i="85"/>
  <c r="AA53" i="85"/>
  <c r="AB53" i="85"/>
  <c r="AC53" i="85"/>
  <c r="AD53" i="85"/>
  <c r="AE53" i="85"/>
  <c r="AF53" i="85"/>
  <c r="Y55" i="85"/>
  <c r="Z55" i="85"/>
  <c r="AA55" i="85"/>
  <c r="AB55" i="85"/>
  <c r="AC55" i="85"/>
  <c r="AD55" i="85"/>
  <c r="AE55" i="85"/>
  <c r="AF55" i="85"/>
  <c r="Y56" i="85"/>
  <c r="Z56" i="85"/>
  <c r="AA56" i="85"/>
  <c r="AB56" i="85"/>
  <c r="AC56" i="85"/>
  <c r="AD56" i="85"/>
  <c r="AE56" i="85"/>
  <c r="AF56" i="85"/>
  <c r="Y57" i="85"/>
  <c r="Z57" i="85"/>
  <c r="AA57" i="85"/>
  <c r="AB57" i="85"/>
  <c r="AC57" i="85"/>
  <c r="AD57" i="85"/>
  <c r="AE57" i="85"/>
  <c r="AF57" i="85"/>
  <c r="Y58" i="85"/>
  <c r="Z58" i="85"/>
  <c r="AA58" i="85"/>
  <c r="AB58" i="85"/>
  <c r="AC58" i="85"/>
  <c r="AD58" i="85"/>
  <c r="AE58" i="85"/>
  <c r="AF58" i="85"/>
  <c r="Y59" i="85"/>
  <c r="Z59" i="85"/>
  <c r="AA59" i="85"/>
  <c r="AB59" i="85"/>
  <c r="AC59" i="85"/>
  <c r="AD59" i="85"/>
  <c r="AE59" i="85"/>
  <c r="AF59" i="85"/>
  <c r="Y60" i="85"/>
  <c r="Z60" i="85"/>
  <c r="AA60" i="85"/>
  <c r="AB60" i="85"/>
  <c r="AC60" i="85"/>
  <c r="AD60" i="85"/>
  <c r="AE60" i="85"/>
  <c r="AF60" i="85"/>
  <c r="Y61" i="85"/>
  <c r="Z61" i="85"/>
  <c r="AA61" i="85"/>
  <c r="AB61" i="85"/>
  <c r="AC61" i="85"/>
  <c r="AD61" i="85"/>
  <c r="AE61" i="85"/>
  <c r="AF61" i="85"/>
  <c r="Y66" i="83"/>
  <c r="Z66" i="83"/>
  <c r="Y67" i="83"/>
  <c r="Z67" i="83"/>
  <c r="Y68" i="83"/>
  <c r="Z68" i="83"/>
  <c r="Y69" i="83"/>
  <c r="Z69" i="83"/>
  <c r="Y70" i="83"/>
  <c r="Z70" i="83"/>
  <c r="Y71" i="83"/>
  <c r="Z71" i="83"/>
  <c r="H22" i="84"/>
  <c r="I22" i="84"/>
  <c r="J22" i="84"/>
  <c r="K22" i="84"/>
  <c r="L22" i="84"/>
  <c r="M22" i="84"/>
  <c r="N22" i="84"/>
  <c r="O22" i="84"/>
  <c r="P22" i="84"/>
  <c r="Q22" i="84"/>
  <c r="R22" i="84"/>
  <c r="S22" i="84"/>
  <c r="T22" i="84"/>
  <c r="U22" i="84"/>
  <c r="V22" i="84"/>
  <c r="W22" i="84"/>
  <c r="X22" i="84"/>
  <c r="H22" i="85"/>
  <c r="I26" i="84"/>
  <c r="J26" i="84"/>
  <c r="K26" i="84"/>
  <c r="L26" i="84"/>
  <c r="M26" i="84"/>
  <c r="N26" i="84"/>
  <c r="O26" i="84"/>
  <c r="P26" i="84"/>
  <c r="Q26" i="84"/>
  <c r="R26" i="84"/>
  <c r="S26" i="84"/>
  <c r="T26" i="84"/>
  <c r="U26" i="84"/>
  <c r="V26" i="84"/>
  <c r="W26" i="84"/>
  <c r="X26" i="84"/>
  <c r="H26" i="84"/>
  <c r="I26" i="85"/>
  <c r="J26" i="85"/>
  <c r="K26" i="85"/>
  <c r="L26" i="85"/>
  <c r="M26" i="85"/>
  <c r="N26" i="85"/>
  <c r="O26" i="85"/>
  <c r="P26" i="85"/>
  <c r="Q26" i="85"/>
  <c r="R26" i="85"/>
  <c r="S26" i="85"/>
  <c r="T26" i="85"/>
  <c r="U26" i="85"/>
  <c r="V26" i="85"/>
  <c r="W26" i="85"/>
  <c r="X26" i="85"/>
  <c r="H26" i="85"/>
  <c r="I25" i="85"/>
  <c r="J25" i="85"/>
  <c r="K25" i="85"/>
  <c r="L25" i="85"/>
  <c r="M25" i="85"/>
  <c r="N25" i="85"/>
  <c r="O25" i="85"/>
  <c r="P25" i="85"/>
  <c r="Q25" i="85"/>
  <c r="R25" i="85"/>
  <c r="S25" i="85"/>
  <c r="T25" i="85"/>
  <c r="U25" i="85"/>
  <c r="V25" i="85"/>
  <c r="W25" i="85"/>
  <c r="X25" i="85"/>
  <c r="H25" i="85"/>
  <c r="I22" i="85"/>
  <c r="J22" i="85"/>
  <c r="K22" i="85"/>
  <c r="L22" i="85"/>
  <c r="M22" i="85"/>
  <c r="N22" i="85"/>
  <c r="O22" i="85"/>
  <c r="P22" i="85"/>
  <c r="Q22" i="85"/>
  <c r="R22" i="85"/>
  <c r="S22" i="85"/>
  <c r="T22" i="85"/>
  <c r="U22" i="85"/>
  <c r="V22" i="85"/>
  <c r="W22" i="85"/>
  <c r="X22" i="85"/>
  <c r="DJ8" i="4" l="1" a="1"/>
  <c r="DJ8" i="4" s="1"/>
  <c r="DI8" i="4" a="1"/>
  <c r="DI8" i="4" s="1"/>
  <c r="DI8" i="80" a="1"/>
  <c r="DI8" i="80" s="1"/>
  <c r="DH8" i="4" a="1"/>
  <c r="DH8" i="4" s="1"/>
  <c r="DH88" i="4" s="1"/>
  <c r="DH8" i="80" a="1"/>
  <c r="DH8" i="80" s="1"/>
  <c r="AK33" i="82"/>
  <c r="AK31" i="82" s="1"/>
  <c r="AK32" i="82" s="1"/>
  <c r="AK35" i="82" s="1"/>
  <c r="AJ33" i="82"/>
  <c r="AJ31" i="82" s="1"/>
  <c r="AJ32" i="82" s="1"/>
  <c r="AJ35" i="82" s="1"/>
  <c r="CF102" i="4"/>
  <c r="CF146" i="4"/>
  <c r="AD75" i="4"/>
  <c r="DM146" i="4"/>
  <c r="DK146" i="4"/>
  <c r="AB75" i="4"/>
  <c r="CG102" i="4"/>
  <c r="CG146" i="4"/>
  <c r="W75" i="4"/>
  <c r="DF146" i="4"/>
  <c r="CH111" i="4"/>
  <c r="CH146" i="4"/>
  <c r="X75" i="4"/>
  <c r="DG146" i="4"/>
  <c r="AC75" i="4"/>
  <c r="DL146" i="4"/>
  <c r="CI111" i="4"/>
  <c r="CI146" i="4"/>
  <c r="DH146" i="4"/>
  <c r="Y75" i="4"/>
  <c r="DJ146" i="4"/>
  <c r="AA75" i="4"/>
  <c r="CJ111" i="4"/>
  <c r="CJ146" i="4"/>
  <c r="DI146" i="4"/>
  <c r="Z75" i="4"/>
  <c r="CE8" i="4" a="1"/>
  <c r="CE94" i="4" s="1"/>
  <c r="Y156" i="4" s="1"/>
  <c r="Y157" i="4" s="1"/>
  <c r="AI34" i="82"/>
  <c r="AI31" i="82" s="1"/>
  <c r="AI32" i="82" s="1"/>
  <c r="AI35" i="82" s="1"/>
  <c r="BF8" i="4" a="1"/>
  <c r="BD30" i="4"/>
  <c r="BD107" i="4" s="1"/>
  <c r="BD108" i="4" s="1"/>
  <c r="BE8" i="4" a="1"/>
  <c r="BE92" i="4" s="1"/>
  <c r="BF30" i="4"/>
  <c r="BF107" i="4" s="1"/>
  <c r="BF108" i="4" s="1"/>
  <c r="Y72" i="65"/>
  <c r="BA8" i="4" s="1" a="1"/>
  <c r="BE30" i="4"/>
  <c r="BE107" i="4" s="1"/>
  <c r="BE108" i="4" s="1"/>
  <c r="BC8" i="4" a="1"/>
  <c r="BC91" i="4" s="1"/>
  <c r="AF29" i="65"/>
  <c r="BH30" i="4"/>
  <c r="BH107" i="4" s="1"/>
  <c r="BH108" i="4" s="1"/>
  <c r="AF72" i="65"/>
  <c r="BH8" i="4" a="1"/>
  <c r="AG29" i="65"/>
  <c r="BI30" i="4"/>
  <c r="BI107" i="4" s="1"/>
  <c r="BI108" i="4" s="1"/>
  <c r="AH29" i="65"/>
  <c r="AH33" i="65" s="1"/>
  <c r="BJ30" i="4"/>
  <c r="BJ107" i="4" s="1"/>
  <c r="BJ108" i="4" s="1"/>
  <c r="AH72" i="65"/>
  <c r="BJ8" i="4" s="1" a="1"/>
  <c r="AE32" i="65"/>
  <c r="AE33" i="65"/>
  <c r="BG30" i="4"/>
  <c r="BG107" i="4" s="1"/>
  <c r="BG108" i="4" s="1"/>
  <c r="AG72" i="65"/>
  <c r="BI8" i="4" s="1" a="1"/>
  <c r="AD32" i="65"/>
  <c r="AD33" i="65"/>
  <c r="AC32" i="65"/>
  <c r="AC33" i="65"/>
  <c r="AB32" i="65"/>
  <c r="AB33" i="65"/>
  <c r="AA32" i="65"/>
  <c r="AA33" i="65"/>
  <c r="Z32" i="65"/>
  <c r="Z33" i="65"/>
  <c r="Y32" i="65"/>
  <c r="Y33" i="65"/>
  <c r="BA30" i="4"/>
  <c r="BA107" i="4" s="1"/>
  <c r="BA108" i="4" s="1"/>
  <c r="X29" i="65"/>
  <c r="X33" i="65" s="1"/>
  <c r="X32" i="65"/>
  <c r="X30" i="65" s="1"/>
  <c r="BB8" i="4" a="1"/>
  <c r="BB8" i="4" s="1"/>
  <c r="BB88" i="4" s="1"/>
  <c r="BB30" i="4"/>
  <c r="BB107" i="4" s="1"/>
  <c r="BB108" i="4" s="1"/>
  <c r="W29" i="65"/>
  <c r="W33" i="65" s="1"/>
  <c r="W32" i="65"/>
  <c r="W30" i="65" s="1"/>
  <c r="BC30" i="4"/>
  <c r="BC107" i="4" s="1"/>
  <c r="BC108" i="4" s="1"/>
  <c r="AF72" i="83"/>
  <c r="AF73" i="83" s="1"/>
  <c r="CH8" i="80" s="1" a="1"/>
  <c r="AA72" i="83"/>
  <c r="AA73" i="83" s="1"/>
  <c r="CC8" i="80" s="1" a="1"/>
  <c r="FP8" i="4"/>
  <c r="FP121" i="4"/>
  <c r="FP122" i="4"/>
  <c r="FP123" i="4"/>
  <c r="FP124" i="4"/>
  <c r="FP125" i="4"/>
  <c r="FP126" i="4"/>
  <c r="FQ8" i="4"/>
  <c r="FQ121" i="4"/>
  <c r="FQ124" i="4"/>
  <c r="FQ126" i="4"/>
  <c r="FQ122" i="4"/>
  <c r="FQ123" i="4"/>
  <c r="FQ125" i="4"/>
  <c r="FR8" i="4"/>
  <c r="FR121" i="4"/>
  <c r="FR123" i="4"/>
  <c r="FR125" i="4"/>
  <c r="FR122" i="4"/>
  <c r="FR124" i="4"/>
  <c r="FR126" i="4"/>
  <c r="AI34" i="83"/>
  <c r="AI31" i="83" s="1"/>
  <c r="FM8" i="4"/>
  <c r="FM126" i="4"/>
  <c r="FM122" i="4"/>
  <c r="FM125" i="4"/>
  <c r="FM123" i="4"/>
  <c r="FM124" i="4"/>
  <c r="FM121" i="4"/>
  <c r="FS8" i="4"/>
  <c r="FS125" i="4"/>
  <c r="FS121" i="4"/>
  <c r="FS123" i="4"/>
  <c r="FS126" i="4"/>
  <c r="FS122" i="4"/>
  <c r="FS124" i="4"/>
  <c r="FN8" i="4"/>
  <c r="FN121" i="4"/>
  <c r="FN122" i="4"/>
  <c r="FN123" i="4"/>
  <c r="FN124" i="4"/>
  <c r="FN125" i="4"/>
  <c r="FN126" i="4"/>
  <c r="FT8" i="4"/>
  <c r="FT121" i="4"/>
  <c r="FT122" i="4"/>
  <c r="FT124" i="4"/>
  <c r="FT126" i="4"/>
  <c r="FT123" i="4"/>
  <c r="FT125" i="4"/>
  <c r="FO8" i="4"/>
  <c r="FO121" i="4"/>
  <c r="FO122" i="4"/>
  <c r="FO123" i="4"/>
  <c r="FO124" i="4"/>
  <c r="FO125" i="4"/>
  <c r="FO126" i="4"/>
  <c r="Y62" i="85"/>
  <c r="DG8" i="81" a="1"/>
  <c r="DG8" i="80" a="1"/>
  <c r="DG8" i="80" s="1"/>
  <c r="DK8" i="81" a="1"/>
  <c r="DK8" i="80" a="1"/>
  <c r="DK8" i="80" s="1"/>
  <c r="DK8" i="4" a="1"/>
  <c r="DK8" i="4" s="1"/>
  <c r="DK88" i="4" s="1"/>
  <c r="DL8" i="81" a="1"/>
  <c r="DL8" i="80" a="1"/>
  <c r="DL8" i="80" s="1"/>
  <c r="DL8" i="4" a="1"/>
  <c r="DL8" i="4" s="1"/>
  <c r="DL88" i="4" s="1"/>
  <c r="DG8" i="4" a="1"/>
  <c r="DG8" i="4" s="1"/>
  <c r="DG88" i="4" s="1"/>
  <c r="DM8" i="81"/>
  <c r="DM8" i="4" a="1"/>
  <c r="DM8" i="4" s="1"/>
  <c r="DM88" i="4" s="1"/>
  <c r="DF8" i="80" a="1"/>
  <c r="DF8" i="80" s="1"/>
  <c r="DF8" i="81" a="1"/>
  <c r="DN8" i="4" a="1"/>
  <c r="DN8" i="80" a="1"/>
  <c r="DN8" i="81" a="1"/>
  <c r="DM8" i="80" a="1"/>
  <c r="DM8" i="80" s="1"/>
  <c r="DO8" i="4" a="1"/>
  <c r="DO8" i="80" a="1"/>
  <c r="DO8" i="81" a="1"/>
  <c r="Z62" i="85"/>
  <c r="DP8" i="4" a="1"/>
  <c r="DP8" i="80" a="1"/>
  <c r="DP8" i="81" a="1"/>
  <c r="AI32" i="84"/>
  <c r="AI29" i="84" s="1"/>
  <c r="AI30" i="84" s="1"/>
  <c r="AI33" i="84" s="1"/>
  <c r="Y28" i="85"/>
  <c r="AC32" i="6"/>
  <c r="AC29" i="6" s="1"/>
  <c r="AC30" i="6" s="1"/>
  <c r="AC33" i="6" s="1"/>
  <c r="Z28" i="85"/>
  <c r="Z32" i="85" s="1"/>
  <c r="X72" i="65"/>
  <c r="W72" i="65"/>
  <c r="Y99" i="4"/>
  <c r="Y166" i="4" s="1"/>
  <c r="Y178" i="4" s="1"/>
  <c r="Y97" i="4"/>
  <c r="AC102" i="4"/>
  <c r="AC172" i="4" s="1"/>
  <c r="AC179" i="4" s="1"/>
  <c r="AC100" i="4"/>
  <c r="AA99" i="4"/>
  <c r="AA166" i="4" s="1"/>
  <c r="AA178" i="4" s="1"/>
  <c r="AA97" i="4"/>
  <c r="CD8" i="4" a="1"/>
  <c r="CD92" i="4" s="1"/>
  <c r="AB72" i="83"/>
  <c r="AB73" i="83" s="1"/>
  <c r="CD8" i="80" s="1" a="1"/>
  <c r="CG8" i="4" a="1"/>
  <c r="CG8" i="4" s="1"/>
  <c r="CG88" i="4" s="1"/>
  <c r="AE72" i="83"/>
  <c r="AE73" i="83" s="1"/>
  <c r="CG8" i="80" s="1" a="1"/>
  <c r="AI73" i="7"/>
  <c r="CJ8" i="4" s="1" a="1"/>
  <c r="CJ94" i="4" s="1"/>
  <c r="AH72" i="83"/>
  <c r="AH73" i="83" s="1"/>
  <c r="CJ8" i="80" s="1" a="1"/>
  <c r="Z99" i="4"/>
  <c r="Z166" i="4" s="1"/>
  <c r="Z178" i="4" s="1"/>
  <c r="Z97" i="4"/>
  <c r="AD102" i="4"/>
  <c r="AD172" i="4" s="1"/>
  <c r="AD179" i="4" s="1"/>
  <c r="AD100" i="4"/>
  <c r="AB99" i="4"/>
  <c r="AB166" i="4" s="1"/>
  <c r="AB178" i="4" s="1"/>
  <c r="AB97" i="4"/>
  <c r="AC99" i="4"/>
  <c r="AC97" i="4"/>
  <c r="CC8" i="4" a="1"/>
  <c r="CC94" i="4" s="1"/>
  <c r="AJ73" i="7"/>
  <c r="CK8" i="4" s="1" a="1"/>
  <c r="AI72" i="83"/>
  <c r="Y102" i="4"/>
  <c r="Y100" i="4"/>
  <c r="CF8" i="4" a="1"/>
  <c r="CF8" i="4" s="1"/>
  <c r="CF88" i="4" s="1"/>
  <c r="AL73" i="7"/>
  <c r="CM8" i="4" s="1" a="1"/>
  <c r="AK72" i="83"/>
  <c r="W102" i="4"/>
  <c r="W100" i="4"/>
  <c r="AD72" i="83"/>
  <c r="AD73" i="83" s="1"/>
  <c r="Z102" i="4"/>
  <c r="Z172" i="4" s="1"/>
  <c r="Z179" i="4" s="1"/>
  <c r="Z100" i="4"/>
  <c r="AK73" i="7"/>
  <c r="CL8" i="4" s="1" a="1"/>
  <c r="AJ72" i="83"/>
  <c r="W99" i="4"/>
  <c r="W166" i="4" s="1"/>
  <c r="W178" i="4" s="1"/>
  <c r="W97" i="4"/>
  <c r="AA102" i="4"/>
  <c r="AA100" i="4"/>
  <c r="CH8" i="4" a="1"/>
  <c r="CH93" i="4" s="1"/>
  <c r="AD99" i="4"/>
  <c r="AD97" i="4"/>
  <c r="X102" i="4"/>
  <c r="X172" i="4" s="1"/>
  <c r="X179" i="4" s="1"/>
  <c r="X100" i="4"/>
  <c r="X99" i="4"/>
  <c r="X166" i="4" s="1"/>
  <c r="X178" i="4" s="1"/>
  <c r="X97" i="4"/>
  <c r="AB102" i="4"/>
  <c r="AB172" i="4" s="1"/>
  <c r="AB179" i="4" s="1"/>
  <c r="AB100" i="4"/>
  <c r="CI8" i="4" a="1"/>
  <c r="CI89" i="4" s="1"/>
  <c r="AI31" i="85"/>
  <c r="AI29" i="85" s="1"/>
  <c r="AI30" i="85" s="1"/>
  <c r="AI33" i="85" s="1"/>
  <c r="AH31" i="85"/>
  <c r="AH29" i="85" s="1"/>
  <c r="AH30" i="85" s="1"/>
  <c r="AH33" i="85" s="1"/>
  <c r="AG31" i="85"/>
  <c r="AG29" i="85" s="1"/>
  <c r="AG30" i="85" s="1"/>
  <c r="AG33" i="85" s="1"/>
  <c r="AG31" i="84"/>
  <c r="AG29" i="84" s="1"/>
  <c r="AG30" i="84" s="1"/>
  <c r="AG33" i="84" s="1"/>
  <c r="AH31" i="84"/>
  <c r="AH29" i="84" s="1"/>
  <c r="AH30" i="84" s="1"/>
  <c r="AH33" i="84" s="1"/>
  <c r="AK33" i="83"/>
  <c r="AK31" i="83" s="1"/>
  <c r="AJ33" i="83"/>
  <c r="AJ31" i="83" s="1"/>
  <c r="AD181" i="80"/>
  <c r="DJ88" i="4"/>
  <c r="AJ30" i="7"/>
  <c r="AJ34" i="7" s="1"/>
  <c r="AK30" i="7"/>
  <c r="AK34" i="7" s="1"/>
  <c r="AL33" i="7"/>
  <c r="AL31" i="7" s="1"/>
  <c r="AG31" i="6"/>
  <c r="AG29" i="6" s="1"/>
  <c r="AG30" i="6" s="1"/>
  <c r="AG33" i="6" s="1"/>
  <c r="AH31" i="6"/>
  <c r="AH29" i="6" s="1"/>
  <c r="AH30" i="6" s="1"/>
  <c r="AH33" i="6" s="1"/>
  <c r="AI31" i="6"/>
  <c r="AI29" i="6" s="1"/>
  <c r="AI30" i="6" s="1"/>
  <c r="AI33" i="6" s="1"/>
  <c r="CD113" i="4"/>
  <c r="CE113" i="4"/>
  <c r="DJ94" i="4"/>
  <c r="DF90" i="4"/>
  <c r="DF93" i="4"/>
  <c r="DF106" i="4"/>
  <c r="DG106" i="4"/>
  <c r="DI90" i="4"/>
  <c r="DK106" i="4"/>
  <c r="DL106" i="4"/>
  <c r="DF88" i="4"/>
  <c r="DF91" i="4"/>
  <c r="DF94" i="4"/>
  <c r="DH93" i="4"/>
  <c r="DH106" i="4"/>
  <c r="DI106" i="4"/>
  <c r="DF89" i="4"/>
  <c r="DF92" i="4"/>
  <c r="DJ93" i="4"/>
  <c r="DJ106" i="4"/>
  <c r="DI92" i="4"/>
  <c r="DM106" i="4"/>
  <c r="DH94" i="4"/>
  <c r="DI88" i="4"/>
  <c r="DI91" i="4"/>
  <c r="DI94" i="4"/>
  <c r="CJ102" i="4"/>
  <c r="CG113" i="4"/>
  <c r="CJ106" i="4"/>
  <c r="CJ110" i="4"/>
  <c r="CF110" i="4"/>
  <c r="CD103" i="4"/>
  <c r="CI103" i="4"/>
  <c r="CD111" i="4"/>
  <c r="CJ103" i="4"/>
  <c r="CE111" i="4"/>
  <c r="CG110" i="4"/>
  <c r="CE103" i="4"/>
  <c r="CF106" i="4"/>
  <c r="CG106" i="4"/>
  <c r="CG103" i="4"/>
  <c r="CG111" i="4"/>
  <c r="CH103" i="4"/>
  <c r="CI113" i="4"/>
  <c r="CC102" i="4"/>
  <c r="CC106" i="4"/>
  <c r="CC110" i="4"/>
  <c r="CJ113" i="4"/>
  <c r="CD102" i="4"/>
  <c r="CD106" i="4"/>
  <c r="CD110" i="4"/>
  <c r="CH113" i="4"/>
  <c r="CE102" i="4"/>
  <c r="CE106" i="4"/>
  <c r="CE110" i="4"/>
  <c r="CH102" i="4"/>
  <c r="CH106" i="4"/>
  <c r="CE99" i="4"/>
  <c r="CI102" i="4"/>
  <c r="CI106" i="4"/>
  <c r="CI110" i="4"/>
  <c r="CC99" i="4"/>
  <c r="CD99" i="4"/>
  <c r="CF99" i="4"/>
  <c r="CF113" i="4"/>
  <c r="CC113" i="4"/>
  <c r="CH110" i="4"/>
  <c r="CG99" i="4"/>
  <c r="CC103" i="4"/>
  <c r="CC111" i="4"/>
  <c r="CH99" i="4"/>
  <c r="CI99" i="4"/>
  <c r="CJ99" i="4"/>
  <c r="CF103" i="4"/>
  <c r="CF111" i="4"/>
  <c r="W218" i="4"/>
  <c r="W226" i="4" s="1"/>
  <c r="X245" i="4"/>
  <c r="BD89" i="4"/>
  <c r="Y245" i="4"/>
  <c r="Z245" i="4"/>
  <c r="BE104" i="4"/>
  <c r="AA108" i="4"/>
  <c r="AB206" i="4"/>
  <c r="BD94" i="4"/>
  <c r="AD245" i="4"/>
  <c r="BD90" i="4"/>
  <c r="W211" i="4"/>
  <c r="W223" i="4" s="1"/>
  <c r="AB108" i="4"/>
  <c r="AC206" i="4"/>
  <c r="BF104" i="4"/>
  <c r="AA245" i="4"/>
  <c r="AC108" i="4"/>
  <c r="AD206" i="4"/>
  <c r="BG104" i="4"/>
  <c r="AC245" i="4"/>
  <c r="AB245" i="4"/>
  <c r="AY104" i="4"/>
  <c r="BA104" i="4"/>
  <c r="BC104" i="4"/>
  <c r="Z238" i="4"/>
  <c r="AA238" i="4"/>
  <c r="W238" i="4"/>
  <c r="AB238" i="4"/>
  <c r="X238" i="4"/>
  <c r="AC238" i="4"/>
  <c r="Y238" i="4"/>
  <c r="AD238" i="4"/>
  <c r="AY108" i="4"/>
  <c r="BD91" i="4"/>
  <c r="BD92" i="4"/>
  <c r="BD104" i="4"/>
  <c r="AZ108" i="4"/>
  <c r="BD8" i="4"/>
  <c r="BD88" i="4" s="1"/>
  <c r="BB104" i="4"/>
  <c r="AZ104" i="4"/>
  <c r="W245" i="4"/>
  <c r="W108" i="4"/>
  <c r="Y108" i="4"/>
  <c r="Z108" i="4"/>
  <c r="X108" i="4"/>
  <c r="AD108" i="4"/>
  <c r="AE72" i="65"/>
  <c r="BG8" i="4" s="1" a="1"/>
  <c r="AD62" i="85"/>
  <c r="AC62" i="85"/>
  <c r="AD28" i="6"/>
  <c r="AD32" i="6" s="1"/>
  <c r="AE28" i="6"/>
  <c r="AE32" i="6" s="1"/>
  <c r="AB31" i="6"/>
  <c r="AB29" i="6" s="1"/>
  <c r="AB30" i="6" s="1"/>
  <c r="AB33" i="6" s="1"/>
  <c r="AF28" i="6"/>
  <c r="AF32" i="6" s="1"/>
  <c r="AD28" i="85"/>
  <c r="AD32" i="85" s="1"/>
  <c r="AB62" i="85"/>
  <c r="AF62" i="85"/>
  <c r="AB28" i="85"/>
  <c r="AB31" i="85" s="1"/>
  <c r="AE62" i="85"/>
  <c r="AE28" i="85"/>
  <c r="AE32" i="85" s="1"/>
  <c r="AA28" i="6"/>
  <c r="AA32" i="6" s="1"/>
  <c r="AA62" i="85"/>
  <c r="Z31" i="6"/>
  <c r="Z29" i="6" s="1"/>
  <c r="Z30" i="6" s="1"/>
  <c r="Z33" i="6" s="1"/>
  <c r="Y28" i="6"/>
  <c r="Y32" i="6" s="1"/>
  <c r="AI33" i="7"/>
  <c r="AI34" i="7"/>
  <c r="AH34" i="7"/>
  <c r="AH33" i="7"/>
  <c r="AG72" i="83"/>
  <c r="AG73" i="83" s="1"/>
  <c r="CI8" i="80" s="1" a="1"/>
  <c r="AG34" i="7"/>
  <c r="AG33" i="7"/>
  <c r="AA30" i="82"/>
  <c r="AA34" i="82" s="1"/>
  <c r="AH30" i="82"/>
  <c r="AH34" i="82" s="1"/>
  <c r="AF30" i="82"/>
  <c r="AF34" i="82" s="1"/>
  <c r="AG30" i="82"/>
  <c r="AG33" i="82" s="1"/>
  <c r="AE30" i="82"/>
  <c r="AE34" i="82" s="1"/>
  <c r="AC181" i="80"/>
  <c r="AB181" i="80"/>
  <c r="AA181" i="80"/>
  <c r="Z181" i="80"/>
  <c r="Y181" i="80"/>
  <c r="X181" i="80"/>
  <c r="W181" i="80"/>
  <c r="AB30" i="82"/>
  <c r="AB34" i="82" s="1"/>
  <c r="AD30" i="82"/>
  <c r="AD34" i="82" s="1"/>
  <c r="AC30" i="82"/>
  <c r="AC34" i="82" s="1"/>
  <c r="AD30" i="83"/>
  <c r="AD34" i="83" s="1"/>
  <c r="AC73" i="83"/>
  <c r="CE8" i="80" s="1" a="1"/>
  <c r="AC30" i="83"/>
  <c r="AC33" i="83" s="1"/>
  <c r="AB30" i="83"/>
  <c r="AB33" i="83" s="1"/>
  <c r="AH30" i="83"/>
  <c r="AH33" i="83" s="1"/>
  <c r="AE30" i="83"/>
  <c r="AE33" i="83" s="1"/>
  <c r="AG30" i="83"/>
  <c r="AG33" i="83" s="1"/>
  <c r="AF30" i="83"/>
  <c r="AF33" i="83" s="1"/>
  <c r="AA30" i="83"/>
  <c r="AA34" i="83" s="1"/>
  <c r="AD28" i="84"/>
  <c r="AD32" i="84" s="1"/>
  <c r="AE28" i="84"/>
  <c r="AE32" i="84" s="1"/>
  <c r="AC28" i="84"/>
  <c r="AC32" i="84" s="1"/>
  <c r="AB28" i="84"/>
  <c r="AB32" i="84" s="1"/>
  <c r="AA28" i="84"/>
  <c r="AA31" i="84" s="1"/>
  <c r="Z28" i="84"/>
  <c r="Y28" i="84"/>
  <c r="Y32" i="84" s="1"/>
  <c r="AF28" i="84"/>
  <c r="AF32" i="84" s="1"/>
  <c r="AC28" i="85"/>
  <c r="AC32" i="85" s="1"/>
  <c r="AA28" i="85"/>
  <c r="AA32" i="85" s="1"/>
  <c r="AF28" i="85"/>
  <c r="AF32" i="85" s="1"/>
  <c r="DJ90" i="4" l="1"/>
  <c r="DJ91" i="4"/>
  <c r="DJ92" i="4"/>
  <c r="DJ89" i="4"/>
  <c r="DI89" i="4"/>
  <c r="AE31" i="85"/>
  <c r="AE29" i="85" s="1"/>
  <c r="AE30" i="85" s="1"/>
  <c r="AE33" i="85" s="1"/>
  <c r="AF31" i="84"/>
  <c r="AF29" i="84" s="1"/>
  <c r="AF30" i="84" s="1"/>
  <c r="AF33" i="84" s="1"/>
  <c r="DH91" i="4"/>
  <c r="DH92" i="4"/>
  <c r="DH89" i="4"/>
  <c r="DI93" i="4"/>
  <c r="DH90" i="4"/>
  <c r="AE31" i="84"/>
  <c r="AE29" i="84" s="1"/>
  <c r="AE30" i="84" s="1"/>
  <c r="AE33" i="84" s="1"/>
  <c r="AB32" i="85"/>
  <c r="Y32" i="85"/>
  <c r="Y31" i="85"/>
  <c r="Y29" i="85" s="1"/>
  <c r="Y30" i="85" s="1"/>
  <c r="Y33" i="85" s="1"/>
  <c r="Z31" i="84"/>
  <c r="Z32" i="84"/>
  <c r="BF89" i="4"/>
  <c r="BF93" i="4"/>
  <c r="BF92" i="4"/>
  <c r="BF94" i="4"/>
  <c r="BF90" i="4"/>
  <c r="CE8" i="4"/>
  <c r="CE88" i="4" s="1"/>
  <c r="Y269" i="4" s="1"/>
  <c r="CE92" i="4"/>
  <c r="CE93" i="4"/>
  <c r="CE89" i="4"/>
  <c r="CE90" i="4"/>
  <c r="BE93" i="4"/>
  <c r="DM89" i="4"/>
  <c r="DM90" i="4"/>
  <c r="BE89" i="4"/>
  <c r="DK92" i="4"/>
  <c r="DK93" i="4"/>
  <c r="DM91" i="4"/>
  <c r="BE8" i="4"/>
  <c r="BE88" i="4" s="1"/>
  <c r="BE90" i="4"/>
  <c r="DK91" i="4"/>
  <c r="DM92" i="4"/>
  <c r="BE94" i="4"/>
  <c r="BE91" i="4"/>
  <c r="CE91" i="4"/>
  <c r="CH92" i="4"/>
  <c r="CF55" i="4"/>
  <c r="CF115" i="4" s="1"/>
  <c r="BF91" i="4"/>
  <c r="BC94" i="4"/>
  <c r="BF8" i="4"/>
  <c r="BF88" i="4" s="1"/>
  <c r="BC93" i="4"/>
  <c r="BC89" i="4"/>
  <c r="BC8" i="4"/>
  <c r="BC88" i="4" s="1"/>
  <c r="Z269" i="4" s="1"/>
  <c r="BC90" i="4"/>
  <c r="BA92" i="4"/>
  <c r="BA8" i="4"/>
  <c r="BA88" i="4" s="1"/>
  <c r="BA91" i="4"/>
  <c r="BA89" i="4"/>
  <c r="BA93" i="4"/>
  <c r="BA94" i="4"/>
  <c r="BA90" i="4"/>
  <c r="BB93" i="4"/>
  <c r="BC92" i="4"/>
  <c r="BB92" i="4"/>
  <c r="BB89" i="4"/>
  <c r="AA30" i="65"/>
  <c r="BC55" i="4" s="1"/>
  <c r="BC115" i="4" s="1"/>
  <c r="BJ92" i="4"/>
  <c r="BJ91" i="4"/>
  <c r="BJ8" i="4"/>
  <c r="BJ88" i="4" s="1"/>
  <c r="BJ89" i="4"/>
  <c r="BJ93" i="4"/>
  <c r="BJ90" i="4"/>
  <c r="BJ94" i="4"/>
  <c r="BG93" i="4"/>
  <c r="BG89" i="4"/>
  <c r="BG8" i="4"/>
  <c r="BG88" i="4" s="1"/>
  <c r="BG91" i="4"/>
  <c r="BG94" i="4"/>
  <c r="BG90" i="4"/>
  <c r="BG92" i="4"/>
  <c r="AB30" i="65"/>
  <c r="BI92" i="4"/>
  <c r="BI91" i="4"/>
  <c r="BI93" i="4"/>
  <c r="BI89" i="4"/>
  <c r="BI8" i="4"/>
  <c r="BI88" i="4" s="1"/>
  <c r="BI90" i="4"/>
  <c r="BI94" i="4"/>
  <c r="W31" i="65"/>
  <c r="AY55" i="4"/>
  <c r="AY115" i="4" s="1"/>
  <c r="AH32" i="65"/>
  <c r="AH30" i="65" s="1"/>
  <c r="X31" i="65"/>
  <c r="AZ55" i="4"/>
  <c r="AZ115" i="4" s="1"/>
  <c r="AC30" i="65"/>
  <c r="BB90" i="4"/>
  <c r="AD30" i="65"/>
  <c r="AG32" i="65"/>
  <c r="AG33" i="65"/>
  <c r="BB94" i="4"/>
  <c r="Y275" i="4" s="1"/>
  <c r="Y301" i="4" s="1"/>
  <c r="BH8" i="4"/>
  <c r="BH88" i="4" s="1"/>
  <c r="BH93" i="4"/>
  <c r="BH89" i="4"/>
  <c r="BH92" i="4"/>
  <c r="BH90" i="4"/>
  <c r="BH94" i="4"/>
  <c r="BH91" i="4"/>
  <c r="BB91" i="4"/>
  <c r="Y30" i="65"/>
  <c r="Z30" i="65"/>
  <c r="AE30" i="65"/>
  <c r="AF32" i="65"/>
  <c r="AF33" i="65"/>
  <c r="AE34" i="83"/>
  <c r="AE31" i="83" s="1"/>
  <c r="AL32" i="7"/>
  <c r="CM55" i="4"/>
  <c r="CM115" i="4" s="1"/>
  <c r="CM91" i="4"/>
  <c r="CM94" i="4"/>
  <c r="CM89" i="4"/>
  <c r="CM93" i="4"/>
  <c r="CM8" i="4"/>
  <c r="CM88" i="4" s="1"/>
  <c r="CM92" i="4"/>
  <c r="CM90" i="4"/>
  <c r="CK89" i="4"/>
  <c r="CK90" i="4"/>
  <c r="CK94" i="4"/>
  <c r="CK8" i="4"/>
  <c r="CK88" i="4" s="1"/>
  <c r="CK91" i="4"/>
  <c r="CK93" i="4"/>
  <c r="CK92" i="4"/>
  <c r="CL92" i="4"/>
  <c r="CL94" i="4"/>
  <c r="CL93" i="4"/>
  <c r="CL91" i="4"/>
  <c r="CL8" i="4"/>
  <c r="CL88" i="4" s="1"/>
  <c r="CL89" i="4"/>
  <c r="CL90" i="4"/>
  <c r="CI92" i="4"/>
  <c r="CF8" i="80" a="1"/>
  <c r="Y250" i="4"/>
  <c r="FS146" i="4"/>
  <c r="AC247" i="4"/>
  <c r="Y247" i="4"/>
  <c r="FO146" i="4"/>
  <c r="AC259" i="4"/>
  <c r="AD259" i="4"/>
  <c r="X253" i="4"/>
  <c r="AD253" i="4"/>
  <c r="W247" i="4"/>
  <c r="FM146" i="4"/>
  <c r="FN146" i="4"/>
  <c r="X247" i="4"/>
  <c r="AB259" i="4"/>
  <c r="W253" i="4"/>
  <c r="AB253" i="4"/>
  <c r="Z253" i="4"/>
  <c r="W250" i="4"/>
  <c r="AC250" i="4"/>
  <c r="AA259" i="4"/>
  <c r="AA269" i="4"/>
  <c r="AA253" i="4"/>
  <c r="X259" i="4"/>
  <c r="AA247" i="4"/>
  <c r="FQ146" i="4"/>
  <c r="X250" i="4"/>
  <c r="AB250" i="4"/>
  <c r="Z259" i="4"/>
  <c r="AC104" i="4"/>
  <c r="AD250" i="4"/>
  <c r="W259" i="4"/>
  <c r="AB247" i="4"/>
  <c r="FR146" i="4"/>
  <c r="FT146" i="4"/>
  <c r="AD247" i="4"/>
  <c r="Z250" i="4"/>
  <c r="Y259" i="4"/>
  <c r="FP146" i="4"/>
  <c r="Z247" i="4"/>
  <c r="Y253" i="4"/>
  <c r="AC253" i="4"/>
  <c r="AA250" i="4"/>
  <c r="DN8" i="4"/>
  <c r="DN88" i="4" s="1"/>
  <c r="DN94" i="4"/>
  <c r="DN89" i="4"/>
  <c r="DN91" i="4"/>
  <c r="DN93" i="4"/>
  <c r="DN90" i="4"/>
  <c r="DN92" i="4"/>
  <c r="DG90" i="4"/>
  <c r="DF8" i="81"/>
  <c r="DG94" i="4"/>
  <c r="DL91" i="4"/>
  <c r="DP8" i="80"/>
  <c r="DL90" i="4"/>
  <c r="DK89" i="4"/>
  <c r="DL92" i="4"/>
  <c r="DK90" i="4"/>
  <c r="DN8" i="81"/>
  <c r="DM93" i="4"/>
  <c r="DM94" i="4"/>
  <c r="DN8" i="80"/>
  <c r="DP8" i="81"/>
  <c r="DL93" i="4"/>
  <c r="DG89" i="4"/>
  <c r="DL8" i="81"/>
  <c r="DG91" i="4"/>
  <c r="DG92" i="4"/>
  <c r="DP92" i="4"/>
  <c r="DP8" i="4"/>
  <c r="DP88" i="4" s="1"/>
  <c r="DP90" i="4"/>
  <c r="DP94" i="4"/>
  <c r="DP91" i="4"/>
  <c r="DP89" i="4"/>
  <c r="DP93" i="4"/>
  <c r="DO8" i="81"/>
  <c r="DK8" i="81"/>
  <c r="DL89" i="4"/>
  <c r="DL94" i="4"/>
  <c r="DO8" i="80"/>
  <c r="DG93" i="4"/>
  <c r="DK94" i="4"/>
  <c r="DO8" i="4"/>
  <c r="DO88" i="4" s="1"/>
  <c r="DO90" i="4"/>
  <c r="DO92" i="4"/>
  <c r="DO94" i="4"/>
  <c r="DO91" i="4"/>
  <c r="DO89" i="4"/>
  <c r="DO93" i="4"/>
  <c r="DG8" i="81"/>
  <c r="Z31" i="85"/>
  <c r="Z29" i="85" s="1"/>
  <c r="Z30" i="85" s="1"/>
  <c r="Z33" i="85" s="1"/>
  <c r="Y31" i="6"/>
  <c r="Y29" i="6" s="1"/>
  <c r="Y30" i="6" s="1"/>
  <c r="Y33" i="6" s="1"/>
  <c r="AA32" i="84"/>
  <c r="AA29" i="84" s="1"/>
  <c r="AA30" i="84" s="1"/>
  <c r="AA33" i="84" s="1"/>
  <c r="AC31" i="85"/>
  <c r="AC29" i="85" s="1"/>
  <c r="AC30" i="85" s="1"/>
  <c r="AC33" i="85" s="1"/>
  <c r="AY8" i="4" a="1"/>
  <c r="AZ8" i="4" a="1"/>
  <c r="Y104" i="4"/>
  <c r="CF92" i="4"/>
  <c r="W104" i="4"/>
  <c r="AD104" i="4"/>
  <c r="CI90" i="4"/>
  <c r="CJ91" i="4"/>
  <c r="CJ8" i="4"/>
  <c r="CJ88" i="4" s="1"/>
  <c r="AD166" i="4"/>
  <c r="AD178" i="4" s="1"/>
  <c r="AD180" i="4" s="1"/>
  <c r="AD186" i="4" s="1"/>
  <c r="AE189" i="4" s="1"/>
  <c r="Z104" i="4"/>
  <c r="AC166" i="4"/>
  <c r="AC178" i="4" s="1"/>
  <c r="AC180" i="4" s="1"/>
  <c r="CD93" i="4"/>
  <c r="CH91" i="4"/>
  <c r="CI8" i="4"/>
  <c r="CI88" i="4" s="1"/>
  <c r="Y172" i="4"/>
  <c r="Y179" i="4" s="1"/>
  <c r="Y180" i="4" s="1"/>
  <c r="Y186" i="4" s="1"/>
  <c r="CJ93" i="4"/>
  <c r="AA104" i="4"/>
  <c r="CC8" i="4"/>
  <c r="CC88" i="4" s="1"/>
  <c r="CC91" i="4"/>
  <c r="X104" i="4"/>
  <c r="CG92" i="4"/>
  <c r="AA273" i="4" s="1"/>
  <c r="CC93" i="4"/>
  <c r="CC92" i="4"/>
  <c r="CC89" i="4"/>
  <c r="CC90" i="4"/>
  <c r="CF94" i="4"/>
  <c r="Z156" i="4" s="1"/>
  <c r="Z157" i="4" s="1"/>
  <c r="CD89" i="4"/>
  <c r="CD91" i="4"/>
  <c r="AB104" i="4"/>
  <c r="CH94" i="4"/>
  <c r="CD90" i="4"/>
  <c r="CG89" i="4"/>
  <c r="AA270" i="4" s="1"/>
  <c r="CH89" i="4"/>
  <c r="CG94" i="4"/>
  <c r="CG55" i="4"/>
  <c r="CG115" i="4" s="1"/>
  <c r="CH8" i="4"/>
  <c r="CH88" i="4" s="1"/>
  <c r="CG91" i="4"/>
  <c r="AA272" i="4" s="1"/>
  <c r="W191" i="4"/>
  <c r="W196" i="4"/>
  <c r="AA172" i="4"/>
  <c r="AA179" i="4" s="1"/>
  <c r="AA180" i="4" s="1"/>
  <c r="CD8" i="4"/>
  <c r="CD88" i="4" s="1"/>
  <c r="CF91" i="4"/>
  <c r="Z272" i="4" s="1"/>
  <c r="CD94" i="4"/>
  <c r="AJ73" i="83"/>
  <c r="CL8" i="80" s="1" a="1"/>
  <c r="W172" i="4"/>
  <c r="W179" i="4" s="1"/>
  <c r="W180" i="4" s="1"/>
  <c r="W186" i="4" s="1"/>
  <c r="CJ90" i="4"/>
  <c r="CF93" i="4"/>
  <c r="CJ89" i="4"/>
  <c r="CI93" i="4"/>
  <c r="AJ32" i="83"/>
  <c r="CL41" i="80"/>
  <c r="X196" i="4"/>
  <c r="X191" i="4"/>
  <c r="AI73" i="83"/>
  <c r="CK8" i="80" s="1" a="1"/>
  <c r="Z196" i="4"/>
  <c r="Z191" i="4"/>
  <c r="AK73" i="83"/>
  <c r="CM8" i="80" s="1" a="1"/>
  <c r="CJ92" i="4"/>
  <c r="AA196" i="4"/>
  <c r="AA191" i="4"/>
  <c r="CF89" i="4"/>
  <c r="CG93" i="4"/>
  <c r="AA274" i="4" s="1"/>
  <c r="CF90" i="4"/>
  <c r="CI94" i="4"/>
  <c r="AK32" i="83"/>
  <c r="CM41" i="80"/>
  <c r="AD191" i="4"/>
  <c r="AD196" i="4"/>
  <c r="AI32" i="83"/>
  <c r="CK41" i="80"/>
  <c r="AB196" i="4"/>
  <c r="AB191" i="4"/>
  <c r="AF33" i="82"/>
  <c r="AF31" i="82" s="1"/>
  <c r="AF32" i="82" s="1"/>
  <c r="AF35" i="82" s="1"/>
  <c r="CG90" i="4"/>
  <c r="AA271" i="4" s="1"/>
  <c r="CI91" i="4"/>
  <c r="Y196" i="4"/>
  <c r="Y191" i="4"/>
  <c r="AC191" i="4"/>
  <c r="AC196" i="4"/>
  <c r="CH90" i="4"/>
  <c r="AG34" i="82"/>
  <c r="AG31" i="82" s="1"/>
  <c r="AG32" i="82" s="1"/>
  <c r="AG35" i="82" s="1"/>
  <c r="AK33" i="7"/>
  <c r="AK31" i="7" s="1"/>
  <c r="AJ33" i="7"/>
  <c r="AJ31" i="7" s="1"/>
  <c r="W149" i="4"/>
  <c r="DJ95" i="4"/>
  <c r="DF95" i="4"/>
  <c r="CJ104" i="4"/>
  <c r="CE104" i="4"/>
  <c r="CG104" i="4"/>
  <c r="CD104" i="4"/>
  <c r="CF104" i="4"/>
  <c r="CI104" i="4"/>
  <c r="CC104" i="4"/>
  <c r="CH104" i="4"/>
  <c r="X180" i="4"/>
  <c r="X186" i="4" s="1"/>
  <c r="BD95" i="4"/>
  <c r="Z180" i="4"/>
  <c r="AB180" i="4"/>
  <c r="AB186" i="4" s="1"/>
  <c r="AF31" i="6"/>
  <c r="AF29" i="6" s="1"/>
  <c r="AF30" i="6" s="1"/>
  <c r="AF33" i="6" s="1"/>
  <c r="AD31" i="6"/>
  <c r="AD29" i="6" s="1"/>
  <c r="AD30" i="6" s="1"/>
  <c r="AD33" i="6" s="1"/>
  <c r="AD31" i="85"/>
  <c r="AD29" i="85" s="1"/>
  <c r="AD30" i="85" s="1"/>
  <c r="AD33" i="85" s="1"/>
  <c r="AD31" i="84"/>
  <c r="AD29" i="84" s="1"/>
  <c r="AD30" i="84" s="1"/>
  <c r="AD33" i="84" s="1"/>
  <c r="AE31" i="6"/>
  <c r="AE29" i="6" s="1"/>
  <c r="AE30" i="6" s="1"/>
  <c r="AE33" i="6" s="1"/>
  <c r="AA31" i="6"/>
  <c r="AA29" i="6" s="1"/>
  <c r="AA30" i="6" s="1"/>
  <c r="AA33" i="6" s="1"/>
  <c r="AI31" i="7"/>
  <c r="AH31" i="7"/>
  <c r="AG31" i="7"/>
  <c r="AE33" i="82"/>
  <c r="AE31" i="82" s="1"/>
  <c r="AE32" i="82" s="1"/>
  <c r="AE35" i="82" s="1"/>
  <c r="AH33" i="82"/>
  <c r="AH31" i="82" s="1"/>
  <c r="AH32" i="82" s="1"/>
  <c r="AH35" i="82" s="1"/>
  <c r="AA33" i="82"/>
  <c r="AA31" i="82" s="1"/>
  <c r="AA32" i="82" s="1"/>
  <c r="AA35" i="82" s="1"/>
  <c r="CI8" i="80"/>
  <c r="AC33" i="82"/>
  <c r="AC31" i="82" s="1"/>
  <c r="AC32" i="82" s="1"/>
  <c r="AC35" i="82" s="1"/>
  <c r="CD8" i="80"/>
  <c r="CJ8" i="80"/>
  <c r="CH8" i="80"/>
  <c r="CC8" i="80"/>
  <c r="AD33" i="83"/>
  <c r="AD31" i="83" s="1"/>
  <c r="AB34" i="83"/>
  <c r="AB31" i="83" s="1"/>
  <c r="CE8" i="80"/>
  <c r="CG8" i="80"/>
  <c r="AB33" i="82"/>
  <c r="AB31" i="82" s="1"/>
  <c r="AB32" i="82" s="1"/>
  <c r="AB35" i="82" s="1"/>
  <c r="AD33" i="82"/>
  <c r="AD31" i="82" s="1"/>
  <c r="AD32" i="82" s="1"/>
  <c r="AD35" i="82" s="1"/>
  <c r="AC34" i="83"/>
  <c r="AC31" i="83" s="1"/>
  <c r="AF34" i="83"/>
  <c r="AF31" i="83" s="1"/>
  <c r="AG34" i="83"/>
  <c r="AG31" i="83" s="1"/>
  <c r="AA33" i="83"/>
  <c r="AA31" i="83" s="1"/>
  <c r="AH34" i="83"/>
  <c r="AH31" i="83" s="1"/>
  <c r="Y31" i="84"/>
  <c r="Y29" i="84" s="1"/>
  <c r="Y30" i="84" s="1"/>
  <c r="Y33" i="84" s="1"/>
  <c r="AB31" i="84"/>
  <c r="AB29" i="84" s="1"/>
  <c r="AB30" i="84" s="1"/>
  <c r="AB33" i="84" s="1"/>
  <c r="AC31" i="84"/>
  <c r="AC29" i="84" s="1"/>
  <c r="AC30" i="84" s="1"/>
  <c r="AC33" i="84" s="1"/>
  <c r="AF31" i="85"/>
  <c r="AF29" i="85" s="1"/>
  <c r="AF30" i="85" s="1"/>
  <c r="AF33" i="85" s="1"/>
  <c r="AA31" i="85"/>
  <c r="AA29" i="85" s="1"/>
  <c r="AA30" i="85" s="1"/>
  <c r="AA33" i="85" s="1"/>
  <c r="AB29" i="85"/>
  <c r="AB30" i="85" s="1"/>
  <c r="AB33" i="85" s="1"/>
  <c r="DI95" i="4" l="1"/>
  <c r="AB274" i="4"/>
  <c r="Z29" i="84"/>
  <c r="Z30" i="84" s="1"/>
  <c r="Z33" i="84" s="1"/>
  <c r="DH95" i="4"/>
  <c r="BF95" i="4"/>
  <c r="AC270" i="4"/>
  <c r="AA275" i="4"/>
  <c r="AA301" i="4" s="1"/>
  <c r="AA156" i="4"/>
  <c r="AA157" i="4" s="1"/>
  <c r="AC269" i="4"/>
  <c r="Y274" i="4"/>
  <c r="Y273" i="4"/>
  <c r="Y271" i="4"/>
  <c r="Y270" i="4"/>
  <c r="AB272" i="4"/>
  <c r="Z275" i="4"/>
  <c r="Z301" i="4" s="1"/>
  <c r="BE95" i="4"/>
  <c r="Z274" i="4"/>
  <c r="CE95" i="4"/>
  <c r="AD273" i="4"/>
  <c r="DL95" i="4"/>
  <c r="AE273" i="4"/>
  <c r="AD271" i="4"/>
  <c r="AB269" i="4"/>
  <c r="X273" i="4"/>
  <c r="AD272" i="4"/>
  <c r="DK95" i="4"/>
  <c r="DM95" i="4"/>
  <c r="Y272" i="4"/>
  <c r="AB273" i="4"/>
  <c r="AG273" i="4"/>
  <c r="AE274" i="4"/>
  <c r="AG272" i="4"/>
  <c r="AE270" i="4"/>
  <c r="BC95" i="4"/>
  <c r="Z271" i="4"/>
  <c r="BA95" i="4"/>
  <c r="Z270" i="4"/>
  <c r="X269" i="4"/>
  <c r="AD270" i="4"/>
  <c r="X271" i="4"/>
  <c r="AF272" i="4"/>
  <c r="AE272" i="4"/>
  <c r="Z273" i="4"/>
  <c r="BB95" i="4"/>
  <c r="AG270" i="4"/>
  <c r="AA31" i="65"/>
  <c r="Z31" i="65"/>
  <c r="BB55" i="4"/>
  <c r="BB115" i="4" s="1"/>
  <c r="AD275" i="4"/>
  <c r="BG95" i="4"/>
  <c r="AG30" i="65"/>
  <c r="BI95" i="4"/>
  <c r="Y31" i="65"/>
  <c r="BA55" i="4"/>
  <c r="BA115" i="4" s="1"/>
  <c r="AD31" i="65"/>
  <c r="BF55" i="4"/>
  <c r="BF115" i="4" s="1"/>
  <c r="AF275" i="4"/>
  <c r="AC31" i="65"/>
  <c r="BE55" i="4"/>
  <c r="BE115" i="4" s="1"/>
  <c r="AD269" i="4"/>
  <c r="AF273" i="4"/>
  <c r="AG275" i="4"/>
  <c r="AE275" i="4"/>
  <c r="AB31" i="65"/>
  <c r="BD55" i="4"/>
  <c r="BD115" i="4" s="1"/>
  <c r="AF271" i="4"/>
  <c r="AG271" i="4"/>
  <c r="X34" i="65"/>
  <c r="AZ56" i="4"/>
  <c r="AZ116" i="4" s="1"/>
  <c r="AZ117" i="4" s="1"/>
  <c r="AH31" i="65"/>
  <c r="BJ55" i="4"/>
  <c r="BJ115" i="4" s="1"/>
  <c r="AA34" i="65"/>
  <c r="BC56" i="4"/>
  <c r="BC116" i="4" s="1"/>
  <c r="BC117" i="4" s="1"/>
  <c r="BJ95" i="4"/>
  <c r="AF30" i="65"/>
  <c r="AE31" i="65"/>
  <c r="BG55" i="4"/>
  <c r="BG115" i="4" s="1"/>
  <c r="BH95" i="4"/>
  <c r="W34" i="65"/>
  <c r="AY56" i="4"/>
  <c r="AY116" i="4" s="1"/>
  <c r="AY117" i="4" s="1"/>
  <c r="AK32" i="7"/>
  <c r="CL55" i="4"/>
  <c r="CL115" i="4" s="1"/>
  <c r="AJ32" i="7"/>
  <c r="CK55" i="4"/>
  <c r="CK115" i="4" s="1"/>
  <c r="AL35" i="7"/>
  <c r="CM56" i="4"/>
  <c r="CM116" i="4" s="1"/>
  <c r="CM117" i="4" s="1"/>
  <c r="CK95" i="4"/>
  <c r="AB271" i="4"/>
  <c r="AD274" i="4"/>
  <c r="CF8" i="80"/>
  <c r="CL95" i="4"/>
  <c r="CM95" i="4"/>
  <c r="AF274" i="4"/>
  <c r="AE271" i="4"/>
  <c r="X272" i="4"/>
  <c r="AF270" i="4"/>
  <c r="AG274" i="4"/>
  <c r="AC273" i="4"/>
  <c r="W278" i="4"/>
  <c r="AC272" i="4"/>
  <c r="AB270" i="4"/>
  <c r="X270" i="4"/>
  <c r="AC275" i="4"/>
  <c r="AC274" i="4"/>
  <c r="X274" i="4"/>
  <c r="X275" i="4"/>
  <c r="X301" i="4" s="1"/>
  <c r="AC271" i="4"/>
  <c r="AB275" i="4"/>
  <c r="AE269" i="4"/>
  <c r="DN95" i="4"/>
  <c r="AF269" i="4"/>
  <c r="DO95" i="4"/>
  <c r="AG269" i="4"/>
  <c r="DP95" i="4"/>
  <c r="DG95" i="4"/>
  <c r="AY92" i="4"/>
  <c r="AY8" i="4"/>
  <c r="AY88" i="4" s="1"/>
  <c r="AY94" i="4"/>
  <c r="AY90" i="4"/>
  <c r="AY89" i="4"/>
  <c r="AY93" i="4"/>
  <c r="AY91" i="4"/>
  <c r="AZ94" i="4"/>
  <c r="W275" i="4" s="1"/>
  <c r="W301" i="4" s="1"/>
  <c r="AZ89" i="4"/>
  <c r="W270" i="4" s="1"/>
  <c r="AZ92" i="4"/>
  <c r="W273" i="4" s="1"/>
  <c r="AZ8" i="4"/>
  <c r="AZ88" i="4" s="1"/>
  <c r="AZ90" i="4"/>
  <c r="AZ93" i="4"/>
  <c r="W274" i="4" s="1"/>
  <c r="AZ91" i="4"/>
  <c r="W272" i="4" s="1"/>
  <c r="CJ95" i="4"/>
  <c r="CC95" i="4"/>
  <c r="CF95" i="4"/>
  <c r="CD95" i="4"/>
  <c r="CG95" i="4"/>
  <c r="CI95" i="4"/>
  <c r="CH95" i="4"/>
  <c r="AA181" i="4"/>
  <c r="AA186" i="4"/>
  <c r="AB189" i="4" s="1"/>
  <c r="AG32" i="7"/>
  <c r="CH55" i="4"/>
  <c r="CH115" i="4" s="1"/>
  <c r="AI35" i="83"/>
  <c r="CK42" i="80"/>
  <c r="AH32" i="7"/>
  <c r="CI55" i="4"/>
  <c r="CI115" i="4" s="1"/>
  <c r="AI32" i="7"/>
  <c r="CJ55" i="4"/>
  <c r="CJ115" i="4" s="1"/>
  <c r="AK35" i="83"/>
  <c r="CM42" i="80"/>
  <c r="AC181" i="4"/>
  <c r="AC186" i="4"/>
  <c r="AC189" i="4" s="1"/>
  <c r="AJ35" i="83"/>
  <c r="CL42" i="80"/>
  <c r="CM8" i="80"/>
  <c r="CC55" i="4"/>
  <c r="CC115" i="4" s="1"/>
  <c r="Z185" i="4"/>
  <c r="Z186" i="4"/>
  <c r="CK8" i="80"/>
  <c r="CL8" i="80"/>
  <c r="CD55" i="4"/>
  <c r="CD115" i="4" s="1"/>
  <c r="CF56" i="4"/>
  <c r="CF116" i="4" s="1"/>
  <c r="CF117" i="4" s="1"/>
  <c r="CG56" i="4"/>
  <c r="CG116" i="4" s="1"/>
  <c r="CG117" i="4" s="1"/>
  <c r="CE55" i="4"/>
  <c r="CE115" i="4" s="1"/>
  <c r="AA185" i="4"/>
  <c r="AC185" i="4"/>
  <c r="AB181" i="4"/>
  <c r="Z181" i="4"/>
  <c r="AD181" i="4"/>
  <c r="AD185" i="4"/>
  <c r="AB185" i="4"/>
  <c r="W185" i="4"/>
  <c r="W181" i="4"/>
  <c r="Y185" i="4"/>
  <c r="Y181" i="4"/>
  <c r="X181" i="4"/>
  <c r="X185" i="4"/>
  <c r="AG32" i="83"/>
  <c r="CI41" i="80"/>
  <c r="AF32" i="83"/>
  <c r="CH41" i="80"/>
  <c r="AB32" i="83"/>
  <c r="CD41" i="80"/>
  <c r="AD32" i="83"/>
  <c r="CF41" i="80"/>
  <c r="AE32" i="83"/>
  <c r="CG41" i="80"/>
  <c r="AC32" i="83"/>
  <c r="CE41" i="80"/>
  <c r="AH32" i="83"/>
  <c r="CJ41" i="80"/>
  <c r="AA32" i="83"/>
  <c r="CC41" i="80"/>
  <c r="AD189" i="4" l="1"/>
  <c r="AH34" i="65"/>
  <c r="BJ56" i="4"/>
  <c r="BJ116" i="4" s="1"/>
  <c r="BJ117" i="4" s="1"/>
  <c r="AD34" i="65"/>
  <c r="BF56" i="4"/>
  <c r="BF116" i="4" s="1"/>
  <c r="BF117" i="4" s="1"/>
  <c r="AC34" i="65"/>
  <c r="BE56" i="4"/>
  <c r="BE116" i="4" s="1"/>
  <c r="BE117" i="4" s="1"/>
  <c r="Y34" i="65"/>
  <c r="BA56" i="4"/>
  <c r="BA116" i="4" s="1"/>
  <c r="BA117" i="4" s="1"/>
  <c r="AE34" i="65"/>
  <c r="BG56" i="4"/>
  <c r="BG116" i="4" s="1"/>
  <c r="BG117" i="4" s="1"/>
  <c r="AB34" i="65"/>
  <c r="BD56" i="4"/>
  <c r="BD116" i="4" s="1"/>
  <c r="BD117" i="4" s="1"/>
  <c r="AF31" i="65"/>
  <c r="BH55" i="4"/>
  <c r="BH115" i="4" s="1"/>
  <c r="AG31" i="65"/>
  <c r="BI55" i="4"/>
  <c r="BI115" i="4" s="1"/>
  <c r="Z34" i="65"/>
  <c r="BB56" i="4"/>
  <c r="BB116" i="4" s="1"/>
  <c r="BB117" i="4" s="1"/>
  <c r="AJ35" i="7"/>
  <c r="CK56" i="4"/>
  <c r="CK116" i="4" s="1"/>
  <c r="CK117" i="4" s="1"/>
  <c r="AK35" i="7"/>
  <c r="CL56" i="4"/>
  <c r="CL116" i="4" s="1"/>
  <c r="CL117" i="4" s="1"/>
  <c r="AY95" i="4"/>
  <c r="W271" i="4"/>
  <c r="W295" i="4" s="1"/>
  <c r="W269" i="4"/>
  <c r="AZ95" i="4"/>
  <c r="W298" i="4"/>
  <c r="AH35" i="7"/>
  <c r="CI56" i="4"/>
  <c r="CI116" i="4" s="1"/>
  <c r="CI117" i="4" s="1"/>
  <c r="CD56" i="4"/>
  <c r="CD116" i="4" s="1"/>
  <c r="CD117" i="4" s="1"/>
  <c r="CC56" i="4"/>
  <c r="CC116" i="4" s="1"/>
  <c r="CC117" i="4" s="1"/>
  <c r="AG35" i="7"/>
  <c r="CH56" i="4"/>
  <c r="CH116" i="4" s="1"/>
  <c r="CH117" i="4" s="1"/>
  <c r="AI35" i="7"/>
  <c r="CJ56" i="4"/>
  <c r="CJ116" i="4" s="1"/>
  <c r="CJ117" i="4" s="1"/>
  <c r="CE56" i="4"/>
  <c r="CE116" i="4" s="1"/>
  <c r="CE117" i="4" s="1"/>
  <c r="AA189" i="4"/>
  <c r="Z189" i="4"/>
  <c r="Y189" i="4"/>
  <c r="X189" i="4"/>
  <c r="AH35" i="83"/>
  <c r="CJ42" i="80"/>
  <c r="AG35" i="83"/>
  <c r="CI42" i="80"/>
  <c r="AC35" i="83"/>
  <c r="CE42" i="80"/>
  <c r="AE35" i="83"/>
  <c r="CG42" i="80"/>
  <c r="AD35" i="83"/>
  <c r="CF42" i="80"/>
  <c r="AA35" i="83"/>
  <c r="CC42" i="80"/>
  <c r="AF35" i="83"/>
  <c r="CH42" i="80"/>
  <c r="AB35" i="83"/>
  <c r="CD42" i="80"/>
  <c r="AG34" i="65" l="1"/>
  <c r="BI56" i="4"/>
  <c r="BI116" i="4" s="1"/>
  <c r="BI117" i="4" s="1"/>
  <c r="AF34" i="65"/>
  <c r="BH56" i="4"/>
  <c r="BH116" i="4" s="1"/>
  <c r="BH117" i="4" s="1"/>
  <c r="W284" i="4"/>
  <c r="I18" i="84"/>
  <c r="J18" i="84"/>
  <c r="K18" i="84"/>
  <c r="L18" i="84"/>
  <c r="M18" i="84"/>
  <c r="N18" i="84"/>
  <c r="O18" i="84"/>
  <c r="P18" i="84"/>
  <c r="Q18" i="84"/>
  <c r="R18" i="84"/>
  <c r="S18" i="84"/>
  <c r="T18" i="84"/>
  <c r="U18" i="84"/>
  <c r="V18" i="84"/>
  <c r="W18" i="84"/>
  <c r="X18" i="84"/>
  <c r="H18" i="84"/>
  <c r="I18" i="85"/>
  <c r="J18" i="85"/>
  <c r="K18" i="85"/>
  <c r="L18" i="85"/>
  <c r="M18" i="85"/>
  <c r="N18" i="85"/>
  <c r="O18" i="85"/>
  <c r="P18" i="85"/>
  <c r="Q18" i="85"/>
  <c r="R18" i="85"/>
  <c r="S18" i="85"/>
  <c r="T18" i="85"/>
  <c r="U18" i="85"/>
  <c r="V18" i="85"/>
  <c r="W18" i="85"/>
  <c r="X18" i="85"/>
  <c r="H18" i="85"/>
  <c r="K20" i="82"/>
  <c r="BM39" i="81" s="1"/>
  <c r="L20" i="82"/>
  <c r="BN39" i="81" s="1"/>
  <c r="M20" i="82"/>
  <c r="BO39" i="81" s="1"/>
  <c r="N20" i="82"/>
  <c r="BP39" i="81" s="1"/>
  <c r="O20" i="82"/>
  <c r="BQ39" i="81" s="1"/>
  <c r="P20" i="82"/>
  <c r="BR39" i="81" s="1"/>
  <c r="Q20" i="82"/>
  <c r="BS39" i="81" s="1"/>
  <c r="R20" i="82"/>
  <c r="BT39" i="81" s="1"/>
  <c r="S20" i="82"/>
  <c r="BU39" i="81" s="1"/>
  <c r="T20" i="82"/>
  <c r="BV39" i="81" s="1"/>
  <c r="U20" i="82"/>
  <c r="BW39" i="81" s="1"/>
  <c r="V20" i="82"/>
  <c r="BX39" i="81" s="1"/>
  <c r="W20" i="82"/>
  <c r="BY39" i="81" s="1"/>
  <c r="X20" i="82"/>
  <c r="BZ39" i="81" s="1"/>
  <c r="Y20" i="82"/>
  <c r="CA39" i="81" s="1"/>
  <c r="Z20" i="82"/>
  <c r="CB39" i="81" s="1"/>
  <c r="J20" i="82"/>
  <c r="K20" i="83"/>
  <c r="L20" i="83"/>
  <c r="M20" i="83"/>
  <c r="N20" i="83"/>
  <c r="O20" i="83"/>
  <c r="P20" i="83"/>
  <c r="Q20" i="83"/>
  <c r="R20" i="83"/>
  <c r="S20" i="83"/>
  <c r="T20" i="83"/>
  <c r="U20" i="83"/>
  <c r="V20" i="83"/>
  <c r="W20" i="83"/>
  <c r="X20" i="83"/>
  <c r="Y20" i="83"/>
  <c r="Z20" i="83"/>
  <c r="J20" i="83"/>
  <c r="X55" i="85"/>
  <c r="X56" i="85"/>
  <c r="X57" i="85"/>
  <c r="X58" i="85"/>
  <c r="X59" i="85"/>
  <c r="X60" i="85"/>
  <c r="X61" i="85"/>
  <c r="I55" i="85"/>
  <c r="J55" i="85"/>
  <c r="K55" i="85"/>
  <c r="L55" i="85"/>
  <c r="M55" i="85"/>
  <c r="N55" i="85"/>
  <c r="O55" i="85"/>
  <c r="P55" i="85"/>
  <c r="Q55" i="85"/>
  <c r="R55" i="85"/>
  <c r="S55" i="85"/>
  <c r="T55" i="85"/>
  <c r="U55" i="85"/>
  <c r="V55" i="85"/>
  <c r="W55" i="85"/>
  <c r="I56" i="85"/>
  <c r="J56" i="85"/>
  <c r="K56" i="85"/>
  <c r="L56" i="85"/>
  <c r="M56" i="85"/>
  <c r="N56" i="85"/>
  <c r="O56" i="85"/>
  <c r="P56" i="85"/>
  <c r="Q56" i="85"/>
  <c r="R56" i="85"/>
  <c r="S56" i="85"/>
  <c r="T56" i="85"/>
  <c r="U56" i="85"/>
  <c r="V56" i="85"/>
  <c r="W56" i="85"/>
  <c r="I57" i="85"/>
  <c r="J57" i="85"/>
  <c r="K57" i="85"/>
  <c r="L57" i="85"/>
  <c r="M57" i="85"/>
  <c r="N57" i="85"/>
  <c r="O57" i="85"/>
  <c r="P57" i="85"/>
  <c r="Q57" i="85"/>
  <c r="R57" i="85"/>
  <c r="S57" i="85"/>
  <c r="T57" i="85"/>
  <c r="U57" i="85"/>
  <c r="V57" i="85"/>
  <c r="W57" i="85"/>
  <c r="I58" i="85"/>
  <c r="J58" i="85"/>
  <c r="K58" i="85"/>
  <c r="L58" i="85"/>
  <c r="M58" i="85"/>
  <c r="N58" i="85"/>
  <c r="O58" i="85"/>
  <c r="P58" i="85"/>
  <c r="Q58" i="85"/>
  <c r="R58" i="85"/>
  <c r="S58" i="85"/>
  <c r="T58" i="85"/>
  <c r="U58" i="85"/>
  <c r="V58" i="85"/>
  <c r="W58" i="85"/>
  <c r="I59" i="85"/>
  <c r="J59" i="85"/>
  <c r="K59" i="85"/>
  <c r="L59" i="85"/>
  <c r="M59" i="85"/>
  <c r="N59" i="85"/>
  <c r="O59" i="85"/>
  <c r="P59" i="85"/>
  <c r="Q59" i="85"/>
  <c r="R59" i="85"/>
  <c r="S59" i="85"/>
  <c r="T59" i="85"/>
  <c r="U59" i="85"/>
  <c r="V59" i="85"/>
  <c r="W59" i="85"/>
  <c r="I60" i="85"/>
  <c r="J60" i="85"/>
  <c r="K60" i="85"/>
  <c r="L60" i="85"/>
  <c r="M60" i="85"/>
  <c r="N60" i="85"/>
  <c r="O60" i="85"/>
  <c r="P60" i="85"/>
  <c r="Q60" i="85"/>
  <c r="R60" i="85"/>
  <c r="S60" i="85"/>
  <c r="T60" i="85"/>
  <c r="U60" i="85"/>
  <c r="V60" i="85"/>
  <c r="W60" i="85"/>
  <c r="I61" i="85"/>
  <c r="J61" i="85"/>
  <c r="K61" i="85"/>
  <c r="L61" i="85"/>
  <c r="M61" i="85"/>
  <c r="N61" i="85"/>
  <c r="O61" i="85"/>
  <c r="P61" i="85"/>
  <c r="Q61" i="85"/>
  <c r="R61" i="85"/>
  <c r="S61" i="85"/>
  <c r="T61" i="85"/>
  <c r="U61" i="85"/>
  <c r="V61" i="85"/>
  <c r="W61" i="85"/>
  <c r="H61" i="85"/>
  <c r="H60" i="85"/>
  <c r="H59" i="85"/>
  <c r="H58" i="85"/>
  <c r="H57" i="85"/>
  <c r="H56" i="85"/>
  <c r="H55" i="85"/>
  <c r="J28" i="82"/>
  <c r="K28" i="82"/>
  <c r="L28" i="82"/>
  <c r="M28" i="82"/>
  <c r="N28" i="82"/>
  <c r="O28" i="82"/>
  <c r="P28" i="82"/>
  <c r="Q28" i="82"/>
  <c r="R28" i="82"/>
  <c r="S28" i="82"/>
  <c r="T28" i="82"/>
  <c r="U28" i="82"/>
  <c r="V28" i="82"/>
  <c r="W28" i="82"/>
  <c r="X28" i="82"/>
  <c r="Y28" i="82"/>
  <c r="Z28" i="82"/>
  <c r="K27" i="82"/>
  <c r="L27" i="82"/>
  <c r="M27" i="82"/>
  <c r="N27" i="82"/>
  <c r="O27" i="82"/>
  <c r="P27" i="82"/>
  <c r="Q27" i="82"/>
  <c r="R27" i="82"/>
  <c r="S27" i="82"/>
  <c r="T27" i="82"/>
  <c r="U27" i="82"/>
  <c r="V27" i="82"/>
  <c r="W27" i="82"/>
  <c r="X27" i="82"/>
  <c r="Y27" i="82"/>
  <c r="Z27" i="82"/>
  <c r="Y27" i="83"/>
  <c r="Z27" i="83"/>
  <c r="Y87" i="83"/>
  <c r="Z87" i="83"/>
  <c r="Y88" i="83"/>
  <c r="Z88" i="83"/>
  <c r="Y89" i="83"/>
  <c r="Z89" i="83"/>
  <c r="Y87" i="82"/>
  <c r="Z87" i="82"/>
  <c r="Y89" i="82"/>
  <c r="Z89" i="82"/>
  <c r="Y88" i="82"/>
  <c r="Z88" i="82"/>
  <c r="Y24" i="83"/>
  <c r="Z24" i="83"/>
  <c r="Y10" i="83"/>
  <c r="Z10" i="83"/>
  <c r="Y11" i="83"/>
  <c r="Z11" i="83"/>
  <c r="K90" i="83"/>
  <c r="L90" i="83"/>
  <c r="M90" i="83"/>
  <c r="N90" i="83"/>
  <c r="O90" i="83"/>
  <c r="P90" i="83"/>
  <c r="Q90" i="83"/>
  <c r="R90" i="83"/>
  <c r="S90" i="83"/>
  <c r="T90" i="83"/>
  <c r="U90" i="83"/>
  <c r="V90" i="83"/>
  <c r="W90" i="83"/>
  <c r="X90" i="83"/>
  <c r="J90" i="83"/>
  <c r="K89" i="83"/>
  <c r="L89" i="83"/>
  <c r="M89" i="83"/>
  <c r="N89" i="83"/>
  <c r="O89" i="83"/>
  <c r="P89" i="83"/>
  <c r="Q89" i="83"/>
  <c r="R89" i="83"/>
  <c r="S89" i="83"/>
  <c r="T89" i="83"/>
  <c r="U89" i="83"/>
  <c r="V89" i="83"/>
  <c r="W89" i="83"/>
  <c r="X89" i="83"/>
  <c r="J89" i="83"/>
  <c r="K88" i="83"/>
  <c r="L88" i="83"/>
  <c r="M88" i="83"/>
  <c r="N88" i="83"/>
  <c r="O88" i="83"/>
  <c r="P88" i="83"/>
  <c r="Q88" i="83"/>
  <c r="R88" i="83"/>
  <c r="S88" i="83"/>
  <c r="T88" i="83"/>
  <c r="U88" i="83"/>
  <c r="V88" i="83"/>
  <c r="W88" i="83"/>
  <c r="X88" i="83"/>
  <c r="J88" i="83"/>
  <c r="K87" i="83"/>
  <c r="L87" i="83"/>
  <c r="M87" i="83"/>
  <c r="N87" i="83"/>
  <c r="O87" i="83"/>
  <c r="P87" i="83"/>
  <c r="Q87" i="83"/>
  <c r="R87" i="83"/>
  <c r="S87" i="83"/>
  <c r="T87" i="83"/>
  <c r="U87" i="83"/>
  <c r="V87" i="83"/>
  <c r="W87" i="83"/>
  <c r="X87" i="83"/>
  <c r="J87" i="83"/>
  <c r="K71" i="83"/>
  <c r="L71" i="83"/>
  <c r="M71" i="83"/>
  <c r="N71" i="83"/>
  <c r="O71" i="83"/>
  <c r="P71" i="83"/>
  <c r="Q71" i="83"/>
  <c r="R71" i="83"/>
  <c r="S71" i="83"/>
  <c r="T71" i="83"/>
  <c r="U71" i="83"/>
  <c r="V71" i="83"/>
  <c r="W71" i="83"/>
  <c r="X71" i="83"/>
  <c r="J71" i="83"/>
  <c r="K70" i="83"/>
  <c r="L70" i="83"/>
  <c r="M70" i="83"/>
  <c r="N70" i="83"/>
  <c r="O70" i="83"/>
  <c r="P70" i="83"/>
  <c r="Q70" i="83"/>
  <c r="R70" i="83"/>
  <c r="S70" i="83"/>
  <c r="T70" i="83"/>
  <c r="U70" i="83"/>
  <c r="V70" i="83"/>
  <c r="W70" i="83"/>
  <c r="X70" i="83"/>
  <c r="J70" i="83"/>
  <c r="K69" i="83"/>
  <c r="L69" i="83"/>
  <c r="M69" i="83"/>
  <c r="N69" i="83"/>
  <c r="O69" i="83"/>
  <c r="P69" i="83"/>
  <c r="Q69" i="83"/>
  <c r="R69" i="83"/>
  <c r="S69" i="83"/>
  <c r="T69" i="83"/>
  <c r="U69" i="83"/>
  <c r="V69" i="83"/>
  <c r="W69" i="83"/>
  <c r="X69" i="83"/>
  <c r="J69" i="83"/>
  <c r="K68" i="83"/>
  <c r="L68" i="83"/>
  <c r="M68" i="83"/>
  <c r="N68" i="83"/>
  <c r="O68" i="83"/>
  <c r="P68" i="83"/>
  <c r="Q68" i="83"/>
  <c r="R68" i="83"/>
  <c r="S68" i="83"/>
  <c r="T68" i="83"/>
  <c r="U68" i="83"/>
  <c r="V68" i="83"/>
  <c r="W68" i="83"/>
  <c r="X68" i="83"/>
  <c r="J68" i="83"/>
  <c r="K67" i="83"/>
  <c r="L67" i="83"/>
  <c r="M67" i="83"/>
  <c r="N67" i="83"/>
  <c r="O67" i="83"/>
  <c r="P67" i="83"/>
  <c r="Q67" i="83"/>
  <c r="R67" i="83"/>
  <c r="S67" i="83"/>
  <c r="T67" i="83"/>
  <c r="U67" i="83"/>
  <c r="V67" i="83"/>
  <c r="W67" i="83"/>
  <c r="X67" i="83"/>
  <c r="J67" i="83"/>
  <c r="K66" i="83"/>
  <c r="L66" i="83"/>
  <c r="M66" i="83"/>
  <c r="N66" i="83"/>
  <c r="O66" i="83"/>
  <c r="P66" i="83"/>
  <c r="Q66" i="83"/>
  <c r="R66" i="83"/>
  <c r="S66" i="83"/>
  <c r="T66" i="83"/>
  <c r="U66" i="83"/>
  <c r="V66" i="83"/>
  <c r="W66" i="83"/>
  <c r="X66" i="83"/>
  <c r="J66" i="83"/>
  <c r="K66" i="82"/>
  <c r="L66" i="82"/>
  <c r="M66" i="82"/>
  <c r="N66" i="82"/>
  <c r="O66" i="82"/>
  <c r="P66" i="82"/>
  <c r="Q66" i="82"/>
  <c r="R66" i="82"/>
  <c r="S66" i="82"/>
  <c r="T66" i="82"/>
  <c r="U66" i="82"/>
  <c r="V66" i="82"/>
  <c r="W66" i="82"/>
  <c r="X66" i="82"/>
  <c r="K67" i="82"/>
  <c r="L67" i="82"/>
  <c r="M67" i="82"/>
  <c r="N67" i="82"/>
  <c r="O67" i="82"/>
  <c r="P67" i="82"/>
  <c r="Q67" i="82"/>
  <c r="R67" i="82"/>
  <c r="S67" i="82"/>
  <c r="T67" i="82"/>
  <c r="U67" i="82"/>
  <c r="V67" i="82"/>
  <c r="W67" i="82"/>
  <c r="X67" i="82"/>
  <c r="K68" i="82"/>
  <c r="L68" i="82"/>
  <c r="M68" i="82"/>
  <c r="N68" i="82"/>
  <c r="O68" i="82"/>
  <c r="P68" i="82"/>
  <c r="Q68" i="82"/>
  <c r="R68" i="82"/>
  <c r="S68" i="82"/>
  <c r="T68" i="82"/>
  <c r="U68" i="82"/>
  <c r="V68" i="82"/>
  <c r="W68" i="82"/>
  <c r="X68" i="82"/>
  <c r="K69" i="82"/>
  <c r="L69" i="82"/>
  <c r="M69" i="82"/>
  <c r="N69" i="82"/>
  <c r="O69" i="82"/>
  <c r="P69" i="82"/>
  <c r="Q69" i="82"/>
  <c r="R69" i="82"/>
  <c r="S69" i="82"/>
  <c r="T69" i="82"/>
  <c r="U69" i="82"/>
  <c r="V69" i="82"/>
  <c r="W69" i="82"/>
  <c r="X69" i="82"/>
  <c r="K70" i="82"/>
  <c r="L70" i="82"/>
  <c r="M70" i="82"/>
  <c r="N70" i="82"/>
  <c r="O70" i="82"/>
  <c r="P70" i="82"/>
  <c r="Q70" i="82"/>
  <c r="R70" i="82"/>
  <c r="S70" i="82"/>
  <c r="T70" i="82"/>
  <c r="U70" i="82"/>
  <c r="V70" i="82"/>
  <c r="W70" i="82"/>
  <c r="X70" i="82"/>
  <c r="K71" i="82"/>
  <c r="L71" i="82"/>
  <c r="M71" i="82"/>
  <c r="N71" i="82"/>
  <c r="O71" i="82"/>
  <c r="P71" i="82"/>
  <c r="Q71" i="82"/>
  <c r="R71" i="82"/>
  <c r="S71" i="82"/>
  <c r="T71" i="82"/>
  <c r="U71" i="82"/>
  <c r="V71" i="82"/>
  <c r="W71" i="82"/>
  <c r="X71" i="82"/>
  <c r="J71" i="82"/>
  <c r="J70" i="82"/>
  <c r="J69" i="82"/>
  <c r="J68" i="82"/>
  <c r="J67" i="82"/>
  <c r="J66" i="82"/>
  <c r="K45" i="83"/>
  <c r="L45" i="83"/>
  <c r="V45" i="83"/>
  <c r="W45" i="83"/>
  <c r="X45" i="83"/>
  <c r="O46" i="83"/>
  <c r="P46" i="83"/>
  <c r="S46" i="83"/>
  <c r="T46" i="83"/>
  <c r="U46" i="83"/>
  <c r="V46" i="83"/>
  <c r="J44" i="83"/>
  <c r="K45" i="82"/>
  <c r="L45" i="82"/>
  <c r="M45" i="82"/>
  <c r="N45" i="82"/>
  <c r="O45" i="82"/>
  <c r="P45" i="82"/>
  <c r="Q45" i="82"/>
  <c r="R45" i="82"/>
  <c r="S45" i="82"/>
  <c r="T45" i="82"/>
  <c r="U45" i="82"/>
  <c r="V45" i="82"/>
  <c r="W45" i="82"/>
  <c r="X45" i="82"/>
  <c r="K46" i="82"/>
  <c r="L46" i="82"/>
  <c r="M46" i="82"/>
  <c r="N46" i="82"/>
  <c r="O46" i="82"/>
  <c r="P46" i="82"/>
  <c r="Q46" i="82"/>
  <c r="R46" i="82"/>
  <c r="S46" i="82"/>
  <c r="T46" i="82"/>
  <c r="U46" i="82"/>
  <c r="V46" i="82"/>
  <c r="W46" i="82"/>
  <c r="X46" i="82"/>
  <c r="J46" i="82"/>
  <c r="J45" i="82"/>
  <c r="K43" i="82"/>
  <c r="L43" i="82"/>
  <c r="M43" i="82"/>
  <c r="N43" i="82"/>
  <c r="O43" i="82"/>
  <c r="P43" i="82"/>
  <c r="Q43" i="82"/>
  <c r="R43" i="82"/>
  <c r="S43" i="82"/>
  <c r="T43" i="82"/>
  <c r="U43" i="82"/>
  <c r="V43" i="82"/>
  <c r="W43" i="82"/>
  <c r="X43" i="82"/>
  <c r="J43" i="82"/>
  <c r="S43" i="83"/>
  <c r="T43" i="83"/>
  <c r="Q42" i="83"/>
  <c r="L42" i="82"/>
  <c r="K42" i="82"/>
  <c r="K28" i="83"/>
  <c r="L28" i="83"/>
  <c r="M28" i="83"/>
  <c r="N28" i="83"/>
  <c r="O28" i="83"/>
  <c r="P28" i="83"/>
  <c r="Q28" i="83"/>
  <c r="R28" i="83"/>
  <c r="S28" i="83"/>
  <c r="T28" i="83"/>
  <c r="U28" i="83"/>
  <c r="V28" i="83"/>
  <c r="W28" i="83"/>
  <c r="X28" i="83"/>
  <c r="Y28" i="83"/>
  <c r="Z28" i="83"/>
  <c r="J28" i="83"/>
  <c r="K27" i="83"/>
  <c r="L27" i="83"/>
  <c r="M27" i="83"/>
  <c r="N27" i="83"/>
  <c r="O27" i="83"/>
  <c r="P27" i="83"/>
  <c r="Q27" i="83"/>
  <c r="R27" i="83"/>
  <c r="S27" i="83"/>
  <c r="T27" i="83"/>
  <c r="U27" i="83"/>
  <c r="V27" i="83"/>
  <c r="W27" i="83"/>
  <c r="X27" i="83"/>
  <c r="J27" i="82"/>
  <c r="J27" i="83"/>
  <c r="K24" i="83"/>
  <c r="L24" i="83"/>
  <c r="M24" i="83"/>
  <c r="N24" i="83"/>
  <c r="O24" i="83"/>
  <c r="P24" i="83"/>
  <c r="Q24" i="83"/>
  <c r="R24" i="83"/>
  <c r="S24" i="83"/>
  <c r="T24" i="83"/>
  <c r="U24" i="83"/>
  <c r="V24" i="83"/>
  <c r="W24" i="83"/>
  <c r="X24" i="83"/>
  <c r="J24" i="83"/>
  <c r="J10" i="83"/>
  <c r="J11" i="83"/>
  <c r="K11" i="83"/>
  <c r="L11" i="83"/>
  <c r="M11" i="83"/>
  <c r="N11" i="83"/>
  <c r="O11" i="83"/>
  <c r="P11" i="83"/>
  <c r="Q11" i="83"/>
  <c r="R11" i="83"/>
  <c r="S11" i="83"/>
  <c r="T11" i="83"/>
  <c r="U11" i="83"/>
  <c r="V11" i="83"/>
  <c r="W11" i="83"/>
  <c r="X11" i="83"/>
  <c r="J11" i="82"/>
  <c r="K11" i="82"/>
  <c r="L11" i="82"/>
  <c r="M11" i="82"/>
  <c r="N11" i="82"/>
  <c r="O11" i="82"/>
  <c r="P11" i="82"/>
  <c r="Q11" i="82"/>
  <c r="R11" i="82"/>
  <c r="S11" i="82"/>
  <c r="T11" i="82"/>
  <c r="U11" i="82"/>
  <c r="V11" i="82"/>
  <c r="W11" i="82"/>
  <c r="X11" i="82"/>
  <c r="K10" i="83"/>
  <c r="L10" i="83"/>
  <c r="M10" i="83"/>
  <c r="N10" i="83"/>
  <c r="O10" i="83"/>
  <c r="P10" i="83"/>
  <c r="Q10" i="83"/>
  <c r="R10" i="83"/>
  <c r="S10" i="83"/>
  <c r="T10" i="83"/>
  <c r="U10" i="83"/>
  <c r="V10" i="83"/>
  <c r="W10" i="83"/>
  <c r="X10" i="83"/>
  <c r="G46" i="83"/>
  <c r="K46" i="83" s="1"/>
  <c r="G45" i="83"/>
  <c r="M45" i="83" s="1"/>
  <c r="G43" i="83"/>
  <c r="U43" i="83" s="1"/>
  <c r="G42" i="83"/>
  <c r="R42" i="83" s="1"/>
  <c r="K90" i="82"/>
  <c r="L90" i="82"/>
  <c r="M90" i="82"/>
  <c r="N90" i="82"/>
  <c r="O90" i="82"/>
  <c r="P90" i="82"/>
  <c r="Q90" i="82"/>
  <c r="R90" i="82"/>
  <c r="S90" i="82"/>
  <c r="T90" i="82"/>
  <c r="U90" i="82"/>
  <c r="V90" i="82"/>
  <c r="W90" i="82"/>
  <c r="X90" i="82"/>
  <c r="J90" i="82"/>
  <c r="K87" i="82"/>
  <c r="L87" i="82"/>
  <c r="M87" i="82"/>
  <c r="N87" i="82"/>
  <c r="O87" i="82"/>
  <c r="P87" i="82"/>
  <c r="Q87" i="82"/>
  <c r="R87" i="82"/>
  <c r="S87" i="82"/>
  <c r="T87" i="82"/>
  <c r="U87" i="82"/>
  <c r="V87" i="82"/>
  <c r="W87" i="82"/>
  <c r="X87" i="82"/>
  <c r="J87" i="82"/>
  <c r="K88" i="82"/>
  <c r="L88" i="82"/>
  <c r="M88" i="82"/>
  <c r="N88" i="82"/>
  <c r="O88" i="82"/>
  <c r="P88" i="82"/>
  <c r="Q88" i="82"/>
  <c r="R88" i="82"/>
  <c r="S88" i="82"/>
  <c r="T88" i="82"/>
  <c r="U88" i="82"/>
  <c r="V88" i="82"/>
  <c r="W88" i="82"/>
  <c r="X88" i="82"/>
  <c r="J88" i="82"/>
  <c r="K89" i="82"/>
  <c r="L89" i="82"/>
  <c r="M89" i="82"/>
  <c r="N89" i="82"/>
  <c r="O89" i="82"/>
  <c r="P89" i="82"/>
  <c r="Q89" i="82"/>
  <c r="R89" i="82"/>
  <c r="S89" i="82"/>
  <c r="T89" i="82"/>
  <c r="U89" i="82"/>
  <c r="V89" i="82"/>
  <c r="W89" i="82"/>
  <c r="X89" i="82"/>
  <c r="J89" i="82"/>
  <c r="K10" i="82"/>
  <c r="L10" i="82"/>
  <c r="M10" i="82"/>
  <c r="N10" i="82"/>
  <c r="O10" i="82"/>
  <c r="P10" i="82"/>
  <c r="Q10" i="82"/>
  <c r="R10" i="82"/>
  <c r="S10" i="82"/>
  <c r="T10" i="82"/>
  <c r="U10" i="82"/>
  <c r="V10" i="82"/>
  <c r="W10" i="82"/>
  <c r="X10" i="82"/>
  <c r="J10" i="82"/>
  <c r="CO26" i="80" l="1" a="1"/>
  <c r="CO26" i="80" s="1"/>
  <c r="BL30" i="80" a="1"/>
  <c r="BL26" i="80" a="1"/>
  <c r="BL30" i="81" a="1"/>
  <c r="BL30" i="81" s="1"/>
  <c r="BL33" i="80" a="1"/>
  <c r="BL36" i="80" a="1"/>
  <c r="BL36" i="80" s="1"/>
  <c r="BL36" i="81" a="1"/>
  <c r="BL36" i="81" s="1"/>
  <c r="BL20" i="81" a="1"/>
  <c r="BL39" i="81"/>
  <c r="BL26" i="81" a="1"/>
  <c r="BL33" i="81" a="1"/>
  <c r="BL28" i="81" a="1"/>
  <c r="BL28" i="81" s="1"/>
  <c r="J42" i="83"/>
  <c r="M42" i="83"/>
  <c r="P43" i="83"/>
  <c r="R46" i="83"/>
  <c r="T45" i="83"/>
  <c r="X42" i="83"/>
  <c r="L42" i="83"/>
  <c r="O43" i="83"/>
  <c r="Q46" i="83"/>
  <c r="S45" i="83"/>
  <c r="R43" i="83"/>
  <c r="N42" i="83"/>
  <c r="Q43" i="83"/>
  <c r="U45" i="83"/>
  <c r="K42" i="83"/>
  <c r="N43" i="83"/>
  <c r="R45" i="83"/>
  <c r="V42" i="83"/>
  <c r="J43" i="83"/>
  <c r="Q45" i="83"/>
  <c r="U42" i="83"/>
  <c r="J45" i="83"/>
  <c r="T42" i="83"/>
  <c r="W43" i="83"/>
  <c r="K43" i="83"/>
  <c r="J46" i="83"/>
  <c r="M46" i="83"/>
  <c r="O45" i="83"/>
  <c r="O42" i="83"/>
  <c r="W42" i="83"/>
  <c r="L43" i="83"/>
  <c r="N46" i="83"/>
  <c r="S42" i="83"/>
  <c r="V43" i="83"/>
  <c r="X46" i="83"/>
  <c r="L46" i="83"/>
  <c r="N45" i="83"/>
  <c r="P42" i="83"/>
  <c r="M43" i="83"/>
  <c r="X43" i="83"/>
  <c r="P45" i="83"/>
  <c r="W46" i="83"/>
  <c r="K24" i="82"/>
  <c r="L24" i="82"/>
  <c r="M24" i="82"/>
  <c r="N24" i="82"/>
  <c r="O24" i="82"/>
  <c r="P24" i="82"/>
  <c r="Q24" i="82"/>
  <c r="R24" i="82"/>
  <c r="S24" i="82"/>
  <c r="T24" i="82"/>
  <c r="U24" i="82"/>
  <c r="V24" i="82"/>
  <c r="W24" i="82"/>
  <c r="X24" i="82"/>
  <c r="Y24" i="82"/>
  <c r="Z24" i="82"/>
  <c r="J24" i="82"/>
  <c r="BL18" i="80" l="1" a="1"/>
  <c r="BL33" i="80"/>
  <c r="BL26" i="80"/>
  <c r="BL20" i="80" a="1"/>
  <c r="BL30" i="80"/>
  <c r="BL33" i="81"/>
  <c r="BL26" i="81"/>
  <c r="BL20" i="81"/>
  <c r="M42" i="82"/>
  <c r="M47" i="82" s="1"/>
  <c r="N42" i="82"/>
  <c r="N49" i="82" s="1"/>
  <c r="O42" i="82"/>
  <c r="O49" i="82" s="1"/>
  <c r="P42" i="82"/>
  <c r="P49" i="82" s="1"/>
  <c r="Q42" i="82"/>
  <c r="Q49" i="82" s="1"/>
  <c r="R42" i="82"/>
  <c r="R47" i="82" s="1"/>
  <c r="S42" i="82"/>
  <c r="S47" i="82" s="1"/>
  <c r="T42" i="82"/>
  <c r="T47" i="82" s="1"/>
  <c r="U42" i="82"/>
  <c r="U47" i="82" s="1"/>
  <c r="V42" i="82"/>
  <c r="V47" i="82" s="1"/>
  <c r="W42" i="82"/>
  <c r="W49" i="82" s="1"/>
  <c r="X42" i="82"/>
  <c r="X47" i="82" s="1"/>
  <c r="J42" i="82"/>
  <c r="G46" i="82"/>
  <c r="G45" i="82"/>
  <c r="G43" i="82"/>
  <c r="M48" i="82" s="1"/>
  <c r="G42" i="82"/>
  <c r="X62" i="85"/>
  <c r="W62" i="85"/>
  <c r="V62" i="85"/>
  <c r="U62" i="85"/>
  <c r="T62" i="85"/>
  <c r="S62" i="85"/>
  <c r="R62" i="85"/>
  <c r="Q62" i="85"/>
  <c r="P62" i="85"/>
  <c r="O62" i="85"/>
  <c r="N62" i="85"/>
  <c r="M62" i="85"/>
  <c r="L62" i="85"/>
  <c r="K62" i="85"/>
  <c r="J62" i="85"/>
  <c r="I62" i="85"/>
  <c r="H62" i="85"/>
  <c r="X53" i="85"/>
  <c r="W53" i="85"/>
  <c r="V53" i="85"/>
  <c r="U53" i="85"/>
  <c r="T53" i="85"/>
  <c r="S53" i="85"/>
  <c r="R53" i="85"/>
  <c r="Q53" i="85"/>
  <c r="P53" i="85"/>
  <c r="O53" i="85"/>
  <c r="N53" i="85"/>
  <c r="M53" i="85"/>
  <c r="L53" i="85"/>
  <c r="K53" i="85"/>
  <c r="J53" i="85"/>
  <c r="I53" i="85"/>
  <c r="H53" i="85"/>
  <c r="X52" i="85"/>
  <c r="W52" i="85"/>
  <c r="V52" i="85"/>
  <c r="U52" i="85"/>
  <c r="T52" i="85"/>
  <c r="S52" i="85"/>
  <c r="R52" i="85"/>
  <c r="Q52" i="85"/>
  <c r="P52" i="85"/>
  <c r="O52" i="85"/>
  <c r="N52" i="85"/>
  <c r="M52" i="85"/>
  <c r="L52" i="85"/>
  <c r="K52" i="85"/>
  <c r="J52" i="85"/>
  <c r="I52" i="85"/>
  <c r="H52" i="85"/>
  <c r="X51" i="85"/>
  <c r="W51" i="85"/>
  <c r="V51" i="85"/>
  <c r="U51" i="85"/>
  <c r="T51" i="85"/>
  <c r="S51" i="85"/>
  <c r="R51" i="85"/>
  <c r="Q51" i="85"/>
  <c r="P51" i="85"/>
  <c r="O51" i="85"/>
  <c r="N51" i="85"/>
  <c r="M51" i="85"/>
  <c r="L51" i="85"/>
  <c r="K51" i="85"/>
  <c r="J51" i="85"/>
  <c r="I51" i="85"/>
  <c r="H51" i="85"/>
  <c r="X50" i="85"/>
  <c r="W50" i="85"/>
  <c r="V50" i="85"/>
  <c r="U50" i="85"/>
  <c r="T50" i="85"/>
  <c r="S50" i="85"/>
  <c r="R50" i="85"/>
  <c r="Q50" i="85"/>
  <c r="P50" i="85"/>
  <c r="O50" i="85"/>
  <c r="N50" i="85"/>
  <c r="M50" i="85"/>
  <c r="L50" i="85"/>
  <c r="K50" i="85"/>
  <c r="J50" i="85"/>
  <c r="I50" i="85"/>
  <c r="H50" i="85"/>
  <c r="X49" i="85"/>
  <c r="W49" i="85"/>
  <c r="V49" i="85"/>
  <c r="U49" i="85"/>
  <c r="T49" i="85"/>
  <c r="S49" i="85"/>
  <c r="R49" i="85"/>
  <c r="Q49" i="85"/>
  <c r="P49" i="85"/>
  <c r="O49" i="85"/>
  <c r="N49" i="85"/>
  <c r="M49" i="85"/>
  <c r="L49" i="85"/>
  <c r="K49" i="85"/>
  <c r="J49" i="85"/>
  <c r="I49" i="85"/>
  <c r="H49" i="85"/>
  <c r="X48" i="85"/>
  <c r="W48" i="85"/>
  <c r="V48" i="85"/>
  <c r="U48" i="85"/>
  <c r="T48" i="85"/>
  <c r="S48" i="85"/>
  <c r="R48" i="85"/>
  <c r="Q48" i="85"/>
  <c r="P48" i="85"/>
  <c r="O48" i="85"/>
  <c r="N48" i="85"/>
  <c r="M48" i="85"/>
  <c r="L48" i="85"/>
  <c r="K48" i="85"/>
  <c r="J48" i="85"/>
  <c r="I48" i="85"/>
  <c r="H48" i="85"/>
  <c r="X47" i="85"/>
  <c r="W47" i="85"/>
  <c r="V47" i="85"/>
  <c r="U47" i="85"/>
  <c r="T47" i="85"/>
  <c r="S47" i="85"/>
  <c r="R47" i="85"/>
  <c r="Q47" i="85"/>
  <c r="P47" i="85"/>
  <c r="O47" i="85"/>
  <c r="N47" i="85"/>
  <c r="M47" i="85"/>
  <c r="L47" i="85"/>
  <c r="K47" i="85"/>
  <c r="J47" i="85"/>
  <c r="I47" i="85"/>
  <c r="H47" i="85"/>
  <c r="X46" i="85"/>
  <c r="W46" i="85"/>
  <c r="V46" i="85"/>
  <c r="U46" i="85"/>
  <c r="T46" i="85"/>
  <c r="S46" i="85"/>
  <c r="R46" i="85"/>
  <c r="Q46" i="85"/>
  <c r="P46" i="85"/>
  <c r="O46" i="85"/>
  <c r="N46" i="85"/>
  <c r="M46" i="85"/>
  <c r="L46" i="85"/>
  <c r="K46" i="85"/>
  <c r="J46" i="85"/>
  <c r="I46" i="85"/>
  <c r="H46" i="85"/>
  <c r="X45" i="85"/>
  <c r="W45" i="85"/>
  <c r="V45" i="85"/>
  <c r="U45" i="85"/>
  <c r="T45" i="85"/>
  <c r="S45" i="85"/>
  <c r="R45" i="85"/>
  <c r="Q45" i="85"/>
  <c r="P45" i="85"/>
  <c r="O45" i="85"/>
  <c r="N45" i="85"/>
  <c r="M45" i="85"/>
  <c r="L45" i="85"/>
  <c r="K45" i="85"/>
  <c r="J45" i="85"/>
  <c r="I45" i="85"/>
  <c r="H45" i="85"/>
  <c r="X44" i="85"/>
  <c r="W44" i="85"/>
  <c r="V44" i="85"/>
  <c r="U44" i="85"/>
  <c r="T44" i="85"/>
  <c r="S44" i="85"/>
  <c r="R44" i="85"/>
  <c r="Q44" i="85"/>
  <c r="P44" i="85"/>
  <c r="O44" i="85"/>
  <c r="N44" i="85"/>
  <c r="M44" i="85"/>
  <c r="L44" i="85"/>
  <c r="K44" i="85"/>
  <c r="J44" i="85"/>
  <c r="I44" i="85"/>
  <c r="H44" i="85"/>
  <c r="X43" i="85"/>
  <c r="W43" i="85"/>
  <c r="V43" i="85"/>
  <c r="U43" i="85"/>
  <c r="T43" i="85"/>
  <c r="S43" i="85"/>
  <c r="R43" i="85"/>
  <c r="Q43" i="85"/>
  <c r="P43" i="85"/>
  <c r="O43" i="85"/>
  <c r="N43" i="85"/>
  <c r="M43" i="85"/>
  <c r="L43" i="85"/>
  <c r="K43" i="85"/>
  <c r="J43" i="85"/>
  <c r="I43" i="85"/>
  <c r="H43" i="85"/>
  <c r="X42" i="85"/>
  <c r="W42" i="85"/>
  <c r="V42" i="85"/>
  <c r="U42" i="85"/>
  <c r="T42" i="85"/>
  <c r="S42" i="85"/>
  <c r="R42" i="85"/>
  <c r="Q42" i="85"/>
  <c r="P42" i="85"/>
  <c r="O42" i="85"/>
  <c r="N42" i="85"/>
  <c r="M42" i="85"/>
  <c r="L42" i="85"/>
  <c r="K42" i="85"/>
  <c r="J42" i="85"/>
  <c r="I42" i="85"/>
  <c r="H42" i="85"/>
  <c r="X41" i="85"/>
  <c r="W41" i="85"/>
  <c r="V41" i="85"/>
  <c r="U41" i="85"/>
  <c r="T41" i="85"/>
  <c r="S41" i="85"/>
  <c r="R41" i="85"/>
  <c r="Q41" i="85"/>
  <c r="P41" i="85"/>
  <c r="O41" i="85"/>
  <c r="N41" i="85"/>
  <c r="M41" i="85"/>
  <c r="L41" i="85"/>
  <c r="K41" i="85"/>
  <c r="J41" i="85"/>
  <c r="I41" i="85"/>
  <c r="H41" i="85"/>
  <c r="X40" i="85"/>
  <c r="W40" i="85"/>
  <c r="V40" i="85"/>
  <c r="U40" i="85"/>
  <c r="T40" i="85"/>
  <c r="S40" i="85"/>
  <c r="R40" i="85"/>
  <c r="Q40" i="85"/>
  <c r="P40" i="85"/>
  <c r="O40" i="85"/>
  <c r="N40" i="85"/>
  <c r="M40" i="85"/>
  <c r="L40" i="85"/>
  <c r="K40" i="85"/>
  <c r="J40" i="85"/>
  <c r="I40" i="85"/>
  <c r="H40" i="85"/>
  <c r="X23" i="85"/>
  <c r="X28" i="85" s="1"/>
  <c r="X32" i="85" s="1"/>
  <c r="W23" i="85"/>
  <c r="W28" i="85" s="1"/>
  <c r="W32" i="85" s="1"/>
  <c r="V23" i="85"/>
  <c r="V28" i="85" s="1"/>
  <c r="V32" i="85" s="1"/>
  <c r="U23" i="85"/>
  <c r="T23" i="85"/>
  <c r="T28" i="85" s="1"/>
  <c r="T32" i="85" s="1"/>
  <c r="S23" i="85"/>
  <c r="S28" i="85" s="1"/>
  <c r="S32" i="85" s="1"/>
  <c r="R23" i="85"/>
  <c r="R28" i="85" s="1"/>
  <c r="R32" i="85" s="1"/>
  <c r="Q23" i="85"/>
  <c r="Q28" i="85" s="1"/>
  <c r="Q32" i="85" s="1"/>
  <c r="P23" i="85"/>
  <c r="O23" i="85"/>
  <c r="O28" i="85" s="1"/>
  <c r="O32" i="85" s="1"/>
  <c r="N23" i="85"/>
  <c r="N28" i="85" s="1"/>
  <c r="N32" i="85" s="1"/>
  <c r="M23" i="85"/>
  <c r="M28" i="85" s="1"/>
  <c r="M32" i="85" s="1"/>
  <c r="L23" i="85"/>
  <c r="L28" i="85" s="1"/>
  <c r="L32" i="85" s="1"/>
  <c r="K23" i="85"/>
  <c r="K28" i="85" s="1"/>
  <c r="K32" i="85" s="1"/>
  <c r="J23" i="85"/>
  <c r="J28" i="85" s="1"/>
  <c r="J32" i="85" s="1"/>
  <c r="I23" i="85"/>
  <c r="H23" i="85"/>
  <c r="X62" i="84"/>
  <c r="W62" i="84"/>
  <c r="V62" i="84"/>
  <c r="U62" i="84"/>
  <c r="T62" i="84"/>
  <c r="S62" i="84"/>
  <c r="R62" i="84"/>
  <c r="Q62" i="84"/>
  <c r="P62" i="84"/>
  <c r="O62" i="84"/>
  <c r="N62" i="84"/>
  <c r="M62" i="84"/>
  <c r="L62" i="84"/>
  <c r="K62" i="84"/>
  <c r="J62" i="84"/>
  <c r="I62" i="84"/>
  <c r="H62" i="84"/>
  <c r="X53" i="84"/>
  <c r="W53" i="84"/>
  <c r="V53" i="84"/>
  <c r="U53" i="84"/>
  <c r="T53" i="84"/>
  <c r="S53" i="84"/>
  <c r="R53" i="84"/>
  <c r="Q53" i="84"/>
  <c r="P53" i="84"/>
  <c r="O53" i="84"/>
  <c r="N53" i="84"/>
  <c r="M53" i="84"/>
  <c r="L53" i="84"/>
  <c r="K53" i="84"/>
  <c r="J53" i="84"/>
  <c r="I53" i="84"/>
  <c r="H53" i="84"/>
  <c r="X52" i="84"/>
  <c r="W52" i="84"/>
  <c r="V52" i="84"/>
  <c r="U52" i="84"/>
  <c r="T52" i="84"/>
  <c r="S52" i="84"/>
  <c r="R52" i="84"/>
  <c r="Q52" i="84"/>
  <c r="P52" i="84"/>
  <c r="O52" i="84"/>
  <c r="N52" i="84"/>
  <c r="M52" i="84"/>
  <c r="L52" i="84"/>
  <c r="K52" i="84"/>
  <c r="J52" i="84"/>
  <c r="I52" i="84"/>
  <c r="H52" i="84"/>
  <c r="X51" i="84"/>
  <c r="W51" i="84"/>
  <c r="V51" i="84"/>
  <c r="U51" i="84"/>
  <c r="T51" i="84"/>
  <c r="S51" i="84"/>
  <c r="R51" i="84"/>
  <c r="Q51" i="84"/>
  <c r="P51" i="84"/>
  <c r="O51" i="84"/>
  <c r="N51" i="84"/>
  <c r="M51" i="84"/>
  <c r="L51" i="84"/>
  <c r="K51" i="84"/>
  <c r="J51" i="84"/>
  <c r="I51" i="84"/>
  <c r="H51" i="84"/>
  <c r="X50" i="84"/>
  <c r="W50" i="84"/>
  <c r="V50" i="84"/>
  <c r="U50" i="84"/>
  <c r="T50" i="84"/>
  <c r="S50" i="84"/>
  <c r="R50" i="84"/>
  <c r="Q50" i="84"/>
  <c r="P50" i="84"/>
  <c r="O50" i="84"/>
  <c r="N50" i="84"/>
  <c r="M50" i="84"/>
  <c r="L50" i="84"/>
  <c r="K50" i="84"/>
  <c r="J50" i="84"/>
  <c r="I50" i="84"/>
  <c r="H50" i="84"/>
  <c r="X49" i="84"/>
  <c r="W49" i="84"/>
  <c r="V49" i="84"/>
  <c r="U49" i="84"/>
  <c r="T49" i="84"/>
  <c r="S49" i="84"/>
  <c r="R49" i="84"/>
  <c r="Q49" i="84"/>
  <c r="P49" i="84"/>
  <c r="O49" i="84"/>
  <c r="N49" i="84"/>
  <c r="M49" i="84"/>
  <c r="L49" i="84"/>
  <c r="K49" i="84"/>
  <c r="J49" i="84"/>
  <c r="I49" i="84"/>
  <c r="H49" i="84"/>
  <c r="X48" i="84"/>
  <c r="W48" i="84"/>
  <c r="V48" i="84"/>
  <c r="U48" i="84"/>
  <c r="T48" i="84"/>
  <c r="S48" i="84"/>
  <c r="R48" i="84"/>
  <c r="Q48" i="84"/>
  <c r="P48" i="84"/>
  <c r="O48" i="84"/>
  <c r="N48" i="84"/>
  <c r="M48" i="84"/>
  <c r="L48" i="84"/>
  <c r="K48" i="84"/>
  <c r="J48" i="84"/>
  <c r="I48" i="84"/>
  <c r="H48" i="84"/>
  <c r="X47" i="84"/>
  <c r="W47" i="84"/>
  <c r="V47" i="84"/>
  <c r="U47" i="84"/>
  <c r="T47" i="84"/>
  <c r="S47" i="84"/>
  <c r="R47" i="84"/>
  <c r="Q47" i="84"/>
  <c r="P47" i="84"/>
  <c r="O47" i="84"/>
  <c r="N47" i="84"/>
  <c r="M47" i="84"/>
  <c r="L47" i="84"/>
  <c r="K47" i="84"/>
  <c r="J47" i="84"/>
  <c r="I47" i="84"/>
  <c r="H47" i="84"/>
  <c r="X46" i="84"/>
  <c r="W46" i="84"/>
  <c r="V46" i="84"/>
  <c r="U46" i="84"/>
  <c r="T46" i="84"/>
  <c r="S46" i="84"/>
  <c r="R46" i="84"/>
  <c r="Q46" i="84"/>
  <c r="P46" i="84"/>
  <c r="O46" i="84"/>
  <c r="N46" i="84"/>
  <c r="M46" i="84"/>
  <c r="L46" i="84"/>
  <c r="K46" i="84"/>
  <c r="J46" i="84"/>
  <c r="I46" i="84"/>
  <c r="H46" i="84"/>
  <c r="X45" i="84"/>
  <c r="W45" i="84"/>
  <c r="V45" i="84"/>
  <c r="U45" i="84"/>
  <c r="T45" i="84"/>
  <c r="S45" i="84"/>
  <c r="R45" i="84"/>
  <c r="Q45" i="84"/>
  <c r="P45" i="84"/>
  <c r="O45" i="84"/>
  <c r="N45" i="84"/>
  <c r="M45" i="84"/>
  <c r="L45" i="84"/>
  <c r="K45" i="84"/>
  <c r="J45" i="84"/>
  <c r="I45" i="84"/>
  <c r="H45" i="84"/>
  <c r="X44" i="84"/>
  <c r="W44" i="84"/>
  <c r="V44" i="84"/>
  <c r="U44" i="84"/>
  <c r="T44" i="84"/>
  <c r="S44" i="84"/>
  <c r="R44" i="84"/>
  <c r="Q44" i="84"/>
  <c r="P44" i="84"/>
  <c r="O44" i="84"/>
  <c r="N44" i="84"/>
  <c r="M44" i="84"/>
  <c r="L44" i="84"/>
  <c r="K44" i="84"/>
  <c r="J44" i="84"/>
  <c r="I44" i="84"/>
  <c r="H44" i="84"/>
  <c r="X43" i="84"/>
  <c r="W43" i="84"/>
  <c r="V43" i="84"/>
  <c r="U43" i="84"/>
  <c r="T43" i="84"/>
  <c r="S43" i="84"/>
  <c r="R43" i="84"/>
  <c r="Q43" i="84"/>
  <c r="P43" i="84"/>
  <c r="O43" i="84"/>
  <c r="N43" i="84"/>
  <c r="M43" i="84"/>
  <c r="L43" i="84"/>
  <c r="K43" i="84"/>
  <c r="J43" i="84"/>
  <c r="I43" i="84"/>
  <c r="H43" i="84"/>
  <c r="X42" i="84"/>
  <c r="W42" i="84"/>
  <c r="V42" i="84"/>
  <c r="U42" i="84"/>
  <c r="T42" i="84"/>
  <c r="S42" i="84"/>
  <c r="R42" i="84"/>
  <c r="Q42" i="84"/>
  <c r="P42" i="84"/>
  <c r="O42" i="84"/>
  <c r="N42" i="84"/>
  <c r="M42" i="84"/>
  <c r="L42" i="84"/>
  <c r="K42" i="84"/>
  <c r="J42" i="84"/>
  <c r="I42" i="84"/>
  <c r="H42" i="84"/>
  <c r="X41" i="84"/>
  <c r="W41" i="84"/>
  <c r="V41" i="84"/>
  <c r="U41" i="84"/>
  <c r="T41" i="84"/>
  <c r="S41" i="84"/>
  <c r="R41" i="84"/>
  <c r="Q41" i="84"/>
  <c r="P41" i="84"/>
  <c r="O41" i="84"/>
  <c r="N41" i="84"/>
  <c r="M41" i="84"/>
  <c r="L41" i="84"/>
  <c r="K41" i="84"/>
  <c r="J41" i="84"/>
  <c r="I41" i="84"/>
  <c r="H41" i="84"/>
  <c r="X40" i="84"/>
  <c r="W40" i="84"/>
  <c r="V40" i="84"/>
  <c r="U40" i="84"/>
  <c r="T40" i="84"/>
  <c r="S40" i="84"/>
  <c r="R40" i="84"/>
  <c r="Q40" i="84"/>
  <c r="P40" i="84"/>
  <c r="O40" i="84"/>
  <c r="N40" i="84"/>
  <c r="M40" i="84"/>
  <c r="L40" i="84"/>
  <c r="K40" i="84"/>
  <c r="J40" i="84"/>
  <c r="I40" i="84"/>
  <c r="H40" i="84"/>
  <c r="X23" i="84"/>
  <c r="X28" i="84" s="1"/>
  <c r="X32" i="84" s="1"/>
  <c r="W23" i="84"/>
  <c r="W28" i="84" s="1"/>
  <c r="W32" i="84" s="1"/>
  <c r="V23" i="84"/>
  <c r="V28" i="84" s="1"/>
  <c r="V32" i="84" s="1"/>
  <c r="U23" i="84"/>
  <c r="U28" i="84" s="1"/>
  <c r="U32" i="84" s="1"/>
  <c r="T23" i="84"/>
  <c r="T28" i="84" s="1"/>
  <c r="T32" i="84" s="1"/>
  <c r="S23" i="84"/>
  <c r="S28" i="84" s="1"/>
  <c r="S32" i="84" s="1"/>
  <c r="R23" i="84"/>
  <c r="R28" i="84" s="1"/>
  <c r="R32" i="84" s="1"/>
  <c r="Q23" i="84"/>
  <c r="Q28" i="84" s="1"/>
  <c r="Q32" i="84" s="1"/>
  <c r="P23" i="84"/>
  <c r="P28" i="84" s="1"/>
  <c r="P32" i="84" s="1"/>
  <c r="O23" i="84"/>
  <c r="O28" i="84" s="1"/>
  <c r="O32" i="84" s="1"/>
  <c r="N23" i="84"/>
  <c r="N28" i="84" s="1"/>
  <c r="N32" i="84" s="1"/>
  <c r="M23" i="84"/>
  <c r="L23" i="84"/>
  <c r="L28" i="84" s="1"/>
  <c r="L32" i="84" s="1"/>
  <c r="K23" i="84"/>
  <c r="K28" i="84" s="1"/>
  <c r="K32" i="84" s="1"/>
  <c r="J23" i="84"/>
  <c r="J28" i="84" s="1"/>
  <c r="J32" i="84" s="1"/>
  <c r="I23" i="84"/>
  <c r="I28" i="84" s="1"/>
  <c r="I32" i="84" s="1"/>
  <c r="H23" i="84"/>
  <c r="H28" i="84" s="1"/>
  <c r="H32" i="84" s="1"/>
  <c r="N113" i="83"/>
  <c r="M113" i="83"/>
  <c r="L113" i="83"/>
  <c r="K113" i="83"/>
  <c r="J113" i="83"/>
  <c r="N100" i="83"/>
  <c r="M100" i="83"/>
  <c r="L100" i="83"/>
  <c r="K100" i="83"/>
  <c r="J100" i="83"/>
  <c r="Z79" i="83"/>
  <c r="Y79" i="83"/>
  <c r="X79" i="83"/>
  <c r="W79" i="83"/>
  <c r="V79" i="83"/>
  <c r="U79" i="83"/>
  <c r="T79" i="83"/>
  <c r="S79" i="83"/>
  <c r="R79" i="83"/>
  <c r="Q79" i="83"/>
  <c r="P79" i="83"/>
  <c r="O79" i="83"/>
  <c r="N79" i="83"/>
  <c r="M79" i="83"/>
  <c r="L79" i="83"/>
  <c r="K79" i="83"/>
  <c r="J79" i="83"/>
  <c r="Z64" i="83"/>
  <c r="Y64" i="83"/>
  <c r="X64" i="83"/>
  <c r="W64" i="83"/>
  <c r="V64" i="83"/>
  <c r="U64" i="83"/>
  <c r="T64" i="83"/>
  <c r="S64" i="83"/>
  <c r="R64" i="83"/>
  <c r="Q64" i="83"/>
  <c r="O64" i="83"/>
  <c r="N64" i="83"/>
  <c r="M64" i="83"/>
  <c r="L64" i="83"/>
  <c r="K64" i="83"/>
  <c r="J64" i="83"/>
  <c r="Z63" i="83"/>
  <c r="Y63" i="83"/>
  <c r="X63" i="83"/>
  <c r="W63" i="83"/>
  <c r="V63" i="83"/>
  <c r="U63" i="83"/>
  <c r="T63" i="83"/>
  <c r="S63" i="83"/>
  <c r="R63" i="83"/>
  <c r="Q63" i="83"/>
  <c r="O63" i="83"/>
  <c r="N63" i="83"/>
  <c r="M63" i="83"/>
  <c r="L63" i="83"/>
  <c r="K63" i="83"/>
  <c r="J63" i="83"/>
  <c r="Z62" i="83"/>
  <c r="Y62" i="83"/>
  <c r="X62" i="83"/>
  <c r="W62" i="83"/>
  <c r="V62" i="83"/>
  <c r="U62" i="83"/>
  <c r="T62" i="83"/>
  <c r="S62" i="83"/>
  <c r="R62" i="83"/>
  <c r="Q62" i="83"/>
  <c r="O62" i="83"/>
  <c r="N62" i="83"/>
  <c r="M62" i="83"/>
  <c r="L62" i="83"/>
  <c r="K62" i="83"/>
  <c r="J62" i="83"/>
  <c r="Z61" i="83"/>
  <c r="Y61" i="83"/>
  <c r="X61" i="83"/>
  <c r="W61" i="83"/>
  <c r="V61" i="83"/>
  <c r="U61" i="83"/>
  <c r="T61" i="83"/>
  <c r="S61" i="83"/>
  <c r="R61" i="83"/>
  <c r="Q61" i="83"/>
  <c r="O61" i="83"/>
  <c r="N61" i="83"/>
  <c r="M61" i="83"/>
  <c r="L61" i="83"/>
  <c r="K61" i="83"/>
  <c r="J61" i="83"/>
  <c r="Z60" i="83"/>
  <c r="Y60" i="83"/>
  <c r="X60" i="83"/>
  <c r="W60" i="83"/>
  <c r="V60" i="83"/>
  <c r="U60" i="83"/>
  <c r="T60" i="83"/>
  <c r="S60" i="83"/>
  <c r="R60" i="83"/>
  <c r="Q60" i="83"/>
  <c r="O60" i="83"/>
  <c r="N60" i="83"/>
  <c r="M60" i="83"/>
  <c r="L60" i="83"/>
  <c r="K60" i="83"/>
  <c r="J60" i="83"/>
  <c r="Z59" i="83"/>
  <c r="Y59" i="83"/>
  <c r="X59" i="83"/>
  <c r="W59" i="83"/>
  <c r="V59" i="83"/>
  <c r="U59" i="83"/>
  <c r="T59" i="83"/>
  <c r="S59" i="83"/>
  <c r="R59" i="83"/>
  <c r="Q59" i="83"/>
  <c r="O59" i="83"/>
  <c r="N59" i="83"/>
  <c r="M59" i="83"/>
  <c r="L59" i="83"/>
  <c r="K59" i="83"/>
  <c r="J59" i="83"/>
  <c r="Z58" i="83"/>
  <c r="Y58" i="83"/>
  <c r="X58" i="83"/>
  <c r="W58" i="83"/>
  <c r="V58" i="83"/>
  <c r="U58" i="83"/>
  <c r="T58" i="83"/>
  <c r="S58" i="83"/>
  <c r="R58" i="83"/>
  <c r="Q58" i="83"/>
  <c r="O58" i="83"/>
  <c r="N58" i="83"/>
  <c r="M58" i="83"/>
  <c r="L58" i="83"/>
  <c r="K58" i="83"/>
  <c r="J58" i="83"/>
  <c r="Z57" i="83"/>
  <c r="Y57" i="83"/>
  <c r="X57" i="83"/>
  <c r="W57" i="83"/>
  <c r="V57" i="83"/>
  <c r="U57" i="83"/>
  <c r="T57" i="83"/>
  <c r="S57" i="83"/>
  <c r="R57" i="83"/>
  <c r="Q57" i="83"/>
  <c r="O57" i="83"/>
  <c r="N57" i="83"/>
  <c r="M57" i="83"/>
  <c r="L57" i="83"/>
  <c r="K57" i="83"/>
  <c r="J57" i="83"/>
  <c r="Z56" i="83"/>
  <c r="Y56" i="83"/>
  <c r="X56" i="83"/>
  <c r="W56" i="83"/>
  <c r="V56" i="83"/>
  <c r="U56" i="83"/>
  <c r="T56" i="83"/>
  <c r="S56" i="83"/>
  <c r="R56" i="83"/>
  <c r="Q56" i="83"/>
  <c r="O56" i="83"/>
  <c r="N56" i="83"/>
  <c r="M56" i="83"/>
  <c r="L56" i="83"/>
  <c r="K56" i="83"/>
  <c r="J56" i="83"/>
  <c r="Z55" i="83"/>
  <c r="Y55" i="83"/>
  <c r="X55" i="83"/>
  <c r="W55" i="83"/>
  <c r="V55" i="83"/>
  <c r="U55" i="83"/>
  <c r="T55" i="83"/>
  <c r="S55" i="83"/>
  <c r="R55" i="83"/>
  <c r="Q55" i="83"/>
  <c r="O55" i="83"/>
  <c r="N55" i="83"/>
  <c r="M55" i="83"/>
  <c r="L55" i="83"/>
  <c r="K55" i="83"/>
  <c r="J55" i="83"/>
  <c r="Z54" i="83"/>
  <c r="Y54" i="83"/>
  <c r="X54" i="83"/>
  <c r="W54" i="83"/>
  <c r="V54" i="83"/>
  <c r="U54" i="83"/>
  <c r="T54" i="83"/>
  <c r="S54" i="83"/>
  <c r="R54" i="83"/>
  <c r="Q54" i="83"/>
  <c r="O54" i="83"/>
  <c r="N54" i="83"/>
  <c r="M54" i="83"/>
  <c r="L54" i="83"/>
  <c r="K54" i="83"/>
  <c r="J54" i="83"/>
  <c r="Z53" i="83"/>
  <c r="Y53" i="83"/>
  <c r="X53" i="83"/>
  <c r="W53" i="83"/>
  <c r="V53" i="83"/>
  <c r="U53" i="83"/>
  <c r="T53" i="83"/>
  <c r="S53" i="83"/>
  <c r="R53" i="83"/>
  <c r="Q53" i="83"/>
  <c r="O53" i="83"/>
  <c r="N53" i="83"/>
  <c r="M53" i="83"/>
  <c r="L53" i="83"/>
  <c r="K53" i="83"/>
  <c r="J53" i="83"/>
  <c r="Z52" i="83"/>
  <c r="Y52" i="83"/>
  <c r="X52" i="83"/>
  <c r="W52" i="83"/>
  <c r="V52" i="83"/>
  <c r="U52" i="83"/>
  <c r="T52" i="83"/>
  <c r="S52" i="83"/>
  <c r="R52" i="83"/>
  <c r="Q52" i="83"/>
  <c r="O52" i="83"/>
  <c r="N52" i="83"/>
  <c r="M52" i="83"/>
  <c r="L52" i="83"/>
  <c r="K52" i="83"/>
  <c r="J52" i="83"/>
  <c r="Z51" i="83"/>
  <c r="Y51" i="83"/>
  <c r="X51" i="83"/>
  <c r="W51" i="83"/>
  <c r="V51" i="83"/>
  <c r="U51" i="83"/>
  <c r="T51" i="83"/>
  <c r="S51" i="83"/>
  <c r="R51" i="83"/>
  <c r="Q51" i="83"/>
  <c r="O51" i="83"/>
  <c r="N51" i="83"/>
  <c r="M51" i="83"/>
  <c r="L51" i="83"/>
  <c r="K51" i="83"/>
  <c r="J51" i="83"/>
  <c r="Z49" i="83"/>
  <c r="Y49" i="83"/>
  <c r="X49" i="83"/>
  <c r="W49" i="83"/>
  <c r="V49" i="83"/>
  <c r="U49" i="83"/>
  <c r="T49" i="83"/>
  <c r="S49" i="83"/>
  <c r="R49" i="83"/>
  <c r="Q49" i="83"/>
  <c r="P49" i="83"/>
  <c r="O49" i="83"/>
  <c r="N49" i="83"/>
  <c r="M49" i="83"/>
  <c r="L49" i="83"/>
  <c r="K49" i="83"/>
  <c r="J49" i="83"/>
  <c r="Z48" i="83"/>
  <c r="Y48" i="83"/>
  <c r="X48" i="83"/>
  <c r="W48" i="83"/>
  <c r="V48" i="83"/>
  <c r="U48" i="83"/>
  <c r="T48" i="83"/>
  <c r="S48" i="83"/>
  <c r="R48" i="83"/>
  <c r="Q48" i="83"/>
  <c r="P48" i="83"/>
  <c r="O48" i="83"/>
  <c r="N48" i="83"/>
  <c r="M48" i="83"/>
  <c r="L48" i="83"/>
  <c r="K48" i="83"/>
  <c r="J48" i="83"/>
  <c r="Z47" i="83"/>
  <c r="Y47" i="83"/>
  <c r="X47" i="83"/>
  <c r="W47" i="83"/>
  <c r="V47" i="83"/>
  <c r="U47" i="83"/>
  <c r="T47" i="83"/>
  <c r="S47" i="83"/>
  <c r="R47" i="83"/>
  <c r="Q47" i="83"/>
  <c r="P47" i="83"/>
  <c r="O47" i="83"/>
  <c r="N47" i="83"/>
  <c r="M47" i="83"/>
  <c r="L47" i="83"/>
  <c r="K47" i="83"/>
  <c r="J47" i="83"/>
  <c r="Z25" i="83"/>
  <c r="Y25" i="83"/>
  <c r="X25" i="83"/>
  <c r="X30" i="83" s="1"/>
  <c r="X33" i="83" s="1"/>
  <c r="W25" i="83"/>
  <c r="W30" i="83" s="1"/>
  <c r="V25" i="83"/>
  <c r="V30" i="83" s="1"/>
  <c r="U25" i="83"/>
  <c r="U30" i="83" s="1"/>
  <c r="U33" i="83" s="1"/>
  <c r="T25" i="83"/>
  <c r="T30" i="83" s="1"/>
  <c r="T34" i="83" s="1"/>
  <c r="S25" i="83"/>
  <c r="S30" i="83" s="1"/>
  <c r="S34" i="83" s="1"/>
  <c r="R25" i="83"/>
  <c r="R30" i="83" s="1"/>
  <c r="R33" i="83" s="1"/>
  <c r="Q25" i="83"/>
  <c r="Q30" i="83" s="1"/>
  <c r="Q33" i="83" s="1"/>
  <c r="P25" i="83"/>
  <c r="O25" i="83"/>
  <c r="N25" i="83"/>
  <c r="M25" i="83"/>
  <c r="L25" i="83"/>
  <c r="L30" i="83" s="1"/>
  <c r="L33" i="83" s="1"/>
  <c r="K25" i="83"/>
  <c r="K30" i="83" s="1"/>
  <c r="K33" i="83" s="1"/>
  <c r="J25" i="83"/>
  <c r="N113" i="82"/>
  <c r="M113" i="82"/>
  <c r="L113" i="82"/>
  <c r="K113" i="82"/>
  <c r="J113" i="82"/>
  <c r="N100" i="82"/>
  <c r="M100" i="82"/>
  <c r="L100" i="82"/>
  <c r="K100" i="82"/>
  <c r="J100" i="82"/>
  <c r="Z79" i="82"/>
  <c r="Y79" i="82"/>
  <c r="X79" i="82"/>
  <c r="W79" i="82"/>
  <c r="V79" i="82"/>
  <c r="U79" i="82"/>
  <c r="T79" i="82"/>
  <c r="S79" i="82"/>
  <c r="R79" i="82"/>
  <c r="Q79" i="82"/>
  <c r="P79" i="82"/>
  <c r="O79" i="82"/>
  <c r="N79" i="82"/>
  <c r="M79" i="82"/>
  <c r="L79" i="82"/>
  <c r="K79" i="82"/>
  <c r="J79" i="82"/>
  <c r="Z72" i="82"/>
  <c r="Z73" i="82" s="1"/>
  <c r="Y72" i="82"/>
  <c r="Y73" i="82" s="1"/>
  <c r="Z64" i="82"/>
  <c r="Y64" i="82"/>
  <c r="X64" i="82"/>
  <c r="W64" i="82"/>
  <c r="V64" i="82"/>
  <c r="U64" i="82"/>
  <c r="T64" i="82"/>
  <c r="S64" i="82"/>
  <c r="R64" i="82"/>
  <c r="Q64" i="82"/>
  <c r="O64" i="82"/>
  <c r="N64" i="82"/>
  <c r="M64" i="82"/>
  <c r="L64" i="82"/>
  <c r="K64" i="82"/>
  <c r="J64" i="82"/>
  <c r="Z63" i="82"/>
  <c r="Y63" i="82"/>
  <c r="X63" i="82"/>
  <c r="W63" i="82"/>
  <c r="V63" i="82"/>
  <c r="U63" i="82"/>
  <c r="T63" i="82"/>
  <c r="S63" i="82"/>
  <c r="R63" i="82"/>
  <c r="Q63" i="82"/>
  <c r="O63" i="82"/>
  <c r="N63" i="82"/>
  <c r="M63" i="82"/>
  <c r="L63" i="82"/>
  <c r="K63" i="82"/>
  <c r="J63" i="82"/>
  <c r="Z62" i="82"/>
  <c r="Y62" i="82"/>
  <c r="X62" i="82"/>
  <c r="W62" i="82"/>
  <c r="V62" i="82"/>
  <c r="U62" i="82"/>
  <c r="T62" i="82"/>
  <c r="S62" i="82"/>
  <c r="R62" i="82"/>
  <c r="Q62" i="82"/>
  <c r="O62" i="82"/>
  <c r="N62" i="82"/>
  <c r="M62" i="82"/>
  <c r="L62" i="82"/>
  <c r="K62" i="82"/>
  <c r="J62" i="82"/>
  <c r="Z61" i="82"/>
  <c r="Y61" i="82"/>
  <c r="X61" i="82"/>
  <c r="W61" i="82"/>
  <c r="V61" i="82"/>
  <c r="U61" i="82"/>
  <c r="T61" i="82"/>
  <c r="S61" i="82"/>
  <c r="R61" i="82"/>
  <c r="Q61" i="82"/>
  <c r="O61" i="82"/>
  <c r="N61" i="82"/>
  <c r="M61" i="82"/>
  <c r="L61" i="82"/>
  <c r="K61" i="82"/>
  <c r="J61" i="82"/>
  <c r="Z60" i="82"/>
  <c r="Y60" i="82"/>
  <c r="X60" i="82"/>
  <c r="W60" i="82"/>
  <c r="V60" i="82"/>
  <c r="U60" i="82"/>
  <c r="T60" i="82"/>
  <c r="S60" i="82"/>
  <c r="R60" i="82"/>
  <c r="Q60" i="82"/>
  <c r="O60" i="82"/>
  <c r="N60" i="82"/>
  <c r="M60" i="82"/>
  <c r="L60" i="82"/>
  <c r="K60" i="82"/>
  <c r="J60" i="82"/>
  <c r="Z59" i="82"/>
  <c r="Y59" i="82"/>
  <c r="X59" i="82"/>
  <c r="W59" i="82"/>
  <c r="V59" i="82"/>
  <c r="U59" i="82"/>
  <c r="T59" i="82"/>
  <c r="S59" i="82"/>
  <c r="R59" i="82"/>
  <c r="Q59" i="82"/>
  <c r="O59" i="82"/>
  <c r="N59" i="82"/>
  <c r="M59" i="82"/>
  <c r="L59" i="82"/>
  <c r="K59" i="82"/>
  <c r="J59" i="82"/>
  <c r="Z58" i="82"/>
  <c r="Y58" i="82"/>
  <c r="X58" i="82"/>
  <c r="W58" i="82"/>
  <c r="V58" i="82"/>
  <c r="U58" i="82"/>
  <c r="T58" i="82"/>
  <c r="S58" i="82"/>
  <c r="R58" i="82"/>
  <c r="Q58" i="82"/>
  <c r="O58" i="82"/>
  <c r="N58" i="82"/>
  <c r="M58" i="82"/>
  <c r="L58" i="82"/>
  <c r="K58" i="82"/>
  <c r="J58" i="82"/>
  <c r="Z57" i="82"/>
  <c r="Y57" i="82"/>
  <c r="X57" i="82"/>
  <c r="W57" i="82"/>
  <c r="V57" i="82"/>
  <c r="U57" i="82"/>
  <c r="T57" i="82"/>
  <c r="S57" i="82"/>
  <c r="R57" i="82"/>
  <c r="Q57" i="82"/>
  <c r="O57" i="82"/>
  <c r="N57" i="82"/>
  <c r="M57" i="82"/>
  <c r="L57" i="82"/>
  <c r="K57" i="82"/>
  <c r="J57" i="82"/>
  <c r="Z56" i="82"/>
  <c r="Y56" i="82"/>
  <c r="X56" i="82"/>
  <c r="W56" i="82"/>
  <c r="V56" i="82"/>
  <c r="U56" i="82"/>
  <c r="T56" i="82"/>
  <c r="S56" i="82"/>
  <c r="R56" i="82"/>
  <c r="Q56" i="82"/>
  <c r="O56" i="82"/>
  <c r="N56" i="82"/>
  <c r="M56" i="82"/>
  <c r="L56" i="82"/>
  <c r="K56" i="82"/>
  <c r="J56" i="82"/>
  <c r="Z55" i="82"/>
  <c r="Y55" i="82"/>
  <c r="X55" i="82"/>
  <c r="W55" i="82"/>
  <c r="V55" i="82"/>
  <c r="U55" i="82"/>
  <c r="T55" i="82"/>
  <c r="S55" i="82"/>
  <c r="R55" i="82"/>
  <c r="Q55" i="82"/>
  <c r="O55" i="82"/>
  <c r="N55" i="82"/>
  <c r="M55" i="82"/>
  <c r="L55" i="82"/>
  <c r="K55" i="82"/>
  <c r="J55" i="82"/>
  <c r="Z54" i="82"/>
  <c r="Y54" i="82"/>
  <c r="X54" i="82"/>
  <c r="W54" i="82"/>
  <c r="V54" i="82"/>
  <c r="U54" i="82"/>
  <c r="T54" i="82"/>
  <c r="S54" i="82"/>
  <c r="R54" i="82"/>
  <c r="Q54" i="82"/>
  <c r="O54" i="82"/>
  <c r="N54" i="82"/>
  <c r="M54" i="82"/>
  <c r="L54" i="82"/>
  <c r="K54" i="82"/>
  <c r="J54" i="82"/>
  <c r="Z53" i="82"/>
  <c r="Y53" i="82"/>
  <c r="X53" i="82"/>
  <c r="W53" i="82"/>
  <c r="V53" i="82"/>
  <c r="U53" i="82"/>
  <c r="T53" i="82"/>
  <c r="S53" i="82"/>
  <c r="R53" i="82"/>
  <c r="Q53" i="82"/>
  <c r="O53" i="82"/>
  <c r="N53" i="82"/>
  <c r="M53" i="82"/>
  <c r="L53" i="82"/>
  <c r="K53" i="82"/>
  <c r="J53" i="82"/>
  <c r="Z52" i="82"/>
  <c r="Y52" i="82"/>
  <c r="X52" i="82"/>
  <c r="W52" i="82"/>
  <c r="V52" i="82"/>
  <c r="U52" i="82"/>
  <c r="T52" i="82"/>
  <c r="S52" i="82"/>
  <c r="R52" i="82"/>
  <c r="Q52" i="82"/>
  <c r="O52" i="82"/>
  <c r="N52" i="82"/>
  <c r="M52" i="82"/>
  <c r="L52" i="82"/>
  <c r="K52" i="82"/>
  <c r="J52" i="82"/>
  <c r="Z51" i="82"/>
  <c r="Y51" i="82"/>
  <c r="X51" i="82"/>
  <c r="W51" i="82"/>
  <c r="V51" i="82"/>
  <c r="U51" i="82"/>
  <c r="T51" i="82"/>
  <c r="S51" i="82"/>
  <c r="R51" i="82"/>
  <c r="Q51" i="82"/>
  <c r="O51" i="82"/>
  <c r="N51" i="82"/>
  <c r="M51" i="82"/>
  <c r="L51" i="82"/>
  <c r="K51" i="82"/>
  <c r="J51" i="82"/>
  <c r="Z49" i="82"/>
  <c r="Y49" i="82"/>
  <c r="L49" i="82"/>
  <c r="K49" i="82"/>
  <c r="Z48" i="82"/>
  <c r="Y48" i="82"/>
  <c r="X48" i="82"/>
  <c r="W48" i="82"/>
  <c r="V48" i="82"/>
  <c r="U48" i="82"/>
  <c r="T48" i="82"/>
  <c r="S48" i="82"/>
  <c r="R48" i="82"/>
  <c r="Q48" i="82"/>
  <c r="P48" i="82"/>
  <c r="O48" i="82"/>
  <c r="N48" i="82"/>
  <c r="L48" i="82"/>
  <c r="K48" i="82"/>
  <c r="J48" i="82"/>
  <c r="Z47" i="82"/>
  <c r="Y47" i="82"/>
  <c r="L47" i="82"/>
  <c r="K47" i="82"/>
  <c r="Z25" i="82"/>
  <c r="Y25" i="82"/>
  <c r="X25" i="82"/>
  <c r="X30" i="82" s="1"/>
  <c r="X33" i="82" s="1"/>
  <c r="W25" i="82"/>
  <c r="W30" i="82" s="1"/>
  <c r="W33" i="82" s="1"/>
  <c r="V25" i="82"/>
  <c r="U25" i="82"/>
  <c r="T25" i="82"/>
  <c r="S25" i="82"/>
  <c r="S30" i="82" s="1"/>
  <c r="S34" i="82" s="1"/>
  <c r="R25" i="82"/>
  <c r="R30" i="82" s="1"/>
  <c r="R34" i="82" s="1"/>
  <c r="Q25" i="82"/>
  <c r="Q30" i="82" s="1"/>
  <c r="Q34" i="82" s="1"/>
  <c r="P25" i="82"/>
  <c r="O25" i="82"/>
  <c r="N25" i="82"/>
  <c r="M25" i="82"/>
  <c r="L25" i="82"/>
  <c r="L30" i="82" s="1"/>
  <c r="L33" i="82" s="1"/>
  <c r="K25" i="82"/>
  <c r="K30" i="82" s="1"/>
  <c r="K33" i="82" s="1"/>
  <c r="J25" i="82"/>
  <c r="AP266" i="81"/>
  <c r="AO266" i="81"/>
  <c r="AN266" i="81"/>
  <c r="AK266" i="81"/>
  <c r="AJ266" i="81"/>
  <c r="F265" i="81" a="1"/>
  <c r="AP262" i="81"/>
  <c r="AO262" i="81"/>
  <c r="AN262" i="81"/>
  <c r="AK262" i="81"/>
  <c r="AJ262" i="81"/>
  <c r="I261" i="81"/>
  <c r="AN261" i="81" s="1"/>
  <c r="AP260" i="81"/>
  <c r="AO260" i="81"/>
  <c r="AN260" i="81"/>
  <c r="AK260" i="81"/>
  <c r="AJ260" i="81"/>
  <c r="AP257" i="81"/>
  <c r="AO257" i="81"/>
  <c r="AN257" i="81"/>
  <c r="AK257" i="81"/>
  <c r="AJ257" i="81"/>
  <c r="AP254" i="81"/>
  <c r="AO254" i="81"/>
  <c r="AN254" i="81"/>
  <c r="AK254" i="81"/>
  <c r="AJ254" i="81"/>
  <c r="U248" i="81"/>
  <c r="U249" i="81" s="1"/>
  <c r="T248" i="81"/>
  <c r="T249" i="81" s="1"/>
  <c r="S248" i="81"/>
  <c r="S250" i="81" s="1"/>
  <c r="R248" i="81"/>
  <c r="R250" i="81" s="1"/>
  <c r="Q248" i="81"/>
  <c r="P248" i="81"/>
  <c r="O248" i="81"/>
  <c r="O249" i="81" s="1"/>
  <c r="N248" i="81"/>
  <c r="N249" i="81" s="1"/>
  <c r="M248" i="81"/>
  <c r="M249" i="81" s="1"/>
  <c r="L248" i="81"/>
  <c r="L249" i="81" s="1"/>
  <c r="K248" i="81"/>
  <c r="J248" i="81"/>
  <c r="J250" i="81" s="1"/>
  <c r="I248" i="81"/>
  <c r="H248" i="81"/>
  <c r="H249" i="81" s="1"/>
  <c r="G248" i="81"/>
  <c r="G250" i="81" s="1"/>
  <c r="F248" i="81"/>
  <c r="F250" i="81" s="1"/>
  <c r="U243" i="81"/>
  <c r="T243" i="81"/>
  <c r="S243" i="81"/>
  <c r="R243" i="81"/>
  <c r="Q243" i="81"/>
  <c r="P243" i="81"/>
  <c r="O243" i="81"/>
  <c r="N243" i="81"/>
  <c r="M243" i="81"/>
  <c r="L243" i="81"/>
  <c r="K243" i="81"/>
  <c r="J243" i="81"/>
  <c r="I243" i="81"/>
  <c r="H243" i="81"/>
  <c r="G243" i="81"/>
  <c r="F243" i="81"/>
  <c r="U242" i="81"/>
  <c r="T242" i="81"/>
  <c r="S242" i="81"/>
  <c r="R242" i="81"/>
  <c r="Q242" i="81"/>
  <c r="P242" i="81"/>
  <c r="O242" i="81"/>
  <c r="N242" i="81"/>
  <c r="M242" i="81"/>
  <c r="L242" i="81"/>
  <c r="K242" i="81"/>
  <c r="J242" i="81"/>
  <c r="I242" i="81"/>
  <c r="H242" i="81"/>
  <c r="G242" i="81"/>
  <c r="F242" i="81"/>
  <c r="AP241" i="81"/>
  <c r="AO241" i="81"/>
  <c r="AN241" i="81"/>
  <c r="AK241" i="81"/>
  <c r="AJ241" i="81"/>
  <c r="AP229" i="81"/>
  <c r="AO229" i="81"/>
  <c r="AN229" i="81"/>
  <c r="AK229" i="81"/>
  <c r="AJ229" i="81"/>
  <c r="AP227" i="81"/>
  <c r="AO227" i="81"/>
  <c r="AN227" i="81"/>
  <c r="AK227" i="81"/>
  <c r="AJ227" i="81"/>
  <c r="U208" i="81"/>
  <c r="T208" i="81"/>
  <c r="S208" i="81"/>
  <c r="R208" i="81"/>
  <c r="Q208" i="81"/>
  <c r="P208" i="81"/>
  <c r="O208" i="81"/>
  <c r="N208" i="81"/>
  <c r="M208" i="81"/>
  <c r="L208" i="81"/>
  <c r="K208" i="81"/>
  <c r="J208" i="81"/>
  <c r="I208" i="81"/>
  <c r="H208" i="81"/>
  <c r="G208" i="81"/>
  <c r="F208" i="81"/>
  <c r="U207" i="81"/>
  <c r="T207" i="81"/>
  <c r="S207" i="81"/>
  <c r="R207" i="81"/>
  <c r="Q207" i="81"/>
  <c r="P207" i="81"/>
  <c r="O207" i="81"/>
  <c r="N207" i="81"/>
  <c r="M207" i="81"/>
  <c r="L207" i="81"/>
  <c r="K207" i="81"/>
  <c r="J207" i="81"/>
  <c r="I207" i="81"/>
  <c r="H207" i="81"/>
  <c r="G207" i="81"/>
  <c r="F207" i="81"/>
  <c r="U201" i="81"/>
  <c r="T201" i="81"/>
  <c r="S201" i="81"/>
  <c r="S202" i="81" s="1"/>
  <c r="R201" i="81"/>
  <c r="R202" i="81" s="1"/>
  <c r="Q201" i="81"/>
  <c r="Q203" i="81" s="1"/>
  <c r="P201" i="81"/>
  <c r="P203" i="81" s="1"/>
  <c r="O201" i="81"/>
  <c r="O203" i="81" s="1"/>
  <c r="N201" i="81"/>
  <c r="N202" i="81" s="1"/>
  <c r="M201" i="81"/>
  <c r="M202" i="81" s="1"/>
  <c r="L201" i="81"/>
  <c r="L202" i="81" s="1"/>
  <c r="K201" i="81"/>
  <c r="K202" i="81" s="1"/>
  <c r="J201" i="81"/>
  <c r="J202" i="81" s="1"/>
  <c r="I201" i="81"/>
  <c r="H201" i="81"/>
  <c r="G201" i="81"/>
  <c r="F201" i="81"/>
  <c r="AP200" i="81"/>
  <c r="AO200" i="81"/>
  <c r="AN200" i="81"/>
  <c r="AP187" i="81"/>
  <c r="AO187" i="81"/>
  <c r="AN187" i="81"/>
  <c r="V180" i="81"/>
  <c r="U180" i="81"/>
  <c r="U182" i="81" s="1"/>
  <c r="T180" i="81"/>
  <c r="T182" i="81" s="1"/>
  <c r="S180" i="81"/>
  <c r="S182" i="81" s="1"/>
  <c r="R180" i="81"/>
  <c r="Q180" i="81"/>
  <c r="P180" i="81"/>
  <c r="O180" i="81"/>
  <c r="N180" i="81"/>
  <c r="N181" i="81" s="1"/>
  <c r="M180" i="81"/>
  <c r="M181" i="81" s="1"/>
  <c r="L180" i="81"/>
  <c r="K180" i="81"/>
  <c r="J180" i="81"/>
  <c r="I180" i="81"/>
  <c r="H180" i="81"/>
  <c r="H181" i="81" s="1"/>
  <c r="G180" i="81"/>
  <c r="G181" i="81" s="1"/>
  <c r="F180" i="81"/>
  <c r="V174" i="81"/>
  <c r="V169" i="81"/>
  <c r="AP164" i="81"/>
  <c r="AO164" i="81"/>
  <c r="AN164" i="81"/>
  <c r="U154" i="81"/>
  <c r="T154" i="81"/>
  <c r="S154" i="81"/>
  <c r="R154" i="81"/>
  <c r="Q154" i="81"/>
  <c r="P154" i="81"/>
  <c r="O154" i="81"/>
  <c r="N154" i="81"/>
  <c r="M154" i="81"/>
  <c r="L154" i="81"/>
  <c r="K154" i="81"/>
  <c r="J154" i="81"/>
  <c r="I154" i="81"/>
  <c r="H154" i="81"/>
  <c r="G154" i="81"/>
  <c r="F154" i="81"/>
  <c r="U150" i="81"/>
  <c r="T150" i="81"/>
  <c r="S150" i="81"/>
  <c r="R150" i="81"/>
  <c r="Q150" i="81"/>
  <c r="P150" i="81"/>
  <c r="O150" i="81"/>
  <c r="N150" i="81"/>
  <c r="M150" i="81"/>
  <c r="L150" i="81"/>
  <c r="K150" i="81"/>
  <c r="J150" i="81"/>
  <c r="I150" i="81"/>
  <c r="H150" i="81"/>
  <c r="G150" i="81"/>
  <c r="F150" i="81"/>
  <c r="U143" i="81"/>
  <c r="U144" i="81" s="1"/>
  <c r="T143" i="81"/>
  <c r="S143" i="81"/>
  <c r="S145" i="81" s="1"/>
  <c r="R143" i="81"/>
  <c r="R144" i="81" s="1"/>
  <c r="Q143" i="81"/>
  <c r="Q144" i="81" s="1"/>
  <c r="P143" i="81"/>
  <c r="P144" i="81" s="1"/>
  <c r="O143" i="81"/>
  <c r="N143" i="81"/>
  <c r="M143" i="81"/>
  <c r="L143" i="81"/>
  <c r="L145" i="81" s="1"/>
  <c r="K143" i="81"/>
  <c r="K145" i="81" s="1"/>
  <c r="J143" i="81"/>
  <c r="J145" i="81" s="1"/>
  <c r="I143" i="81"/>
  <c r="H143" i="81"/>
  <c r="G143" i="81"/>
  <c r="G144" i="81" s="1"/>
  <c r="F143" i="81"/>
  <c r="F145" i="81" s="1"/>
  <c r="AK142" i="81"/>
  <c r="AJ142" i="81"/>
  <c r="AP141" i="81"/>
  <c r="AO141" i="81"/>
  <c r="AN141" i="81"/>
  <c r="K114" i="81"/>
  <c r="K113" i="81"/>
  <c r="K112" i="81"/>
  <c r="K111" i="81"/>
  <c r="K110" i="81"/>
  <c r="K109" i="81"/>
  <c r="K108" i="81"/>
  <c r="K107" i="81"/>
  <c r="EZ102" i="81"/>
  <c r="U62" i="81"/>
  <c r="T62" i="81"/>
  <c r="S62" i="81"/>
  <c r="R62" i="81"/>
  <c r="Q62" i="81"/>
  <c r="P62" i="81"/>
  <c r="O62" i="81"/>
  <c r="N62" i="81"/>
  <c r="M62" i="81"/>
  <c r="L62" i="81"/>
  <c r="K62" i="81"/>
  <c r="J62" i="81"/>
  <c r="BL22" i="81" a="1"/>
  <c r="FL8" i="81" a="1"/>
  <c r="FK8" i="81" a="1"/>
  <c r="FK8" i="81" s="1"/>
  <c r="FJ8" i="81" a="1"/>
  <c r="FI8" i="81" a="1"/>
  <c r="FH8" i="81" a="1"/>
  <c r="FG8" i="81" a="1"/>
  <c r="FG8" i="81" s="1"/>
  <c r="FF8" i="81" a="1"/>
  <c r="FF8" i="81" s="1"/>
  <c r="FE8" i="81" a="1"/>
  <c r="FE8" i="81" s="1"/>
  <c r="FD8" i="81" a="1"/>
  <c r="FD8" i="81" s="1"/>
  <c r="FC8" i="81" a="1"/>
  <c r="FC8" i="81" s="1"/>
  <c r="FB8" i="81" a="1"/>
  <c r="FA8" i="81" a="1"/>
  <c r="EZ8" i="81" a="1"/>
  <c r="EZ8" i="81" s="1"/>
  <c r="EY8" i="81" a="1"/>
  <c r="EX8" i="81" a="1"/>
  <c r="EW12" i="81" s="1"/>
  <c r="EV8" i="81" a="1"/>
  <c r="EI8" i="81" a="1"/>
  <c r="EI8" i="81" s="1"/>
  <c r="EH8" i="81" a="1"/>
  <c r="EH8" i="81" s="1"/>
  <c r="EG8" i="81" a="1"/>
  <c r="EF8" i="81" a="1"/>
  <c r="EF8" i="81" s="1"/>
  <c r="EE8" i="81" a="1"/>
  <c r="EE8" i="81" s="1"/>
  <c r="ED8" i="81" a="1"/>
  <c r="ED8" i="81" s="1"/>
  <c r="EC8" i="81" a="1"/>
  <c r="EB8" i="81" a="1"/>
  <c r="EB8" i="81" s="1"/>
  <c r="EA8" i="81" a="1"/>
  <c r="EA8" i="81" s="1"/>
  <c r="DZ8" i="81" a="1"/>
  <c r="DZ8" i="81" s="1"/>
  <c r="DY8" i="81" a="1"/>
  <c r="DY8" i="81" s="1"/>
  <c r="DX8" i="81" a="1"/>
  <c r="DW8" i="81" a="1"/>
  <c r="DV8" i="81" a="1"/>
  <c r="DV8" i="81" s="1"/>
  <c r="DU8" i="81" a="1"/>
  <c r="DU8" i="81" s="1"/>
  <c r="DT8" i="81" a="1"/>
  <c r="DT8" i="81" s="1"/>
  <c r="DS8" i="81" a="1"/>
  <c r="DS8" i="81" s="1"/>
  <c r="AP266" i="80"/>
  <c r="AO266" i="80"/>
  <c r="AN266" i="80"/>
  <c r="AK266" i="80"/>
  <c r="AJ266" i="80"/>
  <c r="F265" i="80" a="1"/>
  <c r="AK265" i="80" s="1"/>
  <c r="AP262" i="80"/>
  <c r="AO262" i="80"/>
  <c r="AN262" i="80"/>
  <c r="AK262" i="80"/>
  <c r="AJ262" i="80"/>
  <c r="I261" i="80"/>
  <c r="AN261" i="80" s="1"/>
  <c r="AP260" i="80"/>
  <c r="AO260" i="80"/>
  <c r="AN260" i="80"/>
  <c r="AK260" i="80"/>
  <c r="AJ260" i="80"/>
  <c r="AP257" i="80"/>
  <c r="AO257" i="80"/>
  <c r="AN257" i="80"/>
  <c r="AK257" i="80"/>
  <c r="AJ257" i="80"/>
  <c r="AP254" i="80"/>
  <c r="AO254" i="80"/>
  <c r="AN254" i="80"/>
  <c r="AK254" i="80"/>
  <c r="AJ254" i="80"/>
  <c r="U248" i="80"/>
  <c r="U250" i="80" s="1"/>
  <c r="T248" i="80"/>
  <c r="S248" i="80"/>
  <c r="S250" i="80" s="1"/>
  <c r="R248" i="80"/>
  <c r="R250" i="80" s="1"/>
  <c r="Q248" i="80"/>
  <c r="Q250" i="80" s="1"/>
  <c r="P248" i="80"/>
  <c r="P249" i="80" s="1"/>
  <c r="O248" i="80"/>
  <c r="N248" i="80"/>
  <c r="M248" i="80"/>
  <c r="M249" i="80" s="1"/>
  <c r="L248" i="80"/>
  <c r="L249" i="80" s="1"/>
  <c r="K248" i="80"/>
  <c r="K249" i="80" s="1"/>
  <c r="J248" i="80"/>
  <c r="J250" i="80" s="1"/>
  <c r="I248" i="80"/>
  <c r="I250" i="80" s="1"/>
  <c r="H248" i="80"/>
  <c r="G248" i="80"/>
  <c r="G249" i="80" s="1"/>
  <c r="F248" i="80"/>
  <c r="F250" i="80" s="1"/>
  <c r="U243" i="80"/>
  <c r="T243" i="80"/>
  <c r="S243" i="80"/>
  <c r="R243" i="80"/>
  <c r="Q243" i="80"/>
  <c r="P243" i="80"/>
  <c r="O243" i="80"/>
  <c r="N243" i="80"/>
  <c r="M243" i="80"/>
  <c r="L243" i="80"/>
  <c r="K243" i="80"/>
  <c r="J243" i="80"/>
  <c r="I243" i="80"/>
  <c r="H243" i="80"/>
  <c r="G243" i="80"/>
  <c r="F243" i="80"/>
  <c r="U242" i="80"/>
  <c r="T242" i="80"/>
  <c r="S242" i="80"/>
  <c r="R242" i="80"/>
  <c r="Q242" i="80"/>
  <c r="P242" i="80"/>
  <c r="O242" i="80"/>
  <c r="N242" i="80"/>
  <c r="M242" i="80"/>
  <c r="L242" i="80"/>
  <c r="K242" i="80"/>
  <c r="J242" i="80"/>
  <c r="I242" i="80"/>
  <c r="H242" i="80"/>
  <c r="G242" i="80"/>
  <c r="F242" i="80"/>
  <c r="AP241" i="80"/>
  <c r="AO241" i="80"/>
  <c r="AN241" i="80"/>
  <c r="AK241" i="80"/>
  <c r="AJ241" i="80"/>
  <c r="AP229" i="80"/>
  <c r="AO229" i="80"/>
  <c r="AN229" i="80"/>
  <c r="AK229" i="80"/>
  <c r="AJ229" i="80"/>
  <c r="AP227" i="80"/>
  <c r="AO227" i="80"/>
  <c r="AN227" i="80"/>
  <c r="AK227" i="80"/>
  <c r="AJ227" i="80"/>
  <c r="U208" i="80"/>
  <c r="T208" i="80"/>
  <c r="S208" i="80"/>
  <c r="R208" i="80"/>
  <c r="Q208" i="80"/>
  <c r="P208" i="80"/>
  <c r="O208" i="80"/>
  <c r="N208" i="80"/>
  <c r="M208" i="80"/>
  <c r="L208" i="80"/>
  <c r="K208" i="80"/>
  <c r="J208" i="80"/>
  <c r="I208" i="80"/>
  <c r="H208" i="80"/>
  <c r="G208" i="80"/>
  <c r="F208" i="80"/>
  <c r="U207" i="80"/>
  <c r="T207" i="80"/>
  <c r="S207" i="80"/>
  <c r="R207" i="80"/>
  <c r="Q207" i="80"/>
  <c r="P207" i="80"/>
  <c r="O207" i="80"/>
  <c r="N207" i="80"/>
  <c r="M207" i="80"/>
  <c r="L207" i="80"/>
  <c r="K207" i="80"/>
  <c r="J207" i="80"/>
  <c r="I207" i="80"/>
  <c r="H207" i="80"/>
  <c r="G207" i="80"/>
  <c r="F207" i="80"/>
  <c r="U201" i="80"/>
  <c r="U203" i="80" s="1"/>
  <c r="T201" i="80"/>
  <c r="T203" i="80" s="1"/>
  <c r="S201" i="80"/>
  <c r="R201" i="80"/>
  <c r="R202" i="80" s="1"/>
  <c r="Q201" i="80"/>
  <c r="Q203" i="80" s="1"/>
  <c r="P201" i="80"/>
  <c r="P203" i="80" s="1"/>
  <c r="O201" i="80"/>
  <c r="N201" i="80"/>
  <c r="N202" i="80" s="1"/>
  <c r="M201" i="80"/>
  <c r="M202" i="80" s="1"/>
  <c r="L201" i="80"/>
  <c r="K201" i="80"/>
  <c r="K203" i="80" s="1"/>
  <c r="J201" i="80"/>
  <c r="I201" i="80"/>
  <c r="H201" i="80"/>
  <c r="H203" i="80" s="1"/>
  <c r="G201" i="80"/>
  <c r="G202" i="80" s="1"/>
  <c r="F201" i="80"/>
  <c r="F202" i="80" s="1"/>
  <c r="AP200" i="80"/>
  <c r="AO200" i="80"/>
  <c r="AN200" i="80"/>
  <c r="AP187" i="80"/>
  <c r="AO187" i="80"/>
  <c r="AN187" i="80"/>
  <c r="V180" i="80"/>
  <c r="V181" i="80" s="1"/>
  <c r="U180" i="80"/>
  <c r="T180" i="80"/>
  <c r="S180" i="80"/>
  <c r="R180" i="80"/>
  <c r="R182" i="80" s="1"/>
  <c r="Q180" i="80"/>
  <c r="Q182" i="80" s="1"/>
  <c r="P180" i="80"/>
  <c r="P182" i="80" s="1"/>
  <c r="O180" i="80"/>
  <c r="O182" i="80" s="1"/>
  <c r="N180" i="80"/>
  <c r="M180" i="80"/>
  <c r="M182" i="80" s="1"/>
  <c r="L180" i="80"/>
  <c r="K180" i="80"/>
  <c r="K181" i="80" s="1"/>
  <c r="J180" i="80"/>
  <c r="J181" i="80" s="1"/>
  <c r="I180" i="80"/>
  <c r="I181" i="80" s="1"/>
  <c r="H180" i="80"/>
  <c r="H181" i="80" s="1"/>
  <c r="G180" i="80"/>
  <c r="G181" i="80" s="1"/>
  <c r="F180" i="80"/>
  <c r="F182" i="80" s="1"/>
  <c r="V174" i="80"/>
  <c r="V169" i="80"/>
  <c r="AP164" i="80"/>
  <c r="AO164" i="80"/>
  <c r="AN164" i="80"/>
  <c r="U154" i="80"/>
  <c r="T154" i="80"/>
  <c r="S154" i="80"/>
  <c r="R154" i="80"/>
  <c r="Q154" i="80"/>
  <c r="P154" i="80"/>
  <c r="O154" i="80"/>
  <c r="N154" i="80"/>
  <c r="M154" i="80"/>
  <c r="L154" i="80"/>
  <c r="K154" i="80"/>
  <c r="J154" i="80"/>
  <c r="I154" i="80"/>
  <c r="H154" i="80"/>
  <c r="G154" i="80"/>
  <c r="F154" i="80"/>
  <c r="U150" i="80"/>
  <c r="T150" i="80"/>
  <c r="S150" i="80"/>
  <c r="R150" i="80"/>
  <c r="Q150" i="80"/>
  <c r="P150" i="80"/>
  <c r="O150" i="80"/>
  <c r="N150" i="80"/>
  <c r="M150" i="80"/>
  <c r="L150" i="80"/>
  <c r="K150" i="80"/>
  <c r="J150" i="80"/>
  <c r="I150" i="80"/>
  <c r="H150" i="80"/>
  <c r="G150" i="80"/>
  <c r="F150" i="80"/>
  <c r="U143" i="80"/>
  <c r="U145" i="80" s="1"/>
  <c r="T143" i="80"/>
  <c r="T145" i="80" s="1"/>
  <c r="S143" i="80"/>
  <c r="S144" i="80" s="1"/>
  <c r="R143" i="80"/>
  <c r="R144" i="80" s="1"/>
  <c r="Q143" i="80"/>
  <c r="Q144" i="80" s="1"/>
  <c r="P143" i="80"/>
  <c r="P144" i="80" s="1"/>
  <c r="O143" i="80"/>
  <c r="O144" i="80" s="1"/>
  <c r="N143" i="80"/>
  <c r="N145" i="80" s="1"/>
  <c r="M143" i="80"/>
  <c r="L143" i="80"/>
  <c r="K143" i="80"/>
  <c r="J143" i="80"/>
  <c r="J144" i="80" s="1"/>
  <c r="I143" i="80"/>
  <c r="I145" i="80" s="1"/>
  <c r="H143" i="80"/>
  <c r="H145" i="80" s="1"/>
  <c r="G143" i="80"/>
  <c r="G144" i="80" s="1"/>
  <c r="F143" i="80"/>
  <c r="F144" i="80" s="1"/>
  <c r="AK142" i="80"/>
  <c r="AJ142" i="80"/>
  <c r="AP141" i="80"/>
  <c r="AO141" i="80"/>
  <c r="AN141" i="80"/>
  <c r="K114" i="80"/>
  <c r="K113" i="80"/>
  <c r="K112" i="80"/>
  <c r="K111" i="80"/>
  <c r="K110" i="80"/>
  <c r="K109" i="80"/>
  <c r="K108" i="80"/>
  <c r="K107" i="80"/>
  <c r="EZ102" i="80"/>
  <c r="U62" i="80"/>
  <c r="T62" i="80"/>
  <c r="S62" i="80"/>
  <c r="R62" i="80"/>
  <c r="Q62" i="80"/>
  <c r="P62" i="80"/>
  <c r="O62" i="80"/>
  <c r="N62" i="80"/>
  <c r="M62" i="80"/>
  <c r="L62" i="80"/>
  <c r="K62" i="80"/>
  <c r="J62" i="80"/>
  <c r="CB39" i="80"/>
  <c r="CA39" i="80"/>
  <c r="BZ39" i="80"/>
  <c r="BY39" i="80"/>
  <c r="BX39" i="80"/>
  <c r="BW39" i="80"/>
  <c r="BV39" i="80"/>
  <c r="BU39" i="80"/>
  <c r="BT39" i="80"/>
  <c r="BS39" i="80"/>
  <c r="BR39" i="80"/>
  <c r="BQ39" i="80"/>
  <c r="BP39" i="80"/>
  <c r="BO39" i="80"/>
  <c r="BN39" i="80"/>
  <c r="BM39" i="80"/>
  <c r="BL39" i="80"/>
  <c r="CB38" i="80"/>
  <c r="CA38" i="80"/>
  <c r="BZ38" i="80"/>
  <c r="BY38" i="80"/>
  <c r="BX38" i="80"/>
  <c r="BW38" i="80"/>
  <c r="BV38" i="80"/>
  <c r="BU38" i="80"/>
  <c r="BT38" i="80"/>
  <c r="BS38" i="80"/>
  <c r="BR38" i="80"/>
  <c r="BQ38" i="80"/>
  <c r="BP38" i="80"/>
  <c r="BO38" i="80"/>
  <c r="BN38" i="80"/>
  <c r="BM38" i="80"/>
  <c r="BL38" i="80"/>
  <c r="CB37" i="80"/>
  <c r="CA37" i="80"/>
  <c r="BZ37" i="80"/>
  <c r="BY37" i="80"/>
  <c r="BX37" i="80"/>
  <c r="BW37" i="80"/>
  <c r="BV37" i="80"/>
  <c r="BU37" i="80"/>
  <c r="BT37" i="80"/>
  <c r="BS37" i="80"/>
  <c r="BR37" i="80"/>
  <c r="BQ37" i="80"/>
  <c r="BP37" i="80"/>
  <c r="BO37" i="80"/>
  <c r="BN37" i="80"/>
  <c r="BM37" i="80"/>
  <c r="BL37" i="80"/>
  <c r="FL8" i="80" a="1"/>
  <c r="FL8" i="80" s="1"/>
  <c r="FK8" i="80" a="1"/>
  <c r="FJ8" i="80" a="1"/>
  <c r="FI8" i="80" a="1"/>
  <c r="FH8" i="80" a="1"/>
  <c r="FH8" i="80" s="1"/>
  <c r="FG8" i="80" a="1"/>
  <c r="FG8" i="80" s="1"/>
  <c r="FF8" i="80" a="1"/>
  <c r="FF8" i="80" s="1"/>
  <c r="FE8" i="80" a="1"/>
  <c r="FE8" i="80" s="1"/>
  <c r="FD8" i="80" a="1"/>
  <c r="FD8" i="80" s="1"/>
  <c r="FC8" i="80" a="1"/>
  <c r="FC8" i="80" s="1"/>
  <c r="FB8" i="80" a="1"/>
  <c r="FA8" i="80" a="1"/>
  <c r="FA8" i="80" s="1"/>
  <c r="EZ8" i="80" a="1"/>
  <c r="EZ8" i="80" s="1"/>
  <c r="EY8" i="80" a="1"/>
  <c r="EY8" i="80" s="1"/>
  <c r="EX8" i="80" a="1"/>
  <c r="EV8" i="80" a="1"/>
  <c r="EH8" i="80" a="1"/>
  <c r="EH8" i="80" s="1"/>
  <c r="EG8" i="80" a="1"/>
  <c r="EG8" i="80" s="1"/>
  <c r="EF8" i="80" a="1"/>
  <c r="EF8" i="80" s="1"/>
  <c r="EE8" i="80" a="1"/>
  <c r="EE8" i="80" s="1"/>
  <c r="ED8" i="80" a="1"/>
  <c r="ED8" i="80" s="1"/>
  <c r="EC8" i="80" a="1"/>
  <c r="EB8" i="80" a="1"/>
  <c r="EB8" i="80" s="1"/>
  <c r="EA8" i="80" a="1"/>
  <c r="DZ8" i="80" a="1"/>
  <c r="DZ8" i="80" s="1"/>
  <c r="DY8" i="80" a="1"/>
  <c r="DX8" i="80" a="1"/>
  <c r="DX8" i="80" s="1"/>
  <c r="DW8" i="80" a="1"/>
  <c r="DW8" i="80" s="1"/>
  <c r="DV8" i="80" a="1"/>
  <c r="DV8" i="80" s="1"/>
  <c r="DU8" i="80" a="1"/>
  <c r="DU8" i="80" s="1"/>
  <c r="DT8" i="80" a="1"/>
  <c r="DT8" i="80" s="1"/>
  <c r="DS8" i="80" a="1"/>
  <c r="DS8" i="80" s="1"/>
  <c r="X49" i="82" l="1"/>
  <c r="W47" i="82"/>
  <c r="BL18" i="80"/>
  <c r="J30" i="83"/>
  <c r="J33" i="83" s="1"/>
  <c r="BL24" i="80" a="1"/>
  <c r="BL20" i="80"/>
  <c r="H28" i="85"/>
  <c r="H32" i="85" s="1"/>
  <c r="CO24" i="80" a="1"/>
  <c r="FL8" i="81"/>
  <c r="N47" i="82"/>
  <c r="BL18" i="81" a="1"/>
  <c r="J30" i="82"/>
  <c r="J33" i="82" s="1"/>
  <c r="BL24" i="81" a="1"/>
  <c r="F249" i="81"/>
  <c r="U181" i="81"/>
  <c r="K203" i="81"/>
  <c r="F144" i="81"/>
  <c r="S144" i="81"/>
  <c r="S181" i="81"/>
  <c r="T181" i="81"/>
  <c r="J203" i="81"/>
  <c r="G145" i="81"/>
  <c r="Q145" i="81"/>
  <c r="G182" i="81"/>
  <c r="O202" i="81"/>
  <c r="R145" i="81"/>
  <c r="H182" i="81"/>
  <c r="P202" i="81"/>
  <c r="L250" i="81"/>
  <c r="M250" i="81"/>
  <c r="L203" i="81"/>
  <c r="M203" i="81"/>
  <c r="N250" i="81"/>
  <c r="O250" i="81"/>
  <c r="K144" i="81"/>
  <c r="L144" i="81"/>
  <c r="G249" i="81"/>
  <c r="N182" i="81"/>
  <c r="N203" i="81"/>
  <c r="R203" i="81"/>
  <c r="U250" i="81"/>
  <c r="U145" i="81"/>
  <c r="M182" i="81"/>
  <c r="J249" i="81"/>
  <c r="T250" i="81"/>
  <c r="S203" i="81"/>
  <c r="R249" i="81"/>
  <c r="P145" i="81"/>
  <c r="S249" i="81"/>
  <c r="FJ8" i="81"/>
  <c r="R49" i="82"/>
  <c r="Q47" i="82"/>
  <c r="S49" i="82"/>
  <c r="FA8" i="81"/>
  <c r="AJ265" i="81"/>
  <c r="F265" i="81"/>
  <c r="AN265" i="81"/>
  <c r="EW13" i="81"/>
  <c r="EW14" i="81"/>
  <c r="EC8" i="81"/>
  <c r="T49" i="82"/>
  <c r="EX8" i="81"/>
  <c r="EW8" i="81" s="1"/>
  <c r="DX8" i="81"/>
  <c r="EW9" i="81"/>
  <c r="O47" i="82"/>
  <c r="AK265" i="81"/>
  <c r="EW10" i="81"/>
  <c r="P47" i="82"/>
  <c r="EW11" i="81"/>
  <c r="AP265" i="80"/>
  <c r="S249" i="80"/>
  <c r="M181" i="80"/>
  <c r="P202" i="80"/>
  <c r="Q202" i="80"/>
  <c r="P145" i="80"/>
  <c r="Q145" i="80"/>
  <c r="R203" i="80"/>
  <c r="I144" i="80"/>
  <c r="T144" i="80"/>
  <c r="I182" i="80"/>
  <c r="F249" i="80"/>
  <c r="U144" i="80"/>
  <c r="J182" i="80"/>
  <c r="H202" i="80"/>
  <c r="Q249" i="80"/>
  <c r="M250" i="80"/>
  <c r="H144" i="80"/>
  <c r="FB8" i="80"/>
  <c r="O145" i="80"/>
  <c r="K182" i="80"/>
  <c r="K202" i="80"/>
  <c r="R249" i="80"/>
  <c r="L144" i="80"/>
  <c r="L145" i="80"/>
  <c r="N181" i="80"/>
  <c r="N182" i="80"/>
  <c r="R145" i="80"/>
  <c r="P181" i="80"/>
  <c r="EA8" i="80"/>
  <c r="Q181" i="80"/>
  <c r="K250" i="80"/>
  <c r="G182" i="80"/>
  <c r="T202" i="80"/>
  <c r="L250" i="80"/>
  <c r="F203" i="80"/>
  <c r="P250" i="80"/>
  <c r="F145" i="80"/>
  <c r="N203" i="80"/>
  <c r="F181" i="80"/>
  <c r="AJ265" i="80"/>
  <c r="N144" i="80"/>
  <c r="O181" i="80"/>
  <c r="G203" i="80"/>
  <c r="FI8" i="80"/>
  <c r="M203" i="80"/>
  <c r="I249" i="80"/>
  <c r="G145" i="80"/>
  <c r="J249" i="80"/>
  <c r="F265" i="80"/>
  <c r="V182" i="80"/>
  <c r="AO265" i="80"/>
  <c r="W31" i="84"/>
  <c r="W29" i="84" s="1"/>
  <c r="W30" i="84" s="1"/>
  <c r="W33" i="84" s="1"/>
  <c r="T31" i="84"/>
  <c r="T29" i="84" s="1"/>
  <c r="T30" i="84" s="1"/>
  <c r="T33" i="84" s="1"/>
  <c r="H31" i="84"/>
  <c r="H29" i="84" s="1"/>
  <c r="H30" i="84" s="1"/>
  <c r="H33" i="84" s="1"/>
  <c r="R31" i="84"/>
  <c r="R29" i="84" s="1"/>
  <c r="R30" i="84" s="1"/>
  <c r="R33" i="84" s="1"/>
  <c r="S31" i="84"/>
  <c r="S29" i="84" s="1"/>
  <c r="S30" i="84" s="1"/>
  <c r="S33" i="84" s="1"/>
  <c r="J31" i="84"/>
  <c r="J29" i="84" s="1"/>
  <c r="J30" i="84" s="1"/>
  <c r="J33" i="84" s="1"/>
  <c r="V31" i="84"/>
  <c r="V29" i="84" s="1"/>
  <c r="V30" i="84" s="1"/>
  <c r="V33" i="84" s="1"/>
  <c r="I31" i="84"/>
  <c r="I29" i="84" s="1"/>
  <c r="I30" i="84" s="1"/>
  <c r="I33" i="84" s="1"/>
  <c r="K31" i="84"/>
  <c r="K29" i="84" s="1"/>
  <c r="K30" i="84" s="1"/>
  <c r="K33" i="84" s="1"/>
  <c r="U31" i="84"/>
  <c r="U29" i="84" s="1"/>
  <c r="U30" i="84" s="1"/>
  <c r="U33" i="84" s="1"/>
  <c r="W31" i="85"/>
  <c r="W29" i="85" s="1"/>
  <c r="W30" i="85" s="1"/>
  <c r="W33" i="85" s="1"/>
  <c r="R31" i="85"/>
  <c r="R29" i="85" s="1"/>
  <c r="R30" i="85" s="1"/>
  <c r="R33" i="85" s="1"/>
  <c r="S31" i="85"/>
  <c r="S29" i="85" s="1"/>
  <c r="S30" i="85" s="1"/>
  <c r="S33" i="85" s="1"/>
  <c r="T31" i="85"/>
  <c r="T29" i="85" s="1"/>
  <c r="T30" i="85" s="1"/>
  <c r="T33" i="85" s="1"/>
  <c r="J31" i="85"/>
  <c r="J29" i="85" s="1"/>
  <c r="J30" i="85" s="1"/>
  <c r="J33" i="85" s="1"/>
  <c r="V31" i="85"/>
  <c r="V29" i="85" s="1"/>
  <c r="V30" i="85" s="1"/>
  <c r="V33" i="85" s="1"/>
  <c r="K31" i="85"/>
  <c r="K29" i="85" s="1"/>
  <c r="K30" i="85" s="1"/>
  <c r="K33" i="85" s="1"/>
  <c r="U34" i="83"/>
  <c r="U31" i="83" s="1"/>
  <c r="X34" i="83"/>
  <c r="X31" i="83" s="1"/>
  <c r="V33" i="83"/>
  <c r="V34" i="83"/>
  <c r="W33" i="83"/>
  <c r="W34" i="83"/>
  <c r="K34" i="83"/>
  <c r="K31" i="83" s="1"/>
  <c r="L34" i="83"/>
  <c r="L31" i="83" s="1"/>
  <c r="T30" i="82"/>
  <c r="T34" i="82" s="1"/>
  <c r="K34" i="82"/>
  <c r="K31" i="82" s="1"/>
  <c r="K32" i="82" s="1"/>
  <c r="K35" i="82" s="1"/>
  <c r="L34" i="82"/>
  <c r="L31" i="82" s="1"/>
  <c r="L32" i="82" s="1"/>
  <c r="L35" i="82" s="1"/>
  <c r="W34" i="82"/>
  <c r="W31" i="82" s="1"/>
  <c r="W32" i="82" s="1"/>
  <c r="W35" i="82" s="1"/>
  <c r="X34" i="82"/>
  <c r="X31" i="82" s="1"/>
  <c r="X32" i="82" s="1"/>
  <c r="X35" i="82" s="1"/>
  <c r="U30" i="82"/>
  <c r="U33" i="82" s="1"/>
  <c r="V30" i="82"/>
  <c r="V33" i="82" s="1"/>
  <c r="U49" i="82"/>
  <c r="V49" i="82"/>
  <c r="M49" i="82"/>
  <c r="L31" i="85"/>
  <c r="L29" i="85" s="1"/>
  <c r="L30" i="85" s="1"/>
  <c r="L33" i="85" s="1"/>
  <c r="X31" i="85"/>
  <c r="X29" i="85" s="1"/>
  <c r="X30" i="85" s="1"/>
  <c r="X33" i="85" s="1"/>
  <c r="M31" i="85"/>
  <c r="M29" i="85" s="1"/>
  <c r="M30" i="85" s="1"/>
  <c r="M33" i="85" s="1"/>
  <c r="N31" i="85"/>
  <c r="N29" i="85" s="1"/>
  <c r="N30" i="85" s="1"/>
  <c r="N33" i="85" s="1"/>
  <c r="I28" i="85"/>
  <c r="I32" i="85" s="1"/>
  <c r="U28" i="85"/>
  <c r="U32" i="85" s="1"/>
  <c r="O31" i="85"/>
  <c r="O29" i="85" s="1"/>
  <c r="O30" i="85" s="1"/>
  <c r="O33" i="85" s="1"/>
  <c r="P28" i="85"/>
  <c r="P32" i="85" s="1"/>
  <c r="Q31" i="85"/>
  <c r="Q29" i="85" s="1"/>
  <c r="Q30" i="85" s="1"/>
  <c r="Q33" i="85" s="1"/>
  <c r="M28" i="84"/>
  <c r="M32" i="84" s="1"/>
  <c r="L31" i="84"/>
  <c r="L29" i="84" s="1"/>
  <c r="L30" i="84" s="1"/>
  <c r="L33" i="84" s="1"/>
  <c r="X31" i="84"/>
  <c r="X29" i="84" s="1"/>
  <c r="X30" i="84" s="1"/>
  <c r="X33" i="84" s="1"/>
  <c r="N31" i="84"/>
  <c r="N29" i="84" s="1"/>
  <c r="N30" i="84" s="1"/>
  <c r="N33" i="84" s="1"/>
  <c r="O31" i="84"/>
  <c r="O29" i="84" s="1"/>
  <c r="O30" i="84" s="1"/>
  <c r="O33" i="84" s="1"/>
  <c r="P31" i="84"/>
  <c r="P29" i="84" s="1"/>
  <c r="P30" i="84" s="1"/>
  <c r="P33" i="84" s="1"/>
  <c r="Q31" i="84"/>
  <c r="Q29" i="84" s="1"/>
  <c r="Q30" i="84" s="1"/>
  <c r="Q33" i="84" s="1"/>
  <c r="M30" i="83"/>
  <c r="M34" i="83" s="1"/>
  <c r="Y30" i="83"/>
  <c r="Y34" i="83" s="1"/>
  <c r="Q34" i="83"/>
  <c r="Q31" i="83" s="1"/>
  <c r="S33" i="83"/>
  <c r="S31" i="83" s="1"/>
  <c r="N30" i="83"/>
  <c r="N34" i="83" s="1"/>
  <c r="Z30" i="83"/>
  <c r="Z34" i="83" s="1"/>
  <c r="R34" i="83"/>
  <c r="R31" i="83" s="1"/>
  <c r="T33" i="83"/>
  <c r="T31" i="83" s="1"/>
  <c r="O30" i="83"/>
  <c r="O34" i="83" s="1"/>
  <c r="P30" i="83"/>
  <c r="P34" i="83" s="1"/>
  <c r="Q33" i="82"/>
  <c r="Q31" i="82" s="1"/>
  <c r="Q32" i="82" s="1"/>
  <c r="Q35" i="82" s="1"/>
  <c r="R33" i="82"/>
  <c r="R31" i="82" s="1"/>
  <c r="R32" i="82" s="1"/>
  <c r="R35" i="82" s="1"/>
  <c r="S33" i="82"/>
  <c r="S31" i="82" s="1"/>
  <c r="S32" i="82" s="1"/>
  <c r="S35" i="82" s="1"/>
  <c r="M30" i="82"/>
  <c r="M34" i="82" s="1"/>
  <c r="Y30" i="82"/>
  <c r="Y34" i="82" s="1"/>
  <c r="N30" i="82"/>
  <c r="N34" i="82" s="1"/>
  <c r="Z30" i="82"/>
  <c r="Z34" i="82" s="1"/>
  <c r="O30" i="82"/>
  <c r="O34" i="82" s="1"/>
  <c r="P30" i="82"/>
  <c r="P34" i="82" s="1"/>
  <c r="FI8" i="81"/>
  <c r="FB8" i="81"/>
  <c r="H144" i="81"/>
  <c r="H145" i="81"/>
  <c r="T145" i="81"/>
  <c r="T144" i="81"/>
  <c r="I145" i="81"/>
  <c r="I144" i="81"/>
  <c r="I202" i="81"/>
  <c r="I203" i="81"/>
  <c r="U202" i="81"/>
  <c r="U203" i="81"/>
  <c r="EG8" i="81"/>
  <c r="L182" i="81"/>
  <c r="L181" i="81"/>
  <c r="DW8" i="81"/>
  <c r="EY8" i="81"/>
  <c r="FH8" i="81"/>
  <c r="N144" i="81"/>
  <c r="N145" i="81"/>
  <c r="O144" i="81"/>
  <c r="O145" i="81"/>
  <c r="EV8" i="81"/>
  <c r="F182" i="81"/>
  <c r="F181" i="81"/>
  <c r="R182" i="81"/>
  <c r="R181" i="81"/>
  <c r="BL22" i="81"/>
  <c r="Q250" i="81"/>
  <c r="Q249" i="81"/>
  <c r="J144" i="81"/>
  <c r="P182" i="81"/>
  <c r="P181" i="81"/>
  <c r="K250" i="81"/>
  <c r="K249" i="81"/>
  <c r="M145" i="81"/>
  <c r="M144" i="81"/>
  <c r="J182" i="81"/>
  <c r="J181" i="81"/>
  <c r="V182" i="81"/>
  <c r="V181" i="81"/>
  <c r="K182" i="81"/>
  <c r="K181" i="81"/>
  <c r="H202" i="81"/>
  <c r="H203" i="81"/>
  <c r="T202" i="81"/>
  <c r="T203" i="81"/>
  <c r="P250" i="81"/>
  <c r="P249" i="81"/>
  <c r="Q181" i="81"/>
  <c r="Q182" i="81"/>
  <c r="I182" i="81"/>
  <c r="I181" i="81"/>
  <c r="O181" i="81"/>
  <c r="O182" i="81"/>
  <c r="Q202" i="81"/>
  <c r="I249" i="81"/>
  <c r="I250" i="81"/>
  <c r="H250" i="81"/>
  <c r="F203" i="81"/>
  <c r="F202" i="81"/>
  <c r="G203" i="81"/>
  <c r="G202" i="81"/>
  <c r="AP265" i="81"/>
  <c r="AO265" i="81"/>
  <c r="EC8" i="80"/>
  <c r="L182" i="80"/>
  <c r="L181" i="80"/>
  <c r="EW9" i="80"/>
  <c r="EW10" i="80"/>
  <c r="DY8" i="80"/>
  <c r="EW13" i="80"/>
  <c r="EV8" i="80"/>
  <c r="EX8" i="80"/>
  <c r="EW8" i="80" s="1"/>
  <c r="EW11" i="80"/>
  <c r="EW14" i="80"/>
  <c r="EW12" i="80"/>
  <c r="K145" i="80"/>
  <c r="K144" i="80"/>
  <c r="FJ8" i="80"/>
  <c r="N249" i="80"/>
  <c r="N250" i="80"/>
  <c r="O249" i="80"/>
  <c r="O250" i="80"/>
  <c r="FK8" i="80"/>
  <c r="L202" i="80"/>
  <c r="L203" i="80"/>
  <c r="O202" i="80"/>
  <c r="O203" i="80"/>
  <c r="J145" i="80"/>
  <c r="T181" i="80"/>
  <c r="T182" i="80"/>
  <c r="H182" i="80"/>
  <c r="M144" i="80"/>
  <c r="M145" i="80"/>
  <c r="S145" i="80"/>
  <c r="S181" i="80"/>
  <c r="S182" i="80"/>
  <c r="R181" i="80"/>
  <c r="U202" i="80"/>
  <c r="G250" i="80"/>
  <c r="I203" i="80"/>
  <c r="I202" i="80"/>
  <c r="H250" i="80"/>
  <c r="H249" i="80"/>
  <c r="T250" i="80"/>
  <c r="T249" i="80"/>
  <c r="J203" i="80"/>
  <c r="J202" i="80"/>
  <c r="U181" i="80"/>
  <c r="U182" i="80"/>
  <c r="S202" i="80"/>
  <c r="S203" i="80"/>
  <c r="AN265" i="80"/>
  <c r="U249" i="80"/>
  <c r="AN186" i="4"/>
  <c r="AP186" i="4"/>
  <c r="AP157" i="4"/>
  <c r="AO186" i="4"/>
  <c r="AO157" i="4"/>
  <c r="AN157" i="4"/>
  <c r="H31" i="85" l="1"/>
  <c r="H29" i="85" s="1"/>
  <c r="H30" i="85" s="1"/>
  <c r="H33" i="85" s="1"/>
  <c r="J34" i="83"/>
  <c r="J31" i="83" s="1"/>
  <c r="BL41" i="80" s="1"/>
  <c r="BL24" i="80"/>
  <c r="CO24" i="80"/>
  <c r="BL24" i="81"/>
  <c r="J34" i="82"/>
  <c r="J31" i="82" s="1"/>
  <c r="BL18" i="81"/>
  <c r="V31" i="83"/>
  <c r="T32" i="83"/>
  <c r="BV41" i="80"/>
  <c r="K32" i="83"/>
  <c r="BM41" i="80"/>
  <c r="R32" i="83"/>
  <c r="BT41" i="80"/>
  <c r="L32" i="83"/>
  <c r="BN41" i="80"/>
  <c r="X32" i="83"/>
  <c r="BZ41" i="80"/>
  <c r="U32" i="83"/>
  <c r="BW41" i="80"/>
  <c r="S32" i="83"/>
  <c r="BU41" i="80"/>
  <c r="Q32" i="83"/>
  <c r="BS41" i="80"/>
  <c r="M31" i="84"/>
  <c r="M29" i="84" s="1"/>
  <c r="M30" i="84" s="1"/>
  <c r="M33" i="84" s="1"/>
  <c r="I31" i="85"/>
  <c r="I29" i="85" s="1"/>
  <c r="I30" i="85" s="1"/>
  <c r="I33" i="85" s="1"/>
  <c r="U31" i="85"/>
  <c r="U29" i="85" s="1"/>
  <c r="U30" i="85" s="1"/>
  <c r="U33" i="85" s="1"/>
  <c r="W31" i="83"/>
  <c r="Z33" i="83"/>
  <c r="Z31" i="83" s="1"/>
  <c r="N33" i="83"/>
  <c r="N31" i="83" s="1"/>
  <c r="T33" i="82"/>
  <c r="T31" i="82" s="1"/>
  <c r="T32" i="82" s="1"/>
  <c r="T35" i="82" s="1"/>
  <c r="U34" i="82"/>
  <c r="U31" i="82" s="1"/>
  <c r="U32" i="82" s="1"/>
  <c r="U35" i="82" s="1"/>
  <c r="V34" i="82"/>
  <c r="V31" i="82" s="1"/>
  <c r="V32" i="82" s="1"/>
  <c r="V35" i="82" s="1"/>
  <c r="P31" i="85"/>
  <c r="P29" i="85" s="1"/>
  <c r="P30" i="85" s="1"/>
  <c r="P33" i="85" s="1"/>
  <c r="M33" i="83"/>
  <c r="M31" i="83" s="1"/>
  <c r="O33" i="83"/>
  <c r="O31" i="83" s="1"/>
  <c r="Y33" i="83"/>
  <c r="Y31" i="83" s="1"/>
  <c r="P33" i="83"/>
  <c r="P31" i="83" s="1"/>
  <c r="O33" i="82"/>
  <c r="O31" i="82" s="1"/>
  <c r="O32" i="82" s="1"/>
  <c r="O35" i="82" s="1"/>
  <c r="Y33" i="82"/>
  <c r="Y31" i="82" s="1"/>
  <c r="Y32" i="82" s="1"/>
  <c r="Y35" i="82" s="1"/>
  <c r="M33" i="82"/>
  <c r="M31" i="82" s="1"/>
  <c r="M32" i="82" s="1"/>
  <c r="M35" i="82" s="1"/>
  <c r="P33" i="82"/>
  <c r="P31" i="82" s="1"/>
  <c r="P32" i="82" s="1"/>
  <c r="P35" i="82" s="1"/>
  <c r="Z33" i="82"/>
  <c r="Z31" i="82" s="1"/>
  <c r="Z32" i="82" s="1"/>
  <c r="Z35" i="82" s="1"/>
  <c r="N33" i="82"/>
  <c r="N31" i="82" s="1"/>
  <c r="N32" i="82" s="1"/>
  <c r="N35" i="82" s="1"/>
  <c r="AK158" i="4"/>
  <c r="AJ158" i="4"/>
  <c r="J32" i="83" l="1"/>
  <c r="J35" i="83" s="1"/>
  <c r="V32" i="83"/>
  <c r="BX42" i="80" s="1"/>
  <c r="BX41" i="80"/>
  <c r="J32" i="82"/>
  <c r="J35" i="82" s="1"/>
  <c r="T35" i="83"/>
  <c r="BV42" i="80"/>
  <c r="Q35" i="83"/>
  <c r="BS42" i="80"/>
  <c r="N32" i="83"/>
  <c r="BP41" i="80"/>
  <c r="Z32" i="83"/>
  <c r="CB41" i="80"/>
  <c r="P32" i="83"/>
  <c r="BR41" i="80"/>
  <c r="W32" i="83"/>
  <c r="BY41" i="80"/>
  <c r="Y32" i="83"/>
  <c r="CA41" i="80"/>
  <c r="O32" i="83"/>
  <c r="BQ41" i="80"/>
  <c r="M32" i="83"/>
  <c r="BO41" i="80"/>
  <c r="S35" i="83"/>
  <c r="BU42" i="80"/>
  <c r="R35" i="83"/>
  <c r="BT42" i="80"/>
  <c r="X35" i="83"/>
  <c r="BZ42" i="80"/>
  <c r="K35" i="83"/>
  <c r="BM42" i="80"/>
  <c r="L35" i="83"/>
  <c r="BN42" i="80"/>
  <c r="U35" i="83"/>
  <c r="BW42" i="80"/>
  <c r="AD57" i="72"/>
  <c r="AB57" i="72"/>
  <c r="BL42" i="80" l="1"/>
  <c r="BL44" i="80" s="1"/>
  <c r="V35" i="83"/>
  <c r="BL41" i="81" a="1"/>
  <c r="CB44" i="81" s="1"/>
  <c r="BS44" i="80"/>
  <c r="BX44" i="80"/>
  <c r="BW44" i="80"/>
  <c r="BV44" i="80"/>
  <c r="BN44" i="80"/>
  <c r="BT44" i="80"/>
  <c r="Y35" i="83"/>
  <c r="CA42" i="80"/>
  <c r="Z35" i="83"/>
  <c r="CB42" i="80"/>
  <c r="M35" i="83"/>
  <c r="BO42" i="80"/>
  <c r="W35" i="83"/>
  <c r="BY42" i="80"/>
  <c r="BZ44" i="80"/>
  <c r="BU44" i="80"/>
  <c r="P35" i="83"/>
  <c r="BR42" i="80"/>
  <c r="O35" i="83"/>
  <c r="BQ42" i="80"/>
  <c r="N35" i="83"/>
  <c r="BP42" i="80"/>
  <c r="AB52" i="72"/>
  <c r="AD52" i="72"/>
  <c r="AB51" i="72"/>
  <c r="AD51" i="72"/>
  <c r="Z51" i="72"/>
  <c r="BM44" i="81" l="1"/>
  <c r="BZ44" i="81"/>
  <c r="BN44" i="81"/>
  <c r="CA44" i="81"/>
  <c r="BU44" i="81"/>
  <c r="BP44" i="81"/>
  <c r="BX44" i="81"/>
  <c r="BV44" i="81"/>
  <c r="BY44" i="81"/>
  <c r="BW44" i="81"/>
  <c r="BT44" i="81"/>
  <c r="BR44" i="81"/>
  <c r="BS44" i="81"/>
  <c r="BQ44" i="81"/>
  <c r="BO44" i="81"/>
  <c r="BL41" i="81"/>
  <c r="BL44" i="81" s="1"/>
  <c r="CJ44" i="81"/>
  <c r="CM44" i="81"/>
  <c r="CD44" i="81"/>
  <c r="CG44" i="81"/>
  <c r="CK44" i="81"/>
  <c r="CH44" i="81"/>
  <c r="CI44" i="81"/>
  <c r="CC44" i="81"/>
  <c r="CF44" i="81"/>
  <c r="CL44" i="81"/>
  <c r="CE44" i="81"/>
  <c r="BQ44" i="80"/>
  <c r="BR44" i="80"/>
  <c r="BY44" i="80"/>
  <c r="BO44" i="80"/>
  <c r="BP44" i="80"/>
  <c r="CA44" i="80"/>
  <c r="Z44" i="72" l="1"/>
  <c r="AA44" i="72"/>
  <c r="AB44" i="72"/>
  <c r="AC44" i="72"/>
  <c r="AD44" i="72"/>
  <c r="Y44" i="72"/>
  <c r="Y20" i="46"/>
  <c r="Y7" i="46"/>
  <c r="X20" i="46"/>
  <c r="X21" i="46" l="1"/>
  <c r="Y21" i="46"/>
  <c r="R38" i="46" l="1"/>
  <c r="S38" i="46" s="1"/>
  <c r="R36" i="46"/>
  <c r="S36" i="46" s="1"/>
  <c r="R37" i="46"/>
  <c r="S37" i="46" s="1"/>
  <c r="R35" i="46"/>
  <c r="S35" i="46" s="1"/>
  <c r="S39" i="46" s="1"/>
  <c r="S40" i="46" s="1"/>
  <c r="O35" i="46"/>
  <c r="N36" i="46"/>
  <c r="O36" i="46" s="1"/>
  <c r="N37" i="46"/>
  <c r="O37" i="46" s="1"/>
  <c r="N38" i="46"/>
  <c r="O38" i="46" s="1"/>
  <c r="N39" i="46"/>
  <c r="O39" i="46" s="1"/>
  <c r="N35" i="46"/>
  <c r="O40" i="46" l="1"/>
  <c r="O41" i="46" s="1"/>
  <c r="M41" i="70"/>
  <c r="N41" i="70" s="1"/>
  <c r="O41" i="70" s="1"/>
  <c r="P41" i="70" s="1"/>
  <c r="Q41" i="70" s="1"/>
  <c r="G41" i="70"/>
  <c r="H41" i="70" s="1"/>
  <c r="I41" i="70" s="1"/>
  <c r="J41" i="70" s="1"/>
  <c r="K41" i="70" s="1"/>
  <c r="L41" i="70" s="1"/>
  <c r="C41" i="70"/>
  <c r="D41" i="70" s="1"/>
  <c r="E41" i="70" s="1"/>
  <c r="F41" i="70" s="1"/>
  <c r="AV7" i="68" l="1"/>
  <c r="AV8" i="68"/>
  <c r="AV9" i="68"/>
  <c r="AV10" i="68"/>
  <c r="AV11" i="68"/>
  <c r="AV12" i="68"/>
  <c r="AV13" i="68"/>
  <c r="AV14" i="68"/>
  <c r="AV15" i="68"/>
  <c r="AV16" i="68"/>
  <c r="AV17" i="68"/>
  <c r="AV18" i="68"/>
  <c r="AV19" i="68"/>
  <c r="AV20" i="68"/>
  <c r="AV21" i="68"/>
  <c r="AV22" i="68"/>
  <c r="AV23" i="68"/>
  <c r="AV24" i="68"/>
  <c r="AV25" i="68"/>
  <c r="AV26" i="68"/>
  <c r="AV27" i="68"/>
  <c r="AV28" i="68"/>
  <c r="AV29" i="68"/>
  <c r="AV30" i="68"/>
  <c r="AV31" i="68"/>
  <c r="AV32" i="68"/>
  <c r="AV33" i="68"/>
  <c r="AV34" i="68"/>
  <c r="AV35" i="68"/>
  <c r="AV36" i="68"/>
  <c r="AV37" i="68"/>
  <c r="AV38" i="68"/>
  <c r="AV39" i="68"/>
  <c r="AV40" i="68"/>
  <c r="AV41" i="68"/>
  <c r="AV42" i="68"/>
  <c r="AV43" i="68"/>
  <c r="AV44" i="68"/>
  <c r="AV45" i="68"/>
  <c r="AV46" i="68"/>
  <c r="AV47" i="68"/>
  <c r="AV48" i="68"/>
  <c r="AV49" i="68"/>
  <c r="AV50" i="68"/>
  <c r="AV51" i="68"/>
  <c r="AV52" i="68"/>
  <c r="AV53" i="68"/>
  <c r="AV54" i="68"/>
  <c r="AV55" i="68"/>
  <c r="AV56" i="68"/>
  <c r="AV57" i="68"/>
  <c r="AV58" i="68"/>
  <c r="AV59" i="68"/>
  <c r="AV60" i="68"/>
  <c r="AV61" i="68"/>
  <c r="AV62" i="68"/>
  <c r="AV63" i="68"/>
  <c r="AV64" i="68"/>
  <c r="AV65" i="68"/>
  <c r="AV66" i="68"/>
  <c r="AV67" i="68"/>
  <c r="AV68" i="68"/>
  <c r="AV69" i="68"/>
  <c r="AV70" i="68"/>
  <c r="AV71" i="68"/>
  <c r="AV72" i="68"/>
  <c r="AV73" i="68"/>
  <c r="AV74" i="68"/>
  <c r="AV75" i="68"/>
  <c r="AV76" i="68"/>
  <c r="AV77" i="68"/>
  <c r="AV78" i="68"/>
  <c r="AV79" i="68"/>
  <c r="AV80" i="68"/>
  <c r="AV81" i="68"/>
  <c r="AV82" i="68"/>
  <c r="AV83" i="68"/>
  <c r="AV84" i="68"/>
  <c r="AV85" i="68"/>
  <c r="AV86" i="68"/>
  <c r="AV87" i="68"/>
  <c r="AV88" i="68"/>
  <c r="AV89" i="68"/>
  <c r="AV90" i="68"/>
  <c r="AV91" i="68"/>
  <c r="AV92" i="68"/>
  <c r="AV93" i="68"/>
  <c r="AV94" i="68"/>
  <c r="AV95" i="68"/>
  <c r="AV6" i="68"/>
  <c r="T21" i="46" l="1"/>
  <c r="T20" i="46"/>
  <c r="R21" i="46"/>
  <c r="L21" i="46"/>
  <c r="L20" i="46"/>
  <c r="J21" i="46"/>
  <c r="J20" i="46"/>
  <c r="R20" i="46"/>
  <c r="P21" i="46"/>
  <c r="N21" i="46"/>
  <c r="H31" i="46" l="1"/>
  <c r="G31" i="46"/>
  <c r="F31" i="46"/>
  <c r="E31" i="46"/>
  <c r="P20" i="46" l="1"/>
  <c r="N20" i="46"/>
  <c r="H21" i="46"/>
  <c r="G21" i="46"/>
  <c r="F21" i="46"/>
  <c r="E21" i="46"/>
  <c r="H20" i="46"/>
  <c r="G20" i="46"/>
  <c r="E20" i="46"/>
  <c r="F20" i="46"/>
  <c r="DD73" i="4" l="1"/>
  <c r="U75" i="4" s="1"/>
  <c r="U319" i="4" l="1"/>
  <c r="V146" i="4"/>
  <c r="DE73" i="4"/>
  <c r="CB73" i="4"/>
  <c r="CB146" i="4" s="1"/>
  <c r="CB46" i="4"/>
  <c r="BL42" i="4" a="1"/>
  <c r="BL42" i="4" s="1"/>
  <c r="BL38" i="4" a="1"/>
  <c r="BL38" i="4" s="1"/>
  <c r="BL28" i="4" a="1"/>
  <c r="BL28" i="4" s="1"/>
  <c r="CB50" i="4"/>
  <c r="CB51" i="4"/>
  <c r="CB52" i="4"/>
  <c r="CB53" i="4"/>
  <c r="V24" i="4"/>
  <c r="V28" i="4"/>
  <c r="V103" i="4" s="1"/>
  <c r="V20" i="4"/>
  <c r="V50" i="4"/>
  <c r="V51" i="4"/>
  <c r="V52" i="4"/>
  <c r="V53" i="4"/>
  <c r="V38" i="4"/>
  <c r="V110" i="4" s="1"/>
  <c r="V42" i="4"/>
  <c r="V111" i="4" s="1"/>
  <c r="V113" i="4"/>
  <c r="V106" i="4"/>
  <c r="V107" i="4"/>
  <c r="V205" i="4"/>
  <c r="EI8" i="4" a="1"/>
  <c r="EI8" i="4" s="1"/>
  <c r="DS18" i="4" a="1"/>
  <c r="DS18" i="4" s="1"/>
  <c r="FL8" i="4" a="1"/>
  <c r="X62" i="6"/>
  <c r="X53" i="6"/>
  <c r="X52" i="6"/>
  <c r="X51" i="6"/>
  <c r="X50" i="6"/>
  <c r="X49" i="6"/>
  <c r="X48" i="6"/>
  <c r="X47" i="6"/>
  <c r="X46" i="6"/>
  <c r="X45" i="6"/>
  <c r="X44" i="6"/>
  <c r="X43" i="6"/>
  <c r="X42" i="6"/>
  <c r="X41" i="6"/>
  <c r="X40" i="6"/>
  <c r="X23" i="6"/>
  <c r="DC73" i="4"/>
  <c r="T319" i="4"/>
  <c r="EZ116" i="4"/>
  <c r="V75" i="4" l="1"/>
  <c r="DE146" i="4"/>
  <c r="FL8" i="4"/>
  <c r="FL122" i="4"/>
  <c r="FL125" i="4"/>
  <c r="FL123" i="4"/>
  <c r="FL124" i="4"/>
  <c r="FL126" i="4"/>
  <c r="FL121" i="4"/>
  <c r="DE8" i="4" a="1"/>
  <c r="DE8" i="80" a="1"/>
  <c r="DE8" i="81" a="1"/>
  <c r="V102" i="4"/>
  <c r="V100" i="4"/>
  <c r="V99" i="4"/>
  <c r="V97" i="4"/>
  <c r="T75" i="4"/>
  <c r="CB8" i="4" a="1"/>
  <c r="CB8" i="4" s="1"/>
  <c r="CB88" i="4" s="1"/>
  <c r="Z72" i="83"/>
  <c r="Z73" i="83" s="1"/>
  <c r="CB8" i="80" s="1" a="1"/>
  <c r="S72" i="83"/>
  <c r="S72" i="82"/>
  <c r="CB103" i="4"/>
  <c r="V208" i="4" s="1"/>
  <c r="CB106" i="4"/>
  <c r="CB111" i="4"/>
  <c r="V238" i="4" s="1"/>
  <c r="CB110" i="4"/>
  <c r="V245" i="4" s="1"/>
  <c r="DE106" i="4"/>
  <c r="CB99" i="4"/>
  <c r="CB113" i="4"/>
  <c r="V230" i="4" s="1"/>
  <c r="CB102" i="4"/>
  <c r="V108" i="4"/>
  <c r="X28" i="6"/>
  <c r="X32" i="6" s="1"/>
  <c r="AV73" i="4"/>
  <c r="S319" i="4"/>
  <c r="AU73" i="4"/>
  <c r="D9" i="69"/>
  <c r="E9" i="69" s="1"/>
  <c r="F12" i="69" s="1"/>
  <c r="P319" i="4"/>
  <c r="C20" i="69"/>
  <c r="C21" i="69" s="1"/>
  <c r="C24" i="69" s="1"/>
  <c r="C25" i="69" s="1"/>
  <c r="C16" i="69"/>
  <c r="C17" i="69" s="1"/>
  <c r="C18" i="69" s="1"/>
  <c r="C6" i="69"/>
  <c r="C13" i="69" s="1"/>
  <c r="F5" i="69"/>
  <c r="H5" i="69" s="1"/>
  <c r="DE8" i="4" l="1"/>
  <c r="DE88" i="4" s="1"/>
  <c r="V269" i="4" s="1"/>
  <c r="DE90" i="4"/>
  <c r="F13" i="69"/>
  <c r="F14" i="69"/>
  <c r="DE91" i="4"/>
  <c r="DE94" i="4"/>
  <c r="DE93" i="4"/>
  <c r="DE92" i="4"/>
  <c r="DE89" i="4"/>
  <c r="V253" i="4"/>
  <c r="V259" i="4"/>
  <c r="V247" i="4"/>
  <c r="V278" i="4" s="1"/>
  <c r="FL146" i="4"/>
  <c r="V250" i="4"/>
  <c r="DE8" i="81"/>
  <c r="DE8" i="80"/>
  <c r="V166" i="4"/>
  <c r="V178" i="4" s="1"/>
  <c r="V104" i="4"/>
  <c r="V172" i="4"/>
  <c r="V179" i="4" s="1"/>
  <c r="V191" i="4"/>
  <c r="V196" i="4"/>
  <c r="S73" i="82"/>
  <c r="S124" i="82" s="1"/>
  <c r="CB8" i="80"/>
  <c r="N72" i="82"/>
  <c r="N73" i="82" s="1"/>
  <c r="N72" i="83"/>
  <c r="N73" i="83" s="1"/>
  <c r="BP8" i="80" s="1" a="1"/>
  <c r="S73" i="83"/>
  <c r="BU8" i="80" s="1" a="1"/>
  <c r="S75" i="4"/>
  <c r="R75" i="4"/>
  <c r="R319" i="4"/>
  <c r="V211" i="4"/>
  <c r="V223" i="4" s="1"/>
  <c r="CB104" i="4"/>
  <c r="CB94" i="4"/>
  <c r="CB93" i="4"/>
  <c r="CB89" i="4"/>
  <c r="CB92" i="4"/>
  <c r="CB90" i="4"/>
  <c r="CB91" i="4"/>
  <c r="X31" i="6"/>
  <c r="X29" i="6" s="1"/>
  <c r="X30" i="6" s="1"/>
  <c r="X33" i="6" s="1"/>
  <c r="I5" i="69"/>
  <c r="C14" i="69"/>
  <c r="C19" i="69"/>
  <c r="C26" i="69" s="1"/>
  <c r="K6" i="69" s="1"/>
  <c r="V274" i="4" l="1"/>
  <c r="V270" i="4"/>
  <c r="V271" i="4"/>
  <c r="V295" i="4" s="1"/>
  <c r="V272" i="4"/>
  <c r="DE95" i="4"/>
  <c r="V273" i="4"/>
  <c r="V275" i="4"/>
  <c r="V301" i="4" s="1"/>
  <c r="V180" i="4"/>
  <c r="V186" i="4" s="1"/>
  <c r="W189" i="4" s="1"/>
  <c r="S124" i="83"/>
  <c r="BU8" i="80"/>
  <c r="CB55" i="4"/>
  <c r="CB115" i="4" s="1"/>
  <c r="BP8" i="80"/>
  <c r="CB95" i="4"/>
  <c r="V284" i="4"/>
  <c r="K5" i="69"/>
  <c r="V298" i="4" l="1"/>
  <c r="V185" i="4"/>
  <c r="V181" i="4"/>
  <c r="CB56" i="4"/>
  <c r="CB116" i="4" s="1"/>
  <c r="CB117" i="4" s="1"/>
  <c r="AP73" i="4"/>
  <c r="AT73" i="4"/>
  <c r="CZ76" i="4" l="1"/>
  <c r="Q75" i="4"/>
  <c r="Q319" i="4"/>
  <c r="P75" i="4"/>
  <c r="N75" i="4" l="1"/>
  <c r="M75" i="4"/>
  <c r="L75" i="4"/>
  <c r="O75" i="4"/>
  <c r="BW76" i="4"/>
  <c r="CZ77" i="4" s="1"/>
  <c r="I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I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I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I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I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I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I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I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I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I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I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I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I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I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H47" i="6"/>
  <c r="H45" i="6"/>
  <c r="N62" i="6" l="1"/>
  <c r="AO73" i="4"/>
  <c r="CU8" i="80" l="1" a="1"/>
  <c r="CU8" i="81" a="1"/>
  <c r="BQ76" i="4"/>
  <c r="CU8" i="81" l="1"/>
  <c r="CU8" i="80"/>
  <c r="CT76" i="4"/>
  <c r="CT77" i="4" s="1"/>
  <c r="K75" i="4"/>
  <c r="J75" i="4"/>
  <c r="I75" i="4" l="1"/>
  <c r="J23" i="6"/>
  <c r="K23" i="6"/>
  <c r="L23" i="6"/>
  <c r="M23" i="6"/>
  <c r="N23" i="6"/>
  <c r="O23" i="6"/>
  <c r="P23" i="6"/>
  <c r="Q23" i="6"/>
  <c r="R23" i="6"/>
  <c r="S23" i="6"/>
  <c r="T23" i="6"/>
  <c r="V23" i="6"/>
  <c r="W23" i="6"/>
  <c r="G25" i="7"/>
  <c r="G79" i="7"/>
  <c r="AK73" i="4"/>
  <c r="AJ73" i="4"/>
  <c r="AI73" i="4"/>
  <c r="I23" i="6"/>
  <c r="T243" i="4"/>
  <c r="H243" i="4"/>
  <c r="I243" i="4"/>
  <c r="J243" i="4"/>
  <c r="K243" i="4"/>
  <c r="L243" i="4"/>
  <c r="M243" i="4"/>
  <c r="N243" i="4"/>
  <c r="O243" i="4"/>
  <c r="P243" i="4"/>
  <c r="Q243" i="4"/>
  <c r="R243" i="4"/>
  <c r="S243" i="4"/>
  <c r="U243" i="4"/>
  <c r="G243" i="4"/>
  <c r="H242" i="4"/>
  <c r="I242" i="4"/>
  <c r="J242" i="4"/>
  <c r="K242" i="4"/>
  <c r="L242" i="4"/>
  <c r="M242" i="4"/>
  <c r="N242" i="4"/>
  <c r="O242" i="4"/>
  <c r="P242" i="4"/>
  <c r="Q242" i="4"/>
  <c r="R242" i="4"/>
  <c r="S242" i="4"/>
  <c r="T242" i="4"/>
  <c r="U242" i="4"/>
  <c r="G242" i="4"/>
  <c r="F243" i="4"/>
  <c r="F242" i="4"/>
  <c r="F176" i="4"/>
  <c r="EV8" i="4" a="1"/>
  <c r="EV121" i="4" s="1"/>
  <c r="I62" i="6"/>
  <c r="K62" i="6"/>
  <c r="L62" i="6"/>
  <c r="M62" i="6"/>
  <c r="O62" i="6"/>
  <c r="P62" i="6"/>
  <c r="P75" i="6" s="1"/>
  <c r="Q62" i="6"/>
  <c r="R62" i="6"/>
  <c r="S62" i="6"/>
  <c r="T62" i="6"/>
  <c r="U62" i="6"/>
  <c r="V62" i="6"/>
  <c r="W62" i="6"/>
  <c r="H62" i="6"/>
  <c r="EV8" i="4" l="1"/>
  <c r="EV60" i="4"/>
  <c r="H30" i="4"/>
  <c r="I30" i="4"/>
  <c r="F30" i="4"/>
  <c r="G30" i="4"/>
  <c r="DB8" i="80" a="1"/>
  <c r="DB8" i="81" a="1"/>
  <c r="CR8" i="80" a="1"/>
  <c r="CR8" i="81" a="1"/>
  <c r="DA8" i="81" a="1"/>
  <c r="DA8" i="80" a="1"/>
  <c r="CX8" i="81" a="1"/>
  <c r="CX8" i="80" a="1"/>
  <c r="CW8" i="80" a="1"/>
  <c r="CW8" i="81" a="1"/>
  <c r="CV8" i="80" a="1"/>
  <c r="CV8" i="81" a="1"/>
  <c r="CT8" i="80" a="1"/>
  <c r="CT8" i="81" a="1"/>
  <c r="CS8" i="80" a="1"/>
  <c r="CS8" i="81" a="1"/>
  <c r="CO8" i="81" a="1"/>
  <c r="CO8" i="80" a="1"/>
  <c r="DD8" i="80" a="1"/>
  <c r="DD8" i="81" a="1"/>
  <c r="CQ8" i="80" a="1"/>
  <c r="CQ8" i="81" a="1"/>
  <c r="CZ8" i="81" a="1"/>
  <c r="CZ8" i="80" a="1"/>
  <c r="CY8" i="81" a="1"/>
  <c r="CY8" i="80" a="1"/>
  <c r="DC8" i="80" a="1"/>
  <c r="DC8" i="81" a="1"/>
  <c r="CP8" i="80" a="1"/>
  <c r="CP8" i="81" a="1"/>
  <c r="K72" i="82"/>
  <c r="K73" i="82" s="1"/>
  <c r="K72" i="83"/>
  <c r="K73" i="83" s="1"/>
  <c r="BM8" i="80" s="1" a="1"/>
  <c r="G30" i="7"/>
  <c r="G75" i="4"/>
  <c r="H75" i="4"/>
  <c r="R48" i="65"/>
  <c r="S48" i="65"/>
  <c r="T48" i="65"/>
  <c r="U48" i="65"/>
  <c r="V48" i="65"/>
  <c r="Q48" i="65"/>
  <c r="L48" i="65"/>
  <c r="M48" i="65"/>
  <c r="N48" i="65"/>
  <c r="O48" i="65"/>
  <c r="P48" i="65"/>
  <c r="K48" i="65"/>
  <c r="H48" i="65"/>
  <c r="I48" i="65"/>
  <c r="J48" i="65"/>
  <c r="G48" i="65"/>
  <c r="H23" i="6"/>
  <c r="H28" i="6" s="1"/>
  <c r="H32" i="6" s="1"/>
  <c r="R47" i="65"/>
  <c r="S47" i="65"/>
  <c r="T47" i="65"/>
  <c r="U47" i="65"/>
  <c r="V47" i="65"/>
  <c r="Q47" i="65"/>
  <c r="L47" i="65"/>
  <c r="M47" i="65"/>
  <c r="N47" i="65"/>
  <c r="O47" i="65"/>
  <c r="P47" i="65"/>
  <c r="K47" i="65"/>
  <c r="H47" i="65"/>
  <c r="I47" i="65"/>
  <c r="J47" i="65"/>
  <c r="G47" i="65"/>
  <c r="R46" i="65"/>
  <c r="S46" i="65"/>
  <c r="T46" i="65"/>
  <c r="U46" i="65"/>
  <c r="V46" i="65"/>
  <c r="Q46" i="65"/>
  <c r="L46" i="65"/>
  <c r="M46" i="65"/>
  <c r="N46" i="65"/>
  <c r="O46" i="65"/>
  <c r="P46" i="65"/>
  <c r="K46" i="65"/>
  <c r="H46" i="65"/>
  <c r="I46" i="65"/>
  <c r="J46" i="65"/>
  <c r="G46" i="65"/>
  <c r="I28" i="6"/>
  <c r="I32" i="6" s="1"/>
  <c r="J28" i="6"/>
  <c r="J31" i="6" s="1"/>
  <c r="K28" i="6"/>
  <c r="K32" i="6" s="1"/>
  <c r="L28" i="6"/>
  <c r="L31" i="6" s="1"/>
  <c r="M28" i="6"/>
  <c r="M31" i="6" s="1"/>
  <c r="N28" i="6"/>
  <c r="N31" i="6" s="1"/>
  <c r="O28" i="6"/>
  <c r="O31" i="6" s="1"/>
  <c r="P28" i="6"/>
  <c r="P32" i="6" s="1"/>
  <c r="Q28" i="6"/>
  <c r="Q32" i="6" s="1"/>
  <c r="R28" i="6"/>
  <c r="R32" i="6" s="1"/>
  <c r="S28" i="6"/>
  <c r="S31" i="6" s="1"/>
  <c r="T28" i="6"/>
  <c r="T31" i="6" s="1"/>
  <c r="U28" i="6"/>
  <c r="U31" i="6" s="1"/>
  <c r="V28" i="6"/>
  <c r="V31" i="6" s="1"/>
  <c r="W28" i="6"/>
  <c r="W31" i="6" s="1"/>
  <c r="U32" i="6"/>
  <c r="H53" i="6"/>
  <c r="H52" i="6"/>
  <c r="H51" i="6"/>
  <c r="H50" i="6"/>
  <c r="H49" i="6"/>
  <c r="H48" i="6"/>
  <c r="H46" i="6"/>
  <c r="H44" i="6"/>
  <c r="H43" i="6"/>
  <c r="H42" i="6"/>
  <c r="H41" i="6"/>
  <c r="H40" i="6"/>
  <c r="G63" i="65"/>
  <c r="G62" i="65"/>
  <c r="G61" i="65"/>
  <c r="G60" i="65"/>
  <c r="G59" i="65"/>
  <c r="G58" i="65"/>
  <c r="G57" i="65"/>
  <c r="G56" i="65"/>
  <c r="G55" i="65"/>
  <c r="G54" i="65"/>
  <c r="G53" i="65"/>
  <c r="G52" i="65"/>
  <c r="G51" i="65"/>
  <c r="G50" i="65"/>
  <c r="H24" i="65"/>
  <c r="H29" i="65" s="1"/>
  <c r="I24" i="65"/>
  <c r="I29" i="65" s="1"/>
  <c r="J24" i="65"/>
  <c r="K24" i="65"/>
  <c r="L24" i="65"/>
  <c r="M24" i="65"/>
  <c r="M29" i="65" s="1"/>
  <c r="N24" i="65"/>
  <c r="N29" i="65" s="1"/>
  <c r="O24" i="65"/>
  <c r="O29" i="65" s="1"/>
  <c r="P24" i="65"/>
  <c r="P29" i="65" s="1"/>
  <c r="Q24" i="65"/>
  <c r="Q29" i="65" s="1"/>
  <c r="R24" i="65"/>
  <c r="R29" i="65" s="1"/>
  <c r="S24" i="65"/>
  <c r="S29" i="65" s="1"/>
  <c r="T24" i="65"/>
  <c r="T29" i="65" s="1"/>
  <c r="U24" i="65"/>
  <c r="U29" i="65" s="1"/>
  <c r="V24" i="65"/>
  <c r="G24" i="65"/>
  <c r="H71" i="65"/>
  <c r="I71" i="65"/>
  <c r="J71" i="65"/>
  <c r="K71" i="65"/>
  <c r="L71" i="65"/>
  <c r="M71" i="65"/>
  <c r="N71" i="65"/>
  <c r="O71" i="65"/>
  <c r="P71" i="65"/>
  <c r="Q71" i="65"/>
  <c r="R71" i="65"/>
  <c r="S71" i="65"/>
  <c r="T71" i="65"/>
  <c r="U71" i="65"/>
  <c r="V71" i="65"/>
  <c r="BL52" i="4"/>
  <c r="BL53" i="4"/>
  <c r="BL30" i="4" a="1"/>
  <c r="R205" i="4"/>
  <c r="S205" i="4"/>
  <c r="T205" i="4"/>
  <c r="U205" i="4"/>
  <c r="Q205" i="4"/>
  <c r="P205" i="4"/>
  <c r="T124" i="7"/>
  <c r="O319" i="4"/>
  <c r="N319" i="4"/>
  <c r="M319" i="4"/>
  <c r="K319" i="4"/>
  <c r="J319" i="4"/>
  <c r="L319" i="4" l="1"/>
  <c r="L77" i="4"/>
  <c r="L78" i="4" s="1"/>
  <c r="J32" i="6"/>
  <c r="J29" i="6" s="1"/>
  <c r="J30" i="6" s="1"/>
  <c r="J33" i="6" s="1"/>
  <c r="O32" i="65"/>
  <c r="O33" i="65"/>
  <c r="N32" i="65"/>
  <c r="N33" i="65"/>
  <c r="M32" i="65"/>
  <c r="M33" i="65"/>
  <c r="U32" i="65"/>
  <c r="U33" i="65"/>
  <c r="I32" i="65"/>
  <c r="I33" i="65"/>
  <c r="T32" i="65"/>
  <c r="T33" i="65"/>
  <c r="H32" i="65"/>
  <c r="H33" i="65"/>
  <c r="S32" i="65"/>
  <c r="S33" i="65"/>
  <c r="R32" i="65"/>
  <c r="R33" i="65"/>
  <c r="Q32" i="65"/>
  <c r="Q33" i="65"/>
  <c r="P32" i="65"/>
  <c r="P33" i="65"/>
  <c r="L29" i="65"/>
  <c r="L33" i="65" s="1"/>
  <c r="K29" i="65"/>
  <c r="K33" i="65" s="1"/>
  <c r="V29" i="65"/>
  <c r="V33" i="65" s="1"/>
  <c r="J29" i="65"/>
  <c r="J33" i="65" s="1"/>
  <c r="BL30" i="4"/>
  <c r="CK107" i="4"/>
  <c r="CK108" i="4" s="1"/>
  <c r="CM107" i="4"/>
  <c r="CM108" i="4" s="1"/>
  <c r="CL107" i="4"/>
  <c r="CL108" i="4" s="1"/>
  <c r="CH107" i="4"/>
  <c r="CH108" i="4" s="1"/>
  <c r="CC107" i="4"/>
  <c r="CC108" i="4" s="1"/>
  <c r="CD107" i="4"/>
  <c r="CD108" i="4" s="1"/>
  <c r="CI107" i="4"/>
  <c r="CI108" i="4" s="1"/>
  <c r="CE107" i="4"/>
  <c r="CE108" i="4" s="1"/>
  <c r="CG107" i="4"/>
  <c r="CG108" i="4" s="1"/>
  <c r="CJ107" i="4"/>
  <c r="CJ108" i="4" s="1"/>
  <c r="CF107" i="4"/>
  <c r="CF108" i="4" s="1"/>
  <c r="CZ8" i="81"/>
  <c r="CW8" i="80"/>
  <c r="CP8" i="81"/>
  <c r="CP8" i="80"/>
  <c r="CS8" i="80"/>
  <c r="CR8" i="80"/>
  <c r="CV8" i="81"/>
  <c r="CV8" i="80"/>
  <c r="CW8" i="81"/>
  <c r="DD8" i="81"/>
  <c r="CX8" i="81"/>
  <c r="CO8" i="80"/>
  <c r="CO8" i="81"/>
  <c r="CS8" i="81"/>
  <c r="DC8" i="80"/>
  <c r="CY8" i="80"/>
  <c r="CT8" i="81"/>
  <c r="DB8" i="81"/>
  <c r="CZ8" i="80"/>
  <c r="CQ8" i="81"/>
  <c r="CQ8" i="80"/>
  <c r="CX8" i="80"/>
  <c r="DD8" i="80"/>
  <c r="DA8" i="80"/>
  <c r="DA8" i="81"/>
  <c r="DC8" i="81"/>
  <c r="CR8" i="81"/>
  <c r="CY8" i="81"/>
  <c r="CT8" i="80"/>
  <c r="DB8" i="80"/>
  <c r="W32" i="6"/>
  <c r="W29" i="6" s="1"/>
  <c r="H31" i="6"/>
  <c r="H29" i="6" s="1"/>
  <c r="CO30" i="4" a="1"/>
  <c r="CO24" i="81" a="1"/>
  <c r="G29" i="65"/>
  <c r="R72" i="65"/>
  <c r="Q72" i="65"/>
  <c r="P72" i="65"/>
  <c r="N72" i="65"/>
  <c r="V72" i="65"/>
  <c r="U72" i="65"/>
  <c r="I72" i="65"/>
  <c r="H72" i="65"/>
  <c r="O72" i="65"/>
  <c r="M72" i="65"/>
  <c r="L72" i="65"/>
  <c r="K72" i="65"/>
  <c r="J72" i="65"/>
  <c r="T72" i="65"/>
  <c r="S72" i="65"/>
  <c r="BM8" i="80"/>
  <c r="Y72" i="83"/>
  <c r="Y73" i="83" s="1"/>
  <c r="CA8" i="80" s="1" a="1"/>
  <c r="S124" i="7"/>
  <c r="R72" i="82"/>
  <c r="R73" i="82" s="1"/>
  <c r="R124" i="82" s="1"/>
  <c r="R72" i="83"/>
  <c r="M72" i="82"/>
  <c r="M73" i="82" s="1"/>
  <c r="M72" i="83"/>
  <c r="M73" i="83" s="1"/>
  <c r="BO8" i="80" s="1" a="1"/>
  <c r="L72" i="83"/>
  <c r="L73" i="83" s="1"/>
  <c r="BN8" i="80" s="1" a="1"/>
  <c r="L72" i="82"/>
  <c r="L73" i="82" s="1"/>
  <c r="J72" i="82"/>
  <c r="J72" i="83"/>
  <c r="J73" i="83" s="1"/>
  <c r="BL8" i="80" s="1" a="1"/>
  <c r="V72" i="82"/>
  <c r="V73" i="82" s="1"/>
  <c r="V72" i="83"/>
  <c r="V73" i="83" s="1"/>
  <c r="BX8" i="80" s="1" a="1"/>
  <c r="Q124" i="7"/>
  <c r="P72" i="82"/>
  <c r="P72" i="83"/>
  <c r="X72" i="82"/>
  <c r="X73" i="82" s="1"/>
  <c r="X72" i="83"/>
  <c r="X73" i="83" s="1"/>
  <c r="BZ8" i="80" s="1" a="1"/>
  <c r="W72" i="82"/>
  <c r="W73" i="82" s="1"/>
  <c r="W72" i="83"/>
  <c r="W73" i="83" s="1"/>
  <c r="BY8" i="80" s="1" a="1"/>
  <c r="V124" i="7"/>
  <c r="U72" i="83"/>
  <c r="U72" i="82"/>
  <c r="U73" i="82" s="1"/>
  <c r="U124" i="82" s="1"/>
  <c r="R124" i="7"/>
  <c r="Q72" i="82"/>
  <c r="Q73" i="82" s="1"/>
  <c r="Q124" i="82" s="1"/>
  <c r="Q72" i="83"/>
  <c r="P124" i="7"/>
  <c r="O72" i="82"/>
  <c r="O72" i="83"/>
  <c r="U124" i="7"/>
  <c r="T72" i="83"/>
  <c r="T72" i="82"/>
  <c r="T73" i="82" s="1"/>
  <c r="T124" i="82" s="1"/>
  <c r="V32" i="6"/>
  <c r="V29" i="6" s="1"/>
  <c r="V30" i="6" s="1"/>
  <c r="V33" i="6" s="1"/>
  <c r="U29" i="6"/>
  <c r="U30" i="6" s="1"/>
  <c r="U33" i="6" s="1"/>
  <c r="T32" i="6"/>
  <c r="T29" i="6" s="1"/>
  <c r="T30" i="6" s="1"/>
  <c r="T33" i="6" s="1"/>
  <c r="S32" i="6"/>
  <c r="S29" i="6" s="1"/>
  <c r="S30" i="6" s="1"/>
  <c r="S33" i="6" s="1"/>
  <c r="O32" i="6"/>
  <c r="O29" i="6" s="1"/>
  <c r="O30" i="6" s="1"/>
  <c r="O33" i="6" s="1"/>
  <c r="N32" i="6"/>
  <c r="N29" i="6" s="1"/>
  <c r="N30" i="6" s="1"/>
  <c r="N33" i="6" s="1"/>
  <c r="L32" i="6"/>
  <c r="L29" i="6" s="1"/>
  <c r="L30" i="6" s="1"/>
  <c r="K31" i="6"/>
  <c r="K29" i="6" s="1"/>
  <c r="K30" i="6" s="1"/>
  <c r="K33" i="6" s="1"/>
  <c r="Q31" i="6"/>
  <c r="Q29" i="6" s="1"/>
  <c r="Q30" i="6" s="1"/>
  <c r="Q33" i="6" s="1"/>
  <c r="P31" i="6"/>
  <c r="P29" i="6" s="1"/>
  <c r="P30" i="6" s="1"/>
  <c r="P33" i="6" s="1"/>
  <c r="R31" i="6"/>
  <c r="R29" i="6" s="1"/>
  <c r="R30" i="6" s="1"/>
  <c r="R33" i="6" s="1"/>
  <c r="M32" i="6"/>
  <c r="M29" i="6" s="1"/>
  <c r="I31" i="6"/>
  <c r="I29" i="6" s="1"/>
  <c r="I30" i="6" s="1"/>
  <c r="I33" i="6" s="1"/>
  <c r="S30" i="4"/>
  <c r="F205" i="4"/>
  <c r="G205" i="4"/>
  <c r="U176" i="4"/>
  <c r="U170" i="4"/>
  <c r="M170" i="4"/>
  <c r="N170" i="4"/>
  <c r="O170" i="4"/>
  <c r="P170" i="4"/>
  <c r="Q170" i="4"/>
  <c r="R170" i="4"/>
  <c r="S170" i="4"/>
  <c r="T170" i="4"/>
  <c r="L170" i="4"/>
  <c r="L32" i="65" l="1"/>
  <c r="L30" i="65" s="1"/>
  <c r="L31" i="65" s="1"/>
  <c r="L34" i="65" s="1"/>
  <c r="R30" i="4"/>
  <c r="P30" i="4"/>
  <c r="Q30" i="4"/>
  <c r="J32" i="65"/>
  <c r="J30" i="65" s="1"/>
  <c r="J31" i="65" s="1"/>
  <c r="J34" i="65" s="1"/>
  <c r="N30" i="65"/>
  <c r="N31" i="65" s="1"/>
  <c r="N34" i="65" s="1"/>
  <c r="K32" i="65"/>
  <c r="K30" i="65" s="1"/>
  <c r="K31" i="65" s="1"/>
  <c r="K34" i="65" s="1"/>
  <c r="S30" i="65"/>
  <c r="S31" i="65" s="1"/>
  <c r="S34" i="65" s="1"/>
  <c r="I30" i="65"/>
  <c r="I31" i="65" s="1"/>
  <c r="I34" i="65" s="1"/>
  <c r="Q30" i="65"/>
  <c r="Q31" i="65" s="1"/>
  <c r="Q34" i="65" s="1"/>
  <c r="U30" i="65"/>
  <c r="U31" i="65" s="1"/>
  <c r="U34" i="65" s="1"/>
  <c r="R30" i="65"/>
  <c r="R31" i="65" s="1"/>
  <c r="R34" i="65" s="1"/>
  <c r="M30" i="65"/>
  <c r="M31" i="65" s="1"/>
  <c r="M34" i="65" s="1"/>
  <c r="V32" i="65"/>
  <c r="V30" i="65" s="1"/>
  <c r="V31" i="65" s="1"/>
  <c r="V34" i="65" s="1"/>
  <c r="T30" i="65"/>
  <c r="T31" i="65" s="1"/>
  <c r="T34" i="65" s="1"/>
  <c r="P30" i="65"/>
  <c r="P31" i="65" s="1"/>
  <c r="P34" i="65" s="1"/>
  <c r="H30" i="65"/>
  <c r="H31" i="65" s="1"/>
  <c r="H34" i="65" s="1"/>
  <c r="O30" i="65"/>
  <c r="O31" i="65" s="1"/>
  <c r="O34" i="65" s="1"/>
  <c r="H30" i="6"/>
  <c r="CO55" i="4" a="1"/>
  <c r="CO41" i="80" a="1"/>
  <c r="CO41" i="81" a="1"/>
  <c r="CO24" i="81"/>
  <c r="CO30" i="4"/>
  <c r="DO107" i="4"/>
  <c r="DO108" i="4" s="1"/>
  <c r="DN107" i="4"/>
  <c r="DN108" i="4" s="1"/>
  <c r="DP107" i="4"/>
  <c r="DP108" i="4" s="1"/>
  <c r="DK107" i="4"/>
  <c r="DK108" i="4" s="1"/>
  <c r="DJ107" i="4"/>
  <c r="DJ108" i="4" s="1"/>
  <c r="DH107" i="4"/>
  <c r="DH108" i="4" s="1"/>
  <c r="DM107" i="4"/>
  <c r="DM108" i="4" s="1"/>
  <c r="DI107" i="4"/>
  <c r="DI108" i="4" s="1"/>
  <c r="DF107" i="4"/>
  <c r="DF108" i="4" s="1"/>
  <c r="DL107" i="4"/>
  <c r="DL108" i="4" s="1"/>
  <c r="DG107" i="4"/>
  <c r="DG108" i="4" s="1"/>
  <c r="DE107" i="4"/>
  <c r="DE108" i="4" s="1"/>
  <c r="BL8" i="81" a="1"/>
  <c r="CB107" i="4"/>
  <c r="BZ8" i="80"/>
  <c r="CA8" i="80"/>
  <c r="J73" i="82"/>
  <c r="U73" i="83"/>
  <c r="U124" i="83" s="1"/>
  <c r="P73" i="82"/>
  <c r="P124" i="82" s="1"/>
  <c r="Q73" i="83"/>
  <c r="Q124" i="83" s="1"/>
  <c r="P73" i="83"/>
  <c r="BR8" i="80" s="1" a="1"/>
  <c r="O73" i="83"/>
  <c r="BQ8" i="80" s="1" a="1"/>
  <c r="O73" i="82"/>
  <c r="O124" i="82" s="1"/>
  <c r="BY8" i="80"/>
  <c r="BN8" i="80"/>
  <c r="R73" i="83"/>
  <c r="R124" i="83" s="1"/>
  <c r="BL8" i="80"/>
  <c r="BX8" i="80"/>
  <c r="T73" i="83"/>
  <c r="T124" i="83" s="1"/>
  <c r="BO8" i="80"/>
  <c r="W30" i="6"/>
  <c r="L33" i="6"/>
  <c r="M30" i="6"/>
  <c r="M33" i="6" s="1"/>
  <c r="BT8" i="80" l="1" a="1"/>
  <c r="BT8" i="80" s="1"/>
  <c r="O124" i="83"/>
  <c r="P124" i="83"/>
  <c r="X88" i="4"/>
  <c r="X90" i="4"/>
  <c r="X92" i="4"/>
  <c r="X94" i="4"/>
  <c r="X156" i="4" s="1"/>
  <c r="X157" i="4" s="1"/>
  <c r="X89" i="4"/>
  <c r="X91" i="4"/>
  <c r="X93" i="4"/>
  <c r="V88" i="4"/>
  <c r="V89" i="4"/>
  <c r="V90" i="4"/>
  <c r="V91" i="4"/>
  <c r="V92" i="4"/>
  <c r="V93" i="4"/>
  <c r="V94" i="4"/>
  <c r="V156" i="4" s="1"/>
  <c r="V157" i="4" s="1"/>
  <c r="W88" i="4"/>
  <c r="W89" i="4"/>
  <c r="W92" i="4"/>
  <c r="W90" i="4"/>
  <c r="W91" i="4"/>
  <c r="W93" i="4"/>
  <c r="W94" i="4"/>
  <c r="W156" i="4" s="1"/>
  <c r="W157" i="4" s="1"/>
  <c r="CO41" i="81"/>
  <c r="CO55" i="4"/>
  <c r="DP115" i="4"/>
  <c r="DO115" i="4"/>
  <c r="DN115" i="4"/>
  <c r="DF115" i="4"/>
  <c r="DJ115" i="4"/>
  <c r="DG115" i="4"/>
  <c r="DH115" i="4"/>
  <c r="DK115" i="4"/>
  <c r="DL115" i="4"/>
  <c r="DI115" i="4"/>
  <c r="DM115" i="4"/>
  <c r="CO41" i="80"/>
  <c r="H33" i="6"/>
  <c r="CO42" i="80" a="1"/>
  <c r="CO56" i="4" a="1"/>
  <c r="CO42" i="81" a="1"/>
  <c r="BL8" i="81"/>
  <c r="BV8" i="80" a="1"/>
  <c r="BS8" i="80" a="1"/>
  <c r="BW8" i="80" a="1"/>
  <c r="V218" i="4"/>
  <c r="V226" i="4" s="1"/>
  <c r="V149" i="4" s="1"/>
  <c r="CB108" i="4"/>
  <c r="BQ8" i="80"/>
  <c r="BR8" i="80"/>
  <c r="DE115" i="4"/>
  <c r="W33" i="6"/>
  <c r="G319" i="4"/>
  <c r="H73" i="4"/>
  <c r="H319" i="4" s="1"/>
  <c r="F77" i="4" l="1"/>
  <c r="F78" i="4" s="1"/>
  <c r="V95" i="4"/>
  <c r="W95" i="4"/>
  <c r="X95" i="4"/>
  <c r="BV8" i="80"/>
  <c r="BS8" i="80"/>
  <c r="CO42" i="81"/>
  <c r="DM44" i="81"/>
  <c r="DK44" i="81"/>
  <c r="DP44" i="81"/>
  <c r="DH44" i="81"/>
  <c r="CU44" i="81"/>
  <c r="DO44" i="81"/>
  <c r="DJ44" i="81"/>
  <c r="DG44" i="81"/>
  <c r="DI44" i="81"/>
  <c r="DN44" i="81"/>
  <c r="DF44" i="81"/>
  <c r="DL44" i="81"/>
  <c r="DE44" i="81"/>
  <c r="DC44" i="81"/>
  <c r="DD44" i="81"/>
  <c r="CV44" i="81"/>
  <c r="CS44" i="81"/>
  <c r="CZ44" i="81"/>
  <c r="DA44" i="81"/>
  <c r="CR44" i="81"/>
  <c r="CX44" i="81"/>
  <c r="CY44" i="81"/>
  <c r="CW44" i="81"/>
  <c r="CQ44" i="81"/>
  <c r="DB44" i="81"/>
  <c r="CP44" i="81"/>
  <c r="CT44" i="81"/>
  <c r="CO56" i="4"/>
  <c r="DP116" i="4"/>
  <c r="DP117" i="4" s="1"/>
  <c r="DN116" i="4"/>
  <c r="DN117" i="4" s="1"/>
  <c r="DO116" i="4"/>
  <c r="DO117" i="4" s="1"/>
  <c r="DG116" i="4"/>
  <c r="DG117" i="4" s="1"/>
  <c r="DF116" i="4"/>
  <c r="DF117" i="4" s="1"/>
  <c r="DI116" i="4"/>
  <c r="DI117" i="4" s="1"/>
  <c r="DL116" i="4"/>
  <c r="DL117" i="4" s="1"/>
  <c r="DM116" i="4"/>
  <c r="DM117" i="4" s="1"/>
  <c r="DH116" i="4"/>
  <c r="DH117" i="4" s="1"/>
  <c r="DJ116" i="4"/>
  <c r="DJ117" i="4" s="1"/>
  <c r="DK116" i="4"/>
  <c r="DK117" i="4" s="1"/>
  <c r="CO42" i="80"/>
  <c r="DE44" i="80"/>
  <c r="DK44" i="80"/>
  <c r="DP44" i="80"/>
  <c r="DF44" i="80"/>
  <c r="DH44" i="80"/>
  <c r="DI44" i="80"/>
  <c r="DL44" i="80"/>
  <c r="DM44" i="80"/>
  <c r="DN44" i="80"/>
  <c r="DO44" i="80"/>
  <c r="DG44" i="80"/>
  <c r="DJ44" i="80"/>
  <c r="CS44" i="80"/>
  <c r="CQ44" i="80"/>
  <c r="CY44" i="80"/>
  <c r="DB44" i="80"/>
  <c r="CX44" i="80"/>
  <c r="CV44" i="80"/>
  <c r="DC44" i="80"/>
  <c r="CP44" i="80"/>
  <c r="DA44" i="80"/>
  <c r="CZ44" i="80"/>
  <c r="CW44" i="80"/>
  <c r="CU44" i="80"/>
  <c r="CR44" i="80"/>
  <c r="CT44" i="80"/>
  <c r="DD44" i="80"/>
  <c r="BW8" i="80"/>
  <c r="I146" i="4"/>
  <c r="I319" i="4"/>
  <c r="DE116" i="4"/>
  <c r="DE117" i="4" s="1"/>
  <c r="M205" i="4"/>
  <c r="N205" i="4"/>
  <c r="O205" i="4"/>
  <c r="G281" i="4"/>
  <c r="H281" i="4"/>
  <c r="I281" i="4"/>
  <c r="J281" i="4"/>
  <c r="K281" i="4"/>
  <c r="L281" i="4"/>
  <c r="M281" i="4"/>
  <c r="N281" i="4"/>
  <c r="O281" i="4"/>
  <c r="P281" i="4"/>
  <c r="Q281" i="4"/>
  <c r="R281" i="4"/>
  <c r="S281" i="4"/>
  <c r="T281" i="4"/>
  <c r="U281" i="4"/>
  <c r="G282" i="4"/>
  <c r="H282" i="4"/>
  <c r="I282" i="4"/>
  <c r="J282" i="4"/>
  <c r="K282" i="4"/>
  <c r="L282" i="4"/>
  <c r="M282" i="4"/>
  <c r="N282" i="4"/>
  <c r="O282" i="4"/>
  <c r="P282" i="4"/>
  <c r="Q282" i="4"/>
  <c r="R282" i="4"/>
  <c r="S282" i="4"/>
  <c r="T282" i="4"/>
  <c r="U282" i="4"/>
  <c r="G234" i="4"/>
  <c r="H234" i="4"/>
  <c r="I234" i="4"/>
  <c r="J234" i="4"/>
  <c r="K234" i="4"/>
  <c r="L234" i="4"/>
  <c r="M234" i="4"/>
  <c r="N234" i="4"/>
  <c r="O234" i="4"/>
  <c r="P234" i="4"/>
  <c r="Q234" i="4"/>
  <c r="R234" i="4"/>
  <c r="S234" i="4"/>
  <c r="T234" i="4"/>
  <c r="U234" i="4"/>
  <c r="F234" i="4"/>
  <c r="G161" i="4"/>
  <c r="H161" i="4"/>
  <c r="I161" i="4"/>
  <c r="J161" i="4"/>
  <c r="K161" i="4"/>
  <c r="L161" i="4"/>
  <c r="M161" i="4"/>
  <c r="N161" i="4"/>
  <c r="O161" i="4"/>
  <c r="P161" i="4"/>
  <c r="Q161" i="4"/>
  <c r="R161" i="4"/>
  <c r="S161" i="4"/>
  <c r="T161" i="4"/>
  <c r="U161" i="4"/>
  <c r="G176" i="4"/>
  <c r="H176" i="4"/>
  <c r="I176" i="4"/>
  <c r="J176" i="4"/>
  <c r="K176" i="4"/>
  <c r="L176" i="4"/>
  <c r="M176" i="4"/>
  <c r="N176" i="4"/>
  <c r="O176" i="4"/>
  <c r="P176" i="4"/>
  <c r="Q176" i="4"/>
  <c r="R176" i="4"/>
  <c r="S176" i="4"/>
  <c r="T176" i="4"/>
  <c r="F170" i="4"/>
  <c r="F161" i="4"/>
  <c r="BM56" i="4"/>
  <c r="BN56" i="4"/>
  <c r="BO56" i="4"/>
  <c r="BP56" i="4"/>
  <c r="BQ56" i="4"/>
  <c r="BR56" i="4"/>
  <c r="BS56" i="4"/>
  <c r="BT56" i="4"/>
  <c r="BU56" i="4"/>
  <c r="BV56" i="4"/>
  <c r="BW56" i="4"/>
  <c r="BX56" i="4"/>
  <c r="BY56" i="4"/>
  <c r="BZ56" i="4"/>
  <c r="CA56" i="4"/>
  <c r="BL56" i="4"/>
  <c r="BM55" i="4"/>
  <c r="BN55" i="4"/>
  <c r="BO55" i="4"/>
  <c r="BP55" i="4"/>
  <c r="BQ55" i="4"/>
  <c r="BR55" i="4"/>
  <c r="BS55" i="4"/>
  <c r="BT55" i="4"/>
  <c r="BU55" i="4"/>
  <c r="BV55" i="4"/>
  <c r="BW55" i="4"/>
  <c r="BX55" i="4"/>
  <c r="BY55" i="4"/>
  <c r="BZ55" i="4"/>
  <c r="CA55" i="4"/>
  <c r="BL55" i="4"/>
  <c r="BM53" i="4"/>
  <c r="BN53" i="4"/>
  <c r="BO53" i="4"/>
  <c r="BP53" i="4"/>
  <c r="BQ53" i="4"/>
  <c r="BR53" i="4"/>
  <c r="BS53" i="4"/>
  <c r="BT53" i="4"/>
  <c r="BU53" i="4"/>
  <c r="BV53" i="4"/>
  <c r="BW53" i="4"/>
  <c r="BX53" i="4"/>
  <c r="BY53" i="4"/>
  <c r="BZ53" i="4"/>
  <c r="CA53" i="4"/>
  <c r="BM52" i="4"/>
  <c r="BN52" i="4"/>
  <c r="BO52" i="4"/>
  <c r="BP52" i="4"/>
  <c r="BQ52" i="4"/>
  <c r="BR52" i="4"/>
  <c r="BS52" i="4"/>
  <c r="BT52" i="4"/>
  <c r="BU52" i="4"/>
  <c r="BV52" i="4"/>
  <c r="BW52" i="4"/>
  <c r="BX52" i="4"/>
  <c r="BY52" i="4"/>
  <c r="BZ52" i="4"/>
  <c r="CA52" i="4"/>
  <c r="BM51" i="4"/>
  <c r="BN51" i="4"/>
  <c r="BO51" i="4"/>
  <c r="BP51" i="4"/>
  <c r="BQ51" i="4"/>
  <c r="BR51" i="4"/>
  <c r="BS51" i="4"/>
  <c r="BT51" i="4"/>
  <c r="BU51" i="4"/>
  <c r="BV51" i="4"/>
  <c r="BW51" i="4"/>
  <c r="BX51" i="4"/>
  <c r="BY51" i="4"/>
  <c r="BZ51" i="4"/>
  <c r="CA51" i="4"/>
  <c r="BL51" i="4"/>
  <c r="BM50" i="4"/>
  <c r="BN50" i="4"/>
  <c r="BO50" i="4"/>
  <c r="BP50" i="4"/>
  <c r="BQ50" i="4"/>
  <c r="BR50" i="4"/>
  <c r="BS50" i="4"/>
  <c r="BT50" i="4"/>
  <c r="BU50" i="4"/>
  <c r="BV50" i="4"/>
  <c r="BW50" i="4"/>
  <c r="BX50" i="4"/>
  <c r="BY50" i="4"/>
  <c r="BZ50" i="4"/>
  <c r="CA50" i="4"/>
  <c r="BL50" i="4"/>
  <c r="BM46" i="4"/>
  <c r="BN46" i="4"/>
  <c r="BO46" i="4"/>
  <c r="BP46" i="4"/>
  <c r="BQ46" i="4"/>
  <c r="BR46" i="4"/>
  <c r="BS46" i="4"/>
  <c r="BT46" i="4"/>
  <c r="BU46" i="4"/>
  <c r="BV46" i="4"/>
  <c r="BW46" i="4"/>
  <c r="BX46" i="4"/>
  <c r="BY46" i="4"/>
  <c r="BZ46" i="4"/>
  <c r="CA46" i="4"/>
  <c r="BL46" i="4"/>
  <c r="AJ53" i="4"/>
  <c r="AK53" i="4"/>
  <c r="AL53" i="4"/>
  <c r="AM53" i="4"/>
  <c r="AN53" i="4"/>
  <c r="AO53" i="4"/>
  <c r="AP53" i="4"/>
  <c r="AQ53" i="4"/>
  <c r="AR53" i="4"/>
  <c r="AS53" i="4"/>
  <c r="AT53" i="4"/>
  <c r="AU53" i="4"/>
  <c r="AV53" i="4"/>
  <c r="AW53" i="4"/>
  <c r="AX53" i="4"/>
  <c r="AI53" i="4"/>
  <c r="AJ52" i="4"/>
  <c r="AK52" i="4"/>
  <c r="AL52" i="4"/>
  <c r="AM52" i="4"/>
  <c r="AN52" i="4"/>
  <c r="AO52" i="4"/>
  <c r="AP52" i="4"/>
  <c r="AQ52" i="4"/>
  <c r="AR52" i="4"/>
  <c r="AS52" i="4"/>
  <c r="AT52" i="4"/>
  <c r="AU52" i="4"/>
  <c r="AV52" i="4"/>
  <c r="AW52" i="4"/>
  <c r="AX52" i="4"/>
  <c r="AI52" i="4"/>
  <c r="AJ51" i="4"/>
  <c r="AK51" i="4"/>
  <c r="AL51" i="4"/>
  <c r="AM51" i="4"/>
  <c r="AN51" i="4"/>
  <c r="AO51" i="4"/>
  <c r="AP51" i="4"/>
  <c r="AQ51" i="4"/>
  <c r="AR51" i="4"/>
  <c r="AS51" i="4"/>
  <c r="AT51" i="4"/>
  <c r="AU51" i="4"/>
  <c r="AV51" i="4"/>
  <c r="AW51" i="4"/>
  <c r="AX51" i="4"/>
  <c r="AI51" i="4"/>
  <c r="AJ50" i="4"/>
  <c r="AK50" i="4"/>
  <c r="AL50" i="4"/>
  <c r="AM50" i="4"/>
  <c r="AN50" i="4"/>
  <c r="AO50" i="4"/>
  <c r="AP50" i="4"/>
  <c r="AQ50" i="4"/>
  <c r="AR50" i="4"/>
  <c r="AS50" i="4"/>
  <c r="AT50" i="4"/>
  <c r="AU50" i="4"/>
  <c r="AV50" i="4"/>
  <c r="AW50" i="4"/>
  <c r="AX50" i="4"/>
  <c r="AI50" i="4"/>
  <c r="AJ46" i="4"/>
  <c r="AJ113" i="4" s="1"/>
  <c r="AK46" i="4"/>
  <c r="AK113" i="4" s="1"/>
  <c r="AL46" i="4"/>
  <c r="AL113" i="4" s="1"/>
  <c r="AM46" i="4"/>
  <c r="AM113" i="4" s="1"/>
  <c r="AN46" i="4"/>
  <c r="AN113" i="4" s="1"/>
  <c r="AO46" i="4"/>
  <c r="AO113" i="4" s="1"/>
  <c r="AP46" i="4"/>
  <c r="AP113" i="4" s="1"/>
  <c r="AQ46" i="4"/>
  <c r="AQ113" i="4" s="1"/>
  <c r="AR46" i="4"/>
  <c r="AR113" i="4" s="1"/>
  <c r="AS46" i="4"/>
  <c r="AS113" i="4" s="1"/>
  <c r="AT46" i="4"/>
  <c r="AT113" i="4" s="1"/>
  <c r="AU46" i="4"/>
  <c r="AU113" i="4" s="1"/>
  <c r="AV46" i="4"/>
  <c r="AV113" i="4" s="1"/>
  <c r="AW46" i="4"/>
  <c r="AW113" i="4" s="1"/>
  <c r="AX46" i="4"/>
  <c r="AI46" i="4"/>
  <c r="AI113" i="4" s="1"/>
  <c r="G33" i="65"/>
  <c r="AJ42" i="4"/>
  <c r="AJ111" i="4" s="1"/>
  <c r="AK42" i="4"/>
  <c r="AK111" i="4" s="1"/>
  <c r="AL42" i="4"/>
  <c r="AL111" i="4" s="1"/>
  <c r="AM42" i="4"/>
  <c r="AM111" i="4" s="1"/>
  <c r="AN42" i="4"/>
  <c r="AN111" i="4" s="1"/>
  <c r="AO42" i="4"/>
  <c r="AO111" i="4" s="1"/>
  <c r="AP42" i="4"/>
  <c r="AP111" i="4" s="1"/>
  <c r="AQ42" i="4"/>
  <c r="AQ111" i="4" s="1"/>
  <c r="AR42" i="4"/>
  <c r="AR111" i="4" s="1"/>
  <c r="AS42" i="4"/>
  <c r="AS111" i="4" s="1"/>
  <c r="AT42" i="4"/>
  <c r="AT111" i="4" s="1"/>
  <c r="AU42" i="4"/>
  <c r="AU111" i="4" s="1"/>
  <c r="AV42" i="4"/>
  <c r="AV111" i="4" s="1"/>
  <c r="AW42" i="4"/>
  <c r="AW111" i="4" s="1"/>
  <c r="AX42" i="4"/>
  <c r="AX111" i="4" s="1"/>
  <c r="AI42" i="4"/>
  <c r="AI111" i="4" s="1"/>
  <c r="AJ38" i="4"/>
  <c r="AJ110" i="4" s="1"/>
  <c r="AK38" i="4"/>
  <c r="AK110" i="4" s="1"/>
  <c r="AL38" i="4"/>
  <c r="AL110" i="4" s="1"/>
  <c r="AM38" i="4"/>
  <c r="AM110" i="4" s="1"/>
  <c r="AN38" i="4"/>
  <c r="AN110" i="4" s="1"/>
  <c r="AO38" i="4"/>
  <c r="AO110" i="4" s="1"/>
  <c r="AP38" i="4"/>
  <c r="AP110" i="4" s="1"/>
  <c r="AQ38" i="4"/>
  <c r="AQ110" i="4" s="1"/>
  <c r="AR38" i="4"/>
  <c r="AR110" i="4" s="1"/>
  <c r="AS38" i="4"/>
  <c r="AS110" i="4" s="1"/>
  <c r="AT38" i="4"/>
  <c r="AT110" i="4" s="1"/>
  <c r="AU38" i="4"/>
  <c r="AU110" i="4" s="1"/>
  <c r="AV38" i="4"/>
  <c r="AV110" i="4" s="1"/>
  <c r="AW38" i="4"/>
  <c r="AW110" i="4" s="1"/>
  <c r="AX38" i="4"/>
  <c r="AX110" i="4" s="1"/>
  <c r="AI38" i="4"/>
  <c r="AI110" i="4" s="1"/>
  <c r="AJ34" i="4"/>
  <c r="AJ106" i="4" s="1"/>
  <c r="AK34" i="4"/>
  <c r="AK106" i="4" s="1"/>
  <c r="AL34" i="4"/>
  <c r="AL106" i="4" s="1"/>
  <c r="AM34" i="4"/>
  <c r="AM106" i="4" s="1"/>
  <c r="AN34" i="4"/>
  <c r="AN106" i="4" s="1"/>
  <c r="AO34" i="4"/>
  <c r="AO106" i="4" s="1"/>
  <c r="AP34" i="4"/>
  <c r="AP106" i="4" s="1"/>
  <c r="AQ34" i="4"/>
  <c r="AQ106" i="4" s="1"/>
  <c r="AR34" i="4"/>
  <c r="AR106" i="4" s="1"/>
  <c r="AS34" i="4"/>
  <c r="AS106" i="4" s="1"/>
  <c r="AT34" i="4"/>
  <c r="AT106" i="4" s="1"/>
  <c r="AU34" i="4"/>
  <c r="AU106" i="4" s="1"/>
  <c r="AV34" i="4"/>
  <c r="AV106" i="4" s="1"/>
  <c r="AW34" i="4"/>
  <c r="AW106" i="4" s="1"/>
  <c r="AX34" i="4"/>
  <c r="AX106" i="4" s="1"/>
  <c r="AI34" i="4"/>
  <c r="AJ30" i="4"/>
  <c r="AJ107" i="4" s="1"/>
  <c r="AK30" i="4"/>
  <c r="AK107" i="4" s="1"/>
  <c r="AL30" i="4"/>
  <c r="AL107" i="4" s="1"/>
  <c r="AM30" i="4"/>
  <c r="AM107" i="4" s="1"/>
  <c r="AN30" i="4"/>
  <c r="AN107" i="4" s="1"/>
  <c r="AO30" i="4"/>
  <c r="AO107" i="4" s="1"/>
  <c r="AP30" i="4"/>
  <c r="AP107" i="4" s="1"/>
  <c r="AQ30" i="4"/>
  <c r="AQ107" i="4" s="1"/>
  <c r="AR30" i="4"/>
  <c r="AR107" i="4" s="1"/>
  <c r="AS30" i="4"/>
  <c r="AS107" i="4" s="1"/>
  <c r="AT30" i="4"/>
  <c r="AT107" i="4" s="1"/>
  <c r="AU30" i="4"/>
  <c r="AU107" i="4" s="1"/>
  <c r="AV30" i="4"/>
  <c r="AV107" i="4" s="1"/>
  <c r="AW30" i="4"/>
  <c r="AW107" i="4" s="1"/>
  <c r="AX30" i="4"/>
  <c r="AX107" i="4" s="1"/>
  <c r="AI30" i="4"/>
  <c r="AI107" i="4" s="1"/>
  <c r="EX8" i="4" a="1"/>
  <c r="EY8" i="4" a="1"/>
  <c r="EY8" i="4" s="1"/>
  <c r="EZ8" i="4" a="1"/>
  <c r="EZ8" i="4" s="1"/>
  <c r="FA8" i="4" a="1"/>
  <c r="FA8" i="4" s="1"/>
  <c r="FB8" i="4" a="1"/>
  <c r="FB8" i="4" s="1"/>
  <c r="FC8" i="4" a="1"/>
  <c r="FC8" i="4" s="1"/>
  <c r="FD8" i="4" a="1"/>
  <c r="FD8" i="4" s="1"/>
  <c r="FE8" i="4" a="1"/>
  <c r="FE8" i="4" s="1"/>
  <c r="FF8" i="4" a="1"/>
  <c r="FF8" i="4" s="1"/>
  <c r="FG8" i="4" a="1"/>
  <c r="FG8" i="4" s="1"/>
  <c r="FH8" i="4" a="1"/>
  <c r="FI8" i="4" a="1"/>
  <c r="FI8" i="4" s="1"/>
  <c r="FJ8" i="4" a="1"/>
  <c r="FJ8" i="4" s="1"/>
  <c r="FK8" i="4" a="1"/>
  <c r="DT8" i="4" a="1"/>
  <c r="DT8" i="4" s="1"/>
  <c r="DU8" i="4" a="1"/>
  <c r="DU8" i="4" s="1"/>
  <c r="DV8" i="4" a="1"/>
  <c r="DV8" i="4" s="1"/>
  <c r="DW8" i="4" a="1"/>
  <c r="DW8" i="4" s="1"/>
  <c r="DX8" i="4" a="1"/>
  <c r="DX8" i="4" s="1"/>
  <c r="DY8" i="4" a="1"/>
  <c r="DY8" i="4" s="1"/>
  <c r="DZ8" i="4" a="1"/>
  <c r="DZ8" i="4" s="1"/>
  <c r="EA8" i="4" a="1"/>
  <c r="EA8" i="4" s="1"/>
  <c r="EB8" i="4" a="1"/>
  <c r="EB8" i="4" s="1"/>
  <c r="EC8" i="4" a="1"/>
  <c r="EC8" i="4" s="1"/>
  <c r="ED8" i="4" a="1"/>
  <c r="ED8" i="4" s="1"/>
  <c r="EE8" i="4" a="1"/>
  <c r="EE8" i="4" s="1"/>
  <c r="EF8" i="4" a="1"/>
  <c r="EF8" i="4" s="1"/>
  <c r="EG8" i="4" a="1"/>
  <c r="EG8" i="4" s="1"/>
  <c r="EH8" i="4" a="1"/>
  <c r="EH8" i="4" s="1"/>
  <c r="DS8" i="4" a="1"/>
  <c r="DS8" i="4" s="1"/>
  <c r="CP8" i="4" a="1"/>
  <c r="CP8" i="4" s="1"/>
  <c r="CQ8" i="4" a="1"/>
  <c r="CQ8" i="4" s="1"/>
  <c r="CR8" i="4" a="1"/>
  <c r="CR8" i="4" s="1"/>
  <c r="CS8" i="4" a="1"/>
  <c r="CS8" i="4" s="1"/>
  <c r="CT8" i="4" a="1"/>
  <c r="CT8" i="4" s="1"/>
  <c r="CU8" i="4" a="1"/>
  <c r="CU8" i="4" s="1"/>
  <c r="CV8" i="4" a="1"/>
  <c r="CV8" i="4" s="1"/>
  <c r="CW8" i="4" a="1"/>
  <c r="CW8" i="4" s="1"/>
  <c r="CX8" i="4" a="1"/>
  <c r="CX8" i="4" s="1"/>
  <c r="CY8" i="4" a="1"/>
  <c r="CY8" i="4" s="1"/>
  <c r="CZ8" i="4" a="1"/>
  <c r="CZ8" i="4" s="1"/>
  <c r="DA8" i="4" a="1"/>
  <c r="DA8" i="4" s="1"/>
  <c r="DB8" i="4" a="1"/>
  <c r="DB8" i="4" s="1"/>
  <c r="DC8" i="4" a="1"/>
  <c r="DC8" i="4" s="1"/>
  <c r="DD8" i="4" a="1"/>
  <c r="DD8" i="4" s="1"/>
  <c r="CO8" i="4" a="1"/>
  <c r="CO8" i="4" s="1"/>
  <c r="BM8" i="4" a="1"/>
  <c r="BN8" i="4" a="1"/>
  <c r="BO8" i="4" a="1"/>
  <c r="BP8" i="4" a="1"/>
  <c r="BQ8" i="4" a="1"/>
  <c r="BR8" i="4" a="1"/>
  <c r="BS8" i="4" a="1"/>
  <c r="BT8" i="4" a="1"/>
  <c r="BU8" i="4" a="1"/>
  <c r="BV8" i="4" a="1"/>
  <c r="BW8" i="4" a="1"/>
  <c r="BX8" i="4" a="1"/>
  <c r="BY8" i="4" a="1"/>
  <c r="BZ8" i="4" a="1"/>
  <c r="CA8" i="4" a="1"/>
  <c r="BL8" i="4" a="1"/>
  <c r="AJ28" i="4"/>
  <c r="AJ103" i="4" s="1"/>
  <c r="AK28" i="4"/>
  <c r="AK103" i="4" s="1"/>
  <c r="AL28" i="4"/>
  <c r="AL103" i="4" s="1"/>
  <c r="AM28" i="4"/>
  <c r="AM103" i="4" s="1"/>
  <c r="AN28" i="4"/>
  <c r="AN103" i="4" s="1"/>
  <c r="AO28" i="4"/>
  <c r="AO103" i="4" s="1"/>
  <c r="AP28" i="4"/>
  <c r="AP103" i="4" s="1"/>
  <c r="AQ28" i="4"/>
  <c r="AQ103" i="4" s="1"/>
  <c r="AR28" i="4"/>
  <c r="AR103" i="4" s="1"/>
  <c r="AS28" i="4"/>
  <c r="AS103" i="4" s="1"/>
  <c r="AT28" i="4"/>
  <c r="AT103" i="4" s="1"/>
  <c r="AU28" i="4"/>
  <c r="AU103" i="4" s="1"/>
  <c r="AV28" i="4"/>
  <c r="AV103" i="4" s="1"/>
  <c r="AW28" i="4"/>
  <c r="AW103" i="4" s="1"/>
  <c r="AX28" i="4"/>
  <c r="AX103" i="4" s="1"/>
  <c r="AI28" i="4"/>
  <c r="AI103" i="4" s="1"/>
  <c r="AJ24" i="4"/>
  <c r="AJ102" i="4" s="1"/>
  <c r="AK24" i="4"/>
  <c r="AK102" i="4" s="1"/>
  <c r="AL24" i="4"/>
  <c r="AL102" i="4" s="1"/>
  <c r="AM24" i="4"/>
  <c r="AM102" i="4" s="1"/>
  <c r="AN24" i="4"/>
  <c r="AN102" i="4" s="1"/>
  <c r="AO24" i="4"/>
  <c r="AO102" i="4" s="1"/>
  <c r="AP24" i="4"/>
  <c r="AP102" i="4" s="1"/>
  <c r="AQ24" i="4"/>
  <c r="AQ102" i="4" s="1"/>
  <c r="AR24" i="4"/>
  <c r="AR102" i="4" s="1"/>
  <c r="AS24" i="4"/>
  <c r="AS102" i="4" s="1"/>
  <c r="AT24" i="4"/>
  <c r="AT102" i="4" s="1"/>
  <c r="AU24" i="4"/>
  <c r="AU102" i="4" s="1"/>
  <c r="AV24" i="4"/>
  <c r="AV102" i="4" s="1"/>
  <c r="AW24" i="4"/>
  <c r="AW102" i="4" s="1"/>
  <c r="AX24" i="4"/>
  <c r="AX102" i="4" s="1"/>
  <c r="AI24" i="4"/>
  <c r="AI102" i="4" s="1"/>
  <c r="AJ20" i="4"/>
  <c r="AJ99" i="4" s="1"/>
  <c r="AK20" i="4"/>
  <c r="AK99" i="4" s="1"/>
  <c r="AL20" i="4"/>
  <c r="AL99" i="4" s="1"/>
  <c r="AM20" i="4"/>
  <c r="AM99" i="4" s="1"/>
  <c r="AN20" i="4"/>
  <c r="AN99" i="4" s="1"/>
  <c r="AO20" i="4"/>
  <c r="AO99" i="4" s="1"/>
  <c r="AP20" i="4"/>
  <c r="AP99" i="4" s="1"/>
  <c r="AQ20" i="4"/>
  <c r="AQ99" i="4" s="1"/>
  <c r="AR20" i="4"/>
  <c r="AR99" i="4" s="1"/>
  <c r="AS20" i="4"/>
  <c r="AS99" i="4" s="1"/>
  <c r="AT20" i="4"/>
  <c r="AT99" i="4" s="1"/>
  <c r="AU20" i="4"/>
  <c r="AU99" i="4" s="1"/>
  <c r="AV20" i="4"/>
  <c r="AV99" i="4" s="1"/>
  <c r="AW20" i="4"/>
  <c r="AW99" i="4" s="1"/>
  <c r="AX20" i="4"/>
  <c r="AX99" i="4" s="1"/>
  <c r="AI20" i="4"/>
  <c r="AI99" i="4" s="1"/>
  <c r="AJ8" i="4" a="1"/>
  <c r="AJ91" i="4" s="1"/>
  <c r="AK8" i="4" a="1"/>
  <c r="AL8" i="4" a="1"/>
  <c r="AM8" i="4" a="1"/>
  <c r="AN8" i="4" a="1"/>
  <c r="AO8" i="4" a="1"/>
  <c r="AO94" i="4" s="1"/>
  <c r="AP8" i="4" a="1"/>
  <c r="AQ8" i="4" a="1"/>
  <c r="AQ89" i="4" s="1"/>
  <c r="AR8" i="4" a="1"/>
  <c r="AR94" i="4" s="1"/>
  <c r="AS8" i="4" a="1"/>
  <c r="AS91" i="4" s="1"/>
  <c r="AT8" i="4" a="1"/>
  <c r="AU8" i="4" a="1"/>
  <c r="AV8" i="4" a="1"/>
  <c r="AW8" i="4" a="1"/>
  <c r="AX8" i="4" a="1"/>
  <c r="AX8" i="4" s="1"/>
  <c r="AX88" i="4" s="1"/>
  <c r="AI8" i="4" a="1"/>
  <c r="S57" i="4"/>
  <c r="G33" i="7"/>
  <c r="R53" i="4"/>
  <c r="S53" i="4"/>
  <c r="T53" i="4"/>
  <c r="U53" i="4"/>
  <c r="Q53" i="4"/>
  <c r="P53" i="4"/>
  <c r="L53" i="4"/>
  <c r="M53" i="4"/>
  <c r="N53" i="4"/>
  <c r="O53" i="4"/>
  <c r="J53" i="4"/>
  <c r="R52" i="4"/>
  <c r="S52" i="4"/>
  <c r="T52" i="4"/>
  <c r="U52" i="4"/>
  <c r="Q52" i="4"/>
  <c r="P52" i="4"/>
  <c r="L52" i="4"/>
  <c r="M52" i="4"/>
  <c r="N52" i="4"/>
  <c r="O52" i="4"/>
  <c r="J52" i="4"/>
  <c r="U51" i="4"/>
  <c r="R51" i="4"/>
  <c r="S51" i="4"/>
  <c r="T51" i="4"/>
  <c r="Q51" i="4"/>
  <c r="P51" i="4"/>
  <c r="L51" i="4"/>
  <c r="M51" i="4"/>
  <c r="N51" i="4"/>
  <c r="O51" i="4"/>
  <c r="J51" i="4"/>
  <c r="R50" i="4"/>
  <c r="S50" i="4"/>
  <c r="T50" i="4"/>
  <c r="U50" i="4"/>
  <c r="Q50" i="4"/>
  <c r="P50" i="4"/>
  <c r="L50" i="4"/>
  <c r="M50" i="4"/>
  <c r="N50" i="4"/>
  <c r="O50" i="4"/>
  <c r="J50" i="4"/>
  <c r="L46" i="4"/>
  <c r="M46" i="4"/>
  <c r="N46" i="4"/>
  <c r="O46" i="4"/>
  <c r="J46" i="4"/>
  <c r="T42" i="4"/>
  <c r="U42" i="4"/>
  <c r="L42" i="4"/>
  <c r="M42" i="4"/>
  <c r="N42" i="4"/>
  <c r="O42" i="4"/>
  <c r="J42" i="4"/>
  <c r="T38" i="4"/>
  <c r="U38" i="4"/>
  <c r="L38" i="4"/>
  <c r="M38" i="4"/>
  <c r="N38" i="4"/>
  <c r="O38" i="4"/>
  <c r="J38" i="4"/>
  <c r="J20" i="4"/>
  <c r="AX146" i="4"/>
  <c r="AQ146" i="4"/>
  <c r="AR146" i="4"/>
  <c r="AS146" i="4"/>
  <c r="AT146" i="4"/>
  <c r="AU146" i="4"/>
  <c r="AV146" i="4"/>
  <c r="AW146" i="4"/>
  <c r="AI146" i="4"/>
  <c r="AJ146" i="4"/>
  <c r="AK146" i="4"/>
  <c r="AL146" i="4"/>
  <c r="AM146" i="4"/>
  <c r="AN146" i="4"/>
  <c r="AO146" i="4"/>
  <c r="AP146" i="4"/>
  <c r="FH8" i="4" l="1"/>
  <c r="FH61" i="4"/>
  <c r="FK8" i="4"/>
  <c r="FK65" i="4"/>
  <c r="F99" i="4"/>
  <c r="F319" i="4"/>
  <c r="F80" i="4"/>
  <c r="R57" i="4"/>
  <c r="P57" i="4"/>
  <c r="Q57" i="4"/>
  <c r="AI106" i="4"/>
  <c r="AI108" i="4" s="1"/>
  <c r="CO44" i="81"/>
  <c r="CO44" i="80"/>
  <c r="J99" i="4"/>
  <c r="J97" i="4"/>
  <c r="EX8" i="4"/>
  <c r="EW8" i="4" s="1"/>
  <c r="EW14" i="4"/>
  <c r="EW13" i="4"/>
  <c r="EW9" i="4"/>
  <c r="EW12" i="4"/>
  <c r="EW11" i="4"/>
  <c r="EW10" i="4"/>
  <c r="AQ104" i="4"/>
  <c r="AS108" i="4"/>
  <c r="AP108" i="4"/>
  <c r="AS104" i="4"/>
  <c r="AV108" i="4"/>
  <c r="O57" i="4"/>
  <c r="L57" i="4"/>
  <c r="M57" i="4"/>
  <c r="N57" i="4"/>
  <c r="K57" i="4"/>
  <c r="J57" i="4"/>
  <c r="G34" i="7"/>
  <c r="AO104" i="4"/>
  <c r="AN104" i="4"/>
  <c r="AM104" i="4"/>
  <c r="AK104" i="4"/>
  <c r="AV104" i="4"/>
  <c r="AN108" i="4"/>
  <c r="AX104" i="4"/>
  <c r="AS56" i="4"/>
  <c r="AS116" i="4" s="1"/>
  <c r="AT55" i="4"/>
  <c r="AT115" i="4" s="1"/>
  <c r="AS55" i="4"/>
  <c r="AS115" i="4" s="1"/>
  <c r="S55" i="4"/>
  <c r="AK108" i="4"/>
  <c r="F97" i="4"/>
  <c r="F98" i="4"/>
  <c r="AR104" i="4"/>
  <c r="AP104" i="4"/>
  <c r="AU104" i="4"/>
  <c r="AT104" i="4"/>
  <c r="AQ94" i="4"/>
  <c r="AX108" i="4"/>
  <c r="AM108" i="4"/>
  <c r="AX94" i="4"/>
  <c r="AX93" i="4"/>
  <c r="AJ92" i="4"/>
  <c r="AX92" i="4"/>
  <c r="AX91" i="4"/>
  <c r="AX90" i="4"/>
  <c r="AX89" i="4"/>
  <c r="AV8" i="4"/>
  <c r="AV88" i="4" s="1"/>
  <c r="AV92" i="4"/>
  <c r="AV91" i="4"/>
  <c r="AV90" i="4"/>
  <c r="AV89" i="4"/>
  <c r="AV93" i="4"/>
  <c r="AV94" i="4"/>
  <c r="BY8" i="4"/>
  <c r="AU8" i="4"/>
  <c r="AU88" i="4" s="1"/>
  <c r="AU91" i="4"/>
  <c r="AU90" i="4"/>
  <c r="AU89" i="4"/>
  <c r="AU92" i="4"/>
  <c r="AU94" i="4"/>
  <c r="AU93" i="4"/>
  <c r="BX8" i="4"/>
  <c r="AU108" i="4"/>
  <c r="BW8" i="4"/>
  <c r="BQ8" i="4"/>
  <c r="AM8" i="4"/>
  <c r="AM88" i="4" s="1"/>
  <c r="AM91" i="4"/>
  <c r="AM90" i="4"/>
  <c r="AM89" i="4"/>
  <c r="AM93" i="4"/>
  <c r="AM94" i="4"/>
  <c r="AM92" i="4"/>
  <c r="AT8" i="4"/>
  <c r="AT88" i="4" s="1"/>
  <c r="AT90" i="4"/>
  <c r="AT89" i="4"/>
  <c r="AT94" i="4"/>
  <c r="AT91" i="4"/>
  <c r="AT92" i="4"/>
  <c r="AT93" i="4"/>
  <c r="AL104" i="4"/>
  <c r="AT108" i="4"/>
  <c r="AN8" i="4"/>
  <c r="AN88" i="4" s="1"/>
  <c r="AN92" i="4"/>
  <c r="AN91" i="4"/>
  <c r="AN90" i="4"/>
  <c r="AN89" i="4"/>
  <c r="AN93" i="4"/>
  <c r="AN94" i="4"/>
  <c r="BP8" i="4"/>
  <c r="AL8" i="4"/>
  <c r="AL88" i="4" s="1"/>
  <c r="AL90" i="4"/>
  <c r="AL89" i="4"/>
  <c r="AL93" i="4"/>
  <c r="AL94" i="4"/>
  <c r="AL92" i="4"/>
  <c r="AL91" i="4"/>
  <c r="BO8" i="4"/>
  <c r="AL108" i="4"/>
  <c r="AR8" i="4"/>
  <c r="AR88" i="4" s="1"/>
  <c r="AR93" i="4"/>
  <c r="AR91" i="4"/>
  <c r="AR89" i="4"/>
  <c r="AJ8" i="4"/>
  <c r="AJ88" i="4" s="1"/>
  <c r="AJ93" i="4"/>
  <c r="AJ90" i="4"/>
  <c r="AJ104" i="4"/>
  <c r="BU8" i="4"/>
  <c r="BM8" i="4"/>
  <c r="AR108" i="4"/>
  <c r="AJ108" i="4"/>
  <c r="AJ94" i="4"/>
  <c r="AS93" i="4"/>
  <c r="AS90" i="4"/>
  <c r="AK8" i="4"/>
  <c r="AK88" i="4" s="1"/>
  <c r="AK89" i="4"/>
  <c r="AK94" i="4"/>
  <c r="AK92" i="4"/>
  <c r="AK90" i="4"/>
  <c r="BN8" i="4"/>
  <c r="BL8" i="4"/>
  <c r="BT8" i="4"/>
  <c r="AQ108" i="4"/>
  <c r="AS92" i="4"/>
  <c r="AR90" i="4"/>
  <c r="AJ89" i="4"/>
  <c r="AS8" i="4"/>
  <c r="AS88" i="4" s="1"/>
  <c r="AS89" i="4"/>
  <c r="AS94" i="4"/>
  <c r="BV8" i="4"/>
  <c r="AI8" i="4"/>
  <c r="AI88" i="4" s="1"/>
  <c r="AI94" i="4"/>
  <c r="AI93" i="4"/>
  <c r="AI92" i="4"/>
  <c r="AI91" i="4"/>
  <c r="AQ8" i="4"/>
  <c r="AQ88" i="4" s="1"/>
  <c r="AQ93" i="4"/>
  <c r="AQ92" i="4"/>
  <c r="AQ91" i="4"/>
  <c r="AI104" i="4"/>
  <c r="AP8" i="4"/>
  <c r="AP88" i="4" s="1"/>
  <c r="AP94" i="4"/>
  <c r="AP93" i="4"/>
  <c r="AP92" i="4"/>
  <c r="AP91" i="4"/>
  <c r="AP90" i="4"/>
  <c r="AP89" i="4"/>
  <c r="CA8" i="4"/>
  <c r="BS8" i="4"/>
  <c r="AK93" i="4"/>
  <c r="AR92" i="4"/>
  <c r="AQ90" i="4"/>
  <c r="AI89" i="4"/>
  <c r="AW8" i="4"/>
  <c r="AW88" i="4" s="1"/>
  <c r="AW93" i="4"/>
  <c r="AW92" i="4"/>
  <c r="AW91" i="4"/>
  <c r="AW90" i="4"/>
  <c r="AW89" i="4"/>
  <c r="AW94" i="4"/>
  <c r="AO8" i="4"/>
  <c r="AO88" i="4" s="1"/>
  <c r="AO93" i="4"/>
  <c r="AO92" i="4"/>
  <c r="AO91" i="4"/>
  <c r="AO90" i="4"/>
  <c r="AO89" i="4"/>
  <c r="AW104" i="4"/>
  <c r="BZ8" i="4"/>
  <c r="BR8" i="4"/>
  <c r="AW108" i="4"/>
  <c r="AO108" i="4"/>
  <c r="AK91" i="4"/>
  <c r="AI90" i="4"/>
  <c r="G32" i="65"/>
  <c r="P55" i="4" l="1"/>
  <c r="R55" i="4"/>
  <c r="Q55" i="4"/>
  <c r="V57" i="4"/>
  <c r="X57" i="4"/>
  <c r="W57" i="4"/>
  <c r="F57" i="4"/>
  <c r="AW55" i="4"/>
  <c r="AW115" i="4" s="1"/>
  <c r="AU55" i="4"/>
  <c r="AU115" i="4" s="1"/>
  <c r="T57" i="4"/>
  <c r="U57" i="4"/>
  <c r="AS117" i="4"/>
  <c r="AK55" i="4"/>
  <c r="AK115" i="4" s="1"/>
  <c r="G31" i="7"/>
  <c r="AM55" i="4"/>
  <c r="AM115" i="4" s="1"/>
  <c r="AO55" i="4"/>
  <c r="AO115" i="4" s="1"/>
  <c r="AL55" i="4"/>
  <c r="AL115" i="4" s="1"/>
  <c r="AN55" i="4"/>
  <c r="AN115" i="4" s="1"/>
  <c r="AR55" i="4"/>
  <c r="AR115" i="4" s="1"/>
  <c r="AV55" i="4"/>
  <c r="AV115" i="4" s="1"/>
  <c r="AX55" i="4"/>
  <c r="AX115" i="4" s="1"/>
  <c r="AQ55" i="4"/>
  <c r="AQ115" i="4" s="1"/>
  <c r="AP55" i="4"/>
  <c r="AP115" i="4" s="1"/>
  <c r="AJ55" i="4"/>
  <c r="AJ115" i="4" s="1"/>
  <c r="G30" i="65"/>
  <c r="S56" i="4"/>
  <c r="O55" i="4"/>
  <c r="K55" i="4"/>
  <c r="J55" i="4"/>
  <c r="L55" i="4"/>
  <c r="M55" i="4"/>
  <c r="N55" i="4"/>
  <c r="AR95" i="4"/>
  <c r="AJ95" i="4"/>
  <c r="AX95" i="4"/>
  <c r="AW95" i="4"/>
  <c r="AN95" i="4"/>
  <c r="AO95" i="4"/>
  <c r="AI95" i="4"/>
  <c r="AP95" i="4"/>
  <c r="AS95" i="4"/>
  <c r="AL95" i="4"/>
  <c r="AM95" i="4"/>
  <c r="AK95" i="4"/>
  <c r="AU95" i="4"/>
  <c r="AQ95" i="4"/>
  <c r="AT95" i="4"/>
  <c r="AV95" i="4"/>
  <c r="R56" i="4" l="1"/>
  <c r="Q56" i="4"/>
  <c r="P56" i="4"/>
  <c r="AG115" i="4"/>
  <c r="AF115" i="4"/>
  <c r="AE115" i="4"/>
  <c r="AT56" i="4"/>
  <c r="AT116" i="4" s="1"/>
  <c r="AT117" i="4" s="1"/>
  <c r="AU56" i="4"/>
  <c r="AU116" i="4" s="1"/>
  <c r="AU117" i="4" s="1"/>
  <c r="AI55" i="4"/>
  <c r="V55" i="4"/>
  <c r="V115" i="4" s="1"/>
  <c r="W55" i="4"/>
  <c r="W115" i="4" s="1"/>
  <c r="AA115" i="4"/>
  <c r="AC115" i="4"/>
  <c r="X55" i="4"/>
  <c r="X115" i="4" s="1"/>
  <c r="Y115" i="4"/>
  <c r="Z115" i="4"/>
  <c r="AB115" i="4"/>
  <c r="AD115" i="4"/>
  <c r="G32" i="7"/>
  <c r="G35" i="7" s="1"/>
  <c r="U55" i="4"/>
  <c r="T55" i="4"/>
  <c r="AW56" i="4"/>
  <c r="AW116" i="4" s="1"/>
  <c r="AK56" i="4"/>
  <c r="AK116" i="4" s="1"/>
  <c r="AM56" i="4"/>
  <c r="AM116" i="4" s="1"/>
  <c r="AL56" i="4"/>
  <c r="AL116" i="4" s="1"/>
  <c r="AO56" i="4"/>
  <c r="AO116" i="4" s="1"/>
  <c r="AX56" i="4"/>
  <c r="AX116" i="4" s="1"/>
  <c r="AP56" i="4"/>
  <c r="AP116" i="4" s="1"/>
  <c r="AQ56" i="4"/>
  <c r="AQ116" i="4" s="1"/>
  <c r="AV56" i="4"/>
  <c r="AV116" i="4" s="1"/>
  <c r="AR56" i="4"/>
  <c r="AR116" i="4" s="1"/>
  <c r="AJ56" i="4"/>
  <c r="AJ116" i="4" s="1"/>
  <c r="AN56" i="4"/>
  <c r="AN116" i="4" s="1"/>
  <c r="G31" i="65"/>
  <c r="O56" i="4"/>
  <c r="N56" i="4"/>
  <c r="K56" i="4"/>
  <c r="J56" i="4"/>
  <c r="L56" i="4"/>
  <c r="M56" i="4"/>
  <c r="K30" i="4"/>
  <c r="L30" i="4"/>
  <c r="M30" i="4"/>
  <c r="N30" i="4"/>
  <c r="O30" i="4"/>
  <c r="J30" i="4"/>
  <c r="K34" i="4"/>
  <c r="L34" i="4"/>
  <c r="M34" i="4"/>
  <c r="N34" i="4"/>
  <c r="O34" i="4"/>
  <c r="J34" i="4"/>
  <c r="T28" i="4"/>
  <c r="U28" i="4"/>
  <c r="Q100" i="4"/>
  <c r="R100" i="4"/>
  <c r="S100" i="4"/>
  <c r="T24" i="4"/>
  <c r="T100" i="4" s="1"/>
  <c r="U24" i="4"/>
  <c r="U100" i="4" s="1"/>
  <c r="P100" i="4"/>
  <c r="Q97" i="4"/>
  <c r="R97" i="4"/>
  <c r="S97" i="4"/>
  <c r="T20" i="4"/>
  <c r="T97" i="4" s="1"/>
  <c r="U20" i="4"/>
  <c r="U97" i="4" s="1"/>
  <c r="P97" i="4"/>
  <c r="AI115" i="4" l="1"/>
  <c r="AG116" i="4"/>
  <c r="AG117" i="4" s="1"/>
  <c r="AF116" i="4"/>
  <c r="AF117" i="4" s="1"/>
  <c r="AE116" i="4"/>
  <c r="AE117" i="4" s="1"/>
  <c r="Y116" i="4"/>
  <c r="Y117" i="4" s="1"/>
  <c r="Z116" i="4"/>
  <c r="Z117" i="4" s="1"/>
  <c r="AC116" i="4"/>
  <c r="AC117" i="4" s="1"/>
  <c r="W56" i="4"/>
  <c r="X56" i="4"/>
  <c r="AA116" i="4"/>
  <c r="AA117" i="4" s="1"/>
  <c r="AB116" i="4"/>
  <c r="AB117" i="4" s="1"/>
  <c r="AD116" i="4"/>
  <c r="AD117" i="4" s="1"/>
  <c r="V56" i="4"/>
  <c r="U56" i="4"/>
  <c r="T56" i="4"/>
  <c r="AW117" i="4"/>
  <c r="AO117" i="4"/>
  <c r="AX117" i="4"/>
  <c r="AV117" i="4"/>
  <c r="AQ117" i="4"/>
  <c r="AR117" i="4"/>
  <c r="AN117" i="4"/>
  <c r="AL117" i="4"/>
  <c r="AP117" i="4"/>
  <c r="AJ117" i="4"/>
  <c r="AK117" i="4"/>
  <c r="AM117" i="4"/>
  <c r="G34" i="65"/>
  <c r="AI56" i="4"/>
  <c r="AI116" i="4" s="1"/>
  <c r="K20" i="4"/>
  <c r="K97" i="4" s="1"/>
  <c r="L20" i="4"/>
  <c r="L97" i="4" s="1"/>
  <c r="M20" i="4"/>
  <c r="M97" i="4" s="1"/>
  <c r="N20" i="4"/>
  <c r="N97" i="4" s="1"/>
  <c r="O20" i="4"/>
  <c r="O97" i="4" s="1"/>
  <c r="K77" i="4"/>
  <c r="K80" i="4" s="1"/>
  <c r="L80" i="4"/>
  <c r="M77" i="4"/>
  <c r="M80" i="4" s="1"/>
  <c r="N77" i="4"/>
  <c r="N80" i="4" s="1"/>
  <c r="O77" i="4"/>
  <c r="O80" i="4" s="1"/>
  <c r="P80" i="4"/>
  <c r="Q77" i="4"/>
  <c r="Q80" i="4" s="1"/>
  <c r="R77" i="4"/>
  <c r="S77" i="4"/>
  <c r="T77" i="4"/>
  <c r="T80" i="4" s="1"/>
  <c r="U77" i="4"/>
  <c r="U80" i="4" s="1"/>
  <c r="G77" i="4"/>
  <c r="G80" i="4" s="1"/>
  <c r="H77" i="4"/>
  <c r="H80" i="4" s="1"/>
  <c r="I77" i="4"/>
  <c r="I80" i="4" s="1"/>
  <c r="K28" i="4"/>
  <c r="L28" i="4"/>
  <c r="M28" i="4"/>
  <c r="N28" i="4"/>
  <c r="O28" i="4"/>
  <c r="J28" i="4"/>
  <c r="K24" i="4"/>
  <c r="K100" i="4" s="1"/>
  <c r="L24" i="4"/>
  <c r="L100" i="4" s="1"/>
  <c r="M24" i="4"/>
  <c r="M100" i="4" s="1"/>
  <c r="N24" i="4"/>
  <c r="N100" i="4" s="1"/>
  <c r="O24" i="4"/>
  <c r="O100" i="4" s="1"/>
  <c r="J24" i="4"/>
  <c r="J100" i="4" s="1"/>
  <c r="G97" i="4"/>
  <c r="H97" i="4"/>
  <c r="I97" i="4"/>
  <c r="F54" i="81" l="1" a="1"/>
  <c r="F54" i="80" a="1"/>
  <c r="W116" i="4"/>
  <c r="W117" i="4" s="1"/>
  <c r="X116" i="4"/>
  <c r="X117" i="4" s="1"/>
  <c r="V116" i="4"/>
  <c r="V117" i="4" s="1"/>
  <c r="CO116" i="4"/>
  <c r="F75" i="4"/>
  <c r="AI117" i="4"/>
  <c r="S80" i="4"/>
  <c r="S78" i="4"/>
  <c r="R80" i="4"/>
  <c r="R78" i="4"/>
  <c r="J77" i="4"/>
  <c r="J80" i="4" s="1"/>
  <c r="I99" i="4"/>
  <c r="I98" i="4"/>
  <c r="H98" i="4"/>
  <c r="G98" i="4"/>
  <c r="F102" i="4"/>
  <c r="F101" i="4"/>
  <c r="F100" i="4"/>
  <c r="I100" i="4"/>
  <c r="I101" i="4"/>
  <c r="H100" i="4"/>
  <c r="H101" i="4"/>
  <c r="G101" i="4"/>
  <c r="G100" i="4"/>
  <c r="FG125" i="4"/>
  <c r="FG63" i="4"/>
  <c r="FG123" i="4"/>
  <c r="FG61" i="4"/>
  <c r="FG64" i="4"/>
  <c r="FG126" i="4"/>
  <c r="FG60" i="4"/>
  <c r="FG124" i="4"/>
  <c r="FG62" i="4"/>
  <c r="FG65" i="4"/>
  <c r="FG121" i="4"/>
  <c r="FG122" i="4"/>
  <c r="P107" i="4"/>
  <c r="P116" i="4"/>
  <c r="P312" i="4" s="1"/>
  <c r="P113" i="4"/>
  <c r="P111" i="4"/>
  <c r="P106" i="4"/>
  <c r="P103" i="4"/>
  <c r="P110" i="4"/>
  <c r="P115" i="4"/>
  <c r="P99" i="4"/>
  <c r="P102" i="4"/>
  <c r="BV146" i="4"/>
  <c r="BV115" i="4"/>
  <c r="BV107" i="4"/>
  <c r="BV110" i="4"/>
  <c r="BV103" i="4"/>
  <c r="BV113" i="4"/>
  <c r="BV106" i="4"/>
  <c r="BV99" i="4"/>
  <c r="BV111" i="4"/>
  <c r="BV102" i="4"/>
  <c r="BV91" i="4"/>
  <c r="BV116" i="4"/>
  <c r="BV92" i="4"/>
  <c r="BV89" i="4"/>
  <c r="BV93" i="4"/>
  <c r="BV90" i="4"/>
  <c r="BV94" i="4"/>
  <c r="BV88" i="4"/>
  <c r="BN146" i="4"/>
  <c r="BN115" i="4"/>
  <c r="BN107" i="4"/>
  <c r="BN111" i="4"/>
  <c r="BN113" i="4"/>
  <c r="BN103" i="4"/>
  <c r="BN110" i="4"/>
  <c r="BN99" i="4"/>
  <c r="BN106" i="4"/>
  <c r="BN102" i="4"/>
  <c r="BN116" i="4"/>
  <c r="BN89" i="4"/>
  <c r="BN91" i="4"/>
  <c r="BN92" i="4"/>
  <c r="BN90" i="4"/>
  <c r="BN93" i="4"/>
  <c r="BN94" i="4"/>
  <c r="BN88" i="4"/>
  <c r="CY146" i="4"/>
  <c r="CY115" i="4"/>
  <c r="CY107" i="4"/>
  <c r="CY88" i="4"/>
  <c r="CY89" i="4"/>
  <c r="CY90" i="4"/>
  <c r="CY116" i="4"/>
  <c r="CY91" i="4"/>
  <c r="CY92" i="4"/>
  <c r="CY94" i="4"/>
  <c r="CY106" i="4"/>
  <c r="CY93" i="4"/>
  <c r="EC121" i="4"/>
  <c r="EC124" i="4"/>
  <c r="EC122" i="4"/>
  <c r="EC123" i="4"/>
  <c r="EC125" i="4"/>
  <c r="EC126" i="4"/>
  <c r="DU121" i="4"/>
  <c r="DU124" i="4"/>
  <c r="DU122" i="4"/>
  <c r="DU126" i="4"/>
  <c r="DU125" i="4"/>
  <c r="DU123" i="4"/>
  <c r="FF121" i="4"/>
  <c r="FF124" i="4"/>
  <c r="FF62" i="4"/>
  <c r="FF122" i="4"/>
  <c r="FF126" i="4"/>
  <c r="FF60" i="4"/>
  <c r="FF63" i="4"/>
  <c r="FF125" i="4"/>
  <c r="FF123" i="4"/>
  <c r="FF65" i="4"/>
  <c r="FF64" i="4"/>
  <c r="FF61" i="4"/>
  <c r="EX121" i="4"/>
  <c r="EX124" i="4"/>
  <c r="EX62" i="4"/>
  <c r="EX122" i="4"/>
  <c r="EX61" i="4"/>
  <c r="EX64" i="4"/>
  <c r="EX60" i="4"/>
  <c r="EX63" i="4"/>
  <c r="EX126" i="4"/>
  <c r="EX123" i="4"/>
  <c r="EX125" i="4"/>
  <c r="EX65" i="4"/>
  <c r="G99" i="4"/>
  <c r="G102" i="4"/>
  <c r="BM146" i="4"/>
  <c r="BM116" i="4"/>
  <c r="BM113" i="4"/>
  <c r="AG230" i="4" s="1"/>
  <c r="BM111" i="4"/>
  <c r="AG238" i="4" s="1"/>
  <c r="BM106" i="4"/>
  <c r="BM110" i="4"/>
  <c r="AG245" i="4" s="1"/>
  <c r="BM102" i="4"/>
  <c r="AG172" i="4" s="1"/>
  <c r="AG179" i="4" s="1"/>
  <c r="BM103" i="4"/>
  <c r="BM115" i="4"/>
  <c r="BM99" i="4"/>
  <c r="AG166" i="4" s="1"/>
  <c r="AG178" i="4" s="1"/>
  <c r="BM107" i="4"/>
  <c r="BM89" i="4"/>
  <c r="BM90" i="4"/>
  <c r="BM92" i="4"/>
  <c r="BM91" i="4"/>
  <c r="BM93" i="4"/>
  <c r="BM94" i="4"/>
  <c r="BM88" i="4"/>
  <c r="CX146" i="4"/>
  <c r="CX116" i="4"/>
  <c r="CX106" i="4"/>
  <c r="CX115" i="4"/>
  <c r="CX88" i="4"/>
  <c r="CX89" i="4"/>
  <c r="CX90" i="4"/>
  <c r="CX91" i="4"/>
  <c r="CX107" i="4"/>
  <c r="CX92" i="4"/>
  <c r="CX93" i="4"/>
  <c r="CX94" i="4"/>
  <c r="EB123" i="4"/>
  <c r="EB122" i="4"/>
  <c r="EB124" i="4"/>
  <c r="EB125" i="4"/>
  <c r="EB126" i="4"/>
  <c r="EB121" i="4"/>
  <c r="DT123" i="4"/>
  <c r="DT121" i="4"/>
  <c r="DT125" i="4"/>
  <c r="DT124" i="4"/>
  <c r="DT122" i="4"/>
  <c r="DT126" i="4"/>
  <c r="FE123" i="4"/>
  <c r="FE61" i="4"/>
  <c r="FE126" i="4"/>
  <c r="FE60" i="4"/>
  <c r="FE63" i="4"/>
  <c r="FE125" i="4"/>
  <c r="FE124" i="4"/>
  <c r="FE65" i="4"/>
  <c r="FE122" i="4"/>
  <c r="FE62" i="4"/>
  <c r="FE121" i="4"/>
  <c r="FE64" i="4"/>
  <c r="EW123" i="4"/>
  <c r="EW61" i="4"/>
  <c r="EW121" i="4"/>
  <c r="EW60" i="4"/>
  <c r="EW63" i="4"/>
  <c r="EW126" i="4"/>
  <c r="EW125" i="4"/>
  <c r="EW65" i="4"/>
  <c r="EW122" i="4"/>
  <c r="EW64" i="4"/>
  <c r="EW124" i="4"/>
  <c r="EW62" i="4"/>
  <c r="N110" i="4"/>
  <c r="N116" i="4"/>
  <c r="N312" i="4" s="1"/>
  <c r="N113" i="4"/>
  <c r="N111" i="4"/>
  <c r="N106" i="4"/>
  <c r="N115" i="4"/>
  <c r="N102" i="4"/>
  <c r="N99" i="4"/>
  <c r="N107" i="4"/>
  <c r="N103" i="4"/>
  <c r="BT146" i="4"/>
  <c r="BT116" i="4"/>
  <c r="BT113" i="4"/>
  <c r="BT111" i="4"/>
  <c r="BT106" i="4"/>
  <c r="BT103" i="4"/>
  <c r="BT107" i="4"/>
  <c r="BT99" i="4"/>
  <c r="BT115" i="4"/>
  <c r="BT102" i="4"/>
  <c r="BT110" i="4"/>
  <c r="BT89" i="4"/>
  <c r="BT92" i="4"/>
  <c r="BT91" i="4"/>
  <c r="BT93" i="4"/>
  <c r="BT90" i="4"/>
  <c r="BT94" i="4"/>
  <c r="BT88" i="4"/>
  <c r="CW146" i="4"/>
  <c r="CW116" i="4"/>
  <c r="CW106" i="4"/>
  <c r="CW115" i="4"/>
  <c r="CW89" i="4"/>
  <c r="CW90" i="4"/>
  <c r="CW91" i="4"/>
  <c r="CW107" i="4"/>
  <c r="CW92" i="4"/>
  <c r="CW93" i="4"/>
  <c r="CW88" i="4"/>
  <c r="CW94" i="4"/>
  <c r="EA122" i="4"/>
  <c r="EA121" i="4"/>
  <c r="EA126" i="4"/>
  <c r="EA124" i="4"/>
  <c r="EA125" i="4"/>
  <c r="EA123" i="4"/>
  <c r="FD122" i="4"/>
  <c r="FD60" i="4"/>
  <c r="FD121" i="4"/>
  <c r="FD126" i="4"/>
  <c r="FD63" i="4"/>
  <c r="FD125" i="4"/>
  <c r="FD124" i="4"/>
  <c r="FD65" i="4"/>
  <c r="FD123" i="4"/>
  <c r="FD62" i="4"/>
  <c r="FD64" i="4"/>
  <c r="FD61" i="4"/>
  <c r="U116" i="4"/>
  <c r="U312" i="4" s="1"/>
  <c r="U113" i="4"/>
  <c r="U111" i="4"/>
  <c r="U106" i="4"/>
  <c r="U103" i="4"/>
  <c r="U99" i="4"/>
  <c r="U110" i="4"/>
  <c r="U107" i="4"/>
  <c r="U102" i="4"/>
  <c r="U115" i="4"/>
  <c r="CA146" i="4"/>
  <c r="CA115" i="4"/>
  <c r="CA110" i="4"/>
  <c r="CA99" i="4"/>
  <c r="CA116" i="4"/>
  <c r="CA111" i="4"/>
  <c r="CA102" i="4"/>
  <c r="CA103" i="4"/>
  <c r="CA107" i="4"/>
  <c r="CA113" i="4"/>
  <c r="CA106" i="4"/>
  <c r="CA90" i="4"/>
  <c r="CA89" i="4"/>
  <c r="CA93" i="4"/>
  <c r="CA92" i="4"/>
  <c r="CA91" i="4"/>
  <c r="CA94" i="4"/>
  <c r="CA88" i="4"/>
  <c r="EH126" i="4"/>
  <c r="EH125" i="4"/>
  <c r="EH124" i="4"/>
  <c r="EH123" i="4"/>
  <c r="EH121" i="4"/>
  <c r="EH122" i="4"/>
  <c r="L110" i="4"/>
  <c r="L115" i="4"/>
  <c r="L116" i="4"/>
  <c r="L312" i="4" s="1"/>
  <c r="L113" i="4"/>
  <c r="L99" i="4"/>
  <c r="L111" i="4"/>
  <c r="L102" i="4"/>
  <c r="L107" i="4"/>
  <c r="L103" i="4"/>
  <c r="L106" i="4"/>
  <c r="DC146" i="4"/>
  <c r="DC116" i="4"/>
  <c r="DC115" i="4"/>
  <c r="DC106" i="4"/>
  <c r="DC91" i="4"/>
  <c r="DC92" i="4"/>
  <c r="DC93" i="4"/>
  <c r="DC94" i="4"/>
  <c r="DC89" i="4"/>
  <c r="DC107" i="4"/>
  <c r="DC88" i="4"/>
  <c r="DC90" i="4"/>
  <c r="EG121" i="4"/>
  <c r="EG126" i="4"/>
  <c r="EG125" i="4"/>
  <c r="EG124" i="4"/>
  <c r="EG123" i="4"/>
  <c r="EG122" i="4"/>
  <c r="S116" i="4"/>
  <c r="S312" i="4" s="1"/>
  <c r="S113" i="4"/>
  <c r="S115" i="4"/>
  <c r="S102" i="4"/>
  <c r="S107" i="4"/>
  <c r="S99" i="4"/>
  <c r="S110" i="4"/>
  <c r="S106" i="4"/>
  <c r="S103" i="4"/>
  <c r="S111" i="4"/>
  <c r="K116" i="4"/>
  <c r="K312" i="4" s="1"/>
  <c r="K113" i="4"/>
  <c r="K115" i="4"/>
  <c r="K110" i="4"/>
  <c r="K102" i="4"/>
  <c r="K107" i="4"/>
  <c r="K99" i="4"/>
  <c r="K111" i="4"/>
  <c r="K103" i="4"/>
  <c r="K106" i="4"/>
  <c r="BY146" i="4"/>
  <c r="BY107" i="4"/>
  <c r="BY116" i="4"/>
  <c r="BY102" i="4"/>
  <c r="BY103" i="4"/>
  <c r="BY110" i="4"/>
  <c r="BY113" i="4"/>
  <c r="BY111" i="4"/>
  <c r="BY99" i="4"/>
  <c r="BY115" i="4"/>
  <c r="BY94" i="4"/>
  <c r="BY106" i="4"/>
  <c r="BY91" i="4"/>
  <c r="BY93" i="4"/>
  <c r="BY90" i="4"/>
  <c r="BY89" i="4"/>
  <c r="BY92" i="4"/>
  <c r="BY88" i="4"/>
  <c r="BQ146" i="4"/>
  <c r="BQ116" i="4"/>
  <c r="BQ113" i="4"/>
  <c r="BQ115" i="4"/>
  <c r="BQ107" i="4"/>
  <c r="BQ106" i="4"/>
  <c r="BQ111" i="4"/>
  <c r="BQ102" i="4"/>
  <c r="BQ103" i="4"/>
  <c r="BQ99" i="4"/>
  <c r="BQ110" i="4"/>
  <c r="BQ92" i="4"/>
  <c r="BQ90" i="4"/>
  <c r="BQ89" i="4"/>
  <c r="BQ94" i="4"/>
  <c r="BQ93" i="4"/>
  <c r="BQ91" i="4"/>
  <c r="BQ88" i="4"/>
  <c r="DB146" i="4"/>
  <c r="DB107" i="4"/>
  <c r="DB92" i="4"/>
  <c r="DB93" i="4"/>
  <c r="DB115" i="4"/>
  <c r="DB94" i="4"/>
  <c r="DB88" i="4"/>
  <c r="DB116" i="4"/>
  <c r="DB106" i="4"/>
  <c r="DB90" i="4"/>
  <c r="DB91" i="4"/>
  <c r="DB89" i="4"/>
  <c r="CT146" i="4"/>
  <c r="CT116" i="4"/>
  <c r="CT115" i="4"/>
  <c r="CT107" i="4"/>
  <c r="AC218" i="4" s="1"/>
  <c r="AC226" i="4" s="1"/>
  <c r="CT106" i="4"/>
  <c r="AC211" i="4" s="1"/>
  <c r="AC223" i="4" s="1"/>
  <c r="EF121" i="4"/>
  <c r="EF125" i="4"/>
  <c r="EF126" i="4"/>
  <c r="EF124" i="4"/>
  <c r="EF123" i="4"/>
  <c r="EF122" i="4"/>
  <c r="DX121" i="4"/>
  <c r="DX125" i="4"/>
  <c r="DX126" i="4"/>
  <c r="DX124" i="4"/>
  <c r="DX123" i="4"/>
  <c r="DX122" i="4"/>
  <c r="FI65" i="4"/>
  <c r="FI125" i="4"/>
  <c r="FI121" i="4"/>
  <c r="FI64" i="4"/>
  <c r="FI61" i="4"/>
  <c r="FI126" i="4"/>
  <c r="FI63" i="4"/>
  <c r="FI62" i="4"/>
  <c r="FI122" i="4"/>
  <c r="FI123" i="4"/>
  <c r="FI124" i="4"/>
  <c r="FI60" i="4"/>
  <c r="FA121" i="4"/>
  <c r="AC278" i="4" s="1"/>
  <c r="FA65" i="4"/>
  <c r="FA125" i="4"/>
  <c r="FA123" i="4"/>
  <c r="FA62" i="4"/>
  <c r="FA122" i="4"/>
  <c r="FA64" i="4"/>
  <c r="FA61" i="4"/>
  <c r="FA124" i="4"/>
  <c r="FA63" i="4"/>
  <c r="FA126" i="4"/>
  <c r="FA60" i="4"/>
  <c r="Q116" i="4"/>
  <c r="Q312" i="4" s="1"/>
  <c r="Q113" i="4"/>
  <c r="Q115" i="4"/>
  <c r="Q99" i="4"/>
  <c r="Q110" i="4"/>
  <c r="Q106" i="4"/>
  <c r="Q103" i="4"/>
  <c r="Q111" i="4"/>
  <c r="Q102" i="4"/>
  <c r="Q107" i="4"/>
  <c r="I102" i="4"/>
  <c r="BW146" i="4"/>
  <c r="BW107" i="4"/>
  <c r="BW116" i="4"/>
  <c r="BW113" i="4"/>
  <c r="BW111" i="4"/>
  <c r="BW106" i="4"/>
  <c r="BW103" i="4"/>
  <c r="BW110" i="4"/>
  <c r="BW115" i="4"/>
  <c r="BW99" i="4"/>
  <c r="BW102" i="4"/>
  <c r="BW92" i="4"/>
  <c r="BW91" i="4"/>
  <c r="BW90" i="4"/>
  <c r="BW89" i="4"/>
  <c r="BW94" i="4"/>
  <c r="BW93" i="4"/>
  <c r="BW88" i="4"/>
  <c r="BO146" i="4"/>
  <c r="BO115" i="4"/>
  <c r="BO107" i="4"/>
  <c r="BO111" i="4"/>
  <c r="BO106" i="4"/>
  <c r="BO103" i="4"/>
  <c r="BO102" i="4"/>
  <c r="BO113" i="4"/>
  <c r="BO110" i="4"/>
  <c r="BO99" i="4"/>
  <c r="BO116" i="4"/>
  <c r="BO94" i="4"/>
  <c r="BO91" i="4"/>
  <c r="BO93" i="4"/>
  <c r="BO92" i="4"/>
  <c r="BO90" i="4"/>
  <c r="BO89" i="4"/>
  <c r="BO88" i="4"/>
  <c r="CZ146" i="4"/>
  <c r="CZ107" i="4"/>
  <c r="CZ116" i="4"/>
  <c r="CZ106" i="4"/>
  <c r="CZ94" i="4"/>
  <c r="CZ115" i="4"/>
  <c r="CZ88" i="4"/>
  <c r="CZ89" i="4"/>
  <c r="CZ90" i="4"/>
  <c r="CZ91" i="4"/>
  <c r="CZ92" i="4"/>
  <c r="CZ93" i="4"/>
  <c r="CR146" i="4"/>
  <c r="CR115" i="4"/>
  <c r="CR107" i="4"/>
  <c r="AA218" i="4" s="1"/>
  <c r="AA226" i="4" s="1"/>
  <c r="CR106" i="4"/>
  <c r="AA211" i="4" s="1"/>
  <c r="AA223" i="4" s="1"/>
  <c r="CR116" i="4"/>
  <c r="ED121" i="4"/>
  <c r="ED125" i="4"/>
  <c r="ED123" i="4"/>
  <c r="ED124" i="4"/>
  <c r="ED122" i="4"/>
  <c r="ED126" i="4"/>
  <c r="DV125" i="4"/>
  <c r="DV121" i="4"/>
  <c r="DV123" i="4"/>
  <c r="DV126" i="4"/>
  <c r="DV124" i="4"/>
  <c r="DV122" i="4"/>
  <c r="EY125" i="4"/>
  <c r="EY63" i="4"/>
  <c r="EY123" i="4"/>
  <c r="EY61" i="4"/>
  <c r="EY64" i="4"/>
  <c r="EY121" i="4"/>
  <c r="AA278" i="4" s="1"/>
  <c r="EY60" i="4"/>
  <c r="EY122" i="4"/>
  <c r="EY124" i="4"/>
  <c r="EY62" i="4"/>
  <c r="EY126" i="4"/>
  <c r="EY65" i="4"/>
  <c r="H102" i="4"/>
  <c r="H99" i="4"/>
  <c r="CQ146" i="4"/>
  <c r="CQ115" i="4"/>
  <c r="CQ107" i="4"/>
  <c r="Z218" i="4" s="1"/>
  <c r="Z226" i="4" s="1"/>
  <c r="CQ106" i="4"/>
  <c r="Z211" i="4" s="1"/>
  <c r="Z223" i="4" s="1"/>
  <c r="CQ116" i="4"/>
  <c r="O115" i="4"/>
  <c r="O110" i="4"/>
  <c r="O107" i="4"/>
  <c r="O103" i="4"/>
  <c r="O113" i="4"/>
  <c r="O111" i="4"/>
  <c r="O116" i="4"/>
  <c r="O312" i="4" s="1"/>
  <c r="O99" i="4"/>
  <c r="O106" i="4"/>
  <c r="O102" i="4"/>
  <c r="BU146" i="4"/>
  <c r="BU116" i="4"/>
  <c r="BU113" i="4"/>
  <c r="BU111" i="4"/>
  <c r="BU106" i="4"/>
  <c r="BU115" i="4"/>
  <c r="BU110" i="4"/>
  <c r="BU102" i="4"/>
  <c r="BU107" i="4"/>
  <c r="BU99" i="4"/>
  <c r="BU103" i="4"/>
  <c r="BU89" i="4"/>
  <c r="BU90" i="4"/>
  <c r="BU91" i="4"/>
  <c r="BU94" i="4"/>
  <c r="BU92" i="4"/>
  <c r="BU93" i="4"/>
  <c r="BU88" i="4"/>
  <c r="CP146" i="4"/>
  <c r="CP116" i="4"/>
  <c r="CP106" i="4"/>
  <c r="Y211" i="4" s="1"/>
  <c r="Y223" i="4" s="1"/>
  <c r="CP115" i="4"/>
  <c r="CP107" i="4"/>
  <c r="Y218" i="4" s="1"/>
  <c r="Y226" i="4" s="1"/>
  <c r="BL146" i="4"/>
  <c r="BL116" i="4"/>
  <c r="BL113" i="4"/>
  <c r="AF230" i="4" s="1"/>
  <c r="BL111" i="4"/>
  <c r="AF238" i="4" s="1"/>
  <c r="BL106" i="4"/>
  <c r="BL103" i="4"/>
  <c r="BL115" i="4"/>
  <c r="BL110" i="4"/>
  <c r="AF245" i="4" s="1"/>
  <c r="BL99" i="4"/>
  <c r="BL107" i="4"/>
  <c r="BL102" i="4"/>
  <c r="AF172" i="4" s="1"/>
  <c r="AF179" i="4" s="1"/>
  <c r="BL93" i="4"/>
  <c r="BL89" i="4"/>
  <c r="BL94" i="4"/>
  <c r="BL92" i="4"/>
  <c r="BL91" i="4"/>
  <c r="BL90" i="4"/>
  <c r="AF295" i="4" s="1"/>
  <c r="BL88" i="4"/>
  <c r="CO146" i="4"/>
  <c r="CO106" i="4"/>
  <c r="X211" i="4" s="1"/>
  <c r="X223" i="4" s="1"/>
  <c r="CO115" i="4"/>
  <c r="CO107" i="4"/>
  <c r="X218" i="4" s="1"/>
  <c r="X226" i="4" s="1"/>
  <c r="DS121" i="4"/>
  <c r="F247" i="4" s="1"/>
  <c r="DS123" i="4"/>
  <c r="DS122" i="4"/>
  <c r="DS126" i="4"/>
  <c r="DS125" i="4"/>
  <c r="F259" i="4" s="1"/>
  <c r="DS124" i="4"/>
  <c r="EV122" i="4"/>
  <c r="EV65" i="4"/>
  <c r="EV63" i="4"/>
  <c r="EV126" i="4"/>
  <c r="EV62" i="4"/>
  <c r="EV125" i="4"/>
  <c r="EV61" i="4"/>
  <c r="EV124" i="4"/>
  <c r="EV123" i="4"/>
  <c r="EV64" i="4"/>
  <c r="M116" i="4"/>
  <c r="M312" i="4" s="1"/>
  <c r="M113" i="4"/>
  <c r="M111" i="4"/>
  <c r="M106" i="4"/>
  <c r="M103" i="4"/>
  <c r="M110" i="4"/>
  <c r="M115" i="4"/>
  <c r="M99" i="4"/>
  <c r="M102" i="4"/>
  <c r="M107" i="4"/>
  <c r="BS146" i="4"/>
  <c r="BS115" i="4"/>
  <c r="BS116" i="4"/>
  <c r="BS113" i="4"/>
  <c r="BS110" i="4"/>
  <c r="BS99" i="4"/>
  <c r="BS107" i="4"/>
  <c r="BS106" i="4"/>
  <c r="BS102" i="4"/>
  <c r="BS111" i="4"/>
  <c r="BS94" i="4"/>
  <c r="BS103" i="4"/>
  <c r="BS90" i="4"/>
  <c r="BS89" i="4"/>
  <c r="BS92" i="4"/>
  <c r="BS91" i="4"/>
  <c r="BS93" i="4"/>
  <c r="BS88" i="4"/>
  <c r="DD146" i="4"/>
  <c r="DD115" i="4"/>
  <c r="DD90" i="4"/>
  <c r="DD106" i="4"/>
  <c r="DD91" i="4"/>
  <c r="DD92" i="4"/>
  <c r="DD93" i="4"/>
  <c r="DD94" i="4"/>
  <c r="DD107" i="4"/>
  <c r="DD116" i="4"/>
  <c r="DD89" i="4"/>
  <c r="DD88" i="4"/>
  <c r="CV146" i="4"/>
  <c r="CV115" i="4"/>
  <c r="CV116" i="4"/>
  <c r="CV90" i="4"/>
  <c r="AE295" i="4" s="1"/>
  <c r="CV91" i="4"/>
  <c r="CV107" i="4"/>
  <c r="AE218" i="4" s="1"/>
  <c r="AE226" i="4" s="1"/>
  <c r="CV92" i="4"/>
  <c r="CV93" i="4"/>
  <c r="CV106" i="4"/>
  <c r="AE211" i="4" s="1"/>
  <c r="AE223" i="4" s="1"/>
  <c r="CV94" i="4"/>
  <c r="CV88" i="4"/>
  <c r="CV89" i="4"/>
  <c r="DZ121" i="4"/>
  <c r="DZ126" i="4"/>
  <c r="DZ125" i="4"/>
  <c r="DZ124" i="4"/>
  <c r="DZ123" i="4"/>
  <c r="DZ122" i="4"/>
  <c r="FK121" i="4"/>
  <c r="FK123" i="4"/>
  <c r="FK122" i="4"/>
  <c r="FK62" i="4"/>
  <c r="FK64" i="4"/>
  <c r="FK61" i="4"/>
  <c r="FK60" i="4"/>
  <c r="FK124" i="4"/>
  <c r="FK126" i="4"/>
  <c r="FK63" i="4"/>
  <c r="FK125" i="4"/>
  <c r="FC125" i="4"/>
  <c r="FC60" i="4"/>
  <c r="FC124" i="4"/>
  <c r="FC65" i="4"/>
  <c r="FC123" i="4"/>
  <c r="FC62" i="4"/>
  <c r="FC122" i="4"/>
  <c r="FC121" i="4"/>
  <c r="FC64" i="4"/>
  <c r="FC61" i="4"/>
  <c r="FC126" i="4"/>
  <c r="FC63" i="4"/>
  <c r="T110" i="4"/>
  <c r="T115" i="4"/>
  <c r="T99" i="4"/>
  <c r="T107" i="4"/>
  <c r="T102" i="4"/>
  <c r="T113" i="4"/>
  <c r="T106" i="4"/>
  <c r="T103" i="4"/>
  <c r="T111" i="4"/>
  <c r="T116" i="4"/>
  <c r="T312" i="4" s="1"/>
  <c r="BZ146" i="4"/>
  <c r="BZ116" i="4"/>
  <c r="BZ113" i="4"/>
  <c r="BZ115" i="4"/>
  <c r="BZ110" i="4"/>
  <c r="BZ102" i="4"/>
  <c r="BZ111" i="4"/>
  <c r="BZ103" i="4"/>
  <c r="BZ107" i="4"/>
  <c r="BZ106" i="4"/>
  <c r="BZ99" i="4"/>
  <c r="BZ91" i="4"/>
  <c r="BZ92" i="4"/>
  <c r="BZ90" i="4"/>
  <c r="BZ89" i="4"/>
  <c r="BZ94" i="4"/>
  <c r="BZ93" i="4"/>
  <c r="BZ88" i="4"/>
  <c r="BR146" i="4"/>
  <c r="BR116" i="4"/>
  <c r="BR113" i="4"/>
  <c r="BR115" i="4"/>
  <c r="BR110" i="4"/>
  <c r="BR102" i="4"/>
  <c r="BR99" i="4"/>
  <c r="BR106" i="4"/>
  <c r="BR111" i="4"/>
  <c r="BR107" i="4"/>
  <c r="BR103" i="4"/>
  <c r="BR93" i="4"/>
  <c r="BR89" i="4"/>
  <c r="BR94" i="4"/>
  <c r="BR91" i="4"/>
  <c r="BR92" i="4"/>
  <c r="BR90" i="4"/>
  <c r="BR88" i="4"/>
  <c r="CU146" i="4"/>
  <c r="CU116" i="4"/>
  <c r="CU115" i="4"/>
  <c r="CU107" i="4"/>
  <c r="AD218" i="4" s="1"/>
  <c r="AD226" i="4" s="1"/>
  <c r="CU106" i="4"/>
  <c r="AD211" i="4" s="1"/>
  <c r="AD223" i="4" s="1"/>
  <c r="DY126" i="4"/>
  <c r="DY121" i="4"/>
  <c r="DY125" i="4"/>
  <c r="DY124" i="4"/>
  <c r="DY122" i="4"/>
  <c r="DY123" i="4"/>
  <c r="FJ122" i="4"/>
  <c r="FJ62" i="4"/>
  <c r="FJ121" i="4"/>
  <c r="FJ64" i="4"/>
  <c r="FJ61" i="4"/>
  <c r="FJ60" i="4"/>
  <c r="FJ65" i="4"/>
  <c r="FJ126" i="4"/>
  <c r="FJ63" i="4"/>
  <c r="FJ123" i="4"/>
  <c r="FJ124" i="4"/>
  <c r="FJ125" i="4"/>
  <c r="FB121" i="4"/>
  <c r="FB126" i="4"/>
  <c r="FB124" i="4"/>
  <c r="FB65" i="4"/>
  <c r="FB123" i="4"/>
  <c r="FB62" i="4"/>
  <c r="FB122" i="4"/>
  <c r="FB64" i="4"/>
  <c r="FB61" i="4"/>
  <c r="FB125" i="4"/>
  <c r="FB63" i="4"/>
  <c r="FB60" i="4"/>
  <c r="R110" i="4"/>
  <c r="R99" i="4"/>
  <c r="R107" i="4"/>
  <c r="R102" i="4"/>
  <c r="R106" i="4"/>
  <c r="R113" i="4"/>
  <c r="R103" i="4"/>
  <c r="R115" i="4"/>
  <c r="R111" i="4"/>
  <c r="R116" i="4"/>
  <c r="R312" i="4" s="1"/>
  <c r="J110" i="4"/>
  <c r="J116" i="4"/>
  <c r="J113" i="4"/>
  <c r="J115" i="4"/>
  <c r="J107" i="4"/>
  <c r="J102" i="4"/>
  <c r="J106" i="4"/>
  <c r="J103" i="4"/>
  <c r="J111" i="4"/>
  <c r="BX146" i="4"/>
  <c r="BX116" i="4"/>
  <c r="BX113" i="4"/>
  <c r="BX115" i="4"/>
  <c r="BX99" i="4"/>
  <c r="BX103" i="4"/>
  <c r="BX110" i="4"/>
  <c r="BX107" i="4"/>
  <c r="BX106" i="4"/>
  <c r="BX111" i="4"/>
  <c r="BX102" i="4"/>
  <c r="BX94" i="4"/>
  <c r="BX92" i="4"/>
  <c r="BX93" i="4"/>
  <c r="BX90" i="4"/>
  <c r="BX89" i="4"/>
  <c r="BX91" i="4"/>
  <c r="BX88" i="4"/>
  <c r="BP146" i="4"/>
  <c r="BP116" i="4"/>
  <c r="BP113" i="4"/>
  <c r="BP115" i="4"/>
  <c r="BP99" i="4"/>
  <c r="J166" i="4" s="1"/>
  <c r="BP111" i="4"/>
  <c r="BP102" i="4"/>
  <c r="BP103" i="4"/>
  <c r="BP107" i="4"/>
  <c r="BP106" i="4"/>
  <c r="BP110" i="4"/>
  <c r="BP92" i="4"/>
  <c r="BP89" i="4"/>
  <c r="BP93" i="4"/>
  <c r="BP94" i="4"/>
  <c r="BP91" i="4"/>
  <c r="BP90" i="4"/>
  <c r="BP88" i="4"/>
  <c r="DA146" i="4"/>
  <c r="DA116" i="4"/>
  <c r="DA115" i="4"/>
  <c r="DA93" i="4"/>
  <c r="DA94" i="4"/>
  <c r="DA88" i="4"/>
  <c r="DA89" i="4"/>
  <c r="DA106" i="4"/>
  <c r="DA90" i="4"/>
  <c r="DA92" i="4"/>
  <c r="DA107" i="4"/>
  <c r="DA91" i="4"/>
  <c r="CS146" i="4"/>
  <c r="CS116" i="4"/>
  <c r="CS115" i="4"/>
  <c r="CS107" i="4"/>
  <c r="AB218" i="4" s="1"/>
  <c r="AB226" i="4" s="1"/>
  <c r="CS106" i="4"/>
  <c r="AB211" i="4" s="1"/>
  <c r="AB223" i="4" s="1"/>
  <c r="EE126" i="4"/>
  <c r="EE124" i="4"/>
  <c r="EE125" i="4"/>
  <c r="EE123" i="4"/>
  <c r="EE122" i="4"/>
  <c r="EE121" i="4"/>
  <c r="DW126" i="4"/>
  <c r="DW124" i="4"/>
  <c r="DW121" i="4"/>
  <c r="DW125" i="4"/>
  <c r="DW123" i="4"/>
  <c r="DW122" i="4"/>
  <c r="FH126" i="4"/>
  <c r="FH64" i="4"/>
  <c r="FH124" i="4"/>
  <c r="FH63" i="4"/>
  <c r="FH125" i="4"/>
  <c r="FH60" i="4"/>
  <c r="FH65" i="4"/>
  <c r="FH62" i="4"/>
  <c r="FH121" i="4"/>
  <c r="FH122" i="4"/>
  <c r="FH123" i="4"/>
  <c r="EZ126" i="4"/>
  <c r="EZ64" i="4"/>
  <c r="EZ124" i="4"/>
  <c r="EZ122" i="4"/>
  <c r="EZ61" i="4"/>
  <c r="EZ121" i="4"/>
  <c r="AB278" i="4" s="1"/>
  <c r="EZ63" i="4"/>
  <c r="EZ65" i="4"/>
  <c r="EZ62" i="4"/>
  <c r="EZ123" i="4"/>
  <c r="EZ125" i="4"/>
  <c r="EZ60" i="4"/>
  <c r="L90" i="4"/>
  <c r="T88" i="4"/>
  <c r="T93" i="4"/>
  <c r="T92" i="4"/>
  <c r="T89" i="4"/>
  <c r="T94" i="4"/>
  <c r="T91" i="4"/>
  <c r="T90" i="4"/>
  <c r="R88" i="4"/>
  <c r="R89" i="4"/>
  <c r="R92" i="4"/>
  <c r="R94" i="4"/>
  <c r="R91" i="4"/>
  <c r="R93" i="4"/>
  <c r="R90" i="4"/>
  <c r="M88" i="4"/>
  <c r="M89" i="4"/>
  <c r="M94" i="4"/>
  <c r="M91" i="4"/>
  <c r="M93" i="4"/>
  <c r="M90" i="4"/>
  <c r="M92" i="4"/>
  <c r="U88" i="4"/>
  <c r="U90" i="4"/>
  <c r="U94" i="4"/>
  <c r="U92" i="4"/>
  <c r="U93" i="4"/>
  <c r="U89" i="4"/>
  <c r="U91" i="4"/>
  <c r="Q88" i="4"/>
  <c r="Q92" i="4"/>
  <c r="Q89" i="4"/>
  <c r="Q94" i="4"/>
  <c r="Q91" i="4"/>
  <c r="Q93" i="4"/>
  <c r="Q90" i="4"/>
  <c r="N88" i="4"/>
  <c r="N92" i="4"/>
  <c r="N94" i="4"/>
  <c r="N91" i="4"/>
  <c r="N93" i="4"/>
  <c r="N89" i="4"/>
  <c r="N90" i="4"/>
  <c r="O88" i="4"/>
  <c r="O89" i="4"/>
  <c r="O94" i="4"/>
  <c r="O91" i="4"/>
  <c r="O93" i="4"/>
  <c r="O92" i="4"/>
  <c r="O90" i="4"/>
  <c r="S88" i="4"/>
  <c r="S90" i="4"/>
  <c r="S92" i="4"/>
  <c r="S89" i="4"/>
  <c r="S94" i="4"/>
  <c r="S91" i="4"/>
  <c r="S93" i="4"/>
  <c r="P88" i="4"/>
  <c r="P93" i="4"/>
  <c r="P91" i="4"/>
  <c r="P90" i="4"/>
  <c r="P89" i="4"/>
  <c r="P94" i="4"/>
  <c r="P92" i="4"/>
  <c r="H146" i="4"/>
  <c r="G146" i="4"/>
  <c r="N146" i="4"/>
  <c r="P78" i="4"/>
  <c r="P146" i="4"/>
  <c r="T146" i="4"/>
  <c r="L146" i="4"/>
  <c r="S146" i="4"/>
  <c r="K146" i="4"/>
  <c r="M78" i="4"/>
  <c r="M146" i="4"/>
  <c r="R146" i="4"/>
  <c r="J146" i="4"/>
  <c r="O78" i="4"/>
  <c r="O146" i="4"/>
  <c r="U78" i="4"/>
  <c r="U146" i="4"/>
  <c r="Q78" i="4"/>
  <c r="T78" i="4"/>
  <c r="N78" i="4"/>
  <c r="F253" i="4" l="1"/>
  <c r="J312" i="4"/>
  <c r="J117" i="4"/>
  <c r="I196" i="4"/>
  <c r="G191" i="4"/>
  <c r="H196" i="4"/>
  <c r="G186" i="4"/>
  <c r="G196" i="4"/>
  <c r="H186" i="4"/>
  <c r="F186" i="4"/>
  <c r="F191" i="4"/>
  <c r="I186" i="4"/>
  <c r="S156" i="4"/>
  <c r="S157" i="4" s="1"/>
  <c r="P156" i="4"/>
  <c r="P157" i="4" s="1"/>
  <c r="T156" i="4"/>
  <c r="T157" i="4" s="1"/>
  <c r="R156" i="4"/>
  <c r="R157" i="4" s="1"/>
  <c r="U156" i="4"/>
  <c r="U157" i="4" s="1"/>
  <c r="Q156" i="4"/>
  <c r="R211" i="4"/>
  <c r="R223" i="4" s="1"/>
  <c r="F54" i="80"/>
  <c r="AF132" i="80"/>
  <c r="AY132" i="80"/>
  <c r="W230" i="80"/>
  <c r="W225" i="80"/>
  <c r="W236" i="80"/>
  <c r="W221" i="80"/>
  <c r="ET109" i="80"/>
  <c r="ET119" i="80" s="1"/>
  <c r="ET126" i="80" s="1"/>
  <c r="CD96" i="80"/>
  <c r="EO108" i="80"/>
  <c r="EO118" i="80" s="1"/>
  <c r="EO125" i="80" s="1"/>
  <c r="DG76" i="80"/>
  <c r="EJ111" i="80"/>
  <c r="EJ121" i="80" s="1"/>
  <c r="EJ128" i="80" s="1"/>
  <c r="EP109" i="80"/>
  <c r="EP119" i="80" s="1"/>
  <c r="EP126" i="80" s="1"/>
  <c r="DI79" i="80"/>
  <c r="DH75" i="80"/>
  <c r="CG89" i="80"/>
  <c r="EQ107" i="80"/>
  <c r="CC89" i="80"/>
  <c r="DK77" i="80"/>
  <c r="CF96" i="80"/>
  <c r="EL110" i="80"/>
  <c r="EL120" i="80" s="1"/>
  <c r="EL127" i="80" s="1"/>
  <c r="DK76" i="80"/>
  <c r="DL79" i="80"/>
  <c r="CI78" i="80"/>
  <c r="DN77" i="80"/>
  <c r="DN80" i="80"/>
  <c r="CH78" i="80"/>
  <c r="DN76" i="80"/>
  <c r="DL76" i="80"/>
  <c r="CG75" i="80"/>
  <c r="CJ80" i="80"/>
  <c r="CM101" i="80"/>
  <c r="CG74" i="80"/>
  <c r="CK75" i="80"/>
  <c r="CF78" i="80"/>
  <c r="DN74" i="80"/>
  <c r="CF74" i="80"/>
  <c r="CI101" i="80"/>
  <c r="CI102" i="80"/>
  <c r="DK92" i="80"/>
  <c r="CK97" i="80"/>
  <c r="CL97" i="80"/>
  <c r="AS132" i="80"/>
  <c r="BR92" i="80"/>
  <c r="CK92" i="80"/>
  <c r="CH92" i="80"/>
  <c r="CF85" i="80"/>
  <c r="AO132" i="80"/>
  <c r="P277" i="80"/>
  <c r="FI107" i="80"/>
  <c r="CG85" i="80"/>
  <c r="CB99" i="80"/>
  <c r="DT110" i="80"/>
  <c r="EV111" i="80"/>
  <c r="O63" i="80"/>
  <c r="FG48" i="80"/>
  <c r="EV50" i="80"/>
  <c r="FF50" i="80"/>
  <c r="EE112" i="80"/>
  <c r="FE107" i="80"/>
  <c r="FD50" i="80"/>
  <c r="BY92" i="80"/>
  <c r="CR93" i="80"/>
  <c r="FA107" i="80"/>
  <c r="BM132" i="80"/>
  <c r="BL97" i="80"/>
  <c r="FB49" i="80"/>
  <c r="EA107" i="80"/>
  <c r="N63" i="80"/>
  <c r="FE49" i="80"/>
  <c r="BW89" i="80"/>
  <c r="FG110" i="80"/>
  <c r="FG120" i="80" s="1"/>
  <c r="FG127" i="80" s="1"/>
  <c r="FC49" i="80"/>
  <c r="BO88" i="80"/>
  <c r="FK47" i="80"/>
  <c r="CE88" i="80"/>
  <c r="FG108" i="80"/>
  <c r="FG118" i="80" s="1"/>
  <c r="FG125" i="80" s="1"/>
  <c r="DT111" i="80"/>
  <c r="FB46" i="80"/>
  <c r="N132" i="80"/>
  <c r="CT132" i="80"/>
  <c r="BZ97" i="80"/>
  <c r="FF111" i="80"/>
  <c r="FF121" i="80" s="1"/>
  <c r="FF128" i="80" s="1"/>
  <c r="BR89" i="80"/>
  <c r="DY111" i="80"/>
  <c r="CK96" i="80"/>
  <c r="AE132" i="80"/>
  <c r="W231" i="80"/>
  <c r="ET107" i="80"/>
  <c r="W232" i="80"/>
  <c r="W255" i="80" s="1"/>
  <c r="W224" i="80"/>
  <c r="W132" i="80"/>
  <c r="ES107" i="80"/>
  <c r="DJ80" i="80"/>
  <c r="EM108" i="80"/>
  <c r="EM118" i="80" s="1"/>
  <c r="EM125" i="80" s="1"/>
  <c r="EN112" i="80"/>
  <c r="EN122" i="80" s="1"/>
  <c r="EN129" i="80" s="1"/>
  <c r="CE89" i="80"/>
  <c r="EN107" i="80"/>
  <c r="EJ112" i="80"/>
  <c r="EJ122" i="80" s="1"/>
  <c r="EJ129" i="80" s="1"/>
  <c r="DI75" i="80"/>
  <c r="CH96" i="80"/>
  <c r="EP111" i="80"/>
  <c r="EP121" i="80" s="1"/>
  <c r="EP128" i="80" s="1"/>
  <c r="EP112" i="80"/>
  <c r="EP122" i="80" s="1"/>
  <c r="EP129" i="80" s="1"/>
  <c r="EQ108" i="80"/>
  <c r="EQ118" i="80" s="1"/>
  <c r="EQ125" i="80" s="1"/>
  <c r="DH76" i="80"/>
  <c r="EJ107" i="80"/>
  <c r="EQ110" i="80"/>
  <c r="EQ120" i="80" s="1"/>
  <c r="EQ127" i="80" s="1"/>
  <c r="DO79" i="80"/>
  <c r="DF79" i="80"/>
  <c r="DO78" i="80"/>
  <c r="CC76" i="80"/>
  <c r="CJ75" i="80"/>
  <c r="CE75" i="80"/>
  <c r="CJ78" i="80"/>
  <c r="CD78" i="80"/>
  <c r="DP75" i="80"/>
  <c r="CE74" i="80"/>
  <c r="CM78" i="80"/>
  <c r="CL76" i="80"/>
  <c r="DP74" i="80"/>
  <c r="CM76" i="80"/>
  <c r="CC101" i="80"/>
  <c r="CL74" i="80"/>
  <c r="CG102" i="80"/>
  <c r="DL92" i="80"/>
  <c r="CC97" i="80"/>
  <c r="CH97" i="80"/>
  <c r="CM99" i="80"/>
  <c r="AQ132" i="80"/>
  <c r="CF92" i="80"/>
  <c r="CI97" i="80"/>
  <c r="CC85" i="80"/>
  <c r="AP132" i="80"/>
  <c r="CI85" i="80"/>
  <c r="DZ109" i="80"/>
  <c r="DZ119" i="80" s="1"/>
  <c r="DZ126" i="80" s="1"/>
  <c r="CK88" i="80"/>
  <c r="N61" i="80"/>
  <c r="CJ85" i="80"/>
  <c r="EY51" i="80"/>
  <c r="ED108" i="80"/>
  <c r="S277" i="80"/>
  <c r="AI132" i="80"/>
  <c r="EZ46" i="80"/>
  <c r="FJ49" i="80"/>
  <c r="CW132" i="80"/>
  <c r="BZ132" i="80"/>
  <c r="BL85" i="80"/>
  <c r="FD109" i="80"/>
  <c r="BV97" i="80"/>
  <c r="EV108" i="80"/>
  <c r="DS112" i="80"/>
  <c r="FD49" i="80"/>
  <c r="FK108" i="80"/>
  <c r="FK118" i="80" s="1"/>
  <c r="FK125" i="80" s="1"/>
  <c r="EX110" i="80"/>
  <c r="CS93" i="80"/>
  <c r="FH50" i="80"/>
  <c r="BV96" i="80"/>
  <c r="BY96" i="80"/>
  <c r="AM132" i="80"/>
  <c r="DC132" i="80"/>
  <c r="FK46" i="80"/>
  <c r="DU110" i="80"/>
  <c r="BW96" i="80"/>
  <c r="FD51" i="80"/>
  <c r="EB108" i="80"/>
  <c r="CM96" i="80"/>
  <c r="BJ132" i="80"/>
  <c r="AZ132" i="80"/>
  <c r="BA132" i="80"/>
  <c r="ES111" i="80"/>
  <c r="ES121" i="80" s="1"/>
  <c r="ES128" i="80" s="1"/>
  <c r="W212" i="80"/>
  <c r="W239" i="80" s="1"/>
  <c r="W233" i="80"/>
  <c r="ET111" i="80"/>
  <c r="ET121" i="80" s="1"/>
  <c r="ET128" i="80" s="1"/>
  <c r="EM112" i="80"/>
  <c r="EM122" i="80" s="1"/>
  <c r="EM129" i="80" s="1"/>
  <c r="EK107" i="80"/>
  <c r="DG80" i="80"/>
  <c r="CJ96" i="80"/>
  <c r="EM110" i="80"/>
  <c r="EM120" i="80" s="1"/>
  <c r="EM127" i="80" s="1"/>
  <c r="DI74" i="80"/>
  <c r="EQ112" i="80"/>
  <c r="EQ122" i="80" s="1"/>
  <c r="EQ129" i="80" s="1"/>
  <c r="EK112" i="80"/>
  <c r="EK122" i="80" s="1"/>
  <c r="EK129" i="80" s="1"/>
  <c r="EN109" i="80"/>
  <c r="EN119" i="80" s="1"/>
  <c r="EN126" i="80" s="1"/>
  <c r="CG96" i="80"/>
  <c r="EO107" i="80"/>
  <c r="DH78" i="80"/>
  <c r="EI109" i="80"/>
  <c r="EM107" i="80"/>
  <c r="CI75" i="80"/>
  <c r="DO80" i="80"/>
  <c r="CC75" i="80"/>
  <c r="CD80" i="80"/>
  <c r="CE80" i="80"/>
  <c r="CH76" i="80"/>
  <c r="CI80" i="80"/>
  <c r="CJ77" i="80"/>
  <c r="DO75" i="80"/>
  <c r="CF75" i="80"/>
  <c r="CK79" i="80"/>
  <c r="CF80" i="80"/>
  <c r="CM79" i="80"/>
  <c r="CL78" i="80"/>
  <c r="CM74" i="80"/>
  <c r="CJ101" i="80"/>
  <c r="CH102" i="80"/>
  <c r="DN92" i="80"/>
  <c r="P132" i="80"/>
  <c r="CF99" i="80"/>
  <c r="CM85" i="80"/>
  <c r="CE92" i="80"/>
  <c r="CG97" i="80"/>
  <c r="AR132" i="80"/>
  <c r="CM88" i="80"/>
  <c r="BZ88" i="80"/>
  <c r="CL88" i="80"/>
  <c r="FK50" i="80"/>
  <c r="CC88" i="80"/>
  <c r="FB47" i="80"/>
  <c r="BT88" i="80"/>
  <c r="CE85" i="80"/>
  <c r="EY107" i="80"/>
  <c r="DU112" i="80"/>
  <c r="BZ92" i="80"/>
  <c r="EZ108" i="80"/>
  <c r="R277" i="80"/>
  <c r="EC110" i="80"/>
  <c r="CX93" i="80"/>
  <c r="FC111" i="80"/>
  <c r="DV107" i="80"/>
  <c r="FG109" i="80"/>
  <c r="FC50" i="80"/>
  <c r="DV112" i="80"/>
  <c r="DE93" i="80"/>
  <c r="CA99" i="80"/>
  <c r="L63" i="80"/>
  <c r="EY110" i="80"/>
  <c r="BX97" i="80"/>
  <c r="U132" i="80"/>
  <c r="FF109" i="80"/>
  <c r="R61" i="80"/>
  <c r="M63" i="80"/>
  <c r="P63" i="80"/>
  <c r="BX89" i="80"/>
  <c r="DS107" i="80"/>
  <c r="DX109" i="80"/>
  <c r="DX119" i="80" s="1"/>
  <c r="DX126" i="80" s="1"/>
  <c r="EZ47" i="80"/>
  <c r="EF112" i="80"/>
  <c r="J61" i="80"/>
  <c r="FG49" i="80"/>
  <c r="CA96" i="80"/>
  <c r="CB85" i="80"/>
  <c r="CK89" i="80"/>
  <c r="BI132" i="80"/>
  <c r="ES109" i="80"/>
  <c r="ES119" i="80" s="1"/>
  <c r="ES126" i="80" s="1"/>
  <c r="W215" i="80"/>
  <c r="ET108" i="80"/>
  <c r="ET118" i="80" s="1"/>
  <c r="ET125" i="80" s="1"/>
  <c r="ER110" i="80"/>
  <c r="ER120" i="80" s="1"/>
  <c r="ER127" i="80" s="1"/>
  <c r="ES110" i="80"/>
  <c r="ES120" i="80" s="1"/>
  <c r="ES127" i="80" s="1"/>
  <c r="AC132" i="80"/>
  <c r="DM76" i="80"/>
  <c r="EJ110" i="80"/>
  <c r="EJ120" i="80" s="1"/>
  <c r="EJ127" i="80" s="1"/>
  <c r="DJ76" i="80"/>
  <c r="DG74" i="80"/>
  <c r="EK109" i="80"/>
  <c r="EK119" i="80" s="1"/>
  <c r="EK126" i="80" s="1"/>
  <c r="EP110" i="80"/>
  <c r="EP120" i="80" s="1"/>
  <c r="EP127" i="80" s="1"/>
  <c r="EL107" i="80"/>
  <c r="EM111" i="80"/>
  <c r="EM121" i="80" s="1"/>
  <c r="EM128" i="80" s="1"/>
  <c r="EL108" i="80"/>
  <c r="EL118" i="80" s="1"/>
  <c r="EL125" i="80" s="1"/>
  <c r="EQ111" i="80"/>
  <c r="EQ121" i="80" s="1"/>
  <c r="EQ128" i="80" s="1"/>
  <c r="EN110" i="80"/>
  <c r="EN120" i="80" s="1"/>
  <c r="EN127" i="80" s="1"/>
  <c r="DH80" i="80"/>
  <c r="DL74" i="80"/>
  <c r="DK78" i="80"/>
  <c r="CC79" i="80"/>
  <c r="CG77" i="80"/>
  <c r="CJ79" i="80"/>
  <c r="CJ76" i="80"/>
  <c r="DK75" i="80"/>
  <c r="CE78" i="80"/>
  <c r="DP76" i="80"/>
  <c r="CH75" i="80"/>
  <c r="CG80" i="80"/>
  <c r="CM80" i="80"/>
  <c r="CL79" i="80"/>
  <c r="CD74" i="80"/>
  <c r="CF79" i="80"/>
  <c r="CL75" i="80"/>
  <c r="CF101" i="80"/>
  <c r="CJ102" i="80"/>
  <c r="DO92" i="80"/>
  <c r="DH92" i="80"/>
  <c r="CO132" i="80"/>
  <c r="CM92" i="80"/>
  <c r="CI99" i="80"/>
  <c r="CM97" i="80"/>
  <c r="CH99" i="80"/>
  <c r="K132" i="80"/>
  <c r="CG88" i="80"/>
  <c r="FF49" i="80"/>
  <c r="CJ88" i="80"/>
  <c r="EZ109" i="80"/>
  <c r="CL85" i="80"/>
  <c r="EX111" i="80"/>
  <c r="CD88" i="80"/>
  <c r="CH88" i="80"/>
  <c r="BU96" i="80"/>
  <c r="FH48" i="80"/>
  <c r="DB92" i="80"/>
  <c r="FD107" i="80"/>
  <c r="CU92" i="80"/>
  <c r="DW109" i="80"/>
  <c r="DW119" i="80" s="1"/>
  <c r="DW126" i="80" s="1"/>
  <c r="DT107" i="80"/>
  <c r="FC51" i="80"/>
  <c r="DD132" i="80"/>
  <c r="EV46" i="80"/>
  <c r="BZ85" i="80"/>
  <c r="FH107" i="80"/>
  <c r="FI109" i="80"/>
  <c r="BS89" i="80"/>
  <c r="DA93" i="80"/>
  <c r="BU132" i="80"/>
  <c r="FD47" i="80"/>
  <c r="BM88" i="80"/>
  <c r="EG111" i="80"/>
  <c r="P61" i="80"/>
  <c r="EZ50" i="80"/>
  <c r="EV49" i="80"/>
  <c r="BM92" i="80"/>
  <c r="BY89" i="80"/>
  <c r="BP132" i="80"/>
  <c r="DD92" i="80"/>
  <c r="CM89" i="80"/>
  <c r="BH132" i="80"/>
  <c r="ER109" i="80"/>
  <c r="ER119" i="80" s="1"/>
  <c r="ER126" i="80" s="1"/>
  <c r="AA132" i="80"/>
  <c r="AD132" i="80"/>
  <c r="ES112" i="80"/>
  <c r="ES122" i="80" s="1"/>
  <c r="ES129" i="80" s="1"/>
  <c r="ET110" i="80"/>
  <c r="ET120" i="80" s="1"/>
  <c r="ET127" i="80" s="1"/>
  <c r="Y132" i="80"/>
  <c r="DF78" i="80"/>
  <c r="DJ74" i="80"/>
  <c r="EP108" i="80"/>
  <c r="EP118" i="80" s="1"/>
  <c r="EP125" i="80" s="1"/>
  <c r="DH77" i="80"/>
  <c r="EI111" i="80"/>
  <c r="EK110" i="80"/>
  <c r="EK120" i="80" s="1"/>
  <c r="EK127" i="80" s="1"/>
  <c r="DH79" i="80"/>
  <c r="DM75" i="80"/>
  <c r="EK111" i="80"/>
  <c r="EK121" i="80" s="1"/>
  <c r="EK128" i="80" s="1"/>
  <c r="DG75" i="80"/>
  <c r="EL109" i="80"/>
  <c r="EL119" i="80" s="1"/>
  <c r="EL126" i="80" s="1"/>
  <c r="DM78" i="80"/>
  <c r="CE96" i="80"/>
  <c r="DP77" i="80"/>
  <c r="CD75" i="80"/>
  <c r="DN78" i="80"/>
  <c r="CH77" i="80"/>
  <c r="CC78" i="80"/>
  <c r="DM77" i="80"/>
  <c r="DP80" i="80"/>
  <c r="DF75" i="80"/>
  <c r="CC80" i="80"/>
  <c r="CD79" i="80"/>
  <c r="CK78" i="80"/>
  <c r="CJ74" i="80"/>
  <c r="CF76" i="80"/>
  <c r="CM77" i="80"/>
  <c r="CD101" i="80"/>
  <c r="CE101" i="80"/>
  <c r="CC102" i="80"/>
  <c r="DF92" i="80"/>
  <c r="DP92" i="80"/>
  <c r="BP92" i="80"/>
  <c r="CI92" i="80"/>
  <c r="CL92" i="80"/>
  <c r="DB132" i="80"/>
  <c r="CG99" i="80"/>
  <c r="CD97" i="80"/>
  <c r="FK49" i="80"/>
  <c r="ED110" i="80"/>
  <c r="BQ85" i="80"/>
  <c r="CS132" i="80"/>
  <c r="CF88" i="80"/>
  <c r="FI48" i="80"/>
  <c r="CD85" i="80"/>
  <c r="FJ46" i="80"/>
  <c r="EE111" i="80"/>
  <c r="BX96" i="80"/>
  <c r="CV93" i="80"/>
  <c r="BS97" i="80"/>
  <c r="FG111" i="80"/>
  <c r="FG121" i="80" s="1"/>
  <c r="FG128" i="80" s="1"/>
  <c r="EV51" i="80"/>
  <c r="BL92" i="80"/>
  <c r="EH108" i="80"/>
  <c r="FH49" i="80"/>
  <c r="DU109" i="80"/>
  <c r="DU119" i="80" s="1"/>
  <c r="DU126" i="80" s="1"/>
  <c r="EX49" i="80"/>
  <c r="CQ92" i="80"/>
  <c r="BP96" i="80"/>
  <c r="EB112" i="80"/>
  <c r="EB122" i="80" s="1"/>
  <c r="CA89" i="80"/>
  <c r="BQ62" i="80"/>
  <c r="CL89" i="80"/>
  <c r="BF132" i="80"/>
  <c r="BC132" i="80"/>
  <c r="DF80" i="80"/>
  <c r="EK108" i="80"/>
  <c r="EK118" i="80" s="1"/>
  <c r="EK125" i="80" s="1"/>
  <c r="EO112" i="80"/>
  <c r="EO122" i="80" s="1"/>
  <c r="EO129" i="80" s="1"/>
  <c r="EI107" i="80"/>
  <c r="CJ89" i="80"/>
  <c r="DN79" i="80"/>
  <c r="CE79" i="80"/>
  <c r="DF76" i="80"/>
  <c r="DO77" i="80"/>
  <c r="CK101" i="80"/>
  <c r="CK76" i="80"/>
  <c r="CD102" i="80"/>
  <c r="CC92" i="80"/>
  <c r="AW132" i="80"/>
  <c r="CE99" i="80"/>
  <c r="BN89" i="80"/>
  <c r="DZ112" i="80"/>
  <c r="BN85" i="80"/>
  <c r="FF46" i="80"/>
  <c r="FH109" i="80"/>
  <c r="EG110" i="80"/>
  <c r="EG120" i="80" s="1"/>
  <c r="CO92" i="80"/>
  <c r="BR132" i="80"/>
  <c r="EF111" i="80"/>
  <c r="BY97" i="80"/>
  <c r="S61" i="80"/>
  <c r="FA110" i="80"/>
  <c r="FF108" i="80"/>
  <c r="FF118" i="80" s="1"/>
  <c r="FF125" i="80" s="1"/>
  <c r="EZ48" i="80"/>
  <c r="CA92" i="80"/>
  <c r="DX110" i="80"/>
  <c r="EC107" i="80"/>
  <c r="FA46" i="80"/>
  <c r="CT92" i="80"/>
  <c r="FF48" i="80"/>
  <c r="EB109" i="80"/>
  <c r="EB119" i="80" s="1"/>
  <c r="EB126" i="80" s="1"/>
  <c r="DT109" i="80"/>
  <c r="DT119" i="80" s="1"/>
  <c r="DT126" i="80" s="1"/>
  <c r="CB88" i="80"/>
  <c r="BQ92" i="80"/>
  <c r="BN96" i="80"/>
  <c r="L277" i="80"/>
  <c r="FJ110" i="80"/>
  <c r="FJ120" i="80" s="1"/>
  <c r="FJ127" i="80" s="1"/>
  <c r="EG109" i="80"/>
  <c r="EG119" i="80" s="1"/>
  <c r="EG126" i="80" s="1"/>
  <c r="FE48" i="80"/>
  <c r="FH46" i="80"/>
  <c r="FK48" i="80"/>
  <c r="FF110" i="80"/>
  <c r="FF120" i="80" s="1"/>
  <c r="FF127" i="80" s="1"/>
  <c r="FD111" i="80"/>
  <c r="EH110" i="80"/>
  <c r="DZ110" i="80"/>
  <c r="EH107" i="80"/>
  <c r="CQ132" i="80"/>
  <c r="CP92" i="80"/>
  <c r="FH51" i="80"/>
  <c r="FC112" i="80"/>
  <c r="BR96" i="80"/>
  <c r="FF107" i="80"/>
  <c r="FF112" i="80"/>
  <c r="FF122" i="80" s="1"/>
  <c r="FF129" i="80" s="1"/>
  <c r="DD93" i="80"/>
  <c r="EB107" i="80"/>
  <c r="CP132" i="80"/>
  <c r="CK93" i="80"/>
  <c r="DG93" i="80"/>
  <c r="DF93" i="80"/>
  <c r="DP93" i="80"/>
  <c r="BS93" i="80"/>
  <c r="DH93" i="80"/>
  <c r="EW107" i="80"/>
  <c r="BS101" i="80"/>
  <c r="BW101" i="80"/>
  <c r="BP101" i="80"/>
  <c r="BO101" i="80"/>
  <c r="CA102" i="80"/>
  <c r="DE77" i="80"/>
  <c r="BU77" i="80"/>
  <c r="BU78" i="80"/>
  <c r="CU78" i="80"/>
  <c r="CP76" i="80"/>
  <c r="DA77" i="80"/>
  <c r="CZ76" i="80"/>
  <c r="CW76" i="80"/>
  <c r="CL96" i="80"/>
  <c r="ES108" i="80"/>
  <c r="ES118" i="80" s="1"/>
  <c r="ES125" i="80" s="1"/>
  <c r="W235" i="80"/>
  <c r="DM74" i="80"/>
  <c r="DG78" i="80"/>
  <c r="EJ108" i="80"/>
  <c r="EJ118" i="80" s="1"/>
  <c r="EJ125" i="80" s="1"/>
  <c r="DJ79" i="80"/>
  <c r="DJ77" i="80"/>
  <c r="DL77" i="80"/>
  <c r="CG79" i="80"/>
  <c r="CD77" i="80"/>
  <c r="CI77" i="80"/>
  <c r="CF77" i="80"/>
  <c r="CK74" i="80"/>
  <c r="CE102" i="80"/>
  <c r="CK99" i="80"/>
  <c r="CJ92" i="80"/>
  <c r="DA132" i="80"/>
  <c r="BT97" i="80"/>
  <c r="EZ51" i="80"/>
  <c r="FA51" i="80"/>
  <c r="FH110" i="80"/>
  <c r="FH120" i="80" s="1"/>
  <c r="FH127" i="80" s="1"/>
  <c r="DY107" i="80"/>
  <c r="CX92" i="80"/>
  <c r="CV132" i="80"/>
  <c r="BP99" i="80"/>
  <c r="FG112" i="80"/>
  <c r="FG122" i="80" s="1"/>
  <c r="FG129" i="80" s="1"/>
  <c r="EY48" i="80"/>
  <c r="CA132" i="80"/>
  <c r="CU93" i="80"/>
  <c r="T277" i="80"/>
  <c r="FJ108" i="80"/>
  <c r="FJ118" i="80" s="1"/>
  <c r="FJ125" i="80" s="1"/>
  <c r="EF109" i="80"/>
  <c r="EF119" i="80" s="1"/>
  <c r="EF126" i="80" s="1"/>
  <c r="BP97" i="80"/>
  <c r="CB97" i="80"/>
  <c r="EF110" i="80"/>
  <c r="CV92" i="80"/>
  <c r="BU92" i="80"/>
  <c r="BU85" i="80"/>
  <c r="FE108" i="80"/>
  <c r="EA112" i="80"/>
  <c r="EA122" i="80" s="1"/>
  <c r="DX107" i="80"/>
  <c r="EC112" i="80"/>
  <c r="DX111" i="80"/>
  <c r="ED107" i="80"/>
  <c r="BR85" i="80"/>
  <c r="FD112" i="80"/>
  <c r="BT85" i="80"/>
  <c r="FJ112" i="80"/>
  <c r="FJ122" i="80" s="1"/>
  <c r="FJ129" i="80" s="1"/>
  <c r="FE50" i="80"/>
  <c r="CZ93" i="80"/>
  <c r="EX47" i="80"/>
  <c r="U61" i="80"/>
  <c r="EX109" i="80"/>
  <c r="FH111" i="80"/>
  <c r="FH121" i="80" s="1"/>
  <c r="FH128" i="80" s="1"/>
  <c r="BT92" i="80"/>
  <c r="BW99" i="80"/>
  <c r="FJ51" i="80"/>
  <c r="CR132" i="80"/>
  <c r="BM99" i="80"/>
  <c r="CX132" i="80"/>
  <c r="DX112" i="80"/>
  <c r="FB109" i="80"/>
  <c r="EW49" i="80"/>
  <c r="CF93" i="80"/>
  <c r="F63" i="80"/>
  <c r="EW47" i="80"/>
  <c r="DK93" i="80"/>
  <c r="BT93" i="80"/>
  <c r="EW46" i="80"/>
  <c r="G277" i="80"/>
  <c r="BT101" i="80"/>
  <c r="BV101" i="80"/>
  <c r="BX101" i="80"/>
  <c r="BN102" i="80"/>
  <c r="BY102" i="80"/>
  <c r="CB75" i="80"/>
  <c r="BP75" i="80"/>
  <c r="BP78" i="80"/>
  <c r="CU80" i="80"/>
  <c r="AD140" i="80" s="1"/>
  <c r="AD141" i="80" s="1"/>
  <c r="CS78" i="80"/>
  <c r="CT77" i="80"/>
  <c r="DB75" i="80"/>
  <c r="CR76" i="80"/>
  <c r="CW77" i="80"/>
  <c r="AG132" i="80"/>
  <c r="BE132" i="80"/>
  <c r="BB132" i="80"/>
  <c r="EP107" i="80"/>
  <c r="DM79" i="80"/>
  <c r="EN108" i="80"/>
  <c r="EN118" i="80" s="1"/>
  <c r="EN125" i="80" s="1"/>
  <c r="EN111" i="80"/>
  <c r="EN121" i="80" s="1"/>
  <c r="EN128" i="80" s="1"/>
  <c r="EQ109" i="80"/>
  <c r="EQ119" i="80" s="1"/>
  <c r="EQ126" i="80" s="1"/>
  <c r="CH80" i="80"/>
  <c r="DP78" i="80"/>
  <c r="CE77" i="80"/>
  <c r="CG78" i="80"/>
  <c r="CM75" i="80"/>
  <c r="CH101" i="80"/>
  <c r="DG92" i="80"/>
  <c r="CL99" i="80"/>
  <c r="CK85" i="80"/>
  <c r="FA48" i="80"/>
  <c r="FB48" i="80"/>
  <c r="BL89" i="80"/>
  <c r="FA109" i="80"/>
  <c r="EX46" i="80"/>
  <c r="BN99" i="80"/>
  <c r="ED112" i="80"/>
  <c r="FA50" i="80"/>
  <c r="BT132" i="80"/>
  <c r="DW108" i="80"/>
  <c r="O61" i="80"/>
  <c r="CR92" i="80"/>
  <c r="EV110" i="80"/>
  <c r="DZ107" i="80"/>
  <c r="FA49" i="80"/>
  <c r="DS109" i="80"/>
  <c r="DS119" i="80" s="1"/>
  <c r="DS126" i="80" s="1"/>
  <c r="FI47" i="80"/>
  <c r="CH85" i="80"/>
  <c r="S132" i="80"/>
  <c r="FJ48" i="80"/>
  <c r="EX51" i="80"/>
  <c r="BV88" i="80"/>
  <c r="BY99" i="80"/>
  <c r="CA97" i="80"/>
  <c r="DE92" i="80"/>
  <c r="FE51" i="80"/>
  <c r="J63" i="80"/>
  <c r="BX132" i="80"/>
  <c r="BT99" i="80"/>
  <c r="FK111" i="80"/>
  <c r="FK121" i="80" s="1"/>
  <c r="FK128" i="80" s="1"/>
  <c r="BW92" i="80"/>
  <c r="EE107" i="80"/>
  <c r="BL132" i="80"/>
  <c r="BZ89" i="80"/>
  <c r="EV48" i="80"/>
  <c r="BO89" i="80"/>
  <c r="DY108" i="80"/>
  <c r="FD46" i="80"/>
  <c r="BO92" i="80"/>
  <c r="FE47" i="80"/>
  <c r="FD48" i="80"/>
  <c r="BR99" i="80"/>
  <c r="BN132" i="80"/>
  <c r="DA92" i="80"/>
  <c r="EE109" i="80"/>
  <c r="EE119" i="80" s="1"/>
  <c r="EE126" i="80" s="1"/>
  <c r="BO97" i="80"/>
  <c r="CM93" i="80"/>
  <c r="DL93" i="80"/>
  <c r="EW110" i="80"/>
  <c r="EW109" i="80"/>
  <c r="F132" i="80"/>
  <c r="DJ93" i="80"/>
  <c r="CB93" i="80"/>
  <c r="EW111" i="80"/>
  <c r="BZ101" i="80"/>
  <c r="BL101" i="80"/>
  <c r="CB101" i="80"/>
  <c r="BY101" i="80"/>
  <c r="BP102" i="80"/>
  <c r="DE80" i="80"/>
  <c r="BP76" i="80"/>
  <c r="BU80" i="80"/>
  <c r="CU77" i="80"/>
  <c r="CR75" i="80"/>
  <c r="DB80" i="80"/>
  <c r="CW78" i="80"/>
  <c r="CV75" i="80"/>
  <c r="CP75" i="80"/>
  <c r="DA78" i="80"/>
  <c r="ER111" i="80"/>
  <c r="ER121" i="80" s="1"/>
  <c r="ER128" i="80" s="1"/>
  <c r="X132" i="80"/>
  <c r="W234" i="80"/>
  <c r="CI89" i="80"/>
  <c r="EL112" i="80"/>
  <c r="EL122" i="80" s="1"/>
  <c r="EL129" i="80" s="1"/>
  <c r="DK80" i="80"/>
  <c r="DG77" i="80"/>
  <c r="EO109" i="80"/>
  <c r="EO119" i="80" s="1"/>
  <c r="EO126" i="80" s="1"/>
  <c r="CI76" i="80"/>
  <c r="DK79" i="80"/>
  <c r="CE76" i="80"/>
  <c r="CG76" i="80"/>
  <c r="CL101" i="80"/>
  <c r="CL102" i="80"/>
  <c r="DM92" i="80"/>
  <c r="CJ97" i="80"/>
  <c r="CC99" i="80"/>
  <c r="DV110" i="80"/>
  <c r="DV120" i="80" s="1"/>
  <c r="FJ109" i="80"/>
  <c r="FI46" i="80"/>
  <c r="BV132" i="80"/>
  <c r="ED111" i="80"/>
  <c r="BW132" i="80"/>
  <c r="EY47" i="80"/>
  <c r="FC109" i="80"/>
  <c r="EC111" i="80"/>
  <c r="FC110" i="80"/>
  <c r="FD108" i="80"/>
  <c r="FB112" i="80"/>
  <c r="BN92" i="80"/>
  <c r="CY132" i="80"/>
  <c r="BU99" i="80"/>
  <c r="BY85" i="80"/>
  <c r="FK110" i="80"/>
  <c r="FK120" i="80" s="1"/>
  <c r="FK127" i="80" s="1"/>
  <c r="DW107" i="80"/>
  <c r="FH112" i="80"/>
  <c r="FH122" i="80" s="1"/>
  <c r="FH129" i="80" s="1"/>
  <c r="EV112" i="80"/>
  <c r="BY88" i="80"/>
  <c r="FG47" i="80"/>
  <c r="FC46" i="80"/>
  <c r="DC93" i="80"/>
  <c r="BU88" i="80"/>
  <c r="BZ99" i="80"/>
  <c r="EZ107" i="80"/>
  <c r="FE111" i="80"/>
  <c r="FI112" i="80"/>
  <c r="FI122" i="80" s="1"/>
  <c r="FI129" i="80" s="1"/>
  <c r="BR88" i="80"/>
  <c r="EX112" i="80"/>
  <c r="CU132" i="80"/>
  <c r="EX48" i="80"/>
  <c r="FK109" i="80"/>
  <c r="ED109" i="80"/>
  <c r="ED119" i="80" s="1"/>
  <c r="ED126" i="80" s="1"/>
  <c r="BQ96" i="80"/>
  <c r="DC92" i="80"/>
  <c r="FI108" i="80"/>
  <c r="FI118" i="80" s="1"/>
  <c r="FI125" i="80" s="1"/>
  <c r="FB50" i="80"/>
  <c r="FE46" i="80"/>
  <c r="FI111" i="80"/>
  <c r="FI121" i="80" s="1"/>
  <c r="FI128" i="80" s="1"/>
  <c r="CA88" i="80"/>
  <c r="BT96" i="80"/>
  <c r="BQ88" i="80"/>
  <c r="CS92" i="80"/>
  <c r="J277" i="80"/>
  <c r="CD93" i="80"/>
  <c r="BW93" i="80"/>
  <c r="BV93" i="80"/>
  <c r="BM93" i="80"/>
  <c r="BZ93" i="80"/>
  <c r="BO93" i="80"/>
  <c r="G132" i="80"/>
  <c r="I277" i="80"/>
  <c r="BN101" i="80"/>
  <c r="CA101" i="80"/>
  <c r="BL102" i="80"/>
  <c r="BS102" i="80"/>
  <c r="BQ102" i="80"/>
  <c r="CB78" i="80"/>
  <c r="BP80" i="80"/>
  <c r="BU79" i="80"/>
  <c r="CU76" i="80"/>
  <c r="ER108" i="80"/>
  <c r="ER118" i="80" s="1"/>
  <c r="ER125" i="80" s="1"/>
  <c r="AB132" i="80"/>
  <c r="W218" i="80"/>
  <c r="CC96" i="80"/>
  <c r="CD89" i="80"/>
  <c r="EL111" i="80"/>
  <c r="EL121" i="80" s="1"/>
  <c r="EL128" i="80" s="1"/>
  <c r="DG79" i="80"/>
  <c r="DJ78" i="80"/>
  <c r="CI79" i="80"/>
  <c r="CD76" i="80"/>
  <c r="DN75" i="80"/>
  <c r="CC74" i="80"/>
  <c r="DO74" i="80"/>
  <c r="CK102" i="80"/>
  <c r="DJ92" i="80"/>
  <c r="AX132" i="80"/>
  <c r="CF97" i="80"/>
  <c r="FB51" i="80"/>
  <c r="EY109" i="80"/>
  <c r="CI88" i="80"/>
  <c r="EF108" i="80"/>
  <c r="FJ111" i="80"/>
  <c r="FJ121" i="80" s="1"/>
  <c r="FJ128" i="80" s="1"/>
  <c r="CY93" i="80"/>
  <c r="CT93" i="80"/>
  <c r="DS111" i="80"/>
  <c r="EZ112" i="80"/>
  <c r="BN88" i="80"/>
  <c r="S63" i="80"/>
  <c r="EA108" i="80"/>
  <c r="FF47" i="80"/>
  <c r="AN132" i="80"/>
  <c r="DU111" i="80"/>
  <c r="H61" i="80"/>
  <c r="EZ111" i="80"/>
  <c r="BP85" i="80"/>
  <c r="BX85" i="80"/>
  <c r="AU132" i="80"/>
  <c r="FI110" i="80"/>
  <c r="FI120" i="80" s="1"/>
  <c r="FI127" i="80" s="1"/>
  <c r="FH108" i="80"/>
  <c r="FH118" i="80" s="1"/>
  <c r="FH125" i="80" s="1"/>
  <c r="BQ89" i="80"/>
  <c r="FK112" i="80"/>
  <c r="FK122" i="80" s="1"/>
  <c r="FK129" i="80" s="1"/>
  <c r="BV89" i="80"/>
  <c r="FC48" i="80"/>
  <c r="CA85" i="80"/>
  <c r="L61" i="80"/>
  <c r="L132" i="80"/>
  <c r="O132" i="80"/>
  <c r="DY112" i="80"/>
  <c r="BW97" i="80"/>
  <c r="DS108" i="80"/>
  <c r="FJ50" i="80"/>
  <c r="F61" i="80"/>
  <c r="EZ49" i="80"/>
  <c r="EH112" i="80"/>
  <c r="DZ111" i="80"/>
  <c r="I61" i="80"/>
  <c r="DT112" i="80"/>
  <c r="K63" i="80"/>
  <c r="EY49" i="80"/>
  <c r="DT108" i="80"/>
  <c r="CB89" i="80"/>
  <c r="FG46" i="80"/>
  <c r="AJ132" i="80"/>
  <c r="DI93" i="80"/>
  <c r="BP93" i="80"/>
  <c r="EW112" i="80"/>
  <c r="BN93" i="80"/>
  <c r="BX93" i="80"/>
  <c r="G63" i="80"/>
  <c r="H63" i="80"/>
  <c r="H277" i="80"/>
  <c r="BU101" i="80"/>
  <c r="BR101" i="80"/>
  <c r="BV102" i="80"/>
  <c r="BU102" i="80"/>
  <c r="DE79" i="80"/>
  <c r="DE76" i="80"/>
  <c r="DE74" i="80"/>
  <c r="BP79" i="80"/>
  <c r="CU75" i="80"/>
  <c r="CY78" i="80"/>
  <c r="CW80" i="80"/>
  <c r="AF140" i="80" s="1"/>
  <c r="AF141" i="80" s="1"/>
  <c r="CZ75" i="80"/>
  <c r="CQ75" i="80"/>
  <c r="CV76" i="80"/>
  <c r="BG132" i="80"/>
  <c r="CF89" i="80"/>
  <c r="DJ75" i="80"/>
  <c r="DF74" i="80"/>
  <c r="CC77" i="80"/>
  <c r="CM102" i="80"/>
  <c r="V132" i="80"/>
  <c r="FK107" i="80"/>
  <c r="BW62" i="80"/>
  <c r="T63" i="80"/>
  <c r="CT62" i="80"/>
  <c r="CQ93" i="80"/>
  <c r="BX88" i="80"/>
  <c r="EE108" i="80"/>
  <c r="FI49" i="80"/>
  <c r="FB111" i="80"/>
  <c r="BP89" i="80"/>
  <c r="BV85" i="80"/>
  <c r="CW92" i="80"/>
  <c r="BW85" i="80"/>
  <c r="Q63" i="80"/>
  <c r="U277" i="80"/>
  <c r="FH47" i="80"/>
  <c r="BP88" i="80"/>
  <c r="BU93" i="80"/>
  <c r="CH93" i="80"/>
  <c r="CI93" i="80"/>
  <c r="BX102" i="80"/>
  <c r="BO102" i="80"/>
  <c r="BP77" i="80"/>
  <c r="CO79" i="80"/>
  <c r="CV79" i="80"/>
  <c r="CQ76" i="80"/>
  <c r="BM78" i="80"/>
  <c r="DC77" i="80"/>
  <c r="CR79" i="80"/>
  <c r="CV78" i="80"/>
  <c r="CT78" i="80"/>
  <c r="CQ78" i="80"/>
  <c r="DB78" i="80"/>
  <c r="BN78" i="80"/>
  <c r="BN76" i="80"/>
  <c r="BZ76" i="80"/>
  <c r="BN75" i="80"/>
  <c r="BX79" i="80"/>
  <c r="CA77" i="80"/>
  <c r="BN77" i="80"/>
  <c r="DA101" i="80"/>
  <c r="DE101" i="80"/>
  <c r="BL74" i="80"/>
  <c r="DG101" i="80"/>
  <c r="BO74" i="80"/>
  <c r="DD101" i="80"/>
  <c r="BR79" i="80"/>
  <c r="BW78" i="80"/>
  <c r="BV75" i="80"/>
  <c r="DI102" i="80"/>
  <c r="CS102" i="80"/>
  <c r="BS80" i="80"/>
  <c r="CQ102" i="80"/>
  <c r="ER107" i="80"/>
  <c r="DI76" i="80"/>
  <c r="EO111" i="80"/>
  <c r="EO121" i="80" s="1"/>
  <c r="EO128" i="80" s="1"/>
  <c r="DP79" i="80"/>
  <c r="CL80" i="80"/>
  <c r="CF102" i="80"/>
  <c r="CJ99" i="80"/>
  <c r="DS110" i="80"/>
  <c r="BW88" i="80"/>
  <c r="BQ99" i="80"/>
  <c r="BO85" i="80"/>
  <c r="R63" i="80"/>
  <c r="T132" i="80"/>
  <c r="BM89" i="80"/>
  <c r="CZ62" i="80"/>
  <c r="DY110" i="80"/>
  <c r="EB111" i="80"/>
  <c r="EV109" i="80"/>
  <c r="EX50" i="80"/>
  <c r="K61" i="80"/>
  <c r="DV108" i="80"/>
  <c r="CY92" i="80"/>
  <c r="FE112" i="80"/>
  <c r="M277" i="80"/>
  <c r="EW48" i="80"/>
  <c r="CC93" i="80"/>
  <c r="BQ93" i="80"/>
  <c r="BT102" i="80"/>
  <c r="CB79" i="80"/>
  <c r="CB74" i="80"/>
  <c r="CZ79" i="80"/>
  <c r="CX77" i="80"/>
  <c r="CS80" i="80"/>
  <c r="AB140" i="80" s="1"/>
  <c r="AB141" i="80" s="1"/>
  <c r="CP77" i="80"/>
  <c r="CS75" i="80"/>
  <c r="CV77" i="80"/>
  <c r="CO76" i="80"/>
  <c r="DB79" i="80"/>
  <c r="CX78" i="80"/>
  <c r="BM77" i="80"/>
  <c r="BL77" i="80"/>
  <c r="BO78" i="80"/>
  <c r="BX76" i="80"/>
  <c r="BL80" i="80"/>
  <c r="BM74" i="80"/>
  <c r="BL78" i="80"/>
  <c r="BL75" i="80"/>
  <c r="CT101" i="80"/>
  <c r="CU101" i="80"/>
  <c r="DI101" i="80"/>
  <c r="DB101" i="80"/>
  <c r="DF101" i="80"/>
  <c r="BR80" i="80"/>
  <c r="BQ74" i="80"/>
  <c r="BR74" i="80"/>
  <c r="DP102" i="80"/>
  <c r="CR102" i="80"/>
  <c r="BV80" i="80"/>
  <c r="DM102" i="80"/>
  <c r="BW75" i="80"/>
  <c r="ER112" i="80"/>
  <c r="ER122" i="80" s="1"/>
  <c r="ER129" i="80" s="1"/>
  <c r="EO110" i="80"/>
  <c r="EO120" i="80" s="1"/>
  <c r="EO127" i="80" s="1"/>
  <c r="DM80" i="80"/>
  <c r="DL80" i="80"/>
  <c r="CK80" i="80"/>
  <c r="DI92" i="80"/>
  <c r="AL132" i="80"/>
  <c r="EA109" i="80"/>
  <c r="EA119" i="80" s="1"/>
  <c r="EA126" i="80" s="1"/>
  <c r="FE109" i="80"/>
  <c r="BO96" i="80"/>
  <c r="M132" i="80"/>
  <c r="EZ110" i="80"/>
  <c r="M61" i="80"/>
  <c r="BV92" i="80"/>
  <c r="DW110" i="80"/>
  <c r="DW120" i="80" s="1"/>
  <c r="DY109" i="80"/>
  <c r="DY119" i="80" s="1"/>
  <c r="DY126" i="80" s="1"/>
  <c r="K277" i="80"/>
  <c r="BS85" i="80"/>
  <c r="EV107" i="80"/>
  <c r="DV109" i="80"/>
  <c r="DV119" i="80" s="1"/>
  <c r="DV126" i="80" s="1"/>
  <c r="CP93" i="80"/>
  <c r="DV111" i="80"/>
  <c r="BY132" i="80"/>
  <c r="CZ132" i="80"/>
  <c r="CJ93" i="80"/>
  <c r="DO93" i="80"/>
  <c r="CE93" i="80"/>
  <c r="BW102" i="80"/>
  <c r="DE78" i="80"/>
  <c r="BU76" i="80"/>
  <c r="CQ79" i="80"/>
  <c r="DD80" i="80"/>
  <c r="CO80" i="80"/>
  <c r="X140" i="80" s="1"/>
  <c r="X141" i="80" s="1"/>
  <c r="CO78" i="80"/>
  <c r="CY79" i="80"/>
  <c r="CO77" i="80"/>
  <c r="DC80" i="80"/>
  <c r="CW75" i="80"/>
  <c r="DD78" i="80"/>
  <c r="CX79" i="80"/>
  <c r="BX75" i="80"/>
  <c r="CY74" i="80"/>
  <c r="CO74" i="80"/>
  <c r="BX78" i="80"/>
  <c r="CP74" i="80"/>
  <c r="BO77" i="80"/>
  <c r="BO76" i="80"/>
  <c r="BQ76" i="80"/>
  <c r="BQ75" i="80"/>
  <c r="CR101" i="80"/>
  <c r="CP101" i="80"/>
  <c r="CZ101" i="80"/>
  <c r="BT79" i="80"/>
  <c r="BS77" i="80"/>
  <c r="BS76" i="80"/>
  <c r="DG102" i="80"/>
  <c r="DA102" i="80"/>
  <c r="BW80" i="80"/>
  <c r="DE102" i="80"/>
  <c r="BV74" i="80"/>
  <c r="Z132" i="80"/>
  <c r="EM109" i="80"/>
  <c r="EM119" i="80" s="1"/>
  <c r="EM126" i="80" s="1"/>
  <c r="EJ109" i="80"/>
  <c r="EJ119" i="80" s="1"/>
  <c r="EJ126" i="80" s="1"/>
  <c r="CH79" i="80"/>
  <c r="CH74" i="80"/>
  <c r="CD99" i="80"/>
  <c r="EY108" i="80"/>
  <c r="FI51" i="80"/>
  <c r="EY111" i="80"/>
  <c r="U63" i="80"/>
  <c r="DB93" i="80"/>
  <c r="BS96" i="80"/>
  <c r="BS132" i="80"/>
  <c r="BZ96" i="80"/>
  <c r="BN97" i="80"/>
  <c r="AV132" i="80"/>
  <c r="FB107" i="80"/>
  <c r="BQ97" i="80"/>
  <c r="FD110" i="80"/>
  <c r="EG107" i="80"/>
  <c r="BO132" i="80"/>
  <c r="CB96" i="80"/>
  <c r="FC108" i="80"/>
  <c r="FB110" i="80"/>
  <c r="EW108" i="80"/>
  <c r="DM93" i="80"/>
  <c r="BR93" i="80"/>
  <c r="BZ102" i="80"/>
  <c r="CB76" i="80"/>
  <c r="BP74" i="80"/>
  <c r="CX75" i="80"/>
  <c r="BM79" i="80"/>
  <c r="CY80" i="80"/>
  <c r="CY77" i="80"/>
  <c r="DA79" i="80"/>
  <c r="DC78" i="80"/>
  <c r="CY75" i="80"/>
  <c r="CP79" i="80"/>
  <c r="CT80" i="80"/>
  <c r="AC140" i="80" s="1"/>
  <c r="AC141" i="80" s="1"/>
  <c r="DD74" i="80"/>
  <c r="BO75" i="80"/>
  <c r="BZ78" i="80"/>
  <c r="CR74" i="80"/>
  <c r="BY77" i="80"/>
  <c r="BZ79" i="80"/>
  <c r="CW74" i="80"/>
  <c r="CA75" i="80"/>
  <c r="BR75" i="80"/>
  <c r="BR78" i="80"/>
  <c r="CX101" i="80"/>
  <c r="BQ78" i="80"/>
  <c r="CS101" i="80"/>
  <c r="BX74" i="80"/>
  <c r="DO102" i="80"/>
  <c r="DN102" i="80"/>
  <c r="CZ102" i="80"/>
  <c r="CX102" i="80"/>
  <c r="BV79" i="80"/>
  <c r="CW102" i="80"/>
  <c r="BW74" i="80"/>
  <c r="BD132" i="80"/>
  <c r="CI96" i="80"/>
  <c r="EI108" i="80"/>
  <c r="DK74" i="80"/>
  <c r="CI74" i="80"/>
  <c r="CG92" i="80"/>
  <c r="Q277" i="80"/>
  <c r="EH109" i="80"/>
  <c r="EH119" i="80" s="1"/>
  <c r="EH126" i="80" s="1"/>
  <c r="FF51" i="80"/>
  <c r="FA108" i="80"/>
  <c r="EX108" i="80"/>
  <c r="EC108" i="80"/>
  <c r="G61" i="80"/>
  <c r="BX99" i="80"/>
  <c r="EC109" i="80"/>
  <c r="EC119" i="80" s="1"/>
  <c r="EC126" i="80" s="1"/>
  <c r="ET112" i="80"/>
  <c r="ET122" i="80" s="1"/>
  <c r="ET129" i="80" s="1"/>
  <c r="DF77" i="80"/>
  <c r="CD92" i="80"/>
  <c r="BV99" i="80"/>
  <c r="CB92" i="80"/>
  <c r="CZ92" i="80"/>
  <c r="BT89" i="80"/>
  <c r="FA47" i="80"/>
  <c r="BL99" i="80"/>
  <c r="FG50" i="80"/>
  <c r="EW50" i="80"/>
  <c r="I63" i="80"/>
  <c r="BR102" i="80"/>
  <c r="CW79" i="80"/>
  <c r="CT79" i="80"/>
  <c r="CR80" i="80"/>
  <c r="AA140" i="80" s="1"/>
  <c r="AA141" i="80" s="1"/>
  <c r="CS76" i="80"/>
  <c r="CZ77" i="80"/>
  <c r="CA76" i="80"/>
  <c r="BL79" i="80"/>
  <c r="CA78" i="80"/>
  <c r="BY80" i="80"/>
  <c r="DM101" i="80"/>
  <c r="CA74" i="80"/>
  <c r="CQ101" i="80"/>
  <c r="BW76" i="80"/>
  <c r="BS78" i="80"/>
  <c r="BW79" i="80"/>
  <c r="CH89" i="80"/>
  <c r="DL75" i="80"/>
  <c r="CE97" i="80"/>
  <c r="CW93" i="80"/>
  <c r="BX92" i="80"/>
  <c r="FB108" i="80"/>
  <c r="BQ132" i="80"/>
  <c r="Q61" i="80"/>
  <c r="N277" i="80"/>
  <c r="EA111" i="80"/>
  <c r="CG93" i="80"/>
  <c r="CL93" i="80"/>
  <c r="CB77" i="80"/>
  <c r="BM80" i="80"/>
  <c r="CZ80" i="80"/>
  <c r="DB76" i="80"/>
  <c r="CZ78" i="80"/>
  <c r="DB77" i="80"/>
  <c r="DA74" i="80"/>
  <c r="CX74" i="80"/>
  <c r="BY79" i="80"/>
  <c r="BX77" i="80"/>
  <c r="BT76" i="80"/>
  <c r="DO101" i="80"/>
  <c r="DC101" i="80"/>
  <c r="DL102" i="80"/>
  <c r="CY102" i="80"/>
  <c r="CT102" i="80"/>
  <c r="DH74" i="80"/>
  <c r="DL78" i="80"/>
  <c r="BU97" i="80"/>
  <c r="EX107" i="80"/>
  <c r="BM97" i="80"/>
  <c r="BR97" i="80"/>
  <c r="AK132" i="80"/>
  <c r="BO99" i="80"/>
  <c r="EY46" i="80"/>
  <c r="BS88" i="80"/>
  <c r="DN93" i="80"/>
  <c r="BM101" i="80"/>
  <c r="DE75" i="80"/>
  <c r="CR77" i="80"/>
  <c r="CQ77" i="80"/>
  <c r="DD77" i="80"/>
  <c r="CQ80" i="80"/>
  <c r="Z140" i="80" s="1"/>
  <c r="Z141" i="80" s="1"/>
  <c r="BM76" i="80"/>
  <c r="BZ77" i="80"/>
  <c r="CS74" i="80"/>
  <c r="BL76" i="80"/>
  <c r="BZ74" i="80"/>
  <c r="BT75" i="80"/>
  <c r="DJ101" i="80"/>
  <c r="BT77" i="80"/>
  <c r="CP102" i="80"/>
  <c r="BV76" i="80"/>
  <c r="DJ102" i="80"/>
  <c r="DI77" i="80"/>
  <c r="DO76" i="80"/>
  <c r="Q132" i="80"/>
  <c r="R132" i="80"/>
  <c r="EV47" i="80"/>
  <c r="FI50" i="80"/>
  <c r="FJ107" i="80"/>
  <c r="EE110" i="80"/>
  <c r="FA111" i="80"/>
  <c r="DZ108" i="80"/>
  <c r="EW51" i="80"/>
  <c r="BL93" i="80"/>
  <c r="CB80" i="80"/>
  <c r="V140" i="80" s="1"/>
  <c r="V141" i="80" s="1"/>
  <c r="CV80" i="80"/>
  <c r="AE140" i="80" s="1"/>
  <c r="AE141" i="80" s="1"/>
  <c r="DD75" i="80"/>
  <c r="CP80" i="80"/>
  <c r="Y140" i="80" s="1"/>
  <c r="Y141" i="80" s="1"/>
  <c r="CX80" i="80"/>
  <c r="AG140" i="80" s="1"/>
  <c r="AG141" i="80" s="1"/>
  <c r="CO75" i="80"/>
  <c r="CA80" i="80"/>
  <c r="BZ75" i="80"/>
  <c r="BO79" i="80"/>
  <c r="DN101" i="80"/>
  <c r="CV101" i="80"/>
  <c r="BQ79" i="80"/>
  <c r="DP101" i="80"/>
  <c r="BW77" i="80"/>
  <c r="BS79" i="80"/>
  <c r="DD102" i="80"/>
  <c r="EI112" i="80"/>
  <c r="CK77" i="80"/>
  <c r="BM85" i="80"/>
  <c r="BL96" i="80"/>
  <c r="O277" i="80"/>
  <c r="DX108" i="80"/>
  <c r="EH111" i="80"/>
  <c r="EF107" i="80"/>
  <c r="FG51" i="80"/>
  <c r="EG108" i="80"/>
  <c r="BL88" i="80"/>
  <c r="CO93" i="80"/>
  <c r="BU75" i="80"/>
  <c r="DC79" i="80"/>
  <c r="CT76" i="80"/>
  <c r="CS79" i="80"/>
  <c r="DA80" i="80"/>
  <c r="DD76" i="80"/>
  <c r="BY78" i="80"/>
  <c r="BY75" i="80"/>
  <c r="DB74" i="80"/>
  <c r="DK101" i="80"/>
  <c r="BR76" i="80"/>
  <c r="BQ77" i="80"/>
  <c r="CW101" i="80"/>
  <c r="BV77" i="80"/>
  <c r="DF102" i="80"/>
  <c r="DB102" i="80"/>
  <c r="EI110" i="80"/>
  <c r="AT132" i="80"/>
  <c r="DW111" i="80"/>
  <c r="EA110" i="80"/>
  <c r="EA120" i="80" s="1"/>
  <c r="H132" i="80"/>
  <c r="CX76" i="80"/>
  <c r="CS77" i="80"/>
  <c r="BN79" i="80"/>
  <c r="DH101" i="80"/>
  <c r="DH102" i="80"/>
  <c r="BS75" i="80"/>
  <c r="CU79" i="80"/>
  <c r="FG107" i="80"/>
  <c r="DI78" i="80"/>
  <c r="FE110" i="80"/>
  <c r="EG112" i="80"/>
  <c r="BS99" i="80"/>
  <c r="BQ101" i="80"/>
  <c r="DA75" i="80"/>
  <c r="CR78" i="80"/>
  <c r="BN80" i="80"/>
  <c r="BN74" i="80"/>
  <c r="DC102" i="80"/>
  <c r="CO102" i="80"/>
  <c r="EY112" i="80"/>
  <c r="CY76" i="80"/>
  <c r="BZ80" i="80"/>
  <c r="BO80" i="80"/>
  <c r="BT74" i="80"/>
  <c r="I132" i="80"/>
  <c r="DI80" i="80"/>
  <c r="FJ47" i="80"/>
  <c r="EB110" i="80"/>
  <c r="FA112" i="80"/>
  <c r="BM102" i="80"/>
  <c r="DD79" i="80"/>
  <c r="DC76" i="80"/>
  <c r="BX80" i="80"/>
  <c r="BQ80" i="80"/>
  <c r="BV78" i="80"/>
  <c r="BS74" i="80"/>
  <c r="EY50" i="80"/>
  <c r="BM96" i="80"/>
  <c r="DK102" i="80"/>
  <c r="CL77" i="80"/>
  <c r="BU89" i="80"/>
  <c r="J132" i="80"/>
  <c r="DU107" i="80"/>
  <c r="CB102" i="80"/>
  <c r="DA76" i="80"/>
  <c r="CQ74" i="80"/>
  <c r="CZ74" i="80"/>
  <c r="BR77" i="80"/>
  <c r="CU102" i="80"/>
  <c r="CA93" i="80"/>
  <c r="FC107" i="80"/>
  <c r="CT75" i="80"/>
  <c r="CA79" i="80"/>
  <c r="CV74" i="80"/>
  <c r="CY101" i="80"/>
  <c r="CG101" i="80"/>
  <c r="FK51" i="80"/>
  <c r="T61" i="80"/>
  <c r="BY93" i="80"/>
  <c r="BU74" i="80"/>
  <c r="BM75" i="80"/>
  <c r="CT74" i="80"/>
  <c r="DC74" i="80"/>
  <c r="BT78" i="80"/>
  <c r="CO101" i="80"/>
  <c r="BS92" i="80"/>
  <c r="BY74" i="80"/>
  <c r="CU74" i="80"/>
  <c r="DW112" i="80"/>
  <c r="DL101" i="80"/>
  <c r="FC47" i="80"/>
  <c r="CV102" i="80"/>
  <c r="BT80" i="80"/>
  <c r="DU108" i="80"/>
  <c r="F277" i="80"/>
  <c r="BY76" i="80"/>
  <c r="DC75" i="80"/>
  <c r="CP78" i="80"/>
  <c r="CO102" i="81"/>
  <c r="BC132" i="81"/>
  <c r="AB132" i="81"/>
  <c r="AY132" i="81"/>
  <c r="Y132" i="81"/>
  <c r="BE132" i="81"/>
  <c r="FQ46" i="81"/>
  <c r="DJ80" i="81"/>
  <c r="FP49" i="81"/>
  <c r="CG89" i="81"/>
  <c r="FO50" i="81"/>
  <c r="DM75" i="81"/>
  <c r="FN48" i="81"/>
  <c r="DH79" i="81"/>
  <c r="FO49" i="81"/>
  <c r="DM77" i="81"/>
  <c r="FO48" i="81"/>
  <c r="FR49" i="81"/>
  <c r="FT49" i="81"/>
  <c r="FR47" i="81"/>
  <c r="DI74" i="81"/>
  <c r="DH80" i="81"/>
  <c r="DO76" i="81"/>
  <c r="DG76" i="81"/>
  <c r="DP80" i="81"/>
  <c r="DN75" i="81"/>
  <c r="DG75" i="81"/>
  <c r="W233" i="81"/>
  <c r="BA132" i="81"/>
  <c r="W225" i="81"/>
  <c r="W215" i="81"/>
  <c r="AC132" i="81"/>
  <c r="AA132" i="81"/>
  <c r="AD132" i="81"/>
  <c r="W236" i="81"/>
  <c r="AE132" i="81"/>
  <c r="FU46" i="81"/>
  <c r="CF89" i="81"/>
  <c r="FT46" i="81"/>
  <c r="FS50" i="81"/>
  <c r="FO51" i="81"/>
  <c r="CH89" i="81"/>
  <c r="FM49" i="81"/>
  <c r="DJ77" i="81"/>
  <c r="FP46" i="81"/>
  <c r="DI75" i="81"/>
  <c r="FP48" i="81"/>
  <c r="DJ75" i="81"/>
  <c r="DI92" i="81"/>
  <c r="DG92" i="81"/>
  <c r="DM76" i="81"/>
  <c r="DP76" i="81"/>
  <c r="DF77" i="81"/>
  <c r="DG79" i="81"/>
  <c r="DK77" i="81"/>
  <c r="DM74" i="81"/>
  <c r="CC89" i="81"/>
  <c r="Z132" i="81"/>
  <c r="BF132" i="81"/>
  <c r="CI96" i="81"/>
  <c r="DJ92" i="81"/>
  <c r="FV49" i="81"/>
  <c r="CI89" i="81"/>
  <c r="FS46" i="81"/>
  <c r="FP47" i="81"/>
  <c r="CF96" i="81"/>
  <c r="FR50" i="81"/>
  <c r="FQ51" i="81"/>
  <c r="CL96" i="81"/>
  <c r="FS49" i="81"/>
  <c r="DH74" i="81"/>
  <c r="DK80" i="81"/>
  <c r="DK79" i="81"/>
  <c r="DO78" i="81"/>
  <c r="DL75" i="81"/>
  <c r="DO74" i="81"/>
  <c r="CC97" i="81"/>
  <c r="BX97" i="81"/>
  <c r="CG92" i="81"/>
  <c r="CD92" i="81"/>
  <c r="V218" i="81"/>
  <c r="CK97" i="81"/>
  <c r="AN132" i="81"/>
  <c r="CL88" i="81"/>
  <c r="CL92" i="81"/>
  <c r="CV132" i="81"/>
  <c r="EV51" i="81"/>
  <c r="CT92" i="81"/>
  <c r="EX47" i="81"/>
  <c r="FJ51" i="81"/>
  <c r="EY109" i="81"/>
  <c r="BN97" i="81"/>
  <c r="BN89" i="81"/>
  <c r="S63" i="81"/>
  <c r="FC48" i="81"/>
  <c r="AP132" i="81"/>
  <c r="FD108" i="81"/>
  <c r="J277" i="81"/>
  <c r="EZ108" i="81"/>
  <c r="FB51" i="81"/>
  <c r="EV110" i="81"/>
  <c r="EZ107" i="81"/>
  <c r="BU88" i="81"/>
  <c r="R61" i="81"/>
  <c r="U61" i="81"/>
  <c r="CX92" i="81"/>
  <c r="Q132" i="81"/>
  <c r="DY107" i="81"/>
  <c r="BJ132" i="81"/>
  <c r="BG132" i="81"/>
  <c r="W224" i="81"/>
  <c r="FW50" i="81"/>
  <c r="DI79" i="81"/>
  <c r="FS47" i="81"/>
  <c r="FT48" i="81"/>
  <c r="DO92" i="81"/>
  <c r="FU51" i="81"/>
  <c r="FW48" i="81"/>
  <c r="DJ78" i="81"/>
  <c r="FW51" i="81"/>
  <c r="CH96" i="81"/>
  <c r="DI80" i="81"/>
  <c r="DM79" i="81"/>
  <c r="DG78" i="81"/>
  <c r="DN80" i="81"/>
  <c r="DN76" i="81"/>
  <c r="DO80" i="81"/>
  <c r="DL74" i="81"/>
  <c r="CD99" i="81"/>
  <c r="BT88" i="81"/>
  <c r="CH88" i="81"/>
  <c r="CC88" i="81"/>
  <c r="AQ132" i="81"/>
  <c r="CJ99" i="81"/>
  <c r="CH92" i="81"/>
  <c r="CG88" i="81"/>
  <c r="CE88" i="81"/>
  <c r="P277" i="81"/>
  <c r="EV47" i="81"/>
  <c r="N132" i="81"/>
  <c r="DW111" i="81"/>
  <c r="DU111" i="81"/>
  <c r="FK107" i="81"/>
  <c r="BT96" i="81"/>
  <c r="DX109" i="81"/>
  <c r="DX119" i="81" s="1"/>
  <c r="DX126" i="81" s="1"/>
  <c r="FH46" i="81"/>
  <c r="FI111" i="81"/>
  <c r="FI121" i="81" s="1"/>
  <c r="FI128" i="81" s="1"/>
  <c r="CP92" i="81"/>
  <c r="FD47" i="81"/>
  <c r="BR96" i="81"/>
  <c r="BP89" i="81"/>
  <c r="FA46" i="81"/>
  <c r="FL50" i="81"/>
  <c r="EZ110" i="81"/>
  <c r="DS110" i="81"/>
  <c r="DS120" i="81" s="1"/>
  <c r="FD51" i="81"/>
  <c r="P63" i="81"/>
  <c r="EW49" i="81"/>
  <c r="EE109" i="81"/>
  <c r="EE119" i="81" s="1"/>
  <c r="EE126" i="81" s="1"/>
  <c r="FJ50" i="81"/>
  <c r="FK109" i="81"/>
  <c r="BY89" i="81"/>
  <c r="EB109" i="81"/>
  <c r="EB119" i="81" s="1"/>
  <c r="EB126" i="81" s="1"/>
  <c r="FH107" i="81"/>
  <c r="G61" i="81"/>
  <c r="L132" i="81"/>
  <c r="BB132" i="81"/>
  <c r="W234" i="81"/>
  <c r="AF132" i="81"/>
  <c r="FM50" i="81"/>
  <c r="CD89" i="81"/>
  <c r="DI78" i="81"/>
  <c r="CD96" i="81"/>
  <c r="DJ79" i="81"/>
  <c r="FV48" i="81"/>
  <c r="FN49" i="81"/>
  <c r="DI76" i="81"/>
  <c r="FU49" i="81"/>
  <c r="FM48" i="81"/>
  <c r="DH76" i="81"/>
  <c r="DH77" i="81"/>
  <c r="DP78" i="81"/>
  <c r="DL77" i="81"/>
  <c r="DF76" i="81"/>
  <c r="DK78" i="81"/>
  <c r="DG74" i="81"/>
  <c r="CI92" i="81"/>
  <c r="CE92" i="81"/>
  <c r="AX132" i="81"/>
  <c r="CI88" i="81"/>
  <c r="CC92" i="81"/>
  <c r="CM99" i="81"/>
  <c r="AL132" i="81"/>
  <c r="V221" i="81"/>
  <c r="S132" i="81"/>
  <c r="FL46" i="81"/>
  <c r="FA50" i="81"/>
  <c r="BV92" i="81"/>
  <c r="FH47" i="81"/>
  <c r="DV109" i="81"/>
  <c r="DV119" i="81" s="1"/>
  <c r="DV126" i="81" s="1"/>
  <c r="EA108" i="81"/>
  <c r="FB108" i="81"/>
  <c r="FI112" i="81"/>
  <c r="FI122" i="81" s="1"/>
  <c r="FI129" i="81" s="1"/>
  <c r="EZ49" i="81"/>
  <c r="AK132" i="81"/>
  <c r="I61" i="81"/>
  <c r="FE109" i="81"/>
  <c r="ED112" i="81"/>
  <c r="FK48" i="81"/>
  <c r="EG110" i="81"/>
  <c r="EG120" i="81" s="1"/>
  <c r="FF46" i="81"/>
  <c r="BS89" i="81"/>
  <c r="BL99" i="81"/>
  <c r="BZ99" i="81"/>
  <c r="N63" i="81"/>
  <c r="FI51" i="81"/>
  <c r="J61" i="81"/>
  <c r="FC49" i="81"/>
  <c r="W232" i="81"/>
  <c r="W255" i="81" s="1"/>
  <c r="W218" i="81"/>
  <c r="X132" i="81"/>
  <c r="FQ48" i="81"/>
  <c r="FM46" i="81"/>
  <c r="DP92" i="81"/>
  <c r="FN47" i="81"/>
  <c r="CE96" i="81"/>
  <c r="FV51" i="81"/>
  <c r="FN46" i="81"/>
  <c r="CK96" i="81"/>
  <c r="FT50" i="81"/>
  <c r="FR48" i="81"/>
  <c r="CM96" i="81"/>
  <c r="DH78" i="81"/>
  <c r="DK75" i="81"/>
  <c r="DP79" i="81"/>
  <c r="DG77" i="81"/>
  <c r="DN77" i="81"/>
  <c r="DN74" i="81"/>
  <c r="CK92" i="81"/>
  <c r="V212" i="81"/>
  <c r="V239" i="81" s="1"/>
  <c r="CB88" i="81"/>
  <c r="V225" i="81"/>
  <c r="V215" i="81"/>
  <c r="CJ92" i="81"/>
  <c r="CD88" i="81"/>
  <c r="AR132" i="81"/>
  <c r="CG97" i="81"/>
  <c r="FJ112" i="81"/>
  <c r="FJ122" i="81" s="1"/>
  <c r="FJ129" i="81" s="1"/>
  <c r="EY46" i="81"/>
  <c r="DT110" i="81"/>
  <c r="FD109" i="81"/>
  <c r="FI49" i="81"/>
  <c r="EZ47" i="81"/>
  <c r="FA109" i="81"/>
  <c r="DW109" i="81"/>
  <c r="DW119" i="81" s="1"/>
  <c r="DW126" i="81" s="1"/>
  <c r="ED108" i="81"/>
  <c r="BU97" i="81"/>
  <c r="EG112" i="81"/>
  <c r="FE47" i="81"/>
  <c r="FC51" i="81"/>
  <c r="DB92" i="81"/>
  <c r="FF111" i="81"/>
  <c r="FF121" i="81" s="1"/>
  <c r="FF128" i="81" s="1"/>
  <c r="BY88" i="81"/>
  <c r="FG50" i="81"/>
  <c r="BV96" i="81"/>
  <c r="CB92" i="81"/>
  <c r="AI132" i="81"/>
  <c r="FB50" i="81"/>
  <c r="EX46" i="81"/>
  <c r="FJ47" i="81"/>
  <c r="W212" i="81"/>
  <c r="W239" i="81" s="1"/>
  <c r="BI132" i="81"/>
  <c r="CJ96" i="81"/>
  <c r="FV50" i="81"/>
  <c r="FW46" i="81"/>
  <c r="DI77" i="81"/>
  <c r="FQ47" i="81"/>
  <c r="CM89" i="81"/>
  <c r="FR51" i="81"/>
  <c r="FQ49" i="81"/>
  <c r="CG96" i="81"/>
  <c r="FS51" i="81"/>
  <c r="DM92" i="81"/>
  <c r="CE89" i="81"/>
  <c r="DH75" i="81"/>
  <c r="DO77" i="81"/>
  <c r="DK76" i="81"/>
  <c r="DF79" i="81"/>
  <c r="DP75" i="81"/>
  <c r="DK74" i="81"/>
  <c r="CM88" i="81"/>
  <c r="BQ88" i="81"/>
  <c r="BM88" i="81"/>
  <c r="AW132" i="81"/>
  <c r="CW132" i="81"/>
  <c r="CF88" i="81"/>
  <c r="CF97" i="81"/>
  <c r="BY99" i="81"/>
  <c r="CI99" i="81"/>
  <c r="BM99" i="81"/>
  <c r="FG48" i="81"/>
  <c r="O63" i="81"/>
  <c r="FD49" i="81"/>
  <c r="BR88" i="81"/>
  <c r="BP88" i="81"/>
  <c r="BX96" i="81"/>
  <c r="FL48" i="81"/>
  <c r="FG49" i="81"/>
  <c r="CT132" i="81"/>
  <c r="EX107" i="81"/>
  <c r="FJ107" i="81"/>
  <c r="DZ111" i="81"/>
  <c r="L277" i="81"/>
  <c r="CW92" i="81"/>
  <c r="CB89" i="81"/>
  <c r="DU110" i="81"/>
  <c r="L61" i="81"/>
  <c r="BP97" i="81"/>
  <c r="CA89" i="81"/>
  <c r="DS109" i="81"/>
  <c r="DS119" i="81" s="1"/>
  <c r="DS126" i="81" s="1"/>
  <c r="DW112" i="81"/>
  <c r="DW122" i="81" s="1"/>
  <c r="BR99" i="81"/>
  <c r="U63" i="81"/>
  <c r="EH111" i="81"/>
  <c r="BV88" i="81"/>
  <c r="FE49" i="81"/>
  <c r="EY110" i="81"/>
  <c r="BH132" i="81"/>
  <c r="FO47" i="81"/>
  <c r="FW49" i="81"/>
  <c r="FT51" i="81"/>
  <c r="CC96" i="81"/>
  <c r="DL78" i="81"/>
  <c r="DO79" i="81"/>
  <c r="P132" i="81"/>
  <c r="CL99" i="81"/>
  <c r="V224" i="81"/>
  <c r="CK88" i="81"/>
  <c r="FD48" i="81"/>
  <c r="FC112" i="81"/>
  <c r="FF108" i="81"/>
  <c r="FF118" i="81" s="1"/>
  <c r="FF125" i="81" s="1"/>
  <c r="DT108" i="81"/>
  <c r="FK108" i="81"/>
  <c r="FK118" i="81" s="1"/>
  <c r="FK125" i="81" s="1"/>
  <c r="EY50" i="81"/>
  <c r="FF48" i="81"/>
  <c r="BV97" i="81"/>
  <c r="EY111" i="81"/>
  <c r="FA47" i="81"/>
  <c r="BW89" i="81"/>
  <c r="J63" i="81"/>
  <c r="BT92" i="81"/>
  <c r="EV111" i="81"/>
  <c r="BV99" i="81"/>
  <c r="BR132" i="81"/>
  <c r="CR92" i="81"/>
  <c r="EZ111" i="81"/>
  <c r="H61" i="81"/>
  <c r="DY110" i="81"/>
  <c r="EG107" i="81"/>
  <c r="CZ62" i="81"/>
  <c r="FD107" i="81"/>
  <c r="FB112" i="81"/>
  <c r="CU92" i="81"/>
  <c r="DU112" i="81"/>
  <c r="DU122" i="81" s="1"/>
  <c r="FB46" i="81"/>
  <c r="DX111" i="81"/>
  <c r="EZ109" i="81"/>
  <c r="BT89" i="81"/>
  <c r="EX109" i="81"/>
  <c r="BQ96" i="81"/>
  <c r="EX51" i="81"/>
  <c r="BQ99" i="81"/>
  <c r="FC107" i="81"/>
  <c r="K277" i="81"/>
  <c r="FJ110" i="81"/>
  <c r="FJ120" i="81" s="1"/>
  <c r="FJ127" i="81" s="1"/>
  <c r="FI46" i="81"/>
  <c r="DZ112" i="81"/>
  <c r="DZ122" i="81" s="1"/>
  <c r="CS92" i="81"/>
  <c r="BT99" i="81"/>
  <c r="BR97" i="81"/>
  <c r="BU92" i="81"/>
  <c r="DA92" i="81"/>
  <c r="CF93" i="81"/>
  <c r="G277" i="81"/>
  <c r="F277" i="81"/>
  <c r="BQ93" i="81"/>
  <c r="BT85" i="81"/>
  <c r="BY93" i="81"/>
  <c r="CH93" i="81"/>
  <c r="EW48" i="81"/>
  <c r="CC93" i="81"/>
  <c r="CG93" i="81"/>
  <c r="BO101" i="81"/>
  <c r="CG101" i="81"/>
  <c r="BY102" i="81"/>
  <c r="BS101" i="81"/>
  <c r="BW101" i="81"/>
  <c r="BV102" i="81"/>
  <c r="BN101" i="81"/>
  <c r="DE75" i="81"/>
  <c r="CU76" i="81"/>
  <c r="CX79" i="81"/>
  <c r="CR75" i="81"/>
  <c r="DA77" i="81"/>
  <c r="CR78" i="81"/>
  <c r="CV80" i="81"/>
  <c r="AE140" i="81" s="1"/>
  <c r="AE141" i="81" s="1"/>
  <c r="DA79" i="81"/>
  <c r="DD75" i="81"/>
  <c r="CZ79" i="81"/>
  <c r="CP78" i="81"/>
  <c r="CP75" i="81"/>
  <c r="DC80" i="81"/>
  <c r="DO93" i="81"/>
  <c r="CS93" i="81"/>
  <c r="CW93" i="81"/>
  <c r="DN93" i="81"/>
  <c r="CS74" i="81"/>
  <c r="DF101" i="81"/>
  <c r="CG74" i="81"/>
  <c r="BV79" i="81"/>
  <c r="CB76" i="81"/>
  <c r="BU78" i="81"/>
  <c r="CK74" i="81"/>
  <c r="CK77" i="81"/>
  <c r="BN79" i="81"/>
  <c r="CG80" i="81"/>
  <c r="BZ78" i="81"/>
  <c r="CJ79" i="81"/>
  <c r="BQ77" i="81"/>
  <c r="CA79" i="81"/>
  <c r="CJ80" i="81"/>
  <c r="BL80" i="81"/>
  <c r="CE77" i="81"/>
  <c r="BS78" i="81"/>
  <c r="CA78" i="81"/>
  <c r="CE79" i="81"/>
  <c r="CL79" i="81"/>
  <c r="CI80" i="81"/>
  <c r="BT76" i="81"/>
  <c r="CI74" i="81"/>
  <c r="BW75" i="81"/>
  <c r="CI78" i="81"/>
  <c r="BV75" i="81"/>
  <c r="BT79" i="81"/>
  <c r="CI79" i="81"/>
  <c r="DG102" i="81"/>
  <c r="DJ102" i="81"/>
  <c r="DF102" i="81"/>
  <c r="DK102" i="81"/>
  <c r="DN92" i="81"/>
  <c r="V132" i="81"/>
  <c r="FK47" i="81"/>
  <c r="ED109" i="81"/>
  <c r="ED119" i="81" s="1"/>
  <c r="ED126" i="81" s="1"/>
  <c r="FG51" i="81"/>
  <c r="DC132" i="81"/>
  <c r="BQ92" i="81"/>
  <c r="BU89" i="81"/>
  <c r="FJ49" i="81"/>
  <c r="BT93" i="81"/>
  <c r="CE85" i="81"/>
  <c r="CI101" i="81"/>
  <c r="CX76" i="81"/>
  <c r="CS80" i="81"/>
  <c r="AB140" i="81" s="1"/>
  <c r="AB141" i="81" s="1"/>
  <c r="CX74" i="81"/>
  <c r="CS101" i="81"/>
  <c r="BW79" i="81"/>
  <c r="BR75" i="81"/>
  <c r="CH80" i="81"/>
  <c r="CK76" i="81"/>
  <c r="CY102" i="81"/>
  <c r="FS48" i="81"/>
  <c r="BD132" i="81"/>
  <c r="FQ50" i="81"/>
  <c r="FU48" i="81"/>
  <c r="FV46" i="81"/>
  <c r="CK89" i="81"/>
  <c r="DN79" i="81"/>
  <c r="DF80" i="81"/>
  <c r="CR132" i="81"/>
  <c r="CA99" i="81"/>
  <c r="AS132" i="81"/>
  <c r="O132" i="81"/>
  <c r="BW92" i="81"/>
  <c r="EV46" i="81"/>
  <c r="FA111" i="81"/>
  <c r="CO92" i="81"/>
  <c r="EA110" i="81"/>
  <c r="EA111" i="81"/>
  <c r="EZ50" i="81"/>
  <c r="BW88" i="81"/>
  <c r="BM97" i="81"/>
  <c r="FH112" i="81"/>
  <c r="FH122" i="81" s="1"/>
  <c r="FH129" i="81" s="1"/>
  <c r="BO88" i="81"/>
  <c r="FC110" i="81"/>
  <c r="FB48" i="81"/>
  <c r="FF51" i="81"/>
  <c r="BZ96" i="81"/>
  <c r="FC111" i="81"/>
  <c r="BS97" i="81"/>
  <c r="FB47" i="81"/>
  <c r="FH49" i="81"/>
  <c r="EV49" i="81"/>
  <c r="BY132" i="81"/>
  <c r="DD132" i="81"/>
  <c r="FE107" i="81"/>
  <c r="FF107" i="81"/>
  <c r="BW96" i="81"/>
  <c r="DS108" i="81"/>
  <c r="FF109" i="81"/>
  <c r="CY92" i="81"/>
  <c r="BQ62" i="81"/>
  <c r="FE48" i="81"/>
  <c r="FH108" i="81"/>
  <c r="FH118" i="81" s="1"/>
  <c r="FH125" i="81" s="1"/>
  <c r="BS92" i="81"/>
  <c r="K132" i="81"/>
  <c r="DC92" i="81"/>
  <c r="FK46" i="81"/>
  <c r="EV50" i="81"/>
  <c r="FC47" i="81"/>
  <c r="DT109" i="81"/>
  <c r="DT119" i="81" s="1"/>
  <c r="DT126" i="81" s="1"/>
  <c r="BP132" i="81"/>
  <c r="FC109" i="81"/>
  <c r="BX132" i="81"/>
  <c r="EY48" i="81"/>
  <c r="CQ132" i="81"/>
  <c r="BS99" i="81"/>
  <c r="CH85" i="81"/>
  <c r="CE93" i="81"/>
  <c r="G63" i="81"/>
  <c r="EW50" i="81"/>
  <c r="BV93" i="81"/>
  <c r="EW109" i="81"/>
  <c r="CG85" i="81"/>
  <c r="CK85" i="81"/>
  <c r="BW85" i="81"/>
  <c r="CK93" i="81"/>
  <c r="CB101" i="81"/>
  <c r="BX102" i="81"/>
  <c r="BQ102" i="81"/>
  <c r="CB102" i="81"/>
  <c r="BV101" i="81"/>
  <c r="CD101" i="81"/>
  <c r="BW102" i="81"/>
  <c r="DE76" i="81"/>
  <c r="CU75" i="81"/>
  <c r="CO76" i="81"/>
  <c r="CY77" i="81"/>
  <c r="CR79" i="81"/>
  <c r="DD79" i="81"/>
  <c r="CW80" i="81"/>
  <c r="AF140" i="81" s="1"/>
  <c r="AF141" i="81" s="1"/>
  <c r="DC79" i="81"/>
  <c r="CX78" i="81"/>
  <c r="CV79" i="81"/>
  <c r="CV77" i="81"/>
  <c r="CV75" i="81"/>
  <c r="CR76" i="81"/>
  <c r="CU93" i="81"/>
  <c r="DB93" i="81"/>
  <c r="DG93" i="81"/>
  <c r="DD93" i="81"/>
  <c r="DJ93" i="81"/>
  <c r="DB101" i="81"/>
  <c r="CJ76" i="81"/>
  <c r="BR74" i="81"/>
  <c r="CB77" i="81"/>
  <c r="BQ76" i="81"/>
  <c r="CE76" i="81"/>
  <c r="BY77" i="81"/>
  <c r="CB75" i="81"/>
  <c r="BM75" i="81"/>
  <c r="BU75" i="81"/>
  <c r="CC76" i="81"/>
  <c r="BM76" i="81"/>
  <c r="BN75" i="81"/>
  <c r="CH74" i="81"/>
  <c r="DM101" i="81"/>
  <c r="CD78" i="81"/>
  <c r="BU74" i="81"/>
  <c r="BL77" i="81"/>
  <c r="CH76" i="81"/>
  <c r="CE75" i="81"/>
  <c r="BO80" i="81"/>
  <c r="BZ77" i="81"/>
  <c r="CJ77" i="81"/>
  <c r="CO93" i="81"/>
  <c r="CI76" i="81"/>
  <c r="BV78" i="81"/>
  <c r="BM80" i="81"/>
  <c r="CD76" i="81"/>
  <c r="CU102" i="81"/>
  <c r="DN102" i="81"/>
  <c r="CV102" i="81"/>
  <c r="CQ102" i="81"/>
  <c r="CP102" i="81"/>
  <c r="DJ76" i="81"/>
  <c r="FG46" i="81"/>
  <c r="CA88" i="81"/>
  <c r="BO97" i="81"/>
  <c r="DU109" i="81"/>
  <c r="DU119" i="81" s="1"/>
  <c r="DU126" i="81" s="1"/>
  <c r="EV48" i="81"/>
  <c r="EH112" i="81"/>
  <c r="EG108" i="81"/>
  <c r="CA85" i="81"/>
  <c r="EW51" i="81"/>
  <c r="BL93" i="81"/>
  <c r="BZ102" i="81"/>
  <c r="CP79" i="81"/>
  <c r="CY76" i="81"/>
  <c r="CO79" i="81"/>
  <c r="CO74" i="81"/>
  <c r="CI77" i="81"/>
  <c r="BW77" i="81"/>
  <c r="BQ78" i="81"/>
  <c r="BS74" i="81"/>
  <c r="BR79" i="81"/>
  <c r="BN78" i="81"/>
  <c r="DE102" i="81"/>
  <c r="BN99" i="81"/>
  <c r="W235" i="81"/>
  <c r="FO46" i="81"/>
  <c r="FN51" i="81"/>
  <c r="FP50" i="81"/>
  <c r="FN50" i="81"/>
  <c r="DP77" i="81"/>
  <c r="DO75" i="81"/>
  <c r="BP96" i="81"/>
  <c r="AU132" i="81"/>
  <c r="CF99" i="81"/>
  <c r="CM92" i="81"/>
  <c r="BO96" i="81"/>
  <c r="BP99" i="81"/>
  <c r="BX99" i="81"/>
  <c r="DW108" i="81"/>
  <c r="EB108" i="81"/>
  <c r="L63" i="81"/>
  <c r="FG112" i="81"/>
  <c r="FG122" i="81" s="1"/>
  <c r="FG129" i="81" s="1"/>
  <c r="F61" i="81"/>
  <c r="EA112" i="81"/>
  <c r="EA122" i="81" s="1"/>
  <c r="EW110" i="81"/>
  <c r="EX112" i="81"/>
  <c r="DZ108" i="81"/>
  <c r="R277" i="81"/>
  <c r="S61" i="81"/>
  <c r="EX49" i="81"/>
  <c r="DZ109" i="81"/>
  <c r="DZ119" i="81" s="1"/>
  <c r="DZ126" i="81" s="1"/>
  <c r="FF50" i="81"/>
  <c r="DS111" i="81"/>
  <c r="DE92" i="81"/>
  <c r="EY108" i="81"/>
  <c r="EB107" i="81"/>
  <c r="EC109" i="81"/>
  <c r="EC119" i="81" s="1"/>
  <c r="EC126" i="81" s="1"/>
  <c r="EG109" i="81"/>
  <c r="EG119" i="81" s="1"/>
  <c r="EG126" i="81" s="1"/>
  <c r="FG110" i="81"/>
  <c r="FG120" i="81" s="1"/>
  <c r="FG127" i="81" s="1"/>
  <c r="AT132" i="81"/>
  <c r="FC108" i="81"/>
  <c r="FG108" i="81"/>
  <c r="FG118" i="81" s="1"/>
  <c r="FG125" i="81" s="1"/>
  <c r="FH109" i="81"/>
  <c r="M277" i="81"/>
  <c r="BO89" i="81"/>
  <c r="FE110" i="81"/>
  <c r="EC108" i="81"/>
  <c r="DY109" i="81"/>
  <c r="DY119" i="81" s="1"/>
  <c r="DY126" i="81" s="1"/>
  <c r="EC111" i="81"/>
  <c r="EA107" i="81"/>
  <c r="EH108" i="81"/>
  <c r="DZ107" i="81"/>
  <c r="BO132" i="81"/>
  <c r="BX89" i="81"/>
  <c r="EF107" i="81"/>
  <c r="P61" i="81"/>
  <c r="BM92" i="81"/>
  <c r="FH51" i="81"/>
  <c r="EC112" i="81"/>
  <c r="BN93" i="81"/>
  <c r="CM93" i="81"/>
  <c r="CD93" i="81"/>
  <c r="G132" i="81"/>
  <c r="EW111" i="81"/>
  <c r="BR85" i="81"/>
  <c r="CI85" i="81"/>
  <c r="BM85" i="81"/>
  <c r="BP93" i="81"/>
  <c r="F132" i="81"/>
  <c r="BP102" i="81"/>
  <c r="CL101" i="81"/>
  <c r="CA102" i="81"/>
  <c r="BP101" i="81"/>
  <c r="BU102" i="81"/>
  <c r="CD102" i="81"/>
  <c r="BT101" i="81"/>
  <c r="DE80" i="81"/>
  <c r="CU80" i="81"/>
  <c r="AD140" i="81" s="1"/>
  <c r="AD141" i="81" s="1"/>
  <c r="CS75" i="81"/>
  <c r="CP77" i="81"/>
  <c r="CY79" i="81"/>
  <c r="CS79" i="81"/>
  <c r="DD78" i="81"/>
  <c r="CR80" i="81"/>
  <c r="AA140" i="81" s="1"/>
  <c r="AA141" i="81" s="1"/>
  <c r="CS76" i="81"/>
  <c r="CW76" i="81"/>
  <c r="CX77" i="81"/>
  <c r="DD77" i="81"/>
  <c r="CZ75" i="81"/>
  <c r="CV93" i="81"/>
  <c r="CT74" i="81"/>
  <c r="DE93" i="81"/>
  <c r="CR74" i="81"/>
  <c r="CX93" i="81"/>
  <c r="CR101" i="81"/>
  <c r="CC75" i="81"/>
  <c r="BR78" i="81"/>
  <c r="BO78" i="81"/>
  <c r="BV76" i="81"/>
  <c r="CI75" i="81"/>
  <c r="BL79" i="81"/>
  <c r="CB80" i="81"/>
  <c r="V140" i="81" s="1"/>
  <c r="V141" i="81" s="1"/>
  <c r="BP74" i="81"/>
  <c r="DO101" i="81"/>
  <c r="CD80" i="81"/>
  <c r="BY79" i="81"/>
  <c r="BX75" i="81"/>
  <c r="CK75" i="81"/>
  <c r="DI101" i="81"/>
  <c r="CF76" i="81"/>
  <c r="BM77" i="81"/>
  <c r="CB74" i="81"/>
  <c r="CF79" i="81"/>
  <c r="CM76" i="81"/>
  <c r="BS76" i="81"/>
  <c r="BL78" i="81"/>
  <c r="CM74" i="81"/>
  <c r="DN101" i="81"/>
  <c r="CC79" i="81"/>
  <c r="BS80" i="81"/>
  <c r="BO74" i="81"/>
  <c r="BX77" i="81"/>
  <c r="DD102" i="81"/>
  <c r="DI102" i="81"/>
  <c r="CW102" i="81"/>
  <c r="DF92" i="81"/>
  <c r="DM78" i="81"/>
  <c r="DF78" i="81"/>
  <c r="CH99" i="81"/>
  <c r="AM132" i="81"/>
  <c r="FF49" i="81"/>
  <c r="EG111" i="81"/>
  <c r="FA48" i="81"/>
  <c r="FJ108" i="81"/>
  <c r="FJ118" i="81" s="1"/>
  <c r="FJ125" i="81" s="1"/>
  <c r="DY112" i="81"/>
  <c r="DV110" i="81"/>
  <c r="DV120" i="81" s="1"/>
  <c r="T61" i="81"/>
  <c r="EC110" i="81"/>
  <c r="AO132" i="81"/>
  <c r="CQ92" i="81"/>
  <c r="BN85" i="81"/>
  <c r="BU93" i="81"/>
  <c r="CG102" i="81"/>
  <c r="CU77" i="81"/>
  <c r="CV78" i="81"/>
  <c r="DC75" i="81"/>
  <c r="CQ93" i="81"/>
  <c r="CC77" i="81"/>
  <c r="DA101" i="81"/>
  <c r="CE80" i="81"/>
  <c r="CL76" i="81"/>
  <c r="BS77" i="81"/>
  <c r="CA76" i="81"/>
  <c r="FV47" i="81"/>
  <c r="DL92" i="81"/>
  <c r="DF75" i="81"/>
  <c r="DL76" i="81"/>
  <c r="CD97" i="81"/>
  <c r="CJ97" i="81"/>
  <c r="DZ110" i="81"/>
  <c r="DZ120" i="81" s="1"/>
  <c r="F54" i="81"/>
  <c r="W221" i="81"/>
  <c r="CL89" i="81"/>
  <c r="FM47" i="81"/>
  <c r="FU47" i="81"/>
  <c r="DM80" i="81"/>
  <c r="DL80" i="81"/>
  <c r="DF74" i="81"/>
  <c r="CI97" i="81"/>
  <c r="BZ97" i="81"/>
  <c r="CG99" i="81"/>
  <c r="BZ88" i="81"/>
  <c r="EX111" i="81"/>
  <c r="DB132" i="81"/>
  <c r="EX108" i="81"/>
  <c r="FH48" i="81"/>
  <c r="BN96" i="81"/>
  <c r="BO92" i="81"/>
  <c r="FL47" i="81"/>
  <c r="FD112" i="81"/>
  <c r="BQ89" i="81"/>
  <c r="BY97" i="81"/>
  <c r="FD110" i="81"/>
  <c r="CZ92" i="81"/>
  <c r="FF47" i="81"/>
  <c r="T63" i="81"/>
  <c r="K63" i="81"/>
  <c r="FK50" i="81"/>
  <c r="EH109" i="81"/>
  <c r="EH119" i="81" s="1"/>
  <c r="EH126" i="81" s="1"/>
  <c r="BL88" i="81"/>
  <c r="FE112" i="81"/>
  <c r="EZ51" i="81"/>
  <c r="DW107" i="81"/>
  <c r="BV89" i="81"/>
  <c r="Q61" i="81"/>
  <c r="DX110" i="81"/>
  <c r="EE111" i="81"/>
  <c r="EY47" i="81"/>
  <c r="T132" i="81"/>
  <c r="FD50" i="81"/>
  <c r="CV92" i="81"/>
  <c r="EX50" i="81"/>
  <c r="DV108" i="81"/>
  <c r="AV132" i="81"/>
  <c r="DV107" i="81"/>
  <c r="BY96" i="81"/>
  <c r="R132" i="81"/>
  <c r="FI47" i="81"/>
  <c r="U277" i="81"/>
  <c r="CS132" i="81"/>
  <c r="FF110" i="81"/>
  <c r="FF120" i="81" s="1"/>
  <c r="FF127" i="81" s="1"/>
  <c r="FJ109" i="81"/>
  <c r="EH107" i="81"/>
  <c r="CB97" i="81"/>
  <c r="FE108" i="81"/>
  <c r="S277" i="81"/>
  <c r="BW93" i="81"/>
  <c r="CL85" i="81"/>
  <c r="CC85" i="81"/>
  <c r="CL93" i="81"/>
  <c r="EW107" i="81"/>
  <c r="CB93" i="81"/>
  <c r="BO85" i="81"/>
  <c r="BZ85" i="81"/>
  <c r="CJ85" i="81"/>
  <c r="CB85" i="81"/>
  <c r="BX101" i="81"/>
  <c r="BT102" i="81"/>
  <c r="BQ101" i="81"/>
  <c r="BO102" i="81"/>
  <c r="BY101" i="81"/>
  <c r="CI102" i="81"/>
  <c r="CM102" i="81"/>
  <c r="DE79" i="81"/>
  <c r="CU74" i="81"/>
  <c r="CT78" i="81"/>
  <c r="CW77" i="81"/>
  <c r="CZ78" i="81"/>
  <c r="CT76" i="81"/>
  <c r="CX75" i="81"/>
  <c r="CY78" i="81"/>
  <c r="CT75" i="81"/>
  <c r="CO78" i="81"/>
  <c r="CO75" i="81"/>
  <c r="CX80" i="81"/>
  <c r="AG140" i="81" s="1"/>
  <c r="AG141" i="81" s="1"/>
  <c r="CV76" i="81"/>
  <c r="DA74" i="81"/>
  <c r="DD74" i="81"/>
  <c r="CY93" i="81"/>
  <c r="CP74" i="81"/>
  <c r="DC93" i="81"/>
  <c r="CE74" i="81"/>
  <c r="CF75" i="81"/>
  <c r="BP80" i="81"/>
  <c r="BV77" i="81"/>
  <c r="DL101" i="81"/>
  <c r="CD74" i="81"/>
  <c r="BS79" i="81"/>
  <c r="BZ76" i="81"/>
  <c r="BY75" i="81"/>
  <c r="DH101" i="81"/>
  <c r="CL80" i="81"/>
  <c r="BS75" i="81"/>
  <c r="BW76" i="81"/>
  <c r="BQ80" i="81"/>
  <c r="CZ101" i="81"/>
  <c r="CJ74" i="81"/>
  <c r="BT75" i="81"/>
  <c r="BU79" i="81"/>
  <c r="CJ75" i="81"/>
  <c r="CH77" i="81"/>
  <c r="BP76" i="81"/>
  <c r="CB79" i="81"/>
  <c r="BM78" i="81"/>
  <c r="CT101" i="81"/>
  <c r="CL74" i="81"/>
  <c r="BN80" i="81"/>
  <c r="BZ80" i="81"/>
  <c r="BX76" i="81"/>
  <c r="CZ102" i="81"/>
  <c r="CT102" i="81"/>
  <c r="DP102" i="81"/>
  <c r="CX102" i="81"/>
  <c r="AZ132" i="81"/>
  <c r="CL97" i="81"/>
  <c r="FK51" i="81"/>
  <c r="FG111" i="81"/>
  <c r="FG121" i="81" s="1"/>
  <c r="FG128" i="81" s="1"/>
  <c r="BN132" i="81"/>
  <c r="M61" i="81"/>
  <c r="BW97" i="81"/>
  <c r="EY107" i="81"/>
  <c r="FA110" i="81"/>
  <c r="EV112" i="81"/>
  <c r="FI108" i="81"/>
  <c r="FI118" i="81" s="1"/>
  <c r="FI125" i="81" s="1"/>
  <c r="FH110" i="81"/>
  <c r="FH120" i="81" s="1"/>
  <c r="FH127" i="81" s="1"/>
  <c r="BR89" i="81"/>
  <c r="CI93" i="81"/>
  <c r="CC102" i="81"/>
  <c r="BL101" i="81"/>
  <c r="CW78" i="81"/>
  <c r="CT80" i="81"/>
  <c r="AC140" i="81" s="1"/>
  <c r="AC141" i="81" s="1"/>
  <c r="CQ74" i="81"/>
  <c r="BN76" i="81"/>
  <c r="BQ79" i="81"/>
  <c r="BT74" i="81"/>
  <c r="BQ75" i="81"/>
  <c r="BO75" i="81"/>
  <c r="W230" i="81"/>
  <c r="CM97" i="81"/>
  <c r="FJ111" i="81"/>
  <c r="FJ121" i="81" s="1"/>
  <c r="FJ128" i="81" s="1"/>
  <c r="W231" i="81"/>
  <c r="W132" i="81"/>
  <c r="FP51" i="81"/>
  <c r="DK92" i="81"/>
  <c r="FM51" i="81"/>
  <c r="DJ74" i="81"/>
  <c r="DG80" i="81"/>
  <c r="DP74" i="81"/>
  <c r="CH97" i="81"/>
  <c r="CC99" i="81"/>
  <c r="CF92" i="81"/>
  <c r="BZ92" i="81"/>
  <c r="EF112" i="81"/>
  <c r="EB112" i="81"/>
  <c r="EB122" i="81" s="1"/>
  <c r="FG47" i="81"/>
  <c r="FJ48" i="81"/>
  <c r="BT132" i="81"/>
  <c r="FI50" i="81"/>
  <c r="EZ46" i="81"/>
  <c r="FE111" i="81"/>
  <c r="BS96" i="81"/>
  <c r="DX107" i="81"/>
  <c r="EF110" i="81"/>
  <c r="BQ97" i="81"/>
  <c r="EH110" i="81"/>
  <c r="FA49" i="81"/>
  <c r="EF108" i="81"/>
  <c r="BM132" i="81"/>
  <c r="BS132" i="81"/>
  <c r="DT111" i="81"/>
  <c r="FJ46" i="81"/>
  <c r="CB96" i="81"/>
  <c r="FI107" i="81"/>
  <c r="O277" i="81"/>
  <c r="ED111" i="81"/>
  <c r="FL51" i="81"/>
  <c r="EX48" i="81"/>
  <c r="EZ48" i="81"/>
  <c r="FL49" i="81"/>
  <c r="DY111" i="81"/>
  <c r="BS88" i="81"/>
  <c r="FA107" i="81"/>
  <c r="CP132" i="81"/>
  <c r="CX132" i="81"/>
  <c r="FC46" i="81"/>
  <c r="CA97" i="81"/>
  <c r="FF112" i="81"/>
  <c r="FF122" i="81" s="1"/>
  <c r="FF129" i="81" s="1"/>
  <c r="BU132" i="81"/>
  <c r="R63" i="81"/>
  <c r="EF109" i="81"/>
  <c r="EF119" i="81" s="1"/>
  <c r="EF126" i="81" s="1"/>
  <c r="FI110" i="81"/>
  <c r="FI120" i="81" s="1"/>
  <c r="FI127" i="81" s="1"/>
  <c r="BR92" i="81"/>
  <c r="DS107" i="81"/>
  <c r="BT97" i="81"/>
  <c r="EY51" i="81"/>
  <c r="BL96" i="81"/>
  <c r="BQ85" i="81"/>
  <c r="BP85" i="81"/>
  <c r="I277" i="81"/>
  <c r="CF85" i="81"/>
  <c r="H277" i="81"/>
  <c r="BY85" i="81"/>
  <c r="CA93" i="81"/>
  <c r="BL89" i="81"/>
  <c r="BM93" i="81"/>
  <c r="BL85" i="81"/>
  <c r="CF101" i="81"/>
  <c r="CH102" i="81"/>
  <c r="CK102" i="81"/>
  <c r="CF102" i="81"/>
  <c r="CJ101" i="81"/>
  <c r="CK101" i="81"/>
  <c r="BR101" i="81"/>
  <c r="DE74" i="81"/>
  <c r="CZ77" i="81"/>
  <c r="DB78" i="81"/>
  <c r="DD76" i="81"/>
  <c r="CP80" i="81"/>
  <c r="Y140" i="81" s="1"/>
  <c r="Y141" i="81" s="1"/>
  <c r="DA80" i="81"/>
  <c r="CO77" i="81"/>
  <c r="CZ80" i="81"/>
  <c r="DC78" i="81"/>
  <c r="CS78" i="81"/>
  <c r="CS77" i="81"/>
  <c r="CO80" i="81"/>
  <c r="X140" i="81" s="1"/>
  <c r="X141" i="81" s="1"/>
  <c r="CW79" i="81"/>
  <c r="DB74" i="81"/>
  <c r="CV74" i="81"/>
  <c r="CZ74" i="81"/>
  <c r="DP93" i="81"/>
  <c r="DA93" i="81"/>
  <c r="CL77" i="81"/>
  <c r="CG78" i="81"/>
  <c r="BR77" i="81"/>
  <c r="DC101" i="81"/>
  <c r="DP101" i="81"/>
  <c r="CK79" i="81"/>
  <c r="BQ74" i="81"/>
  <c r="BL75" i="81"/>
  <c r="CF80" i="81"/>
  <c r="DE101" i="81"/>
  <c r="CG75" i="81"/>
  <c r="BW74" i="81"/>
  <c r="CA77" i="81"/>
  <c r="BZ74" i="81"/>
  <c r="CX101" i="81"/>
  <c r="CL75" i="81"/>
  <c r="CB78" i="81"/>
  <c r="BV74" i="81"/>
  <c r="CM77" i="81"/>
  <c r="CG76" i="81"/>
  <c r="BY80" i="81"/>
  <c r="BU80" i="81"/>
  <c r="BT77" i="81"/>
  <c r="CY101" i="81"/>
  <c r="CK80" i="81"/>
  <c r="BP75" i="81"/>
  <c r="CU101" i="81"/>
  <c r="BU76" i="81"/>
  <c r="DA102" i="81"/>
  <c r="DB102" i="81"/>
  <c r="DM102" i="81"/>
  <c r="FT47" i="81"/>
  <c r="FE50" i="81"/>
  <c r="FB110" i="81"/>
  <c r="CB99" i="81"/>
  <c r="U132" i="81"/>
  <c r="BZ132" i="81"/>
  <c r="FH111" i="81"/>
  <c r="FH121" i="81" s="1"/>
  <c r="FH128" i="81" s="1"/>
  <c r="FG109" i="81"/>
  <c r="BU96" i="81"/>
  <c r="DS112" i="81"/>
  <c r="EB111" i="81"/>
  <c r="I132" i="81"/>
  <c r="BV85" i="81"/>
  <c r="CC101" i="81"/>
  <c r="BR102" i="81"/>
  <c r="CQ76" i="81"/>
  <c r="CT79" i="81"/>
  <c r="CQ78" i="81"/>
  <c r="DM93" i="81"/>
  <c r="BP78" i="81"/>
  <c r="CF74" i="81"/>
  <c r="CD75" i="81"/>
  <c r="CG77" i="81"/>
  <c r="DG101" i="81"/>
  <c r="CC74" i="81"/>
  <c r="BL74" i="81"/>
  <c r="CJ89" i="81"/>
  <c r="DL79" i="81"/>
  <c r="FG107" i="81"/>
  <c r="BW62" i="81"/>
  <c r="DT112" i="81"/>
  <c r="FE46" i="81"/>
  <c r="EE112" i="81"/>
  <c r="EE122" i="81" s="1"/>
  <c r="EX110" i="81"/>
  <c r="BN88" i="81"/>
  <c r="BL132" i="81"/>
  <c r="DY108" i="81"/>
  <c r="EE108" i="81"/>
  <c r="EB110" i="81"/>
  <c r="EW108" i="81"/>
  <c r="H132" i="81"/>
  <c r="BM101" i="81"/>
  <c r="BU101" i="81"/>
  <c r="CU79" i="81"/>
  <c r="DA76" i="81"/>
  <c r="CY75" i="81"/>
  <c r="DK93" i="81"/>
  <c r="CW74" i="81"/>
  <c r="BR76" i="81"/>
  <c r="BM74" i="81"/>
  <c r="CL78" i="81"/>
  <c r="CH75" i="81"/>
  <c r="DD101" i="81"/>
  <c r="CW101" i="81"/>
  <c r="CM75" i="81"/>
  <c r="DO102" i="81"/>
  <c r="DD92" i="81"/>
  <c r="DB77" i="81"/>
  <c r="BT80" i="81"/>
  <c r="BX88" i="81"/>
  <c r="DW110" i="81"/>
  <c r="CA101" i="81"/>
  <c r="CZ93" i="81"/>
  <c r="BO77" i="81"/>
  <c r="CT62" i="81"/>
  <c r="FA51" i="81"/>
  <c r="CU78" i="81"/>
  <c r="BW78" i="81"/>
  <c r="CS102" i="81"/>
  <c r="CE97" i="81"/>
  <c r="N277" i="81"/>
  <c r="M63" i="81"/>
  <c r="DU107" i="81"/>
  <c r="FB49" i="81"/>
  <c r="J132" i="81"/>
  <c r="EZ112" i="81"/>
  <c r="CU132" i="81"/>
  <c r="FK110" i="81"/>
  <c r="FK120" i="81" s="1"/>
  <c r="FK127" i="81" s="1"/>
  <c r="CA96" i="81"/>
  <c r="DT107" i="81"/>
  <c r="FK111" i="81"/>
  <c r="FK121" i="81" s="1"/>
  <c r="FK128" i="81" s="1"/>
  <c r="BZ93" i="81"/>
  <c r="EW112" i="81"/>
  <c r="BS102" i="81"/>
  <c r="BZ101" i="81"/>
  <c r="CW75" i="81"/>
  <c r="CZ76" i="81"/>
  <c r="CQ80" i="81"/>
  <c r="Z140" i="81" s="1"/>
  <c r="Z141" i="81" s="1"/>
  <c r="DF93" i="81"/>
  <c r="CP93" i="81"/>
  <c r="BU77" i="81"/>
  <c r="BM79" i="81"/>
  <c r="CA80" i="81"/>
  <c r="BX79" i="81"/>
  <c r="CJ78" i="81"/>
  <c r="CF78" i="81"/>
  <c r="BX78" i="81"/>
  <c r="BO93" i="81"/>
  <c r="BN102" i="81"/>
  <c r="DD80" i="81"/>
  <c r="DA78" i="81"/>
  <c r="DC74" i="81"/>
  <c r="CH78" i="81"/>
  <c r="BP79" i="81"/>
  <c r="BY76" i="81"/>
  <c r="CH79" i="81"/>
  <c r="DL102" i="81"/>
  <c r="BR80" i="81"/>
  <c r="FU50" i="81"/>
  <c r="T277" i="81"/>
  <c r="EV109" i="81"/>
  <c r="EC107" i="81"/>
  <c r="EF111" i="81"/>
  <c r="BS85" i="81"/>
  <c r="DB80" i="81"/>
  <c r="CG79" i="81"/>
  <c r="CO101" i="81"/>
  <c r="DH92" i="81"/>
  <c r="Q63" i="81"/>
  <c r="CA132" i="81"/>
  <c r="F63" i="81"/>
  <c r="DC76" i="81"/>
  <c r="BT78" i="81"/>
  <c r="CV101" i="81"/>
  <c r="AJ132" i="81"/>
  <c r="CY74" i="81"/>
  <c r="CM80" i="81"/>
  <c r="AG132" i="81"/>
  <c r="CE99" i="81"/>
  <c r="BV132" i="81"/>
  <c r="BL97" i="81"/>
  <c r="DV111" i="81"/>
  <c r="K61" i="81"/>
  <c r="ED107" i="81"/>
  <c r="DA132" i="81"/>
  <c r="BW99" i="81"/>
  <c r="CZ132" i="81"/>
  <c r="EE107" i="81"/>
  <c r="BO99" i="81"/>
  <c r="BM89" i="81"/>
  <c r="H63" i="81"/>
  <c r="BL102" i="81"/>
  <c r="CP76" i="81"/>
  <c r="DH93" i="81"/>
  <c r="BO76" i="81"/>
  <c r="CC80" i="81"/>
  <c r="FI48" i="81"/>
  <c r="FK112" i="81"/>
  <c r="FK122" i="81" s="1"/>
  <c r="FK129" i="81" s="1"/>
  <c r="FK49" i="81"/>
  <c r="EW47" i="81"/>
  <c r="DE78" i="81"/>
  <c r="BP77" i="81"/>
  <c r="CA75" i="81"/>
  <c r="DX112" i="81"/>
  <c r="CA92" i="81"/>
  <c r="FE51" i="81"/>
  <c r="DU108" i="81"/>
  <c r="BR93" i="81"/>
  <c r="CQ79" i="81"/>
  <c r="CD79" i="81"/>
  <c r="DJ101" i="81"/>
  <c r="N61" i="81"/>
  <c r="Q277" i="81"/>
  <c r="BU99" i="81"/>
  <c r="BX85" i="81"/>
  <c r="DB76" i="81"/>
  <c r="CA74" i="81"/>
  <c r="BN74" i="81"/>
  <c r="FR46" i="81"/>
  <c r="CJ88" i="81"/>
  <c r="DV112" i="81"/>
  <c r="BN92" i="81"/>
  <c r="CO132" i="81"/>
  <c r="BQ132" i="81"/>
  <c r="M132" i="81"/>
  <c r="BY92" i="81"/>
  <c r="FC50" i="81"/>
  <c r="BL92" i="81"/>
  <c r="BM96" i="81"/>
  <c r="EY49" i="81"/>
  <c r="CY132" i="81"/>
  <c r="BX93" i="81"/>
  <c r="BU85" i="81"/>
  <c r="CM101" i="81"/>
  <c r="CE102" i="81"/>
  <c r="DA75" i="81"/>
  <c r="DB79" i="81"/>
  <c r="CR77" i="81"/>
  <c r="DL93" i="81"/>
  <c r="CK78" i="81"/>
  <c r="CQ101" i="81"/>
  <c r="BV80" i="81"/>
  <c r="BY78" i="81"/>
  <c r="BN77" i="81"/>
  <c r="BO79" i="81"/>
  <c r="DC102" i="81"/>
  <c r="BX92" i="81"/>
  <c r="DX108" i="81"/>
  <c r="CJ102" i="81"/>
  <c r="DI93" i="81"/>
  <c r="BZ79" i="81"/>
  <c r="DE77" i="81"/>
  <c r="DH102" i="81"/>
  <c r="O61" i="81"/>
  <c r="BZ89" i="81"/>
  <c r="EW46" i="81"/>
  <c r="CH101" i="81"/>
  <c r="CR93" i="81"/>
  <c r="CP101" i="81"/>
  <c r="FW47" i="81"/>
  <c r="CK99" i="81"/>
  <c r="EY112" i="81"/>
  <c r="EV108" i="81"/>
  <c r="FA108" i="81"/>
  <c r="FA112" i="81"/>
  <c r="FB107" i="81"/>
  <c r="FB111" i="81"/>
  <c r="EV107" i="81"/>
  <c r="BW132" i="81"/>
  <c r="FD111" i="81"/>
  <c r="BP92" i="81"/>
  <c r="CJ93" i="81"/>
  <c r="I63" i="81"/>
  <c r="BS93" i="81"/>
  <c r="CL102" i="81"/>
  <c r="CE101" i="81"/>
  <c r="DC77" i="81"/>
  <c r="CQ77" i="81"/>
  <c r="CY80" i="81"/>
  <c r="CT93" i="81"/>
  <c r="CM78" i="81"/>
  <c r="CF77" i="81"/>
  <c r="BY74" i="81"/>
  <c r="CC78" i="81"/>
  <c r="BZ75" i="81"/>
  <c r="BL76" i="81"/>
  <c r="BW80" i="81"/>
  <c r="CR102" i="81"/>
  <c r="FD46" i="81"/>
  <c r="CD85" i="81"/>
  <c r="CT77" i="81"/>
  <c r="CE78" i="81"/>
  <c r="BX74" i="81"/>
  <c r="ED110" i="81"/>
  <c r="FH50" i="81"/>
  <c r="EA109" i="81"/>
  <c r="EA119" i="81" s="1"/>
  <c r="EA126" i="81" s="1"/>
  <c r="CM85" i="81"/>
  <c r="CQ75" i="81"/>
  <c r="CM79" i="81"/>
  <c r="BX80" i="81"/>
  <c r="DN78" i="81"/>
  <c r="FI109" i="81"/>
  <c r="EE110" i="81"/>
  <c r="EE120" i="81" s="1"/>
  <c r="FB109" i="81"/>
  <c r="BM102" i="81"/>
  <c r="DB75" i="81"/>
  <c r="CD77" i="81"/>
  <c r="DK101" i="81"/>
  <c r="AF211" i="4"/>
  <c r="AF223" i="4" s="1"/>
  <c r="AG284" i="4"/>
  <c r="AE278" i="4"/>
  <c r="F166" i="4"/>
  <c r="AF166" i="4"/>
  <c r="AF178" i="4" s="1"/>
  <c r="AF180" i="4" s="1"/>
  <c r="AG218" i="4"/>
  <c r="AG226" i="4" s="1"/>
  <c r="H191" i="4"/>
  <c r="AF218" i="4"/>
  <c r="AF226" i="4" s="1"/>
  <c r="AG295" i="4"/>
  <c r="AF292" i="4"/>
  <c r="AF284" i="4"/>
  <c r="AG180" i="4"/>
  <c r="AF278" i="4"/>
  <c r="AE284" i="4"/>
  <c r="AE292" i="4"/>
  <c r="AE298" i="4"/>
  <c r="AF298" i="4"/>
  <c r="AG278" i="4"/>
  <c r="AG211" i="4"/>
  <c r="AG223" i="4" s="1"/>
  <c r="AG298" i="4"/>
  <c r="F196" i="4"/>
  <c r="I191" i="4"/>
  <c r="Z278" i="4"/>
  <c r="Y278" i="4"/>
  <c r="X278" i="4"/>
  <c r="AD278" i="4"/>
  <c r="CO117" i="4"/>
  <c r="T172" i="4"/>
  <c r="T179" i="4" s="1"/>
  <c r="L172" i="4"/>
  <c r="L179" i="4" s="1"/>
  <c r="R166" i="4"/>
  <c r="R178" i="4" s="1"/>
  <c r="T166" i="4"/>
  <c r="T178" i="4" s="1"/>
  <c r="J172" i="4"/>
  <c r="J179" i="4" s="1"/>
  <c r="I172" i="4"/>
  <c r="I179" i="4" s="1"/>
  <c r="O172" i="4"/>
  <c r="O179" i="4" s="1"/>
  <c r="H172" i="4"/>
  <c r="H179" i="4" s="1"/>
  <c r="S166" i="4"/>
  <c r="S178" i="4" s="1"/>
  <c r="G172" i="4"/>
  <c r="G179" i="4" s="1"/>
  <c r="I166" i="4"/>
  <c r="I178" i="4" s="1"/>
  <c r="U172" i="4"/>
  <c r="U179" i="4" s="1"/>
  <c r="R172" i="4"/>
  <c r="R179" i="4" s="1"/>
  <c r="O166" i="4"/>
  <c r="O178" i="4" s="1"/>
  <c r="S172" i="4"/>
  <c r="S179" i="4" s="1"/>
  <c r="F172" i="4"/>
  <c r="F179" i="4" s="1"/>
  <c r="J211" i="4"/>
  <c r="Q166" i="4"/>
  <c r="Q178" i="4" s="1"/>
  <c r="K166" i="4"/>
  <c r="K178" i="4" s="1"/>
  <c r="L166" i="4"/>
  <c r="L178" i="4" s="1"/>
  <c r="P172" i="4"/>
  <c r="P179" i="4" s="1"/>
  <c r="U166" i="4"/>
  <c r="U178" i="4" s="1"/>
  <c r="N166" i="4"/>
  <c r="N178" i="4" s="1"/>
  <c r="H166" i="4"/>
  <c r="H178" i="4" s="1"/>
  <c r="K172" i="4"/>
  <c r="K179" i="4" s="1"/>
  <c r="N172" i="4"/>
  <c r="N179" i="4" s="1"/>
  <c r="P166" i="4"/>
  <c r="P178" i="4" s="1"/>
  <c r="Q172" i="4"/>
  <c r="Q179" i="4" s="1"/>
  <c r="M172" i="4"/>
  <c r="M179" i="4" s="1"/>
  <c r="M166" i="4"/>
  <c r="M178" i="4" s="1"/>
  <c r="G166" i="4"/>
  <c r="G178" i="4" s="1"/>
  <c r="J253" i="4"/>
  <c r="P230" i="4"/>
  <c r="Q117" i="4"/>
  <c r="P117" i="4"/>
  <c r="O156" i="4"/>
  <c r="O157" i="4" s="1"/>
  <c r="N104" i="4"/>
  <c r="T208" i="4"/>
  <c r="T209" i="4" s="1"/>
  <c r="DX146" i="4"/>
  <c r="EE146" i="4"/>
  <c r="DS146" i="4"/>
  <c r="DT146" i="4"/>
  <c r="DZ146" i="4"/>
  <c r="EG146" i="4"/>
  <c r="EH146" i="4"/>
  <c r="DW146" i="4"/>
  <c r="EF146" i="4"/>
  <c r="EA146" i="4"/>
  <c r="EB146" i="4"/>
  <c r="DU146" i="4"/>
  <c r="ED146" i="4"/>
  <c r="DY146" i="4"/>
  <c r="T270" i="4"/>
  <c r="K104" i="4"/>
  <c r="EC146" i="4"/>
  <c r="DV146" i="4"/>
  <c r="T104" i="4"/>
  <c r="Q104" i="4"/>
  <c r="S104" i="4"/>
  <c r="P208" i="4"/>
  <c r="P209" i="4" s="1"/>
  <c r="Q250" i="4"/>
  <c r="P104" i="4"/>
  <c r="T269" i="4"/>
  <c r="S208" i="4"/>
  <c r="S209" i="4" s="1"/>
  <c r="DD117" i="4"/>
  <c r="Q208" i="4"/>
  <c r="Q209" i="4" s="1"/>
  <c r="F104" i="4"/>
  <c r="M104" i="4"/>
  <c r="U208" i="4"/>
  <c r="U209" i="4" s="1"/>
  <c r="R208" i="4"/>
  <c r="R209" i="4" s="1"/>
  <c r="O275" i="4"/>
  <c r="O301" i="4" s="1"/>
  <c r="R104" i="4"/>
  <c r="U104" i="4"/>
  <c r="I104" i="4"/>
  <c r="L104" i="4"/>
  <c r="J104" i="4"/>
  <c r="G104" i="4"/>
  <c r="O104" i="4"/>
  <c r="H104" i="4"/>
  <c r="M247" i="4"/>
  <c r="BN117" i="4"/>
  <c r="CX108" i="4"/>
  <c r="O245" i="4"/>
  <c r="M230" i="4"/>
  <c r="M237" i="4" s="1"/>
  <c r="R270" i="4"/>
  <c r="BU108" i="4"/>
  <c r="T218" i="4"/>
  <c r="T226" i="4" s="1"/>
  <c r="M271" i="4"/>
  <c r="T253" i="4"/>
  <c r="O273" i="4"/>
  <c r="N208" i="4"/>
  <c r="N209" i="4" s="1"/>
  <c r="T272" i="4"/>
  <c r="T230" i="4"/>
  <c r="BU117" i="4"/>
  <c r="BQ108" i="4"/>
  <c r="P275" i="4"/>
  <c r="P301" i="4" s="1"/>
  <c r="M270" i="4"/>
  <c r="BL117" i="4"/>
  <c r="O274" i="4"/>
  <c r="I247" i="4"/>
  <c r="R117" i="4"/>
  <c r="Q259" i="4"/>
  <c r="P253" i="4"/>
  <c r="BV108" i="4"/>
  <c r="CA117" i="4"/>
  <c r="N253" i="4"/>
  <c r="R272" i="4"/>
  <c r="J230" i="4"/>
  <c r="L247" i="4"/>
  <c r="T273" i="4"/>
  <c r="M272" i="4"/>
  <c r="S273" i="4"/>
  <c r="T259" i="4"/>
  <c r="L245" i="4"/>
  <c r="U275" i="4"/>
  <c r="U301" i="4" s="1"/>
  <c r="U238" i="4"/>
  <c r="N259" i="4"/>
  <c r="N270" i="4"/>
  <c r="P269" i="4"/>
  <c r="P238" i="4"/>
  <c r="BR108" i="4"/>
  <c r="M273" i="4"/>
  <c r="M117" i="4"/>
  <c r="O269" i="4"/>
  <c r="K230" i="4"/>
  <c r="U250" i="4"/>
  <c r="U230" i="4"/>
  <c r="G253" i="4"/>
  <c r="G259" i="4"/>
  <c r="O250" i="4"/>
  <c r="Q245" i="4"/>
  <c r="N269" i="4"/>
  <c r="L117" i="4"/>
  <c r="DA108" i="4"/>
  <c r="R271" i="4"/>
  <c r="J245" i="4"/>
  <c r="Q274" i="4"/>
  <c r="S259" i="4"/>
  <c r="S271" i="4"/>
  <c r="BT117" i="4"/>
  <c r="I259" i="4"/>
  <c r="Q230" i="4"/>
  <c r="S253" i="4"/>
  <c r="BY108" i="4"/>
  <c r="L259" i="4"/>
  <c r="BR117" i="4"/>
  <c r="O208" i="4"/>
  <c r="O209" i="4" s="1"/>
  <c r="BZ104" i="4"/>
  <c r="BS104" i="4"/>
  <c r="T275" i="4"/>
  <c r="T301" i="4" s="1"/>
  <c r="T117" i="4"/>
  <c r="M208" i="4"/>
  <c r="M209" i="4" s="1"/>
  <c r="BO117" i="4"/>
  <c r="H253" i="4"/>
  <c r="M156" i="4"/>
  <c r="M157" i="4" s="1"/>
  <c r="I250" i="4"/>
  <c r="R259" i="4"/>
  <c r="R247" i="4"/>
  <c r="U253" i="4"/>
  <c r="BS117" i="4"/>
  <c r="I253" i="4"/>
  <c r="BQ104" i="4"/>
  <c r="P245" i="4"/>
  <c r="BY117" i="4"/>
  <c r="T271" i="4"/>
  <c r="BX108" i="4"/>
  <c r="Q269" i="4"/>
  <c r="BP104" i="4"/>
  <c r="U273" i="4"/>
  <c r="P271" i="4"/>
  <c r="R253" i="4"/>
  <c r="R274" i="4"/>
  <c r="CZ108" i="4"/>
  <c r="Q275" i="4"/>
  <c r="Q301" i="4" s="1"/>
  <c r="K259" i="4"/>
  <c r="S274" i="4"/>
  <c r="K238" i="4"/>
  <c r="S238" i="4"/>
  <c r="S230" i="4"/>
  <c r="DC108" i="4"/>
  <c r="L238" i="4"/>
  <c r="U274" i="4"/>
  <c r="U218" i="4"/>
  <c r="U226" i="4" s="1"/>
  <c r="N275" i="4"/>
  <c r="N301" i="4" s="1"/>
  <c r="N230" i="4"/>
  <c r="N237" i="4" s="1"/>
  <c r="O247" i="4"/>
  <c r="P247" i="4"/>
  <c r="CY108" i="4"/>
  <c r="P274" i="4"/>
  <c r="BU104" i="4"/>
  <c r="T247" i="4"/>
  <c r="R273" i="4"/>
  <c r="R238" i="4"/>
  <c r="R245" i="4"/>
  <c r="L253" i="4"/>
  <c r="CU108" i="4"/>
  <c r="BR104" i="4"/>
  <c r="T274" i="4"/>
  <c r="M245" i="4"/>
  <c r="O211" i="4"/>
  <c r="O223" i="4" s="1"/>
  <c r="BO108" i="4"/>
  <c r="Q270" i="4"/>
  <c r="S247" i="4"/>
  <c r="CT108" i="4"/>
  <c r="S272" i="4"/>
  <c r="U270" i="4"/>
  <c r="U245" i="4"/>
  <c r="N247" i="4"/>
  <c r="N250" i="4"/>
  <c r="N271" i="4"/>
  <c r="N117" i="4"/>
  <c r="P259" i="4"/>
  <c r="P270" i="4"/>
  <c r="J238" i="4"/>
  <c r="U272" i="4"/>
  <c r="BV104" i="4"/>
  <c r="J247" i="4"/>
  <c r="R275" i="4"/>
  <c r="R301" i="4" s="1"/>
  <c r="M275" i="4"/>
  <c r="M301" i="4" s="1"/>
  <c r="O272" i="4"/>
  <c r="CQ117" i="4"/>
  <c r="Q271" i="4"/>
  <c r="DB117" i="4"/>
  <c r="T250" i="4"/>
  <c r="L230" i="4"/>
  <c r="L237" i="4" s="1"/>
  <c r="U259" i="4"/>
  <c r="U271" i="4"/>
  <c r="N274" i="4"/>
  <c r="N245" i="4"/>
  <c r="O253" i="4"/>
  <c r="H259" i="4"/>
  <c r="P273" i="4"/>
  <c r="Q247" i="4"/>
  <c r="Q253" i="4"/>
  <c r="O230" i="4"/>
  <c r="O237" i="4" s="1"/>
  <c r="J259" i="4"/>
  <c r="S270" i="4"/>
  <c r="M259" i="4"/>
  <c r="N238" i="4"/>
  <c r="L250" i="4"/>
  <c r="T238" i="4"/>
  <c r="T245" i="4"/>
  <c r="M253" i="4"/>
  <c r="U247" i="4"/>
  <c r="M269" i="4"/>
  <c r="O271" i="4"/>
  <c r="Q272" i="4"/>
  <c r="S250" i="4"/>
  <c r="S275" i="4"/>
  <c r="S301" i="4" s="1"/>
  <c r="S245" i="4"/>
  <c r="CA108" i="4"/>
  <c r="N272" i="4"/>
  <c r="P250" i="4"/>
  <c r="BV117" i="4"/>
  <c r="BW104" i="4"/>
  <c r="K247" i="4"/>
  <c r="K117" i="4"/>
  <c r="J250" i="4"/>
  <c r="R250" i="4"/>
  <c r="R269" i="4"/>
  <c r="R230" i="4"/>
  <c r="M250" i="4"/>
  <c r="CV117" i="4"/>
  <c r="M274" i="4"/>
  <c r="M238" i="4"/>
  <c r="O270" i="4"/>
  <c r="O238" i="4"/>
  <c r="CR108" i="4"/>
  <c r="Q273" i="4"/>
  <c r="Q238" i="4"/>
  <c r="K253" i="4"/>
  <c r="K250" i="4"/>
  <c r="S269" i="4"/>
  <c r="K245" i="4"/>
  <c r="U269" i="4"/>
  <c r="N273" i="4"/>
  <c r="G247" i="4"/>
  <c r="G250" i="4"/>
  <c r="O259" i="4"/>
  <c r="H247" i="4"/>
  <c r="H250" i="4"/>
  <c r="P272" i="4"/>
  <c r="K211" i="4"/>
  <c r="K108" i="4"/>
  <c r="BY95" i="4"/>
  <c r="DA117" i="4"/>
  <c r="DD95" i="4"/>
  <c r="CX95" i="4"/>
  <c r="BZ108" i="4"/>
  <c r="CV108" i="4"/>
  <c r="BP117" i="4"/>
  <c r="J108" i="4"/>
  <c r="J218" i="4"/>
  <c r="BQ117" i="4"/>
  <c r="DC117" i="4"/>
  <c r="L218" i="4"/>
  <c r="BT104" i="4"/>
  <c r="BP95" i="4"/>
  <c r="DD108" i="4"/>
  <c r="J178" i="4"/>
  <c r="BW95" i="4"/>
  <c r="Q211" i="4"/>
  <c r="Q223" i="4" s="1"/>
  <c r="Q108" i="4"/>
  <c r="N108" i="4"/>
  <c r="N211" i="4"/>
  <c r="N223" i="4" s="1"/>
  <c r="BR95" i="4"/>
  <c r="U117" i="4"/>
  <c r="BZ117" i="4"/>
  <c r="BL104" i="4"/>
  <c r="BX104" i="4"/>
  <c r="CZ117" i="4"/>
  <c r="S117" i="4"/>
  <c r="BW108" i="4"/>
  <c r="CA104" i="4"/>
  <c r="N218" i="4"/>
  <c r="N226" i="4" s="1"/>
  <c r="BP108" i="4"/>
  <c r="CV95" i="4"/>
  <c r="BS95" i="4"/>
  <c r="CP108" i="4"/>
  <c r="BM95" i="4"/>
  <c r="DA95" i="4"/>
  <c r="BZ95" i="4"/>
  <c r="CO108" i="4"/>
  <c r="BL95" i="4"/>
  <c r="BL108" i="4"/>
  <c r="CP117" i="4"/>
  <c r="BU95" i="4"/>
  <c r="CQ108" i="4"/>
  <c r="BO95" i="4"/>
  <c r="BO104" i="4"/>
  <c r="CT117" i="4"/>
  <c r="DB95" i="4"/>
  <c r="L211" i="4"/>
  <c r="L108" i="4"/>
  <c r="CA95" i="4"/>
  <c r="U211" i="4"/>
  <c r="U223" i="4" s="1"/>
  <c r="U108" i="4"/>
  <c r="CW95" i="4"/>
  <c r="CW108" i="4"/>
  <c r="BT108" i="4"/>
  <c r="BM108" i="4"/>
  <c r="CY117" i="4"/>
  <c r="BN108" i="4"/>
  <c r="BV95" i="4"/>
  <c r="P211" i="4"/>
  <c r="P108" i="4"/>
  <c r="F250" i="4"/>
  <c r="R108" i="4"/>
  <c r="R218" i="4"/>
  <c r="R226" i="4" s="1"/>
  <c r="O108" i="4"/>
  <c r="O218" i="4"/>
  <c r="O226" i="4" s="1"/>
  <c r="BQ95" i="4"/>
  <c r="CY95" i="4"/>
  <c r="BN95" i="4"/>
  <c r="P218" i="4"/>
  <c r="P226" i="4" s="1"/>
  <c r="DB108" i="4"/>
  <c r="CS108" i="4"/>
  <c r="Q218" i="4"/>
  <c r="Q226" i="4" s="1"/>
  <c r="K218" i="4"/>
  <c r="S211" i="4"/>
  <c r="S108" i="4"/>
  <c r="M211" i="4"/>
  <c r="O117" i="4"/>
  <c r="CR117" i="4"/>
  <c r="CX117" i="4"/>
  <c r="N156" i="4"/>
  <c r="CS117" i="4"/>
  <c r="BX95" i="4"/>
  <c r="BX117" i="4"/>
  <c r="CU117" i="4"/>
  <c r="T108" i="4"/>
  <c r="T211" i="4"/>
  <c r="T223" i="4" s="1"/>
  <c r="BS108" i="4"/>
  <c r="M108" i="4"/>
  <c r="M218" i="4"/>
  <c r="M226" i="4" s="1"/>
  <c r="CZ95" i="4"/>
  <c r="BW117" i="4"/>
  <c r="BY104" i="4"/>
  <c r="S218" i="4"/>
  <c r="S226" i="4" s="1"/>
  <c r="DC95" i="4"/>
  <c r="CW117" i="4"/>
  <c r="BT95" i="4"/>
  <c r="BM104" i="4"/>
  <c r="BM117" i="4"/>
  <c r="BN104" i="4"/>
  <c r="S95" i="4"/>
  <c r="O95" i="4"/>
  <c r="N95" i="4"/>
  <c r="P95" i="4"/>
  <c r="R95" i="4"/>
  <c r="T95" i="4"/>
  <c r="Q95" i="4"/>
  <c r="U95" i="4"/>
  <c r="M95" i="4"/>
  <c r="W89" i="59"/>
  <c r="AJ230" i="4" l="1"/>
  <c r="N157" i="4"/>
  <c r="AJ156" i="4"/>
  <c r="P223" i="4"/>
  <c r="AJ211" i="4"/>
  <c r="CF94" i="81"/>
  <c r="CT63" i="81"/>
  <c r="Q141" i="4"/>
  <c r="Q157" i="4"/>
  <c r="Q142" i="4" s="1"/>
  <c r="Q140" i="4"/>
  <c r="CK103" i="80"/>
  <c r="AF234" i="80"/>
  <c r="AC231" i="81"/>
  <c r="AE234" i="80"/>
  <c r="CJ103" i="81"/>
  <c r="AB233" i="81"/>
  <c r="AB235" i="81"/>
  <c r="DM103" i="81"/>
  <c r="CY94" i="80"/>
  <c r="AA231" i="80"/>
  <c r="BR103" i="81"/>
  <c r="F178" i="4"/>
  <c r="F180" i="4" s="1"/>
  <c r="AE233" i="81"/>
  <c r="X232" i="81"/>
  <c r="X255" i="81" s="1"/>
  <c r="Z236" i="80"/>
  <c r="BS94" i="80"/>
  <c r="BN94" i="81"/>
  <c r="BR103" i="80"/>
  <c r="BT103" i="80"/>
  <c r="AF231" i="80"/>
  <c r="AE231" i="81"/>
  <c r="DO103" i="81"/>
  <c r="AB236" i="81"/>
  <c r="DJ94" i="80"/>
  <c r="AE236" i="81"/>
  <c r="CB103" i="80"/>
  <c r="AA236" i="80"/>
  <c r="CO103" i="81"/>
  <c r="CZ103" i="80"/>
  <c r="BU90" i="81"/>
  <c r="BM90" i="80"/>
  <c r="CS94" i="80"/>
  <c r="DD94" i="81"/>
  <c r="CJ94" i="80"/>
  <c r="BT103" i="81"/>
  <c r="CF94" i="80"/>
  <c r="BM103" i="81"/>
  <c r="DP94" i="81"/>
  <c r="AG232" i="80"/>
  <c r="AG255" i="80" s="1"/>
  <c r="AG236" i="81"/>
  <c r="BQ90" i="81"/>
  <c r="BO90" i="81"/>
  <c r="DO94" i="81"/>
  <c r="BP103" i="80"/>
  <c r="CX94" i="80"/>
  <c r="AC234" i="80"/>
  <c r="DB103" i="81"/>
  <c r="CG103" i="81"/>
  <c r="BL103" i="81"/>
  <c r="BO103" i="81"/>
  <c r="CE90" i="81"/>
  <c r="AF232" i="80"/>
  <c r="AF255" i="80" s="1"/>
  <c r="CG90" i="81"/>
  <c r="BP94" i="81"/>
  <c r="CS103" i="81"/>
  <c r="AG235" i="81"/>
  <c r="X235" i="81"/>
  <c r="BT90" i="81"/>
  <c r="DA103" i="80"/>
  <c r="AD236" i="80"/>
  <c r="AF234" i="81"/>
  <c r="Y234" i="81"/>
  <c r="AE235" i="81"/>
  <c r="AD232" i="81"/>
  <c r="AD255" i="81" s="1"/>
  <c r="BX94" i="80"/>
  <c r="X231" i="81"/>
  <c r="AA233" i="81"/>
  <c r="CZ103" i="81"/>
  <c r="Y233" i="80"/>
  <c r="Z231" i="80"/>
  <c r="DG94" i="80"/>
  <c r="CC103" i="80"/>
  <c r="CJ103" i="80"/>
  <c r="BZ81" i="81"/>
  <c r="DA81" i="81"/>
  <c r="CM94" i="81"/>
  <c r="AC234" i="81"/>
  <c r="AC233" i="81"/>
  <c r="BU94" i="81"/>
  <c r="CL94" i="81"/>
  <c r="CO103" i="80"/>
  <c r="Z235" i="80"/>
  <c r="DB103" i="80"/>
  <c r="AC235" i="80"/>
  <c r="DJ103" i="80"/>
  <c r="CS81" i="80"/>
  <c r="X235" i="80"/>
  <c r="DN103" i="80"/>
  <c r="DE103" i="80"/>
  <c r="X231" i="80"/>
  <c r="CZ63" i="80"/>
  <c r="AE236" i="80"/>
  <c r="CW94" i="80"/>
  <c r="AB232" i="80"/>
  <c r="AB255" i="80" s="1"/>
  <c r="CD103" i="80"/>
  <c r="BL94" i="80"/>
  <c r="CD90" i="80"/>
  <c r="BM94" i="80"/>
  <c r="CF90" i="80"/>
  <c r="CI103" i="80"/>
  <c r="DI103" i="80"/>
  <c r="BN94" i="80"/>
  <c r="CE103" i="81"/>
  <c r="CV94" i="81"/>
  <c r="CD90" i="81"/>
  <c r="BY94" i="81"/>
  <c r="CW81" i="81"/>
  <c r="AF233" i="81"/>
  <c r="DE81" i="81"/>
  <c r="BL90" i="81"/>
  <c r="BP90" i="81"/>
  <c r="AC235" i="81"/>
  <c r="AB232" i="81"/>
  <c r="AB255" i="81" s="1"/>
  <c r="DD81" i="81"/>
  <c r="CI103" i="81"/>
  <c r="BZ90" i="81"/>
  <c r="CZ94" i="81"/>
  <c r="DF81" i="81"/>
  <c r="CB81" i="81"/>
  <c r="CA103" i="81"/>
  <c r="BZ103" i="81"/>
  <c r="CU103" i="81"/>
  <c r="AA236" i="81"/>
  <c r="AC232" i="81"/>
  <c r="AC255" i="81" s="1"/>
  <c r="CK90" i="81"/>
  <c r="CY94" i="81"/>
  <c r="CO94" i="81"/>
  <c r="CY103" i="81"/>
  <c r="AG234" i="81"/>
  <c r="BV103" i="81"/>
  <c r="DA94" i="81"/>
  <c r="DN81" i="81"/>
  <c r="BV94" i="81"/>
  <c r="CU81" i="80"/>
  <c r="DB81" i="80"/>
  <c r="AG231" i="80"/>
  <c r="X232" i="80"/>
  <c r="X255" i="80" s="1"/>
  <c r="CB94" i="80"/>
  <c r="DK81" i="80"/>
  <c r="AD231" i="80"/>
  <c r="DD81" i="80"/>
  <c r="Y235" i="80"/>
  <c r="BV81" i="80"/>
  <c r="BW103" i="80"/>
  <c r="CQ103" i="80"/>
  <c r="BX103" i="80"/>
  <c r="BW90" i="80"/>
  <c r="DF81" i="80"/>
  <c r="BY90" i="80"/>
  <c r="BY103" i="80"/>
  <c r="DM81" i="80"/>
  <c r="CP94" i="80"/>
  <c r="CM90" i="80"/>
  <c r="AF236" i="80"/>
  <c r="Y235" i="81"/>
  <c r="AB234" i="81"/>
  <c r="CF103" i="81"/>
  <c r="BY90" i="81"/>
  <c r="CW94" i="81"/>
  <c r="DK81" i="81"/>
  <c r="AD233" i="80"/>
  <c r="AF233" i="80"/>
  <c r="BZ103" i="80"/>
  <c r="AC232" i="80"/>
  <c r="AC255" i="80" s="1"/>
  <c r="BT94" i="80"/>
  <c r="CM94" i="80"/>
  <c r="BN103" i="81"/>
  <c r="DK103" i="80"/>
  <c r="DD103" i="80"/>
  <c r="CU103" i="80"/>
  <c r="Y232" i="80"/>
  <c r="Y255" i="80" s="1"/>
  <c r="AB236" i="80"/>
  <c r="BV94" i="80"/>
  <c r="CL90" i="80"/>
  <c r="DC103" i="81"/>
  <c r="AD236" i="81"/>
  <c r="BS103" i="81"/>
  <c r="Y231" i="81"/>
  <c r="CV103" i="80"/>
  <c r="X236" i="80"/>
  <c r="BX94" i="81"/>
  <c r="DH103" i="81"/>
  <c r="AA235" i="81"/>
  <c r="CA94" i="81"/>
  <c r="CK103" i="81"/>
  <c r="AA231" i="81"/>
  <c r="CC90" i="81"/>
  <c r="AE232" i="81"/>
  <c r="AE255" i="81" s="1"/>
  <c r="AC233" i="80"/>
  <c r="AE232" i="80"/>
  <c r="AE255" i="80" s="1"/>
  <c r="DM103" i="80"/>
  <c r="BO90" i="80"/>
  <c r="Z233" i="80"/>
  <c r="BX90" i="80"/>
  <c r="CE90" i="80"/>
  <c r="BX90" i="81"/>
  <c r="CB90" i="81"/>
  <c r="AE231" i="80"/>
  <c r="AE235" i="80"/>
  <c r="BY81" i="81"/>
  <c r="AA232" i="81"/>
  <c r="AA255" i="81" s="1"/>
  <c r="CH90" i="81"/>
  <c r="Y231" i="80"/>
  <c r="CK94" i="80"/>
  <c r="DT117" i="81"/>
  <c r="DT124" i="81" s="1"/>
  <c r="DT132" i="81"/>
  <c r="EW118" i="81"/>
  <c r="EW125" i="81" s="1"/>
  <c r="Y215" i="81"/>
  <c r="BQ81" i="81"/>
  <c r="AC230" i="81"/>
  <c r="EA129" i="81"/>
  <c r="DT118" i="81"/>
  <c r="DT125" i="81" s="1"/>
  <c r="G215" i="81"/>
  <c r="O64" i="81"/>
  <c r="O66" i="81"/>
  <c r="AC218" i="81"/>
  <c r="K218" i="81"/>
  <c r="FA119" i="81"/>
  <c r="FA126" i="81" s="1"/>
  <c r="EB120" i="80"/>
  <c r="DT122" i="80"/>
  <c r="DT129" i="80" s="1"/>
  <c r="CM90" i="81"/>
  <c r="FA122" i="81"/>
  <c r="AC225" i="81" s="1"/>
  <c r="X218" i="81"/>
  <c r="F218" i="81"/>
  <c r="EV119" i="81"/>
  <c r="EV126" i="81" s="1"/>
  <c r="FD120" i="81"/>
  <c r="AF221" i="81" s="1"/>
  <c r="DY122" i="81"/>
  <c r="DY129" i="81" s="1"/>
  <c r="P218" i="81"/>
  <c r="FF119" i="81"/>
  <c r="FF126" i="81" s="1"/>
  <c r="P66" i="81"/>
  <c r="P64" i="81"/>
  <c r="AE212" i="80"/>
  <c r="AE239" i="80" s="1"/>
  <c r="M212" i="80"/>
  <c r="FC117" i="80"/>
  <c r="FC124" i="80" s="1"/>
  <c r="FC132" i="80"/>
  <c r="EG122" i="80"/>
  <c r="T225" i="80" s="1"/>
  <c r="EE120" i="80"/>
  <c r="R221" i="80" s="1"/>
  <c r="Z212" i="80"/>
  <c r="Z239" i="80" s="1"/>
  <c r="EX132" i="80"/>
  <c r="EX117" i="80"/>
  <c r="EX124" i="80" s="1"/>
  <c r="H212" i="80"/>
  <c r="I64" i="80"/>
  <c r="I66" i="80"/>
  <c r="CO81" i="80"/>
  <c r="EX122" i="80"/>
  <c r="Z225" i="80" s="1"/>
  <c r="EV120" i="80"/>
  <c r="X221" i="80" s="1"/>
  <c r="BN103" i="80"/>
  <c r="EC122" i="80"/>
  <c r="P225" i="80" s="1"/>
  <c r="EB132" i="80"/>
  <c r="EB117" i="80"/>
  <c r="EB124" i="80" s="1"/>
  <c r="FH119" i="80"/>
  <c r="FH126" i="80" s="1"/>
  <c r="R218" i="80"/>
  <c r="EI132" i="80"/>
  <c r="V212" i="80"/>
  <c r="V239" i="80" s="1"/>
  <c r="EI117" i="80"/>
  <c r="EI124" i="80" s="1"/>
  <c r="V224" i="80"/>
  <c r="EI121" i="80"/>
  <c r="EI128" i="80" s="1"/>
  <c r="EZ118" i="80"/>
  <c r="EZ125" i="80" s="1"/>
  <c r="AB215" i="80"/>
  <c r="EK132" i="80"/>
  <c r="EK117" i="80"/>
  <c r="EK124" i="80" s="1"/>
  <c r="DS122" i="80"/>
  <c r="DS129" i="80" s="1"/>
  <c r="O66" i="80"/>
  <c r="O64" i="80"/>
  <c r="FB119" i="81"/>
  <c r="FB126" i="81" s="1"/>
  <c r="AD218" i="81"/>
  <c r="L218" i="81"/>
  <c r="CR103" i="81"/>
  <c r="AC215" i="81"/>
  <c r="FA118" i="81"/>
  <c r="FA125" i="81" s="1"/>
  <c r="DX118" i="81"/>
  <c r="DX125" i="81" s="1"/>
  <c r="K215" i="81"/>
  <c r="ED117" i="81"/>
  <c r="ED124" i="81" s="1"/>
  <c r="ED132" i="81"/>
  <c r="CY81" i="81"/>
  <c r="DH94" i="81"/>
  <c r="DC81" i="81"/>
  <c r="EE118" i="81"/>
  <c r="EE125" i="81" s="1"/>
  <c r="R215" i="81"/>
  <c r="DA103" i="81"/>
  <c r="CV81" i="81"/>
  <c r="DY121" i="81"/>
  <c r="DY128" i="81" s="1"/>
  <c r="L224" i="81"/>
  <c r="DP81" i="81"/>
  <c r="CQ81" i="81"/>
  <c r="DF94" i="81"/>
  <c r="BP103" i="81"/>
  <c r="FE120" i="81"/>
  <c r="AG221" i="81" s="1"/>
  <c r="Y236" i="81"/>
  <c r="AD230" i="81"/>
  <c r="BR81" i="81"/>
  <c r="CB103" i="81"/>
  <c r="G218" i="81"/>
  <c r="EW119" i="81"/>
  <c r="EW126" i="81" s="1"/>
  <c r="Y218" i="81"/>
  <c r="DC94" i="81"/>
  <c r="F215" i="81"/>
  <c r="DS118" i="81"/>
  <c r="DS125" i="81" s="1"/>
  <c r="AF235" i="81"/>
  <c r="DU129" i="81"/>
  <c r="EZ121" i="81"/>
  <c r="EZ128" i="81" s="1"/>
  <c r="AB224" i="81"/>
  <c r="FC122" i="81"/>
  <c r="AE225" i="81" s="1"/>
  <c r="EH121" i="81"/>
  <c r="EH128" i="81" s="1"/>
  <c r="U224" i="81"/>
  <c r="DU120" i="81"/>
  <c r="DU127" i="81" s="1"/>
  <c r="CJ94" i="81"/>
  <c r="CE94" i="81"/>
  <c r="FH132" i="81"/>
  <c r="FH117" i="81"/>
  <c r="FH124" i="81" s="1"/>
  <c r="R212" i="81"/>
  <c r="CP94" i="81"/>
  <c r="DY132" i="81"/>
  <c r="DY117" i="81"/>
  <c r="DY124" i="81" s="1"/>
  <c r="DO81" i="81"/>
  <c r="DU118" i="80"/>
  <c r="DU125" i="80" s="1"/>
  <c r="H215" i="80"/>
  <c r="AC236" i="80"/>
  <c r="DC103" i="80"/>
  <c r="FE120" i="80"/>
  <c r="AG221" i="80" s="1"/>
  <c r="DF103" i="80"/>
  <c r="FJ132" i="80"/>
  <c r="FJ117" i="80"/>
  <c r="FJ124" i="80" s="1"/>
  <c r="T212" i="80"/>
  <c r="CD94" i="80"/>
  <c r="FA118" i="80"/>
  <c r="FA125" i="80" s="1"/>
  <c r="AC215" i="80"/>
  <c r="DO103" i="80"/>
  <c r="CW81" i="80"/>
  <c r="BP81" i="80"/>
  <c r="AB230" i="80"/>
  <c r="CY81" i="80"/>
  <c r="BS90" i="80"/>
  <c r="AC230" i="80"/>
  <c r="BQ81" i="80"/>
  <c r="X234" i="80"/>
  <c r="CB81" i="80"/>
  <c r="CF103" i="80"/>
  <c r="CS103" i="80"/>
  <c r="BL81" i="80"/>
  <c r="X230" i="80"/>
  <c r="Z232" i="80"/>
  <c r="Z255" i="80" s="1"/>
  <c r="Y234" i="80"/>
  <c r="BV90" i="80"/>
  <c r="T66" i="80"/>
  <c r="T64" i="80"/>
  <c r="AB235" i="80"/>
  <c r="M224" i="80"/>
  <c r="DZ121" i="80"/>
  <c r="DZ128" i="80" s="1"/>
  <c r="AG235" i="80"/>
  <c r="DM94" i="80"/>
  <c r="DA94" i="80"/>
  <c r="CR94" i="80"/>
  <c r="AC218" i="80"/>
  <c r="K218" i="80"/>
  <c r="FA119" i="80"/>
  <c r="FA126" i="80" s="1"/>
  <c r="F66" i="80"/>
  <c r="F64" i="80"/>
  <c r="DX132" i="80"/>
  <c r="DX117" i="80"/>
  <c r="DX124" i="80" s="1"/>
  <c r="AG233" i="80"/>
  <c r="EH117" i="80"/>
  <c r="EH124" i="80" s="1"/>
  <c r="EH132" i="80"/>
  <c r="FA120" i="80"/>
  <c r="AC221" i="80" s="1"/>
  <c r="EB129" i="80"/>
  <c r="EX121" i="80"/>
  <c r="EX128" i="80" s="1"/>
  <c r="Z224" i="80"/>
  <c r="DG81" i="80"/>
  <c r="EF122" i="80"/>
  <c r="S225" i="80" s="1"/>
  <c r="FF119" i="80"/>
  <c r="FF126" i="80" s="1"/>
  <c r="P218" i="80"/>
  <c r="BZ94" i="80"/>
  <c r="X215" i="80"/>
  <c r="EV118" i="80"/>
  <c r="EV125" i="80" s="1"/>
  <c r="CI90" i="80"/>
  <c r="G224" i="80"/>
  <c r="DT121" i="80"/>
  <c r="DT128" i="80" s="1"/>
  <c r="BY94" i="80"/>
  <c r="EV121" i="80"/>
  <c r="EV128" i="80" s="1"/>
  <c r="X224" i="80"/>
  <c r="CH94" i="80"/>
  <c r="K224" i="81"/>
  <c r="DX121" i="81"/>
  <c r="DX128" i="81" s="1"/>
  <c r="Z212" i="81"/>
  <c r="Z239" i="81" s="1"/>
  <c r="EX132" i="81"/>
  <c r="H212" i="81"/>
  <c r="EX117" i="81"/>
  <c r="EX124" i="81" s="1"/>
  <c r="DU121" i="81"/>
  <c r="DU128" i="81" s="1"/>
  <c r="H224" i="81"/>
  <c r="EZ132" i="81"/>
  <c r="EZ117" i="81"/>
  <c r="EZ124" i="81" s="1"/>
  <c r="AB212" i="81"/>
  <c r="AB239" i="81" s="1"/>
  <c r="J212" i="81"/>
  <c r="AE230" i="80"/>
  <c r="BS81" i="80"/>
  <c r="EI120" i="80"/>
  <c r="V221" i="80" s="1"/>
  <c r="EC118" i="80"/>
  <c r="EC125" i="80" s="1"/>
  <c r="P215" i="80"/>
  <c r="DP103" i="80"/>
  <c r="DY120" i="80"/>
  <c r="DY127" i="80" s="1"/>
  <c r="AG236" i="80"/>
  <c r="DX121" i="80"/>
  <c r="DX128" i="80" s="1"/>
  <c r="K224" i="80"/>
  <c r="DK94" i="80"/>
  <c r="CZ81" i="81"/>
  <c r="EX118" i="81"/>
  <c r="EX125" i="81" s="1"/>
  <c r="Z215" i="81"/>
  <c r="J224" i="81"/>
  <c r="DW121" i="81"/>
  <c r="DW128" i="81" s="1"/>
  <c r="BY81" i="80"/>
  <c r="V215" i="80"/>
  <c r="EI118" i="80"/>
  <c r="EI125" i="80" s="1"/>
  <c r="EY118" i="80"/>
  <c r="EY125" i="80" s="1"/>
  <c r="AA215" i="80"/>
  <c r="FE122" i="80"/>
  <c r="AG225" i="80" s="1"/>
  <c r="H224" i="80"/>
  <c r="DU121" i="80"/>
  <c r="DU128" i="80" s="1"/>
  <c r="EE127" i="81"/>
  <c r="R221" i="81"/>
  <c r="EV118" i="81"/>
  <c r="EV125" i="81" s="1"/>
  <c r="X215" i="81"/>
  <c r="H215" i="81"/>
  <c r="DU118" i="81"/>
  <c r="DU125" i="81" s="1"/>
  <c r="H64" i="81"/>
  <c r="H66" i="81"/>
  <c r="DW120" i="81"/>
  <c r="DW127" i="81" s="1"/>
  <c r="DY118" i="81"/>
  <c r="DY125" i="81" s="1"/>
  <c r="L215" i="81"/>
  <c r="Q212" i="81"/>
  <c r="FG117" i="81"/>
  <c r="FG124" i="81" s="1"/>
  <c r="FG132" i="81"/>
  <c r="CF81" i="81"/>
  <c r="BV90" i="81"/>
  <c r="AG232" i="81"/>
  <c r="AG255" i="81" s="1"/>
  <c r="BW81" i="81"/>
  <c r="DB81" i="81"/>
  <c r="EF120" i="81"/>
  <c r="S221" i="81" s="1"/>
  <c r="EV122" i="81"/>
  <c r="X225" i="81" s="1"/>
  <c r="Z236" i="81"/>
  <c r="Y212" i="81"/>
  <c r="Y239" i="81" s="1"/>
  <c r="EW132" i="81"/>
  <c r="EW117" i="81"/>
  <c r="EW124" i="81" s="1"/>
  <c r="G212" i="81"/>
  <c r="EH117" i="81"/>
  <c r="EH124" i="81" s="1"/>
  <c r="EH132" i="81"/>
  <c r="DV132" i="81"/>
  <c r="DV117" i="81"/>
  <c r="DV124" i="81" s="1"/>
  <c r="R224" i="81"/>
  <c r="EE121" i="81"/>
  <c r="EE128" i="81" s="1"/>
  <c r="Z224" i="81"/>
  <c r="EX121" i="81"/>
  <c r="EX128" i="81" s="1"/>
  <c r="BN90" i="81"/>
  <c r="CW103" i="81"/>
  <c r="CM81" i="81"/>
  <c r="CR81" i="81"/>
  <c r="L64" i="81"/>
  <c r="L66" i="81"/>
  <c r="CA90" i="81"/>
  <c r="X233" i="81"/>
  <c r="AG231" i="81"/>
  <c r="BQ103" i="81"/>
  <c r="BW94" i="81"/>
  <c r="AD231" i="81"/>
  <c r="CG81" i="81"/>
  <c r="BY103" i="81"/>
  <c r="CU94" i="81"/>
  <c r="CR94" i="81"/>
  <c r="EY121" i="81"/>
  <c r="EY128" i="81" s="1"/>
  <c r="AA224" i="81"/>
  <c r="U66" i="81"/>
  <c r="U64" i="81"/>
  <c r="DM94" i="81"/>
  <c r="AF218" i="81"/>
  <c r="N218" i="81"/>
  <c r="FD119" i="81"/>
  <c r="FD126" i="81" s="1"/>
  <c r="CI94" i="81"/>
  <c r="DS127" i="81"/>
  <c r="AB215" i="81"/>
  <c r="EZ118" i="81"/>
  <c r="EZ125" i="81" s="1"/>
  <c r="I218" i="81"/>
  <c r="EY119" i="81"/>
  <c r="EY126" i="81" s="1"/>
  <c r="AA218" i="81"/>
  <c r="Z230" i="80"/>
  <c r="BN81" i="80"/>
  <c r="T215" i="80"/>
  <c r="EG118" i="80"/>
  <c r="EG125" i="80" s="1"/>
  <c r="CP103" i="80"/>
  <c r="Y236" i="80"/>
  <c r="FB118" i="80"/>
  <c r="FB125" i="80" s="1"/>
  <c r="AD215" i="80"/>
  <c r="BX81" i="80"/>
  <c r="CH81" i="80"/>
  <c r="AC231" i="80"/>
  <c r="AG218" i="80"/>
  <c r="FE119" i="80"/>
  <c r="FE126" i="80" s="1"/>
  <c r="O218" i="80"/>
  <c r="Y230" i="80"/>
  <c r="BM81" i="80"/>
  <c r="I215" i="80"/>
  <c r="DV118" i="80"/>
  <c r="DV125" i="80" s="1"/>
  <c r="Z234" i="80"/>
  <c r="DE81" i="80"/>
  <c r="H64" i="80"/>
  <c r="H66" i="80"/>
  <c r="EH122" i="80"/>
  <c r="U225" i="80" s="1"/>
  <c r="DC94" i="80"/>
  <c r="ED121" i="80"/>
  <c r="ED128" i="80" s="1"/>
  <c r="Q224" i="80"/>
  <c r="CL103" i="80"/>
  <c r="J66" i="80"/>
  <c r="J64" i="80"/>
  <c r="EP132" i="80"/>
  <c r="EP117" i="80"/>
  <c r="EP124" i="80" s="1"/>
  <c r="AB234" i="80"/>
  <c r="EA129" i="80"/>
  <c r="DZ120" i="80"/>
  <c r="DZ127" i="80" s="1"/>
  <c r="CT94" i="80"/>
  <c r="BN90" i="80"/>
  <c r="CL94" i="80"/>
  <c r="FI119" i="80"/>
  <c r="FI126" i="80" s="1"/>
  <c r="S218" i="80"/>
  <c r="CU94" i="80"/>
  <c r="FG119" i="80"/>
  <c r="FG126" i="80" s="1"/>
  <c r="Q218" i="80"/>
  <c r="DU122" i="80"/>
  <c r="DU129" i="80" s="1"/>
  <c r="DN94" i="80"/>
  <c r="O215" i="80"/>
  <c r="EB118" i="80"/>
  <c r="EB125" i="80" s="1"/>
  <c r="DL94" i="80"/>
  <c r="CE81" i="80"/>
  <c r="ES132" i="80"/>
  <c r="ES117" i="80"/>
  <c r="ES124" i="80" s="1"/>
  <c r="DY121" i="80"/>
  <c r="DY128" i="80" s="1"/>
  <c r="L224" i="80"/>
  <c r="N64" i="80"/>
  <c r="N66" i="80"/>
  <c r="DT120" i="80"/>
  <c r="DT127" i="80" s="1"/>
  <c r="CF81" i="80"/>
  <c r="DZ127" i="81"/>
  <c r="DS120" i="80"/>
  <c r="EF120" i="80"/>
  <c r="S221" i="80" s="1"/>
  <c r="I66" i="81"/>
  <c r="I64" i="81"/>
  <c r="CA81" i="81"/>
  <c r="DT122" i="81"/>
  <c r="DT129" i="81" s="1"/>
  <c r="R66" i="81"/>
  <c r="R64" i="81"/>
  <c r="Z232" i="81"/>
  <c r="Z255" i="81" s="1"/>
  <c r="Y233" i="81"/>
  <c r="EF117" i="81"/>
  <c r="EF124" i="81" s="1"/>
  <c r="EF132" i="81"/>
  <c r="Y232" i="81"/>
  <c r="Y255" i="81" s="1"/>
  <c r="FC132" i="81"/>
  <c r="M212" i="81"/>
  <c r="FC117" i="81"/>
  <c r="FC124" i="81" s="1"/>
  <c r="AE212" i="81"/>
  <c r="AE239" i="81" s="1"/>
  <c r="DB94" i="81"/>
  <c r="DI81" i="81"/>
  <c r="DU132" i="80"/>
  <c r="DU117" i="80"/>
  <c r="DU124" i="80" s="1"/>
  <c r="AE215" i="80"/>
  <c r="FC118" i="80"/>
  <c r="FC125" i="80" s="1"/>
  <c r="EV117" i="80"/>
  <c r="EV124" i="80" s="1"/>
  <c r="X212" i="80"/>
  <c r="X239" i="80" s="1"/>
  <c r="EV132" i="80"/>
  <c r="F212" i="80"/>
  <c r="FI119" i="81"/>
  <c r="FI126" i="81" s="1"/>
  <c r="S218" i="81"/>
  <c r="ED120" i="81"/>
  <c r="Q221" i="81" s="1"/>
  <c r="AF224" i="81"/>
  <c r="FD121" i="81"/>
  <c r="FD128" i="81" s="1"/>
  <c r="EY122" i="81"/>
  <c r="AA225" i="81" s="1"/>
  <c r="DV121" i="81"/>
  <c r="DV128" i="81" s="1"/>
  <c r="I224" i="81"/>
  <c r="EZ122" i="81"/>
  <c r="AB225" i="81" s="1"/>
  <c r="AD233" i="81"/>
  <c r="DT121" i="81"/>
  <c r="DT128" i="81" s="1"/>
  <c r="G224" i="81"/>
  <c r="DX117" i="81"/>
  <c r="DX124" i="81" s="1"/>
  <c r="DX132" i="81"/>
  <c r="EB129" i="81"/>
  <c r="DJ81" i="81"/>
  <c r="FA120" i="81"/>
  <c r="AC221" i="81" s="1"/>
  <c r="CL81" i="81"/>
  <c r="AF231" i="81"/>
  <c r="CE81" i="81"/>
  <c r="T218" i="81"/>
  <c r="FJ119" i="81"/>
  <c r="FJ126" i="81" s="1"/>
  <c r="DX120" i="81"/>
  <c r="FD122" i="81"/>
  <c r="AF225" i="81" s="1"/>
  <c r="CQ94" i="81"/>
  <c r="EG121" i="81"/>
  <c r="EG128" i="81" s="1"/>
  <c r="T224" i="81"/>
  <c r="DI103" i="81"/>
  <c r="X234" i="81"/>
  <c r="DZ132" i="81"/>
  <c r="DZ117" i="81"/>
  <c r="DZ124" i="81" s="1"/>
  <c r="EB132" i="81"/>
  <c r="EB117" i="81"/>
  <c r="EB124" i="81" s="1"/>
  <c r="EB118" i="81"/>
  <c r="EB125" i="81" s="1"/>
  <c r="O215" i="81"/>
  <c r="CO81" i="81"/>
  <c r="EG118" i="81"/>
  <c r="EG125" i="81" s="1"/>
  <c r="T215" i="81"/>
  <c r="CP103" i="81"/>
  <c r="AG230" i="81"/>
  <c r="BU81" i="81"/>
  <c r="BX103" i="81"/>
  <c r="AE218" i="81"/>
  <c r="FC119" i="81"/>
  <c r="FC126" i="81" s="1"/>
  <c r="M218" i="81"/>
  <c r="BS94" i="81"/>
  <c r="P212" i="81"/>
  <c r="FF117" i="81"/>
  <c r="FF124" i="81" s="1"/>
  <c r="FF132" i="81"/>
  <c r="FC121" i="81"/>
  <c r="FC128" i="81" s="1"/>
  <c r="AE224" i="81"/>
  <c r="AE234" i="81"/>
  <c r="CS94" i="81"/>
  <c r="FB122" i="81"/>
  <c r="AD225" i="81" s="1"/>
  <c r="CB94" i="81"/>
  <c r="EG122" i="81"/>
  <c r="T225" i="81" s="1"/>
  <c r="DT120" i="81"/>
  <c r="DT127" i="81" s="1"/>
  <c r="EG127" i="81"/>
  <c r="T221" i="81"/>
  <c r="AD215" i="81"/>
  <c r="FB118" i="81"/>
  <c r="FB125" i="81" s="1"/>
  <c r="DG81" i="81"/>
  <c r="EZ120" i="81"/>
  <c r="AB221" i="81" s="1"/>
  <c r="CX94" i="81"/>
  <c r="DG94" i="81"/>
  <c r="AF230" i="80"/>
  <c r="BT81" i="80"/>
  <c r="Q212" i="80"/>
  <c r="FG117" i="80"/>
  <c r="FG124" i="80" s="1"/>
  <c r="FG132" i="80"/>
  <c r="EI122" i="80"/>
  <c r="V225" i="80" s="1"/>
  <c r="AA235" i="80"/>
  <c r="DH81" i="80"/>
  <c r="BW81" i="80"/>
  <c r="EG117" i="80"/>
  <c r="EG124" i="80" s="1"/>
  <c r="EG132" i="80"/>
  <c r="DG103" i="80"/>
  <c r="R66" i="80"/>
  <c r="R64" i="80"/>
  <c r="AD224" i="80"/>
  <c r="FB121" i="80"/>
  <c r="FB128" i="80" s="1"/>
  <c r="FK117" i="80"/>
  <c r="FK124" i="80" s="1"/>
  <c r="FK132" i="80"/>
  <c r="U212" i="80"/>
  <c r="G64" i="80"/>
  <c r="G66" i="80"/>
  <c r="N215" i="80"/>
  <c r="EA118" i="80"/>
  <c r="EA125" i="80" s="1"/>
  <c r="EF118" i="80"/>
  <c r="EF125" i="80" s="1"/>
  <c r="S215" i="80"/>
  <c r="DO81" i="80"/>
  <c r="AG224" i="80"/>
  <c r="FE121" i="80"/>
  <c r="FE128" i="80" s="1"/>
  <c r="EV122" i="80"/>
  <c r="X225" i="80" s="1"/>
  <c r="FB122" i="80"/>
  <c r="AD225" i="80" s="1"/>
  <c r="G218" i="80"/>
  <c r="Y218" i="80"/>
  <c r="EW119" i="80"/>
  <c r="EW126" i="80" s="1"/>
  <c r="CH90" i="80"/>
  <c r="J215" i="80"/>
  <c r="DW118" i="80"/>
  <c r="DW125" i="80" s="1"/>
  <c r="BT90" i="80"/>
  <c r="AG215" i="80"/>
  <c r="FE118" i="80"/>
  <c r="FE125" i="80" s="1"/>
  <c r="CA103" i="80"/>
  <c r="P212" i="80"/>
  <c r="FF117" i="80"/>
  <c r="FF124" i="80" s="1"/>
  <c r="FF132" i="80"/>
  <c r="EH120" i="80"/>
  <c r="U221" i="80" s="1"/>
  <c r="DZ122" i="80"/>
  <c r="DZ129" i="80" s="1"/>
  <c r="CQ94" i="80"/>
  <c r="CI94" i="80"/>
  <c r="DJ81" i="80"/>
  <c r="R212" i="80"/>
  <c r="FH117" i="80"/>
  <c r="FH124" i="80" s="1"/>
  <c r="FH132" i="80"/>
  <c r="AF212" i="80"/>
  <c r="AF239" i="80" s="1"/>
  <c r="FD132" i="80"/>
  <c r="N212" i="80"/>
  <c r="FD117" i="80"/>
  <c r="FD124" i="80" s="1"/>
  <c r="EZ119" i="80"/>
  <c r="EZ126" i="80" s="1"/>
  <c r="AB218" i="80"/>
  <c r="J218" i="80"/>
  <c r="CD81" i="80"/>
  <c r="DV117" i="80"/>
  <c r="DV124" i="80" s="1"/>
  <c r="DV132" i="80"/>
  <c r="AA212" i="80"/>
  <c r="AA239" i="80" s="1"/>
  <c r="I212" i="80"/>
  <c r="EY117" i="80"/>
  <c r="EY124" i="80" s="1"/>
  <c r="EY132" i="80"/>
  <c r="CH103" i="80"/>
  <c r="AF218" i="80"/>
  <c r="N218" i="80"/>
  <c r="FD119" i="80"/>
  <c r="FD126" i="80" s="1"/>
  <c r="Q215" i="80"/>
  <c r="ED118" i="80"/>
  <c r="ED125" i="80" s="1"/>
  <c r="CC90" i="80"/>
  <c r="CG103" i="80"/>
  <c r="EA132" i="80"/>
  <c r="EA117" i="80"/>
  <c r="EA124" i="80" s="1"/>
  <c r="FE117" i="80"/>
  <c r="FE124" i="80" s="1"/>
  <c r="AG212" i="80"/>
  <c r="AG239" i="80" s="1"/>
  <c r="FE132" i="80"/>
  <c r="O212" i="80"/>
  <c r="BR94" i="80"/>
  <c r="DN81" i="80"/>
  <c r="FB117" i="81"/>
  <c r="FB124" i="81" s="1"/>
  <c r="AD212" i="81"/>
  <c r="AD239" i="81" s="1"/>
  <c r="FB132" i="81"/>
  <c r="L212" i="81"/>
  <c r="BN81" i="81"/>
  <c r="Z230" i="81"/>
  <c r="M64" i="81"/>
  <c r="M66" i="81"/>
  <c r="Q218" i="81"/>
  <c r="FG119" i="81"/>
  <c r="FG126" i="81" s="1"/>
  <c r="Z231" i="81"/>
  <c r="DG103" i="81"/>
  <c r="DY120" i="81"/>
  <c r="EZ120" i="80"/>
  <c r="AB221" i="80" s="1"/>
  <c r="EH118" i="80"/>
  <c r="EH125" i="80" s="1"/>
  <c r="U215" i="80"/>
  <c r="EO132" i="80"/>
  <c r="EO117" i="80"/>
  <c r="EO124" i="80" s="1"/>
  <c r="EB120" i="81"/>
  <c r="EH120" i="81"/>
  <c r="U221" i="81" s="1"/>
  <c r="FE122" i="81"/>
  <c r="AG225" i="81" s="1"/>
  <c r="FA121" i="81"/>
  <c r="FA128" i="81" s="1"/>
  <c r="AC224" i="81"/>
  <c r="EV120" i="81"/>
  <c r="X221" i="81" s="1"/>
  <c r="CT63" i="80"/>
  <c r="DY118" i="80"/>
  <c r="DY125" i="80" s="1"/>
  <c r="L215" i="80"/>
  <c r="AG234" i="80"/>
  <c r="DV122" i="81"/>
  <c r="DV129" i="81" s="1"/>
  <c r="DL103" i="81"/>
  <c r="AG233" i="81"/>
  <c r="EW122" i="81"/>
  <c r="Y225" i="81" s="1"/>
  <c r="AF236" i="81"/>
  <c r="O224" i="81"/>
  <c r="EB121" i="81"/>
  <c r="EB128" i="81" s="1"/>
  <c r="FB120" i="81"/>
  <c r="AD221" i="81" s="1"/>
  <c r="AB231" i="81"/>
  <c r="BV81" i="81"/>
  <c r="DS117" i="81"/>
  <c r="DS124" i="81" s="1"/>
  <c r="DS132" i="81"/>
  <c r="EF122" i="81"/>
  <c r="S225" i="81" s="1"/>
  <c r="EY117" i="81"/>
  <c r="EY124" i="81" s="1"/>
  <c r="AA212" i="81"/>
  <c r="AA239" i="81" s="1"/>
  <c r="I212" i="81"/>
  <c r="EY132" i="81"/>
  <c r="CX103" i="81"/>
  <c r="CJ81" i="81"/>
  <c r="CU81" i="81"/>
  <c r="DV118" i="81"/>
  <c r="DV125" i="81" s="1"/>
  <c r="I215" i="81"/>
  <c r="K66" i="81"/>
  <c r="K64" i="81"/>
  <c r="DL94" i="81"/>
  <c r="DD103" i="81"/>
  <c r="CT81" i="81"/>
  <c r="CD103" i="81"/>
  <c r="BM90" i="81"/>
  <c r="EC122" i="81"/>
  <c r="P225" i="81" s="1"/>
  <c r="U215" i="81"/>
  <c r="EH118" i="81"/>
  <c r="EH125" i="81" s="1"/>
  <c r="FH119" i="81"/>
  <c r="FH126" i="81" s="1"/>
  <c r="R218" i="81"/>
  <c r="AA215" i="81"/>
  <c r="EY118" i="81"/>
  <c r="EY125" i="81" s="1"/>
  <c r="M215" i="81"/>
  <c r="DZ118" i="81"/>
  <c r="DZ125" i="81" s="1"/>
  <c r="J215" i="81"/>
  <c r="DW118" i="81"/>
  <c r="DW125" i="81" s="1"/>
  <c r="DE103" i="81"/>
  <c r="EH122" i="81"/>
  <c r="U225" i="81" s="1"/>
  <c r="CQ103" i="81"/>
  <c r="DJ94" i="81"/>
  <c r="G66" i="81"/>
  <c r="G64" i="81"/>
  <c r="AG212" i="81"/>
  <c r="AG239" i="81" s="1"/>
  <c r="FE132" i="81"/>
  <c r="FE117" i="81"/>
  <c r="FE124" i="81" s="1"/>
  <c r="O212" i="81"/>
  <c r="DK103" i="81"/>
  <c r="Z235" i="81"/>
  <c r="CS81" i="81"/>
  <c r="DZ129" i="81"/>
  <c r="Z218" i="81"/>
  <c r="H218" i="81"/>
  <c r="EX119" i="81"/>
  <c r="EX126" i="81" s="1"/>
  <c r="AF212" i="81"/>
  <c r="AF239" i="81" s="1"/>
  <c r="N212" i="81"/>
  <c r="FD132" i="81"/>
  <c r="FD117" i="81"/>
  <c r="FD124" i="81" s="1"/>
  <c r="DW129" i="81"/>
  <c r="EA118" i="81"/>
  <c r="EA125" i="81" s="1"/>
  <c r="N215" i="81"/>
  <c r="U218" i="81"/>
  <c r="FK119" i="81"/>
  <c r="FK126" i="81" s="1"/>
  <c r="FD118" i="81"/>
  <c r="FD125" i="81" s="1"/>
  <c r="AF215" i="81"/>
  <c r="DI94" i="81"/>
  <c r="DC81" i="80"/>
  <c r="CZ81" i="80"/>
  <c r="EA127" i="80"/>
  <c r="EF132" i="80"/>
  <c r="EF117" i="80"/>
  <c r="EF124" i="80" s="1"/>
  <c r="CT103" i="80"/>
  <c r="CX81" i="80"/>
  <c r="CA81" i="80"/>
  <c r="CW103" i="80"/>
  <c r="CR81" i="80"/>
  <c r="FD120" i="80"/>
  <c r="AF221" i="80" s="1"/>
  <c r="AA232" i="80"/>
  <c r="AA255" i="80" s="1"/>
  <c r="DW127" i="80"/>
  <c r="DT118" i="80"/>
  <c r="DT125" i="80" s="1"/>
  <c r="G215" i="80"/>
  <c r="CA90" i="80"/>
  <c r="S66" i="80"/>
  <c r="S64" i="80"/>
  <c r="CC81" i="80"/>
  <c r="BQ103" i="80"/>
  <c r="AB212" i="80"/>
  <c r="AB239" i="80" s="1"/>
  <c r="EZ132" i="80"/>
  <c r="J212" i="80"/>
  <c r="EZ117" i="80"/>
  <c r="EZ124" i="80" s="1"/>
  <c r="AF215" i="80"/>
  <c r="FD118" i="80"/>
  <c r="FD125" i="80" s="1"/>
  <c r="EW120" i="80"/>
  <c r="Y221" i="80" s="1"/>
  <c r="DE94" i="80"/>
  <c r="L218" i="80"/>
  <c r="AD218" i="80"/>
  <c r="FB119" i="80"/>
  <c r="FB126" i="80" s="1"/>
  <c r="FD122" i="80"/>
  <c r="AF225" i="80" s="1"/>
  <c r="BU90" i="80"/>
  <c r="DY132" i="80"/>
  <c r="DY117" i="80"/>
  <c r="DY124" i="80" s="1"/>
  <c r="CE103" i="80"/>
  <c r="FD121" i="80"/>
  <c r="FD128" i="80" s="1"/>
  <c r="AF224" i="80"/>
  <c r="EC117" i="80"/>
  <c r="EC124" i="80" s="1"/>
  <c r="EC132" i="80"/>
  <c r="S224" i="80"/>
  <c r="EF121" i="80"/>
  <c r="EF128" i="80" s="1"/>
  <c r="BQ90" i="80"/>
  <c r="BP94" i="80"/>
  <c r="CJ81" i="80"/>
  <c r="T224" i="80"/>
  <c r="EG121" i="80"/>
  <c r="EG128" i="80" s="1"/>
  <c r="BZ90" i="80"/>
  <c r="DB94" i="80"/>
  <c r="DS132" i="80"/>
  <c r="DS117" i="80"/>
  <c r="DS124" i="80" s="1"/>
  <c r="EY120" i="80"/>
  <c r="AA221" i="80" s="1"/>
  <c r="AE224" i="80"/>
  <c r="FC121" i="80"/>
  <c r="FC128" i="80" s="1"/>
  <c r="EM117" i="80"/>
  <c r="EM124" i="80" s="1"/>
  <c r="EM132" i="80"/>
  <c r="DI81" i="80"/>
  <c r="BL90" i="80"/>
  <c r="CL81" i="80"/>
  <c r="W252" i="80"/>
  <c r="W245" i="80"/>
  <c r="EE122" i="80"/>
  <c r="R225" i="80" s="1"/>
  <c r="CG90" i="80"/>
  <c r="EC117" i="81"/>
  <c r="EC124" i="81" s="1"/>
  <c r="EC132" i="81"/>
  <c r="FA132" i="81"/>
  <c r="K212" i="81"/>
  <c r="FA117" i="81"/>
  <c r="FA124" i="81" s="1"/>
  <c r="AC212" i="81"/>
  <c r="AC239" i="81" s="1"/>
  <c r="Y224" i="81"/>
  <c r="EW121" i="81"/>
  <c r="EW128" i="81" s="1"/>
  <c r="BS81" i="81"/>
  <c r="AE230" i="81"/>
  <c r="J64" i="81"/>
  <c r="J66" i="81"/>
  <c r="S64" i="81"/>
  <c r="S66" i="81"/>
  <c r="AG230" i="80"/>
  <c r="BU81" i="80"/>
  <c r="EY122" i="80"/>
  <c r="AA225" i="80" s="1"/>
  <c r="FA121" i="80"/>
  <c r="FA128" i="80" s="1"/>
  <c r="AC224" i="80"/>
  <c r="FB120" i="80"/>
  <c r="AD221" i="80" s="1"/>
  <c r="FC119" i="80"/>
  <c r="FC126" i="80" s="1"/>
  <c r="M218" i="80"/>
  <c r="AE218" i="80"/>
  <c r="EW121" i="80"/>
  <c r="EW128" i="80" s="1"/>
  <c r="Y224" i="80"/>
  <c r="DZ132" i="80"/>
  <c r="DZ117" i="80"/>
  <c r="DZ124" i="80" s="1"/>
  <c r="DP81" i="80"/>
  <c r="K212" i="80"/>
  <c r="FA132" i="80"/>
  <c r="FA117" i="80"/>
  <c r="FA124" i="80" s="1"/>
  <c r="AC212" i="80"/>
  <c r="AC239" i="80" s="1"/>
  <c r="Q64" i="81"/>
  <c r="Q66" i="81"/>
  <c r="AB230" i="81"/>
  <c r="BP81" i="81"/>
  <c r="Z215" i="80"/>
  <c r="EX118" i="80"/>
  <c r="EX125" i="80" s="1"/>
  <c r="AD230" i="80"/>
  <c r="BR81" i="80"/>
  <c r="DY122" i="80"/>
  <c r="DY129" i="80" s="1"/>
  <c r="Y212" i="80"/>
  <c r="Y239" i="80" s="1"/>
  <c r="EW132" i="80"/>
  <c r="EW117" i="80"/>
  <c r="EW124" i="80" s="1"/>
  <c r="G212" i="80"/>
  <c r="DT117" i="80"/>
  <c r="DT124" i="80" s="1"/>
  <c r="DT132" i="80"/>
  <c r="DL81" i="80"/>
  <c r="DV122" i="80"/>
  <c r="BX81" i="81"/>
  <c r="X212" i="81"/>
  <c r="X239" i="81" s="1"/>
  <c r="EV117" i="81"/>
  <c r="EV124" i="81" s="1"/>
  <c r="EV132" i="81"/>
  <c r="F212" i="81"/>
  <c r="Z233" i="81"/>
  <c r="BL94" i="81"/>
  <c r="DX122" i="81"/>
  <c r="EE132" i="81"/>
  <c r="EE117" i="81"/>
  <c r="EE124" i="81" s="1"/>
  <c r="BS90" i="81"/>
  <c r="Y230" i="81"/>
  <c r="BM81" i="81"/>
  <c r="EX120" i="81"/>
  <c r="Z221" i="81" s="1"/>
  <c r="X230" i="81"/>
  <c r="BL81" i="81"/>
  <c r="DS122" i="81"/>
  <c r="CH103" i="81"/>
  <c r="CF90" i="81"/>
  <c r="BR94" i="81"/>
  <c r="FE121" i="81"/>
  <c r="FE128" i="81" s="1"/>
  <c r="AG224" i="81"/>
  <c r="BZ94" i="81"/>
  <c r="DK94" i="81"/>
  <c r="CC103" i="81"/>
  <c r="DP103" i="81"/>
  <c r="CP81" i="81"/>
  <c r="CL90" i="81"/>
  <c r="T66" i="81"/>
  <c r="T64" i="81"/>
  <c r="BO94" i="81"/>
  <c r="EC120" i="81"/>
  <c r="P221" i="81" s="1"/>
  <c r="AA234" i="81"/>
  <c r="BU103" i="81"/>
  <c r="CI90" i="81"/>
  <c r="EA117" i="81"/>
  <c r="EA124" i="81" s="1"/>
  <c r="EA132" i="81"/>
  <c r="DE94" i="81"/>
  <c r="EX122" i="81"/>
  <c r="Z225" i="81" s="1"/>
  <c r="Z234" i="81"/>
  <c r="CV103" i="81"/>
  <c r="EA121" i="81"/>
  <c r="EA128" i="81" s="1"/>
  <c r="N224" i="81"/>
  <c r="CX81" i="81"/>
  <c r="BQ94" i="81"/>
  <c r="DF103" i="81"/>
  <c r="CI81" i="81"/>
  <c r="X236" i="81"/>
  <c r="DN94" i="81"/>
  <c r="CZ63" i="81"/>
  <c r="X224" i="81"/>
  <c r="EV121" i="81"/>
  <c r="EV128" i="81" s="1"/>
  <c r="DZ121" i="81"/>
  <c r="DZ128" i="81" s="1"/>
  <c r="M224" i="81"/>
  <c r="ED118" i="81"/>
  <c r="ED125" i="81" s="1"/>
  <c r="Q215" i="81"/>
  <c r="ED122" i="81"/>
  <c r="Q225" i="81" s="1"/>
  <c r="W258" i="81"/>
  <c r="DL81" i="81"/>
  <c r="CT94" i="81"/>
  <c r="CD94" i="81"/>
  <c r="DM81" i="81"/>
  <c r="CT81" i="80"/>
  <c r="CV81" i="80"/>
  <c r="CQ81" i="80"/>
  <c r="BM103" i="80"/>
  <c r="J224" i="80"/>
  <c r="DW121" i="80"/>
  <c r="DW128" i="80" s="1"/>
  <c r="AD232" i="80"/>
  <c r="AD255" i="80" s="1"/>
  <c r="U224" i="80"/>
  <c r="EH121" i="80"/>
  <c r="EH128" i="80" s="1"/>
  <c r="CY103" i="80"/>
  <c r="DA81" i="80"/>
  <c r="CG94" i="80"/>
  <c r="U64" i="80"/>
  <c r="U66" i="80"/>
  <c r="AE233" i="80"/>
  <c r="AA233" i="80"/>
  <c r="I224" i="80"/>
  <c r="DV121" i="80"/>
  <c r="DV128" i="80" s="1"/>
  <c r="DI94" i="80"/>
  <c r="AA234" i="80"/>
  <c r="CC94" i="80"/>
  <c r="EV119" i="80"/>
  <c r="EV126" i="80" s="1"/>
  <c r="F218" i="80"/>
  <c r="X218" i="80"/>
  <c r="AD235" i="80"/>
  <c r="AB233" i="80"/>
  <c r="EE118" i="80"/>
  <c r="EE125" i="80" s="1"/>
  <c r="R215" i="80"/>
  <c r="CM103" i="80"/>
  <c r="BU103" i="80"/>
  <c r="BP90" i="80"/>
  <c r="EY119" i="80"/>
  <c r="EY126" i="80" s="1"/>
  <c r="I218" i="80"/>
  <c r="AA218" i="80"/>
  <c r="BS103" i="80"/>
  <c r="U218" i="80"/>
  <c r="FK119" i="80"/>
  <c r="FK126" i="80" s="1"/>
  <c r="DW117" i="80"/>
  <c r="DW124" i="80" s="1"/>
  <c r="DW132" i="80"/>
  <c r="FC120" i="80"/>
  <c r="AE221" i="80" s="1"/>
  <c r="T218" i="80"/>
  <c r="FJ119" i="80"/>
  <c r="FJ126" i="80" s="1"/>
  <c r="W258" i="80"/>
  <c r="EE117" i="80"/>
  <c r="EE124" i="80" s="1"/>
  <c r="EE132" i="80"/>
  <c r="CK90" i="80"/>
  <c r="AB231" i="80"/>
  <c r="DX122" i="80"/>
  <c r="DX129" i="80" s="1"/>
  <c r="Z218" i="80"/>
  <c r="H218" i="80"/>
  <c r="EX119" i="80"/>
  <c r="EX126" i="80" s="1"/>
  <c r="BR90" i="80"/>
  <c r="BU94" i="80"/>
  <c r="CK81" i="80"/>
  <c r="FC122" i="80"/>
  <c r="AE225" i="80" s="1"/>
  <c r="BQ94" i="80"/>
  <c r="DX120" i="80"/>
  <c r="ED120" i="80"/>
  <c r="Q221" i="80" s="1"/>
  <c r="DP94" i="80"/>
  <c r="DD94" i="80"/>
  <c r="DH94" i="80"/>
  <c r="CB90" i="80"/>
  <c r="L66" i="80"/>
  <c r="L64" i="80"/>
  <c r="CM81" i="80"/>
  <c r="V218" i="80"/>
  <c r="EI119" i="80"/>
  <c r="EI126" i="80" s="1"/>
  <c r="DU120" i="80"/>
  <c r="DU127" i="80" s="1"/>
  <c r="EX120" i="80"/>
  <c r="Z221" i="80" s="1"/>
  <c r="CJ90" i="80"/>
  <c r="EJ132" i="80"/>
  <c r="EJ117" i="80"/>
  <c r="EJ124" i="80" s="1"/>
  <c r="EN132" i="80"/>
  <c r="EN117" i="80"/>
  <c r="EN124" i="80" s="1"/>
  <c r="FI132" i="80"/>
  <c r="FI117" i="80"/>
  <c r="FI124" i="80" s="1"/>
  <c r="S212" i="80"/>
  <c r="DV127" i="81"/>
  <c r="FC120" i="81"/>
  <c r="AE221" i="81" s="1"/>
  <c r="AA230" i="80"/>
  <c r="BO81" i="80"/>
  <c r="F224" i="80"/>
  <c r="DS121" i="80"/>
  <c r="DS128" i="80" s="1"/>
  <c r="EG127" i="80"/>
  <c r="T221" i="80"/>
  <c r="M64" i="80"/>
  <c r="M66" i="80"/>
  <c r="FI132" i="81"/>
  <c r="FI117" i="81"/>
  <c r="FI124" i="81" s="1"/>
  <c r="S212" i="81"/>
  <c r="FE118" i="81"/>
  <c r="FE125" i="81" s="1"/>
  <c r="AG215" i="81"/>
  <c r="EC118" i="81"/>
  <c r="EC125" i="81" s="1"/>
  <c r="P215" i="81"/>
  <c r="CL103" i="81"/>
  <c r="AD224" i="81"/>
  <c r="FB121" i="81"/>
  <c r="FB128" i="81" s="1"/>
  <c r="F64" i="81"/>
  <c r="F66" i="81"/>
  <c r="EF121" i="81"/>
  <c r="EF128" i="81" s="1"/>
  <c r="S224" i="81"/>
  <c r="DU132" i="81"/>
  <c r="DU117" i="81"/>
  <c r="DU124" i="81" s="1"/>
  <c r="EE129" i="81"/>
  <c r="R225" i="81"/>
  <c r="CC81" i="81"/>
  <c r="ED121" i="81"/>
  <c r="ED128" i="81" s="1"/>
  <c r="Q224" i="81"/>
  <c r="S215" i="81"/>
  <c r="EF118" i="81"/>
  <c r="EF125" i="81" s="1"/>
  <c r="AF230" i="81"/>
  <c r="BT81" i="81"/>
  <c r="CT103" i="81"/>
  <c r="AC236" i="81"/>
  <c r="CD81" i="81"/>
  <c r="CM103" i="81"/>
  <c r="CJ90" i="81"/>
  <c r="DW132" i="81"/>
  <c r="DW117" i="81"/>
  <c r="DW124" i="81" s="1"/>
  <c r="BO81" i="81"/>
  <c r="AA230" i="81"/>
  <c r="AD234" i="81"/>
  <c r="BR90" i="81"/>
  <c r="BM94" i="81"/>
  <c r="P224" i="81"/>
  <c r="EC121" i="81"/>
  <c r="EC128" i="81" s="1"/>
  <c r="AE215" i="81"/>
  <c r="FC118" i="81"/>
  <c r="FC125" i="81" s="1"/>
  <c r="F224" i="81"/>
  <c r="DS121" i="81"/>
  <c r="DS128" i="81" s="1"/>
  <c r="EW120" i="81"/>
  <c r="Y221" i="81" s="1"/>
  <c r="AD235" i="81"/>
  <c r="DN103" i="81"/>
  <c r="CH81" i="81"/>
  <c r="BW103" i="81"/>
  <c r="BW90" i="81"/>
  <c r="EA120" i="81"/>
  <c r="DJ103" i="81"/>
  <c r="AF232" i="81"/>
  <c r="AF255" i="81" s="1"/>
  <c r="CK81" i="81"/>
  <c r="EZ119" i="81"/>
  <c r="EZ126" i="81" s="1"/>
  <c r="AB218" i="81"/>
  <c r="J218" i="81"/>
  <c r="EG117" i="81"/>
  <c r="EG124" i="81" s="1"/>
  <c r="EG132" i="81"/>
  <c r="BT94" i="81"/>
  <c r="EY120" i="81"/>
  <c r="AA221" i="81" s="1"/>
  <c r="T212" i="81"/>
  <c r="FJ117" i="81"/>
  <c r="FJ124" i="81" s="1"/>
  <c r="FJ132" i="81"/>
  <c r="CK94" i="81"/>
  <c r="N66" i="81"/>
  <c r="N64" i="81"/>
  <c r="AG218" i="81"/>
  <c r="O218" i="81"/>
  <c r="FE119" i="81"/>
  <c r="FE126" i="81" s="1"/>
  <c r="CC94" i="81"/>
  <c r="FK132" i="81"/>
  <c r="U212" i="81"/>
  <c r="FK117" i="81"/>
  <c r="FK124" i="81" s="1"/>
  <c r="CH94" i="81"/>
  <c r="W252" i="81"/>
  <c r="W245" i="81"/>
  <c r="CG94" i="81"/>
  <c r="DH81" i="81"/>
  <c r="DW122" i="80"/>
  <c r="FA122" i="80"/>
  <c r="AC225" i="80" s="1"/>
  <c r="DH103" i="80"/>
  <c r="K215" i="80"/>
  <c r="DX118" i="80"/>
  <c r="DX125" i="80" s="1"/>
  <c r="M215" i="80"/>
  <c r="DZ118" i="80"/>
  <c r="DZ125" i="80" s="1"/>
  <c r="BZ81" i="80"/>
  <c r="DL103" i="80"/>
  <c r="EA121" i="80"/>
  <c r="EA128" i="80" s="1"/>
  <c r="N224" i="80"/>
  <c r="CZ94" i="80"/>
  <c r="CI81" i="80"/>
  <c r="CX103" i="80"/>
  <c r="AD234" i="80"/>
  <c r="EW118" i="80"/>
  <c r="EW125" i="80" s="1"/>
  <c r="Y215" i="80"/>
  <c r="L212" i="80"/>
  <c r="FB132" i="80"/>
  <c r="FB117" i="80"/>
  <c r="FB124" i="80" s="1"/>
  <c r="AD212" i="80"/>
  <c r="AD239" i="80" s="1"/>
  <c r="AA224" i="80"/>
  <c r="EY121" i="80"/>
  <c r="EY128" i="80" s="1"/>
  <c r="AF235" i="80"/>
  <c r="CP81" i="80"/>
  <c r="CR103" i="80"/>
  <c r="X233" i="80"/>
  <c r="O224" i="80"/>
  <c r="EB121" i="80"/>
  <c r="EB128" i="80" s="1"/>
  <c r="ER117" i="80"/>
  <c r="ER124" i="80" s="1"/>
  <c r="ER132" i="80"/>
  <c r="BO103" i="80"/>
  <c r="Q66" i="80"/>
  <c r="Q64" i="80"/>
  <c r="BV103" i="80"/>
  <c r="EW122" i="80"/>
  <c r="Y225" i="80" s="1"/>
  <c r="K66" i="80"/>
  <c r="K64" i="80"/>
  <c r="F215" i="80"/>
  <c r="DS118" i="80"/>
  <c r="DS125" i="80" s="1"/>
  <c r="AB224" i="80"/>
  <c r="EZ121" i="80"/>
  <c r="EZ128" i="80" s="1"/>
  <c r="EZ122" i="80"/>
  <c r="AB225" i="80" s="1"/>
  <c r="BL103" i="80"/>
  <c r="EC121" i="80"/>
  <c r="EC128" i="80" s="1"/>
  <c r="P224" i="80"/>
  <c r="DV127" i="80"/>
  <c r="BO94" i="80"/>
  <c r="BW94" i="80"/>
  <c r="ED122" i="80"/>
  <c r="Q225" i="80" s="1"/>
  <c r="ED117" i="80"/>
  <c r="ED124" i="80" s="1"/>
  <c r="ED132" i="80"/>
  <c r="CV94" i="80"/>
  <c r="CA94" i="80"/>
  <c r="CO94" i="80"/>
  <c r="R224" i="80"/>
  <c r="EE121" i="80"/>
  <c r="EE128" i="80" s="1"/>
  <c r="DF94" i="80"/>
  <c r="DO94" i="80"/>
  <c r="EL132" i="80"/>
  <c r="EL117" i="80"/>
  <c r="EL124" i="80" s="1"/>
  <c r="P66" i="80"/>
  <c r="P64" i="80"/>
  <c r="EC120" i="80"/>
  <c r="P221" i="80" s="1"/>
  <c r="CE94" i="80"/>
  <c r="ET132" i="80"/>
  <c r="ET117" i="80"/>
  <c r="ET124" i="80" s="1"/>
  <c r="CG81" i="80"/>
  <c r="EQ132" i="80"/>
  <c r="EQ117" i="80"/>
  <c r="EQ124" i="80" s="1"/>
  <c r="AG292" i="4"/>
  <c r="AG186" i="4"/>
  <c r="AG185" i="4"/>
  <c r="AG181" i="4"/>
  <c r="AF186" i="4"/>
  <c r="AF181" i="4"/>
  <c r="AF185" i="4"/>
  <c r="S223" i="4"/>
  <c r="AP156" i="4"/>
  <c r="AO156" i="4"/>
  <c r="M223" i="4"/>
  <c r="AK156" i="4"/>
  <c r="P295" i="4"/>
  <c r="U295" i="4"/>
  <c r="T295" i="4"/>
  <c r="S295" i="4"/>
  <c r="R295" i="4"/>
  <c r="Q295" i="4"/>
  <c r="N295" i="4"/>
  <c r="O295" i="4"/>
  <c r="M295" i="4"/>
  <c r="O180" i="4"/>
  <c r="O186" i="4" s="1"/>
  <c r="I180" i="4"/>
  <c r="M180" i="4"/>
  <c r="M186" i="4" s="1"/>
  <c r="J180" i="4"/>
  <c r="J185" i="4" s="1"/>
  <c r="S180" i="4"/>
  <c r="S186" i="4" s="1"/>
  <c r="L180" i="4"/>
  <c r="L186" i="4" s="1"/>
  <c r="K180" i="4"/>
  <c r="G180" i="4"/>
  <c r="P180" i="4"/>
  <c r="P186" i="4" s="1"/>
  <c r="H180" i="4"/>
  <c r="R180" i="4"/>
  <c r="R186" i="4" s="1"/>
  <c r="N180" i="4"/>
  <c r="N186" i="4" s="1"/>
  <c r="Q180" i="4"/>
  <c r="Q186" i="4" s="1"/>
  <c r="U180" i="4"/>
  <c r="U186" i="4" s="1"/>
  <c r="T180" i="4"/>
  <c r="T186" i="4" s="1"/>
  <c r="Q298" i="4"/>
  <c r="O298" i="4"/>
  <c r="M298" i="4"/>
  <c r="S298" i="4"/>
  <c r="T298" i="4"/>
  <c r="N298" i="4"/>
  <c r="P298" i="4"/>
  <c r="U298" i="4"/>
  <c r="R298" i="4"/>
  <c r="J196" i="4" l="1"/>
  <c r="J191" i="4"/>
  <c r="J186" i="4"/>
  <c r="K191" i="4"/>
  <c r="K186" i="4"/>
  <c r="AF258" i="80"/>
  <c r="AE258" i="80"/>
  <c r="AB258" i="81"/>
  <c r="K221" i="80"/>
  <c r="K239" i="80" s="1"/>
  <c r="AC258" i="80"/>
  <c r="I221" i="80"/>
  <c r="I239" i="80" s="1"/>
  <c r="AE258" i="81"/>
  <c r="AG258" i="81"/>
  <c r="Y258" i="81"/>
  <c r="Z258" i="80"/>
  <c r="X258" i="81"/>
  <c r="AF258" i="81"/>
  <c r="AC258" i="81"/>
  <c r="AA258" i="81"/>
  <c r="M225" i="81"/>
  <c r="EH127" i="81"/>
  <c r="AD258" i="80"/>
  <c r="AA258" i="80"/>
  <c r="J221" i="80"/>
  <c r="J239" i="80" s="1"/>
  <c r="FD127" i="81"/>
  <c r="ED129" i="80"/>
  <c r="FB127" i="81"/>
  <c r="FC129" i="81"/>
  <c r="FE127" i="81"/>
  <c r="EY127" i="80"/>
  <c r="EP156" i="80"/>
  <c r="EH129" i="80"/>
  <c r="X258" i="80"/>
  <c r="EC129" i="81"/>
  <c r="EI127" i="80"/>
  <c r="J225" i="80"/>
  <c r="EQ156" i="80"/>
  <c r="FC129" i="80"/>
  <c r="F225" i="81"/>
  <c r="FB129" i="81"/>
  <c r="EE127" i="80"/>
  <c r="FC127" i="80"/>
  <c r="I225" i="80"/>
  <c r="EW127" i="81"/>
  <c r="EO156" i="80"/>
  <c r="EY129" i="81"/>
  <c r="EG129" i="80"/>
  <c r="EG156" i="80" s="1"/>
  <c r="R239" i="81"/>
  <c r="EZ127" i="81"/>
  <c r="N225" i="81"/>
  <c r="K225" i="80"/>
  <c r="K225" i="81"/>
  <c r="EH129" i="81"/>
  <c r="O221" i="81"/>
  <c r="O239" i="81" s="1"/>
  <c r="FD129" i="81"/>
  <c r="FA127" i="81"/>
  <c r="EX129" i="80"/>
  <c r="FA129" i="80"/>
  <c r="FI156" i="81"/>
  <c r="J225" i="81"/>
  <c r="EZ129" i="81"/>
  <c r="ED127" i="81"/>
  <c r="Y258" i="80"/>
  <c r="L225" i="80"/>
  <c r="K221" i="81"/>
  <c r="K239" i="81" s="1"/>
  <c r="H225" i="80"/>
  <c r="N221" i="81"/>
  <c r="N239" i="81" s="1"/>
  <c r="EN156" i="80"/>
  <c r="N221" i="80"/>
  <c r="N239" i="80" s="1"/>
  <c r="EF129" i="81"/>
  <c r="I225" i="81"/>
  <c r="EZ127" i="80"/>
  <c r="FE129" i="80"/>
  <c r="EF129" i="80"/>
  <c r="EC129" i="80"/>
  <c r="O221" i="80"/>
  <c r="O239" i="80" s="1"/>
  <c r="J221" i="81"/>
  <c r="J239" i="81" s="1"/>
  <c r="FH156" i="80"/>
  <c r="DZ156" i="81"/>
  <c r="AG258" i="80"/>
  <c r="DT156" i="80"/>
  <c r="M221" i="80"/>
  <c r="M239" i="80" s="1"/>
  <c r="H225" i="81"/>
  <c r="DW156" i="81"/>
  <c r="FF156" i="81"/>
  <c r="F221" i="80"/>
  <c r="F239" i="80" s="1"/>
  <c r="H221" i="80"/>
  <c r="H239" i="80" s="1"/>
  <c r="DX127" i="80"/>
  <c r="DX156" i="80" s="1"/>
  <c r="L221" i="81"/>
  <c r="L239" i="81" s="1"/>
  <c r="AC245" i="81"/>
  <c r="AC252" i="81"/>
  <c r="EC127" i="80"/>
  <c r="EZ129" i="80"/>
  <c r="EW129" i="80"/>
  <c r="DU156" i="81"/>
  <c r="FC127" i="81"/>
  <c r="EX129" i="81"/>
  <c r="EC127" i="81"/>
  <c r="Y252" i="80"/>
  <c r="Y245" i="80"/>
  <c r="M225" i="80"/>
  <c r="FB129" i="80"/>
  <c r="T239" i="81"/>
  <c r="DX127" i="81"/>
  <c r="EF127" i="80"/>
  <c r="G221" i="80"/>
  <c r="G239" i="80" s="1"/>
  <c r="N225" i="80"/>
  <c r="F221" i="81"/>
  <c r="F239" i="81" s="1"/>
  <c r="EV129" i="81"/>
  <c r="X252" i="80"/>
  <c r="X245" i="80"/>
  <c r="O225" i="80"/>
  <c r="FE127" i="80"/>
  <c r="H221" i="81"/>
  <c r="H239" i="81" s="1"/>
  <c r="F225" i="80"/>
  <c r="FA129" i="81"/>
  <c r="AA245" i="80"/>
  <c r="AA252" i="80"/>
  <c r="EY127" i="81"/>
  <c r="EJ156" i="80"/>
  <c r="ED127" i="80"/>
  <c r="P239" i="81"/>
  <c r="DS129" i="81"/>
  <c r="DS156" i="81" s="1"/>
  <c r="EY129" i="80"/>
  <c r="DY156" i="80"/>
  <c r="EW129" i="81"/>
  <c r="FE129" i="81"/>
  <c r="EA156" i="80"/>
  <c r="EH127" i="80"/>
  <c r="AD245" i="80"/>
  <c r="AD252" i="80"/>
  <c r="AF252" i="81"/>
  <c r="AF245" i="81"/>
  <c r="S239" i="80"/>
  <c r="AA245" i="81"/>
  <c r="AA252" i="81"/>
  <c r="EK156" i="80"/>
  <c r="EV127" i="80"/>
  <c r="Z245" i="80"/>
  <c r="Z252" i="80"/>
  <c r="FJ156" i="81"/>
  <c r="AD252" i="81"/>
  <c r="AD245" i="81"/>
  <c r="AC252" i="80"/>
  <c r="AC245" i="80"/>
  <c r="T239" i="80"/>
  <c r="I221" i="81"/>
  <c r="I239" i="81" s="1"/>
  <c r="Q239" i="80"/>
  <c r="EE156" i="81"/>
  <c r="EW127" i="80"/>
  <c r="EV129" i="80"/>
  <c r="EI129" i="80"/>
  <c r="O225" i="81"/>
  <c r="DS127" i="80"/>
  <c r="DS156" i="80" s="1"/>
  <c r="EF127" i="81"/>
  <c r="FG156" i="81"/>
  <c r="FA127" i="80"/>
  <c r="L225" i="81"/>
  <c r="FK156" i="80"/>
  <c r="AB245" i="80"/>
  <c r="AB252" i="80"/>
  <c r="R239" i="80"/>
  <c r="G221" i="81"/>
  <c r="G239" i="81" s="1"/>
  <c r="AE252" i="81"/>
  <c r="AE245" i="81"/>
  <c r="Q239" i="81"/>
  <c r="L221" i="80"/>
  <c r="L239" i="80" s="1"/>
  <c r="FH156" i="81"/>
  <c r="AE245" i="80"/>
  <c r="AE252" i="80"/>
  <c r="ER156" i="80"/>
  <c r="EL156" i="80"/>
  <c r="FK156" i="81"/>
  <c r="EA127" i="81"/>
  <c r="EA156" i="81" s="1"/>
  <c r="EX127" i="80"/>
  <c r="X245" i="81"/>
  <c r="X252" i="81"/>
  <c r="AG245" i="81"/>
  <c r="AG252" i="81"/>
  <c r="DX129" i="81"/>
  <c r="Y252" i="81"/>
  <c r="Y245" i="81"/>
  <c r="EE129" i="80"/>
  <c r="EM156" i="80"/>
  <c r="FD129" i="80"/>
  <c r="FD127" i="80"/>
  <c r="U239" i="81"/>
  <c r="FF156" i="80"/>
  <c r="EG129" i="81"/>
  <c r="EG156" i="81" s="1"/>
  <c r="DU156" i="80"/>
  <c r="G225" i="81"/>
  <c r="M221" i="81"/>
  <c r="M239" i="81" s="1"/>
  <c r="Z252" i="81"/>
  <c r="Z245" i="81"/>
  <c r="AB258" i="80"/>
  <c r="G225" i="80"/>
  <c r="AF252" i="80"/>
  <c r="AF245" i="80"/>
  <c r="DV156" i="81"/>
  <c r="DZ156" i="80"/>
  <c r="ET156" i="80"/>
  <c r="DW129" i="80"/>
  <c r="DW156" i="80" s="1"/>
  <c r="AD258" i="81"/>
  <c r="S239" i="81"/>
  <c r="FI156" i="80"/>
  <c r="ED129" i="81"/>
  <c r="EX127" i="81"/>
  <c r="DV129" i="80"/>
  <c r="DV156" i="80" s="1"/>
  <c r="FB127" i="80"/>
  <c r="Z258" i="81"/>
  <c r="EV127" i="81"/>
  <c r="EB127" i="81"/>
  <c r="EB156" i="81" s="1"/>
  <c r="DY127" i="81"/>
  <c r="DY156" i="81" s="1"/>
  <c r="P239" i="80"/>
  <c r="AG252" i="80"/>
  <c r="AG245" i="80"/>
  <c r="U239" i="80"/>
  <c r="FG156" i="80"/>
  <c r="ES156" i="80"/>
  <c r="FJ156" i="80"/>
  <c r="AB245" i="81"/>
  <c r="AB252" i="81"/>
  <c r="EB127" i="80"/>
  <c r="EB156" i="80" s="1"/>
  <c r="DT156" i="81"/>
  <c r="AG189" i="4"/>
  <c r="AF189" i="4"/>
  <c r="F192" i="4"/>
  <c r="F197" i="4"/>
  <c r="F187" i="4"/>
  <c r="F189" i="4" s="1"/>
  <c r="Q181" i="4"/>
  <c r="Q191" i="4"/>
  <c r="Q196" i="4"/>
  <c r="R181" i="4"/>
  <c r="R191" i="4"/>
  <c r="R196" i="4"/>
  <c r="U181" i="4"/>
  <c r="U196" i="4"/>
  <c r="V189" i="4"/>
  <c r="U191" i="4"/>
  <c r="P181" i="4"/>
  <c r="P191" i="4"/>
  <c r="P196" i="4"/>
  <c r="T181" i="4"/>
  <c r="T191" i="4"/>
  <c r="T196" i="4"/>
  <c r="S181" i="4"/>
  <c r="S191" i="4"/>
  <c r="S196" i="4"/>
  <c r="N181" i="4"/>
  <c r="N196" i="4"/>
  <c r="N191" i="4"/>
  <c r="M196" i="4"/>
  <c r="M191" i="4"/>
  <c r="O181" i="4"/>
  <c r="O196" i="4"/>
  <c r="O191" i="4"/>
  <c r="J181" i="4"/>
  <c r="L181" i="4"/>
  <c r="L196" i="4"/>
  <c r="L191" i="4"/>
  <c r="K181" i="4"/>
  <c r="K196" i="4"/>
  <c r="F181" i="4"/>
  <c r="F182" i="4" s="1"/>
  <c r="F184" i="4" s="1"/>
  <c r="G181" i="4"/>
  <c r="H181" i="4"/>
  <c r="O185" i="4"/>
  <c r="M185" i="4"/>
  <c r="M181" i="4"/>
  <c r="I185" i="4"/>
  <c r="I181" i="4"/>
  <c r="F185" i="4"/>
  <c r="F202" i="4" s="1"/>
  <c r="L185" i="4"/>
  <c r="S185" i="4"/>
  <c r="K185" i="4"/>
  <c r="N185" i="4"/>
  <c r="R185" i="4"/>
  <c r="H185" i="4"/>
  <c r="T185" i="4"/>
  <c r="P185" i="4"/>
  <c r="U185" i="4"/>
  <c r="G185" i="4"/>
  <c r="Q185" i="4"/>
  <c r="F51" i="61"/>
  <c r="H51" i="61"/>
  <c r="F52" i="61"/>
  <c r="H52" i="61" s="1"/>
  <c r="H54" i="61" s="1"/>
  <c r="H55" i="61" s="1"/>
  <c r="F53" i="61"/>
  <c r="H53" i="61"/>
  <c r="F43" i="61"/>
  <c r="H43" i="61" s="1"/>
  <c r="F36" i="61"/>
  <c r="H36" i="61" s="1"/>
  <c r="F35" i="61"/>
  <c r="H35" i="61" s="1"/>
  <c r="F27" i="61"/>
  <c r="H27" i="61" s="1"/>
  <c r="L27" i="61"/>
  <c r="L28" i="61"/>
  <c r="F28" i="61"/>
  <c r="H28" i="61" s="1"/>
  <c r="AJ185" i="4" l="1"/>
  <c r="EH156" i="81"/>
  <c r="EY156" i="80"/>
  <c r="FC156" i="80"/>
  <c r="EY156" i="81"/>
  <c r="ED156" i="80"/>
  <c r="FD156" i="81"/>
  <c r="EW156" i="81"/>
  <c r="FC156" i="81"/>
  <c r="EZ156" i="80"/>
  <c r="FB156" i="81"/>
  <c r="FE156" i="81"/>
  <c r="EZ156" i="81"/>
  <c r="EV156" i="80"/>
  <c r="DX156" i="81"/>
  <c r="FA156" i="80"/>
  <c r="FD156" i="80"/>
  <c r="EW156" i="80"/>
  <c r="EC156" i="81"/>
  <c r="FB156" i="80"/>
  <c r="EI156" i="80"/>
  <c r="EH156" i="80"/>
  <c r="FA156" i="81"/>
  <c r="EF156" i="81"/>
  <c r="EE156" i="80"/>
  <c r="FE156" i="80"/>
  <c r="EF156" i="80"/>
  <c r="EV156" i="81"/>
  <c r="ED156" i="81"/>
  <c r="EX156" i="80"/>
  <c r="EX156" i="81"/>
  <c r="EC156" i="80"/>
  <c r="AP185" i="4"/>
  <c r="AO185" i="4"/>
  <c r="AN185" i="4"/>
  <c r="G182" i="4"/>
  <c r="F194" i="4"/>
  <c r="G192" i="4"/>
  <c r="F199" i="4"/>
  <c r="G197" i="4"/>
  <c r="G187" i="4"/>
  <c r="M28" i="61"/>
  <c r="Q29" i="61" s="1"/>
  <c r="F34" i="61" s="1"/>
  <c r="H34" i="61" s="1"/>
  <c r="F44" i="61"/>
  <c r="H44" i="61" s="1"/>
  <c r="H46" i="61" s="1"/>
  <c r="H47" i="61" s="1"/>
  <c r="H30" i="61"/>
  <c r="H31" i="61" s="1"/>
  <c r="H182" i="4" l="1"/>
  <c r="G184" i="4"/>
  <c r="G194" i="4"/>
  <c r="H192" i="4"/>
  <c r="H187" i="4"/>
  <c r="G189" i="4"/>
  <c r="H197" i="4"/>
  <c r="G199" i="4"/>
  <c r="R29" i="61"/>
  <c r="H38" i="61"/>
  <c r="H39" i="61" s="1"/>
  <c r="H58" i="61" s="1"/>
  <c r="I182" i="4" l="1"/>
  <c r="H184" i="4"/>
  <c r="I197" i="4"/>
  <c r="H199" i="4"/>
  <c r="I187" i="4"/>
  <c r="H189" i="4"/>
  <c r="I192" i="4"/>
  <c r="H194" i="4"/>
  <c r="H48" i="61"/>
  <c r="J182" i="4" l="1"/>
  <c r="I184" i="4"/>
  <c r="I189" i="4"/>
  <c r="J187" i="4"/>
  <c r="I194" i="4"/>
  <c r="J192" i="4"/>
  <c r="I199" i="4"/>
  <c r="J197" i="4"/>
  <c r="J199" i="4" s="1"/>
  <c r="I78" i="4"/>
  <c r="I202" i="4" s="1"/>
  <c r="K78" i="4"/>
  <c r="K237" i="4" s="1"/>
  <c r="H78" i="4"/>
  <c r="H202" i="4" s="1"/>
  <c r="K182" i="4" l="1"/>
  <c r="J184" i="4"/>
  <c r="K197" i="4"/>
  <c r="K192" i="4"/>
  <c r="J194" i="4"/>
  <c r="J189" i="4"/>
  <c r="K187" i="4"/>
  <c r="J78" i="4"/>
  <c r="J237" i="4" s="1"/>
  <c r="J88" i="4"/>
  <c r="L182" i="4" l="1"/>
  <c r="K184" i="4"/>
  <c r="L192" i="4"/>
  <c r="K194" i="4"/>
  <c r="L197" i="4"/>
  <c r="K199" i="4"/>
  <c r="K189" i="4"/>
  <c r="L187" i="4"/>
  <c r="H170" i="4"/>
  <c r="I170" i="4"/>
  <c r="J170" i="4"/>
  <c r="K170" i="4"/>
  <c r="G170" i="4"/>
  <c r="M182" i="4" l="1"/>
  <c r="L184" i="4"/>
  <c r="M187" i="4"/>
  <c r="L189" i="4"/>
  <c r="M197" i="4"/>
  <c r="L199" i="4"/>
  <c r="M192" i="4"/>
  <c r="L194" i="4"/>
  <c r="G78" i="4"/>
  <c r="G202" i="4" s="1"/>
  <c r="N182" i="4" l="1"/>
  <c r="M184" i="4"/>
  <c r="M199" i="4"/>
  <c r="N197" i="4"/>
  <c r="N192" i="4"/>
  <c r="M194" i="4"/>
  <c r="N187" i="4"/>
  <c r="M189" i="4"/>
  <c r="H205" i="4"/>
  <c r="I205" i="4"/>
  <c r="J205" i="4"/>
  <c r="L205" i="4"/>
  <c r="O182" i="4" l="1"/>
  <c r="N184" i="4"/>
  <c r="O187" i="4"/>
  <c r="N189" i="4"/>
  <c r="O192" i="4"/>
  <c r="N194" i="4"/>
  <c r="O197" i="4"/>
  <c r="N199" i="4"/>
  <c r="P182" i="4" l="1"/>
  <c r="O184" i="4"/>
  <c r="O199" i="4"/>
  <c r="P197" i="4"/>
  <c r="P192" i="4"/>
  <c r="O194" i="4"/>
  <c r="P187" i="4"/>
  <c r="O189" i="4"/>
  <c r="G46" i="4"/>
  <c r="G113" i="4" s="1"/>
  <c r="G230" i="4" s="1"/>
  <c r="G237" i="4" s="1"/>
  <c r="H46" i="4"/>
  <c r="H113" i="4" s="1"/>
  <c r="H230" i="4" s="1"/>
  <c r="H237" i="4" s="1"/>
  <c r="I46" i="4"/>
  <c r="I113" i="4" s="1"/>
  <c r="I230" i="4" s="1"/>
  <c r="I237" i="4" s="1"/>
  <c r="G50" i="4" a="1"/>
  <c r="G50" i="4" s="1"/>
  <c r="H50" i="4" a="1"/>
  <c r="H50" i="4" s="1"/>
  <c r="I50" i="4" a="1"/>
  <c r="I50" i="4" s="1"/>
  <c r="G107" i="4"/>
  <c r="H107" i="4"/>
  <c r="H218" i="4" s="1"/>
  <c r="I107" i="4"/>
  <c r="I218" i="4" s="1"/>
  <c r="G34" i="4"/>
  <c r="G106" i="4" s="1"/>
  <c r="G211" i="4" s="1"/>
  <c r="G217" i="4" s="1"/>
  <c r="H34" i="4"/>
  <c r="H106" i="4" s="1"/>
  <c r="I34" i="4"/>
  <c r="I106" i="4" s="1"/>
  <c r="I211" i="4" s="1"/>
  <c r="G103" i="4"/>
  <c r="G208" i="4" s="1"/>
  <c r="G209" i="4" s="1"/>
  <c r="H103" i="4"/>
  <c r="I103" i="4"/>
  <c r="Q182" i="4" l="1"/>
  <c r="P184" i="4"/>
  <c r="Q187" i="4"/>
  <c r="P189" i="4"/>
  <c r="Q192" i="4"/>
  <c r="P194" i="4"/>
  <c r="Q197" i="4"/>
  <c r="P199" i="4"/>
  <c r="G108" i="4"/>
  <c r="G218" i="4"/>
  <c r="H211" i="4"/>
  <c r="H217" i="4" s="1"/>
  <c r="H108" i="4"/>
  <c r="I108" i="4"/>
  <c r="CO88" i="4"/>
  <c r="CO94" i="4"/>
  <c r="CO93" i="4"/>
  <c r="CO92" i="4"/>
  <c r="CO91" i="4"/>
  <c r="CO90" i="4"/>
  <c r="CO89" i="4"/>
  <c r="F271" i="4" l="1"/>
  <c r="X295" i="4"/>
  <c r="F272" i="4"/>
  <c r="F273" i="4"/>
  <c r="F275" i="4"/>
  <c r="F301" i="4" s="1"/>
  <c r="F269" i="4"/>
  <c r="F270" i="4"/>
  <c r="F274" i="4"/>
  <c r="R182" i="4"/>
  <c r="Q184" i="4"/>
  <c r="R197" i="4"/>
  <c r="Q199" i="4"/>
  <c r="R192" i="4"/>
  <c r="Q194" i="4"/>
  <c r="Q189" i="4"/>
  <c r="R187" i="4"/>
  <c r="CO95" i="4"/>
  <c r="F295" i="4" l="1"/>
  <c r="F298" i="4"/>
  <c r="X284" i="4"/>
  <c r="X298" i="4"/>
  <c r="S182" i="4"/>
  <c r="R184" i="4"/>
  <c r="S192" i="4"/>
  <c r="R194" i="4"/>
  <c r="R189" i="4"/>
  <c r="S187" i="4"/>
  <c r="S197" i="4"/>
  <c r="R199" i="4"/>
  <c r="K127" i="4"/>
  <c r="K128" i="4"/>
  <c r="K122" i="4"/>
  <c r="K123" i="4"/>
  <c r="K124" i="4"/>
  <c r="K125" i="4"/>
  <c r="K126" i="4"/>
  <c r="K121" i="4"/>
  <c r="F50" i="4" a="1"/>
  <c r="F50" i="4" s="1"/>
  <c r="G38" i="4"/>
  <c r="H38" i="4"/>
  <c r="H110" i="4" s="1"/>
  <c r="H245" i="4" s="1"/>
  <c r="I38" i="4"/>
  <c r="I110" i="4" s="1"/>
  <c r="I245" i="4" s="1"/>
  <c r="G42" i="4"/>
  <c r="G111" i="4" s="1"/>
  <c r="G238" i="4" s="1"/>
  <c r="H42" i="4"/>
  <c r="H111" i="4" s="1"/>
  <c r="H238" i="4" s="1"/>
  <c r="I42" i="4"/>
  <c r="I111" i="4" s="1"/>
  <c r="I238" i="4" s="1"/>
  <c r="F46" i="4"/>
  <c r="F113" i="4" s="1"/>
  <c r="F230" i="4" s="1"/>
  <c r="F237" i="4" s="1"/>
  <c r="F42" i="4"/>
  <c r="F111" i="4" s="1"/>
  <c r="F238" i="4" s="1"/>
  <c r="F38" i="4"/>
  <c r="F110" i="4" s="1"/>
  <c r="F245" i="4" s="1"/>
  <c r="F34" i="4"/>
  <c r="F107" i="4"/>
  <c r="G39" i="7"/>
  <c r="G60" i="6"/>
  <c r="G61" i="6" s="1"/>
  <c r="G62" i="6" s="1"/>
  <c r="G28" i="6"/>
  <c r="G37" i="6" s="1"/>
  <c r="DS131" i="4" l="1"/>
  <c r="EV131" i="4"/>
  <c r="EV138" i="4" s="1"/>
  <c r="FV136" i="4"/>
  <c r="FW135" i="4"/>
  <c r="FW142" i="4" s="1"/>
  <c r="FW136" i="4"/>
  <c r="FV135" i="4"/>
  <c r="FV142" i="4" s="1"/>
  <c r="FU135" i="4"/>
  <c r="FU142" i="4" s="1"/>
  <c r="FU136" i="4"/>
  <c r="FN136" i="4"/>
  <c r="FR136" i="4"/>
  <c r="FP136" i="4"/>
  <c r="FM135" i="4"/>
  <c r="FM142" i="4" s="1"/>
  <c r="FS136" i="4"/>
  <c r="FT136" i="4"/>
  <c r="FR135" i="4"/>
  <c r="FR142" i="4" s="1"/>
  <c r="FN135" i="4"/>
  <c r="FN142" i="4" s="1"/>
  <c r="FQ136" i="4"/>
  <c r="FT135" i="4"/>
  <c r="FT142" i="4" s="1"/>
  <c r="FO136" i="4"/>
  <c r="FQ135" i="4"/>
  <c r="FQ142" i="4" s="1"/>
  <c r="FS135" i="4"/>
  <c r="FS142" i="4" s="1"/>
  <c r="FP135" i="4"/>
  <c r="FP142" i="4" s="1"/>
  <c r="FM136" i="4"/>
  <c r="FO135" i="4"/>
  <c r="FO142" i="4" s="1"/>
  <c r="FL136" i="4"/>
  <c r="FL135" i="4"/>
  <c r="FL142" i="4" s="1"/>
  <c r="FV134" i="4"/>
  <c r="FU134" i="4"/>
  <c r="FW134" i="4"/>
  <c r="FN134" i="4"/>
  <c r="FM134" i="4"/>
  <c r="FT134" i="4"/>
  <c r="FS134" i="4"/>
  <c r="FQ134" i="4"/>
  <c r="FR134" i="4"/>
  <c r="FO134" i="4"/>
  <c r="FP134" i="4"/>
  <c r="FL134" i="4"/>
  <c r="FV133" i="4"/>
  <c r="FV140" i="4" s="1"/>
  <c r="FW133" i="4"/>
  <c r="FW140" i="4" s="1"/>
  <c r="FU133" i="4"/>
  <c r="FU140" i="4" s="1"/>
  <c r="FP133" i="4"/>
  <c r="FP140" i="4" s="1"/>
  <c r="FQ133" i="4"/>
  <c r="FQ140" i="4" s="1"/>
  <c r="FR133" i="4"/>
  <c r="FR140" i="4" s="1"/>
  <c r="FS133" i="4"/>
  <c r="FS140" i="4" s="1"/>
  <c r="FN133" i="4"/>
  <c r="FN140" i="4" s="1"/>
  <c r="FM133" i="4"/>
  <c r="FM140" i="4" s="1"/>
  <c r="FO133" i="4"/>
  <c r="FO140" i="4" s="1"/>
  <c r="FT133" i="4"/>
  <c r="FT140" i="4" s="1"/>
  <c r="FL133" i="4"/>
  <c r="FL140" i="4" s="1"/>
  <c r="EY131" i="4"/>
  <c r="EY138" i="4" s="1"/>
  <c r="FW131" i="4"/>
  <c r="FW138" i="4" s="1"/>
  <c r="FU131" i="4"/>
  <c r="FU138" i="4" s="1"/>
  <c r="FV131" i="4"/>
  <c r="FV138" i="4" s="1"/>
  <c r="FQ131" i="4"/>
  <c r="FR131" i="4"/>
  <c r="FR138" i="4" s="1"/>
  <c r="FM131" i="4"/>
  <c r="FT131" i="4"/>
  <c r="FT138" i="4" s="1"/>
  <c r="FP131" i="4"/>
  <c r="FS131" i="4"/>
  <c r="FS138" i="4" s="1"/>
  <c r="FN131" i="4"/>
  <c r="FO131" i="4"/>
  <c r="FL131" i="4"/>
  <c r="FV132" i="4"/>
  <c r="FV139" i="4" s="1"/>
  <c r="FU132" i="4"/>
  <c r="FU139" i="4" s="1"/>
  <c r="FW132" i="4"/>
  <c r="FW139" i="4" s="1"/>
  <c r="FS132" i="4"/>
  <c r="FS139" i="4" s="1"/>
  <c r="FT132" i="4"/>
  <c r="FT139" i="4" s="1"/>
  <c r="FM132" i="4"/>
  <c r="FM139" i="4" s="1"/>
  <c r="FQ132" i="4"/>
  <c r="FQ139" i="4" s="1"/>
  <c r="FO132" i="4"/>
  <c r="FO139" i="4" s="1"/>
  <c r="FN132" i="4"/>
  <c r="FN139" i="4" s="1"/>
  <c r="FP132" i="4"/>
  <c r="FP139" i="4" s="1"/>
  <c r="FR132" i="4"/>
  <c r="FR139" i="4" s="1"/>
  <c r="FL132" i="4"/>
  <c r="FL139" i="4" s="1"/>
  <c r="AE227" i="4"/>
  <c r="AE267" i="4" s="1"/>
  <c r="AG227" i="4"/>
  <c r="AG267" i="4" s="1"/>
  <c r="AF227" i="4"/>
  <c r="AF267" i="4" s="1"/>
  <c r="AF224" i="4"/>
  <c r="AE224" i="4"/>
  <c r="AG224" i="4"/>
  <c r="AG265" i="4" s="1"/>
  <c r="W227" i="4"/>
  <c r="W267" i="4" s="1"/>
  <c r="AD227" i="4"/>
  <c r="AD267" i="4" s="1"/>
  <c r="AB227" i="4"/>
  <c r="Y227" i="4"/>
  <c r="AA227" i="4"/>
  <c r="AA267" i="4" s="1"/>
  <c r="AC227" i="4"/>
  <c r="AC267" i="4" s="1"/>
  <c r="Z227" i="4"/>
  <c r="X227" i="4"/>
  <c r="X267" i="4" s="1"/>
  <c r="W224" i="4"/>
  <c r="W265" i="4" s="1"/>
  <c r="AA224" i="4"/>
  <c r="AB224" i="4"/>
  <c r="X224" i="4"/>
  <c r="AC224" i="4"/>
  <c r="Y224" i="4"/>
  <c r="Y265" i="4" s="1"/>
  <c r="AD224" i="4"/>
  <c r="Z224" i="4"/>
  <c r="Z265" i="4" s="1"/>
  <c r="T182" i="4"/>
  <c r="S184" i="4"/>
  <c r="S199" i="4"/>
  <c r="T197" i="4"/>
  <c r="T187" i="4"/>
  <c r="S189" i="4"/>
  <c r="S194" i="4"/>
  <c r="T192" i="4"/>
  <c r="V227" i="4"/>
  <c r="V267" i="4" s="1"/>
  <c r="V224" i="4"/>
  <c r="F218" i="4"/>
  <c r="F226" i="4" s="1"/>
  <c r="F227" i="4" s="1"/>
  <c r="F267" i="4" s="1"/>
  <c r="G110" i="4"/>
  <c r="G245" i="4" s="1"/>
  <c r="DT135" i="4"/>
  <c r="EB135" i="4"/>
  <c r="EW135" i="4"/>
  <c r="EW142" i="4" s="1"/>
  <c r="FE135" i="4"/>
  <c r="FE142" i="4" s="1"/>
  <c r="DU136" i="4"/>
  <c r="EC136" i="4"/>
  <c r="EX136" i="4"/>
  <c r="FF136" i="4"/>
  <c r="FF143" i="4" s="1"/>
  <c r="DW135" i="4"/>
  <c r="EE135" i="4"/>
  <c r="EZ135" i="4"/>
  <c r="EZ142" i="4" s="1"/>
  <c r="FH135" i="4"/>
  <c r="FH142" i="4" s="1"/>
  <c r="DX136" i="4"/>
  <c r="EF136" i="4"/>
  <c r="FA136" i="4"/>
  <c r="FI136" i="4"/>
  <c r="FI143" i="4" s="1"/>
  <c r="DU135" i="4"/>
  <c r="EF135" i="4"/>
  <c r="FC135" i="4"/>
  <c r="FC142" i="4" s="1"/>
  <c r="DV136" i="4"/>
  <c r="EG136" i="4"/>
  <c r="FD136" i="4"/>
  <c r="DX135" i="4"/>
  <c r="EH135" i="4"/>
  <c r="FF135" i="4"/>
  <c r="FF142" i="4" s="1"/>
  <c r="DY136" i="4"/>
  <c r="EV136" i="4"/>
  <c r="FG136" i="4"/>
  <c r="FG143" i="4" s="1"/>
  <c r="EG135" i="4"/>
  <c r="FI135" i="4"/>
  <c r="FI142" i="4" s="1"/>
  <c r="ED136" i="4"/>
  <c r="FE136" i="4"/>
  <c r="DS136" i="4"/>
  <c r="F262" i="4" s="1"/>
  <c r="EV135" i="4"/>
  <c r="EV142" i="4" s="1"/>
  <c r="FJ135" i="4"/>
  <c r="FJ142" i="4" s="1"/>
  <c r="EE136" i="4"/>
  <c r="FH136" i="4"/>
  <c r="FH143" i="4" s="1"/>
  <c r="DS135" i="4"/>
  <c r="EA135" i="4"/>
  <c r="DV135" i="4"/>
  <c r="EX135" i="4"/>
  <c r="EX142" i="4" s="1"/>
  <c r="FK135" i="4"/>
  <c r="FK142" i="4" s="1"/>
  <c r="EH136" i="4"/>
  <c r="FJ136" i="4"/>
  <c r="FJ143" i="4" s="1"/>
  <c r="DY135" i="4"/>
  <c r="EY135" i="4"/>
  <c r="EY142" i="4" s="1"/>
  <c r="DT136" i="4"/>
  <c r="EW136" i="4"/>
  <c r="FK136" i="4"/>
  <c r="FK143" i="4" s="1"/>
  <c r="DZ135" i="4"/>
  <c r="FA135" i="4"/>
  <c r="FA142" i="4" s="1"/>
  <c r="DW136" i="4"/>
  <c r="EY136" i="4"/>
  <c r="EC135" i="4"/>
  <c r="EZ136" i="4"/>
  <c r="EB136" i="4"/>
  <c r="ED135" i="4"/>
  <c r="FB136" i="4"/>
  <c r="FB135" i="4"/>
  <c r="FB142" i="4" s="1"/>
  <c r="FC136" i="4"/>
  <c r="FD135" i="4"/>
  <c r="FD142" i="4" s="1"/>
  <c r="FG135" i="4"/>
  <c r="FG142" i="4" s="1"/>
  <c r="EA136" i="4"/>
  <c r="DZ136" i="4"/>
  <c r="DZ133" i="4"/>
  <c r="EH133" i="4"/>
  <c r="FC133" i="4"/>
  <c r="FC140" i="4" s="1"/>
  <c r="FK133" i="4"/>
  <c r="FK140" i="4" s="1"/>
  <c r="DU133" i="4"/>
  <c r="EC133" i="4"/>
  <c r="EX133" i="4"/>
  <c r="EX140" i="4" s="1"/>
  <c r="FF133" i="4"/>
  <c r="FF140" i="4" s="1"/>
  <c r="ED133" i="4"/>
  <c r="FA133" i="4"/>
  <c r="FA140" i="4" s="1"/>
  <c r="DS133" i="4"/>
  <c r="DV133" i="4"/>
  <c r="EF133" i="4"/>
  <c r="FD133" i="4"/>
  <c r="FD140" i="4" s="1"/>
  <c r="DW133" i="4"/>
  <c r="EG133" i="4"/>
  <c r="DT133" i="4"/>
  <c r="EY133" i="4"/>
  <c r="EY140" i="4" s="1"/>
  <c r="DX133" i="4"/>
  <c r="EZ133" i="4"/>
  <c r="EZ140" i="4" s="1"/>
  <c r="EE133" i="4"/>
  <c r="DY133" i="4"/>
  <c r="FB133" i="4"/>
  <c r="FB140" i="4" s="1"/>
  <c r="EA133" i="4"/>
  <c r="FE133" i="4"/>
  <c r="FE140" i="4" s="1"/>
  <c r="EB133" i="4"/>
  <c r="FG133" i="4"/>
  <c r="FG140" i="4" s="1"/>
  <c r="FH133" i="4"/>
  <c r="FH140" i="4" s="1"/>
  <c r="EV133" i="4"/>
  <c r="EV140" i="4" s="1"/>
  <c r="EW133" i="4"/>
  <c r="EW140" i="4" s="1"/>
  <c r="FI133" i="4"/>
  <c r="FI140" i="4" s="1"/>
  <c r="FJ133" i="4"/>
  <c r="FJ140" i="4" s="1"/>
  <c r="DY132" i="4"/>
  <c r="DY139" i="4" s="1"/>
  <c r="EG132" i="4"/>
  <c r="EG139" i="4" s="1"/>
  <c r="FB132" i="4"/>
  <c r="FB139" i="4" s="1"/>
  <c r="FJ132" i="4"/>
  <c r="FJ139" i="4" s="1"/>
  <c r="DT132" i="4"/>
  <c r="DT139" i="4" s="1"/>
  <c r="EB132" i="4"/>
  <c r="EB139" i="4" s="1"/>
  <c r="EW132" i="4"/>
  <c r="EW139" i="4" s="1"/>
  <c r="FE132" i="4"/>
  <c r="FE139" i="4" s="1"/>
  <c r="EC132" i="4"/>
  <c r="EC139" i="4" s="1"/>
  <c r="EZ132" i="4"/>
  <c r="EZ139" i="4" s="1"/>
  <c r="FK132" i="4"/>
  <c r="FK139" i="4" s="1"/>
  <c r="DU132" i="4"/>
  <c r="DU139" i="4" s="1"/>
  <c r="EE132" i="4"/>
  <c r="EE139" i="4" s="1"/>
  <c r="FC132" i="4"/>
  <c r="FC139" i="4" s="1"/>
  <c r="DV132" i="4"/>
  <c r="DV139" i="4" s="1"/>
  <c r="EF132" i="4"/>
  <c r="EF139" i="4" s="1"/>
  <c r="FD132" i="4"/>
  <c r="FD139" i="4" s="1"/>
  <c r="EV132" i="4"/>
  <c r="EV139" i="4" s="1"/>
  <c r="EX132" i="4"/>
  <c r="EX139" i="4" s="1"/>
  <c r="EA132" i="4"/>
  <c r="EA139" i="4" s="1"/>
  <c r="DW132" i="4"/>
  <c r="DW139" i="4" s="1"/>
  <c r="EY132" i="4"/>
  <c r="EY139" i="4" s="1"/>
  <c r="DX132" i="4"/>
  <c r="DX139" i="4" s="1"/>
  <c r="FA132" i="4"/>
  <c r="FA139" i="4" s="1"/>
  <c r="DS132" i="4"/>
  <c r="DS139" i="4" s="1"/>
  <c r="DZ132" i="4"/>
  <c r="DZ139" i="4" s="1"/>
  <c r="FF132" i="4"/>
  <c r="FF139" i="4" s="1"/>
  <c r="FG132" i="4"/>
  <c r="FG139" i="4" s="1"/>
  <c r="ED132" i="4"/>
  <c r="ED139" i="4" s="1"/>
  <c r="EH132" i="4"/>
  <c r="EH139" i="4" s="1"/>
  <c r="FH132" i="4"/>
  <c r="FH139" i="4" s="1"/>
  <c r="FI132" i="4"/>
  <c r="FI139" i="4" s="1"/>
  <c r="F106" i="4"/>
  <c r="F211" i="4" s="1"/>
  <c r="F217" i="4" s="1"/>
  <c r="DX131" i="4"/>
  <c r="EF131" i="4"/>
  <c r="FA131" i="4"/>
  <c r="FI131" i="4"/>
  <c r="FI138" i="4" s="1"/>
  <c r="EA131" i="4"/>
  <c r="FD131" i="4"/>
  <c r="EB131" i="4"/>
  <c r="FJ131" i="4"/>
  <c r="FJ138" i="4" s="1"/>
  <c r="DT131" i="4"/>
  <c r="DT138" i="4" s="1"/>
  <c r="ED131" i="4"/>
  <c r="FB131" i="4"/>
  <c r="DU131" i="4"/>
  <c r="DU138" i="4" s="1"/>
  <c r="EE131" i="4"/>
  <c r="FC131" i="4"/>
  <c r="EG131" i="4"/>
  <c r="FH131" i="4"/>
  <c r="FH138" i="4" s="1"/>
  <c r="EH131" i="4"/>
  <c r="FK131" i="4"/>
  <c r="FK138" i="4" s="1"/>
  <c r="EW131" i="4"/>
  <c r="DV131" i="4"/>
  <c r="DV138" i="4" s="1"/>
  <c r="EX131" i="4"/>
  <c r="DW131" i="4"/>
  <c r="EZ131" i="4"/>
  <c r="FE131" i="4"/>
  <c r="DZ131" i="4"/>
  <c r="EC131" i="4"/>
  <c r="FF131" i="4"/>
  <c r="FF138" i="4" s="1"/>
  <c r="FG131" i="4"/>
  <c r="FG138" i="4" s="1"/>
  <c r="DY131" i="4"/>
  <c r="F103" i="4"/>
  <c r="F208" i="4" s="1"/>
  <c r="F209" i="4" s="1"/>
  <c r="EA134" i="4"/>
  <c r="EV134" i="4"/>
  <c r="FD134" i="4"/>
  <c r="DV134" i="4"/>
  <c r="ED134" i="4"/>
  <c r="EY134" i="4"/>
  <c r="FG134" i="4"/>
  <c r="FG141" i="4" s="1"/>
  <c r="DT134" i="4"/>
  <c r="EE134" i="4"/>
  <c r="FB134" i="4"/>
  <c r="DW134" i="4"/>
  <c r="EG134" i="4"/>
  <c r="FE134" i="4"/>
  <c r="DU134" i="4"/>
  <c r="EW134" i="4"/>
  <c r="FJ134" i="4"/>
  <c r="FJ141" i="4" s="1"/>
  <c r="DX134" i="4"/>
  <c r="EX134" i="4"/>
  <c r="FK134" i="4"/>
  <c r="FK141" i="4" s="1"/>
  <c r="EC134" i="4"/>
  <c r="DY134" i="4"/>
  <c r="EZ134" i="4"/>
  <c r="DS134" i="4"/>
  <c r="DZ134" i="4"/>
  <c r="FA134" i="4"/>
  <c r="EB134" i="4"/>
  <c r="FC134" i="4"/>
  <c r="FF134" i="4"/>
  <c r="FF141" i="4" s="1"/>
  <c r="FH134" i="4"/>
  <c r="FH141" i="4" s="1"/>
  <c r="FI134" i="4"/>
  <c r="FI141" i="4" s="1"/>
  <c r="EF134" i="4"/>
  <c r="EH134" i="4"/>
  <c r="T227" i="4"/>
  <c r="T228" i="4" s="1"/>
  <c r="M227" i="4"/>
  <c r="M228" i="4" s="1"/>
  <c r="U227" i="4"/>
  <c r="U228" i="4" s="1"/>
  <c r="N227" i="4"/>
  <c r="N228" i="4" s="1"/>
  <c r="O227" i="4"/>
  <c r="O228" i="4" s="1"/>
  <c r="P227" i="4"/>
  <c r="P228" i="4" s="1"/>
  <c r="Q227" i="4"/>
  <c r="Q228" i="4" s="1"/>
  <c r="R227" i="4"/>
  <c r="R228" i="4" s="1"/>
  <c r="S227" i="4"/>
  <c r="S228" i="4" s="1"/>
  <c r="R224" i="4"/>
  <c r="R225" i="4" s="1"/>
  <c r="T224" i="4"/>
  <c r="T225" i="4" s="1"/>
  <c r="Q224" i="4"/>
  <c r="S224" i="4"/>
  <c r="S225" i="4" s="1"/>
  <c r="P224" i="4"/>
  <c r="P225" i="4" s="1"/>
  <c r="U224" i="4"/>
  <c r="U225" i="4" s="1"/>
  <c r="O224" i="4"/>
  <c r="O225" i="4" s="1"/>
  <c r="N224" i="4"/>
  <c r="N265" i="4" s="1"/>
  <c r="M224" i="4"/>
  <c r="G35" i="6"/>
  <c r="I53" i="4"/>
  <c r="G53" i="4"/>
  <c r="H53" i="4"/>
  <c r="F53" i="4"/>
  <c r="G36" i="7"/>
  <c r="G38" i="7"/>
  <c r="G31" i="6"/>
  <c r="G36" i="6"/>
  <c r="G37" i="7"/>
  <c r="G34" i="6"/>
  <c r="G32" i="6"/>
  <c r="F256" i="4" l="1"/>
  <c r="DZ138" i="4"/>
  <c r="M151" i="4"/>
  <c r="M260" i="4" s="1"/>
  <c r="FQ138" i="4"/>
  <c r="AA151" i="4"/>
  <c r="FF178" i="4"/>
  <c r="EG138" i="4"/>
  <c r="T151" i="4"/>
  <c r="T260" i="4" s="1"/>
  <c r="FO138" i="4"/>
  <c r="Y151" i="4"/>
  <c r="EC138" i="4"/>
  <c r="P151" i="4"/>
  <c r="P260" i="4" s="1"/>
  <c r="FN138" i="4"/>
  <c r="X151" i="4"/>
  <c r="ED138" i="4"/>
  <c r="Q151" i="4"/>
  <c r="Q260" i="4" s="1"/>
  <c r="FM138" i="4"/>
  <c r="W151" i="4"/>
  <c r="W260" i="4" s="1"/>
  <c r="EE138" i="4"/>
  <c r="R151" i="4"/>
  <c r="R260" i="4" s="1"/>
  <c r="DY138" i="4"/>
  <c r="L151" i="4"/>
  <c r="EF138" i="4"/>
  <c r="S151" i="4"/>
  <c r="S260" i="4" s="1"/>
  <c r="FP138" i="4"/>
  <c r="Z151" i="4"/>
  <c r="EB138" i="4"/>
  <c r="O151" i="4"/>
  <c r="O260" i="4" s="1"/>
  <c r="U151" i="4"/>
  <c r="EA138" i="4"/>
  <c r="N151" i="4"/>
  <c r="N260" i="4" s="1"/>
  <c r="V151" i="4"/>
  <c r="V260" i="4" s="1"/>
  <c r="DX138" i="4"/>
  <c r="K151" i="4"/>
  <c r="K260" i="4" s="1"/>
  <c r="J151" i="4"/>
  <c r="J260" i="4" s="1"/>
  <c r="FI178" i="4"/>
  <c r="FJ178" i="4"/>
  <c r="FK178" i="4"/>
  <c r="FG178" i="4"/>
  <c r="FH178" i="4"/>
  <c r="M225" i="4"/>
  <c r="AB262" i="4"/>
  <c r="FR143" i="4"/>
  <c r="AC256" i="4"/>
  <c r="FS141" i="4"/>
  <c r="X262" i="4"/>
  <c r="FN143" i="4"/>
  <c r="AD256" i="4"/>
  <c r="FT141" i="4"/>
  <c r="V256" i="4"/>
  <c r="FL141" i="4"/>
  <c r="X256" i="4"/>
  <c r="FN141" i="4"/>
  <c r="AD262" i="4"/>
  <c r="FT143" i="4"/>
  <c r="FQ141" i="4"/>
  <c r="AA256" i="4"/>
  <c r="AA262" i="4"/>
  <c r="FQ143" i="4"/>
  <c r="FL138" i="4"/>
  <c r="FP141" i="4"/>
  <c r="Z256" i="4"/>
  <c r="AG256" i="4"/>
  <c r="FW141" i="4"/>
  <c r="AC262" i="4"/>
  <c r="FS143" i="4"/>
  <c r="AG262" i="4"/>
  <c r="FW143" i="4"/>
  <c r="V262" i="4"/>
  <c r="FL143" i="4"/>
  <c r="W262" i="4"/>
  <c r="FM143" i="4"/>
  <c r="Y256" i="4"/>
  <c r="FO141" i="4"/>
  <c r="AE256" i="4"/>
  <c r="FU141" i="4"/>
  <c r="AE262" i="4"/>
  <c r="FU143" i="4"/>
  <c r="W256" i="4"/>
  <c r="FM141" i="4"/>
  <c r="FR141" i="4"/>
  <c r="AB256" i="4"/>
  <c r="AF256" i="4"/>
  <c r="FV141" i="4"/>
  <c r="Y262" i="4"/>
  <c r="FO143" i="4"/>
  <c r="Z262" i="4"/>
  <c r="FP143" i="4"/>
  <c r="FV143" i="4"/>
  <c r="AF262" i="4"/>
  <c r="V225" i="4"/>
  <c r="V265" i="4"/>
  <c r="X225" i="4"/>
  <c r="X265" i="4"/>
  <c r="Y228" i="4"/>
  <c r="Y267" i="4"/>
  <c r="AB228" i="4"/>
  <c r="AB267" i="4"/>
  <c r="AE225" i="4"/>
  <c r="AE265" i="4"/>
  <c r="AC225" i="4"/>
  <c r="AC265" i="4"/>
  <c r="AB225" i="4"/>
  <c r="AB265" i="4"/>
  <c r="AA225" i="4"/>
  <c r="AA265" i="4"/>
  <c r="AD225" i="4"/>
  <c r="AD265" i="4"/>
  <c r="AF225" i="4"/>
  <c r="AF265" i="4"/>
  <c r="Z228" i="4"/>
  <c r="Z267" i="4"/>
  <c r="AF228" i="4"/>
  <c r="AG228" i="4"/>
  <c r="AE228" i="4"/>
  <c r="AG225" i="4"/>
  <c r="FE138" i="4"/>
  <c r="AG151" i="4"/>
  <c r="AG248" i="4" s="1"/>
  <c r="FC141" i="4"/>
  <c r="FD141" i="4"/>
  <c r="FC138" i="4"/>
  <c r="AE151" i="4"/>
  <c r="AE248" i="4" s="1"/>
  <c r="FC143" i="4"/>
  <c r="FD143" i="4"/>
  <c r="FE143" i="4"/>
  <c r="FE141" i="4"/>
  <c r="FD138" i="4"/>
  <c r="AF151" i="4"/>
  <c r="AF248" i="4" s="1"/>
  <c r="W228" i="4"/>
  <c r="AA228" i="4"/>
  <c r="Z225" i="4"/>
  <c r="W225" i="4"/>
  <c r="X228" i="4"/>
  <c r="EZ143" i="4"/>
  <c r="EX143" i="4"/>
  <c r="Y225" i="4"/>
  <c r="EY143" i="4"/>
  <c r="EZ141" i="4"/>
  <c r="FB141" i="4"/>
  <c r="EV141" i="4"/>
  <c r="FA143" i="4"/>
  <c r="AC228" i="4"/>
  <c r="FA138" i="4"/>
  <c r="AC151" i="4"/>
  <c r="AC248" i="4" s="1"/>
  <c r="EZ138" i="4"/>
  <c r="AB151" i="4"/>
  <c r="AB248" i="4" s="1"/>
  <c r="FB138" i="4"/>
  <c r="AD151" i="4"/>
  <c r="AD248" i="4" s="1"/>
  <c r="FB143" i="4"/>
  <c r="FA141" i="4"/>
  <c r="EV143" i="4"/>
  <c r="AD228" i="4"/>
  <c r="EX141" i="4"/>
  <c r="EY141" i="4"/>
  <c r="EW143" i="4"/>
  <c r="EW141" i="4"/>
  <c r="U182" i="4"/>
  <c r="T184" i="4"/>
  <c r="U192" i="4"/>
  <c r="U194" i="4" s="1"/>
  <c r="T194" i="4"/>
  <c r="U187" i="4"/>
  <c r="U189" i="4" s="1"/>
  <c r="T189" i="4"/>
  <c r="U197" i="4"/>
  <c r="U199" i="4" s="1"/>
  <c r="T199" i="4"/>
  <c r="J256" i="4"/>
  <c r="J278" i="4" s="1"/>
  <c r="V228" i="4"/>
  <c r="Q265" i="4"/>
  <c r="DW138" i="4"/>
  <c r="EX138" i="4"/>
  <c r="F228" i="4"/>
  <c r="EW138" i="4"/>
  <c r="DS138" i="4"/>
  <c r="G38" i="6"/>
  <c r="T265" i="4"/>
  <c r="P265" i="4"/>
  <c r="U267" i="4"/>
  <c r="Q267" i="4"/>
  <c r="ED141" i="4"/>
  <c r="Q256" i="4"/>
  <c r="Q278" i="4" s="1"/>
  <c r="DZ143" i="4"/>
  <c r="M262" i="4"/>
  <c r="M267" i="4"/>
  <c r="N225" i="4"/>
  <c r="DW141" i="4"/>
  <c r="EF143" i="4"/>
  <c r="S262" i="4"/>
  <c r="EC143" i="4"/>
  <c r="P262" i="4"/>
  <c r="S265" i="4"/>
  <c r="O265" i="4"/>
  <c r="T267" i="4"/>
  <c r="P267" i="4"/>
  <c r="DT143" i="4"/>
  <c r="G262" i="4"/>
  <c r="Q225" i="4"/>
  <c r="EB141" i="4"/>
  <c r="O256" i="4"/>
  <c r="O278" i="4" s="1"/>
  <c r="EG143" i="4"/>
  <c r="T262" i="4"/>
  <c r="DX143" i="4"/>
  <c r="K262" i="4"/>
  <c r="DU143" i="4"/>
  <c r="H262" i="4"/>
  <c r="DV141" i="4"/>
  <c r="I256" i="4"/>
  <c r="I278" i="4" s="1"/>
  <c r="DX141" i="4"/>
  <c r="K256" i="4"/>
  <c r="K278" i="4" s="1"/>
  <c r="EE141" i="4"/>
  <c r="R256" i="4"/>
  <c r="R278" i="4" s="1"/>
  <c r="EA141" i="4"/>
  <c r="N256" i="4"/>
  <c r="N278" i="4" s="1"/>
  <c r="DW143" i="4"/>
  <c r="J262" i="4"/>
  <c r="EE143" i="4"/>
  <c r="R262" i="4"/>
  <c r="DV143" i="4"/>
  <c r="I262" i="4"/>
  <c r="R265" i="4"/>
  <c r="S267" i="4"/>
  <c r="O267" i="4"/>
  <c r="EG141" i="4"/>
  <c r="T256" i="4"/>
  <c r="T278" i="4" s="1"/>
  <c r="EH141" i="4"/>
  <c r="U256" i="4"/>
  <c r="U278" i="4" s="1"/>
  <c r="DZ141" i="4"/>
  <c r="M256" i="4"/>
  <c r="M278" i="4" s="1"/>
  <c r="DT141" i="4"/>
  <c r="G256" i="4"/>
  <c r="G278" i="4" s="1"/>
  <c r="EH143" i="4"/>
  <c r="U262" i="4"/>
  <c r="DY141" i="4"/>
  <c r="L256" i="4"/>
  <c r="L278" i="4" s="1"/>
  <c r="EC141" i="4"/>
  <c r="P256" i="4"/>
  <c r="P278" i="4" s="1"/>
  <c r="EA143" i="4"/>
  <c r="N262" i="4"/>
  <c r="EF141" i="4"/>
  <c r="S256" i="4"/>
  <c r="S278" i="4" s="1"/>
  <c r="DS141" i="4"/>
  <c r="F278" i="4"/>
  <c r="DY143" i="4"/>
  <c r="L262" i="4"/>
  <c r="U265" i="4"/>
  <c r="R267" i="4"/>
  <c r="EB143" i="4"/>
  <c r="O262" i="4"/>
  <c r="ED143" i="4"/>
  <c r="Q262" i="4"/>
  <c r="DU141" i="4"/>
  <c r="H256" i="4"/>
  <c r="H278" i="4" s="1"/>
  <c r="DS143" i="4"/>
  <c r="F292" i="4"/>
  <c r="M265" i="4"/>
  <c r="N267" i="4"/>
  <c r="DV142" i="4"/>
  <c r="DY140" i="4"/>
  <c r="EC142" i="4"/>
  <c r="EA142" i="4"/>
  <c r="DS142" i="4"/>
  <c r="EH138" i="4"/>
  <c r="EE140" i="4"/>
  <c r="EF140" i="4"/>
  <c r="DU140" i="4"/>
  <c r="DY142" i="4"/>
  <c r="EG142" i="4"/>
  <c r="EA140" i="4"/>
  <c r="DV140" i="4"/>
  <c r="EG140" i="4"/>
  <c r="DX140" i="4"/>
  <c r="DS140" i="4"/>
  <c r="DX142" i="4"/>
  <c r="EC140" i="4"/>
  <c r="EB140" i="4"/>
  <c r="EH140" i="4"/>
  <c r="DZ142" i="4"/>
  <c r="EF142" i="4"/>
  <c r="EE142" i="4"/>
  <c r="EB142" i="4"/>
  <c r="EH142" i="4"/>
  <c r="DW140" i="4"/>
  <c r="F108" i="4"/>
  <c r="DT140" i="4"/>
  <c r="ED140" i="4"/>
  <c r="DZ140" i="4"/>
  <c r="ED142" i="4"/>
  <c r="DU142" i="4"/>
  <c r="DW142" i="4"/>
  <c r="DT142" i="4"/>
  <c r="FD146" i="4"/>
  <c r="FF146" i="4"/>
  <c r="P149" i="4" s="1"/>
  <c r="EY146" i="4"/>
  <c r="AA149" i="4" s="1"/>
  <c r="FE146" i="4"/>
  <c r="EV146" i="4"/>
  <c r="X149" i="4" s="1"/>
  <c r="FH146" i="4"/>
  <c r="R149" i="4" s="1"/>
  <c r="FK146" i="4"/>
  <c r="U149" i="4" s="1"/>
  <c r="FJ146" i="4"/>
  <c r="T149" i="4" s="1"/>
  <c r="FI146" i="4"/>
  <c r="S149" i="4" s="1"/>
  <c r="FG146" i="4"/>
  <c r="Q149" i="4" s="1"/>
  <c r="FC146" i="4"/>
  <c r="M149" i="4" s="1"/>
  <c r="T147" i="4"/>
  <c r="Q147" i="4"/>
  <c r="R147" i="4"/>
  <c r="S147" i="4"/>
  <c r="P147" i="4"/>
  <c r="U147" i="4"/>
  <c r="M147" i="4"/>
  <c r="N147" i="4"/>
  <c r="O147" i="4"/>
  <c r="H57" i="4"/>
  <c r="I57" i="4"/>
  <c r="G57" i="4"/>
  <c r="FB146" i="4"/>
  <c r="AD149" i="4" s="1"/>
  <c r="EX146" i="4"/>
  <c r="Z149" i="4" s="1"/>
  <c r="FA146" i="4"/>
  <c r="EZ146" i="4"/>
  <c r="AB149" i="4" s="1"/>
  <c r="CS92" i="4"/>
  <c r="CS89" i="4"/>
  <c r="CU91" i="4"/>
  <c r="CS94" i="4"/>
  <c r="CT91" i="4"/>
  <c r="CQ88" i="4"/>
  <c r="CQ91" i="4"/>
  <c r="CR92" i="4"/>
  <c r="CU88" i="4"/>
  <c r="CT90" i="4"/>
  <c r="CU93" i="4"/>
  <c r="CU94" i="4"/>
  <c r="CQ90" i="4"/>
  <c r="CT89" i="4"/>
  <c r="CQ93" i="4"/>
  <c r="CU90" i="4"/>
  <c r="CT92" i="4"/>
  <c r="CT94" i="4"/>
  <c r="CQ92" i="4"/>
  <c r="CS90" i="4"/>
  <c r="CR88" i="4"/>
  <c r="CR93" i="4"/>
  <c r="CU89" i="4"/>
  <c r="CR89" i="4"/>
  <c r="CT93" i="4"/>
  <c r="CR94" i="4"/>
  <c r="CR91" i="4"/>
  <c r="CS88" i="4"/>
  <c r="CS93" i="4"/>
  <c r="CR90" i="4"/>
  <c r="CU92" i="4"/>
  <c r="CT88" i="4"/>
  <c r="CQ89" i="4"/>
  <c r="CS91" i="4"/>
  <c r="CQ94" i="4"/>
  <c r="J223" i="4"/>
  <c r="K208" i="4"/>
  <c r="K209" i="4" s="1"/>
  <c r="L223" i="4"/>
  <c r="K223" i="4"/>
  <c r="H223" i="4"/>
  <c r="L208" i="4"/>
  <c r="L209" i="4" s="1"/>
  <c r="J208" i="4"/>
  <c r="J209" i="4" s="1"/>
  <c r="I223" i="4"/>
  <c r="H208" i="4"/>
  <c r="H209" i="4" s="1"/>
  <c r="I208" i="4"/>
  <c r="I209" i="4" s="1"/>
  <c r="G40" i="7"/>
  <c r="G29" i="6"/>
  <c r="G30" i="6" s="1"/>
  <c r="G33" i="6" s="1"/>
  <c r="F313" i="4" l="1"/>
  <c r="K263" i="4"/>
  <c r="J263" i="4"/>
  <c r="AA292" i="4"/>
  <c r="AA263" i="4"/>
  <c r="Y248" i="4"/>
  <c r="Y260" i="4"/>
  <c r="Q292" i="4"/>
  <c r="Q263" i="4"/>
  <c r="N292" i="4"/>
  <c r="N263" i="4"/>
  <c r="V292" i="4"/>
  <c r="V293" i="4" s="1"/>
  <c r="V263" i="4"/>
  <c r="S292" i="4"/>
  <c r="S263" i="4"/>
  <c r="U299" i="4"/>
  <c r="U260" i="4"/>
  <c r="U292" i="4"/>
  <c r="U263" i="4"/>
  <c r="Z248" i="4"/>
  <c r="Z260" i="4"/>
  <c r="X248" i="4"/>
  <c r="X260" i="4"/>
  <c r="Y292" i="4"/>
  <c r="Y263" i="4"/>
  <c r="P292" i="4"/>
  <c r="P263" i="4"/>
  <c r="L263" i="4"/>
  <c r="Z292" i="4"/>
  <c r="Z263" i="4"/>
  <c r="X292" i="4"/>
  <c r="X293" i="4" s="1"/>
  <c r="X263" i="4"/>
  <c r="L248" i="4"/>
  <c r="L260" i="4"/>
  <c r="T292" i="4"/>
  <c r="T263" i="4"/>
  <c r="O292" i="4"/>
  <c r="O263" i="4"/>
  <c r="AA248" i="4"/>
  <c r="AA260" i="4"/>
  <c r="M292" i="4"/>
  <c r="M263" i="4"/>
  <c r="R292" i="4"/>
  <c r="R263" i="4"/>
  <c r="W292" i="4"/>
  <c r="W293" i="4" s="1"/>
  <c r="W263" i="4"/>
  <c r="FE178" i="4"/>
  <c r="U254" i="4"/>
  <c r="W285" i="4"/>
  <c r="W248" i="4"/>
  <c r="W279" i="4"/>
  <c r="W296" i="4"/>
  <c r="W299" i="4"/>
  <c r="AC149" i="4"/>
  <c r="DU178" i="4"/>
  <c r="EC178" i="4"/>
  <c r="FN178" i="4"/>
  <c r="FQ178" i="4"/>
  <c r="EB178" i="4"/>
  <c r="EA178" i="4"/>
  <c r="ED178" i="4"/>
  <c r="DX178" i="4"/>
  <c r="EH178" i="4"/>
  <c r="EF178" i="4"/>
  <c r="EZ178" i="4"/>
  <c r="EY178" i="4"/>
  <c r="FO178" i="4"/>
  <c r="FA178" i="4"/>
  <c r="FP178" i="4"/>
  <c r="FM178" i="4"/>
  <c r="DZ178" i="4"/>
  <c r="DV178" i="4"/>
  <c r="EE178" i="4"/>
  <c r="EG178" i="4"/>
  <c r="DY178" i="4"/>
  <c r="DT178" i="4"/>
  <c r="DS178" i="4"/>
  <c r="FC178" i="4"/>
  <c r="EW178" i="4"/>
  <c r="EV178" i="4"/>
  <c r="EX178" i="4"/>
  <c r="FD178" i="4"/>
  <c r="FL178" i="4"/>
  <c r="DW178" i="4"/>
  <c r="FB178" i="4"/>
  <c r="FT178" i="4"/>
  <c r="FV178" i="4"/>
  <c r="FW178" i="4"/>
  <c r="FU178" i="4"/>
  <c r="FS178" i="4"/>
  <c r="FR178" i="4"/>
  <c r="V248" i="4"/>
  <c r="V279" i="4"/>
  <c r="V296" i="4"/>
  <c r="V285" i="4"/>
  <c r="V299" i="4"/>
  <c r="O149" i="4"/>
  <c r="AG149" i="4"/>
  <c r="AE296" i="4"/>
  <c r="AE301" i="4"/>
  <c r="AE293" i="4"/>
  <c r="AE285" i="4"/>
  <c r="AE279" i="4"/>
  <c r="AE299" i="4"/>
  <c r="N149" i="4"/>
  <c r="AF149" i="4"/>
  <c r="AF296" i="4"/>
  <c r="AF301" i="4"/>
  <c r="AF279" i="4"/>
  <c r="AF285" i="4"/>
  <c r="AF293" i="4"/>
  <c r="AF299" i="4"/>
  <c r="AE149" i="4"/>
  <c r="AG296" i="4"/>
  <c r="AG301" i="4"/>
  <c r="AG279" i="4"/>
  <c r="AG299" i="4"/>
  <c r="AG285" i="4"/>
  <c r="AG293" i="4"/>
  <c r="Z279" i="4"/>
  <c r="L269" i="4"/>
  <c r="AD279" i="4"/>
  <c r="I273" i="4"/>
  <c r="H272" i="4"/>
  <c r="AB279" i="4"/>
  <c r="I271" i="4"/>
  <c r="AA295" i="4"/>
  <c r="AA296" i="4" s="1"/>
  <c r="K275" i="4"/>
  <c r="K301" i="4" s="1"/>
  <c r="AC301" i="4"/>
  <c r="H269" i="4"/>
  <c r="J274" i="4"/>
  <c r="K273" i="4"/>
  <c r="K272" i="4"/>
  <c r="AA279" i="4"/>
  <c r="X279" i="4"/>
  <c r="X296" i="4"/>
  <c r="X285" i="4"/>
  <c r="X299" i="4"/>
  <c r="I269" i="4"/>
  <c r="L273" i="4"/>
  <c r="H270" i="4"/>
  <c r="K269" i="4"/>
  <c r="J271" i="4"/>
  <c r="AB295" i="4"/>
  <c r="AB296" i="4" s="1"/>
  <c r="H273" i="4"/>
  <c r="L271" i="4"/>
  <c r="AD295" i="4"/>
  <c r="AD296" i="4" s="1"/>
  <c r="I272" i="4"/>
  <c r="H274" i="4"/>
  <c r="L272" i="4"/>
  <c r="I275" i="4"/>
  <c r="I301" i="4" s="1"/>
  <c r="K270" i="4"/>
  <c r="J270" i="4"/>
  <c r="Y279" i="4"/>
  <c r="K274" i="4"/>
  <c r="H271" i="4"/>
  <c r="Z295" i="4"/>
  <c r="Z296" i="4" s="1"/>
  <c r="J273" i="4"/>
  <c r="I270" i="4"/>
  <c r="L275" i="4"/>
  <c r="L301" i="4" s="1"/>
  <c r="AD301" i="4"/>
  <c r="H275" i="4"/>
  <c r="H301" i="4" s="1"/>
  <c r="L270" i="4"/>
  <c r="L274" i="4"/>
  <c r="J269" i="4"/>
  <c r="J275" i="4"/>
  <c r="J301" i="4" s="1"/>
  <c r="AB301" i="4"/>
  <c r="AC279" i="4"/>
  <c r="J272" i="4"/>
  <c r="I274" i="4"/>
  <c r="K271" i="4"/>
  <c r="AC295" i="4"/>
  <c r="AC296" i="4" s="1"/>
  <c r="G313" i="4"/>
  <c r="V182" i="4"/>
  <c r="U184" i="4"/>
  <c r="H313" i="4"/>
  <c r="I313" i="4"/>
  <c r="T313" i="4"/>
  <c r="T314" i="4" s="1"/>
  <c r="J251" i="4"/>
  <c r="J248" i="4"/>
  <c r="L313" i="4"/>
  <c r="L314" i="4" s="1"/>
  <c r="O313" i="4"/>
  <c r="O314" i="4" s="1"/>
  <c r="R313" i="4"/>
  <c r="R314" i="4" s="1"/>
  <c r="P313" i="4"/>
  <c r="P314" i="4" s="1"/>
  <c r="S313" i="4"/>
  <c r="S314" i="4" s="1"/>
  <c r="Q313" i="4"/>
  <c r="Q314" i="4" s="1"/>
  <c r="N313" i="4"/>
  <c r="N314" i="4" s="1"/>
  <c r="K313" i="4"/>
  <c r="K314" i="4" s="1"/>
  <c r="M313" i="4"/>
  <c r="M314" i="4" s="1"/>
  <c r="U313" i="4"/>
  <c r="U314" i="4" s="1"/>
  <c r="U315" i="4" s="1"/>
  <c r="U316" i="4" s="1"/>
  <c r="U317" i="4" s="1"/>
  <c r="U318" i="4" s="1"/>
  <c r="U320" i="4" s="1"/>
  <c r="J313" i="4"/>
  <c r="J314" i="4" s="1"/>
  <c r="J315" i="4" s="1"/>
  <c r="J316" i="4" s="1"/>
  <c r="J317" i="4" s="1"/>
  <c r="J318" i="4" s="1"/>
  <c r="J320" i="4" s="1"/>
  <c r="J254" i="4"/>
  <c r="J257" i="4"/>
  <c r="U257" i="4"/>
  <c r="U248" i="4"/>
  <c r="U251" i="4"/>
  <c r="U293" i="4"/>
  <c r="U284" i="4"/>
  <c r="U285" i="4" s="1"/>
  <c r="U288" i="4" s="1"/>
  <c r="T284" i="4"/>
  <c r="S284" i="4"/>
  <c r="R284" i="4"/>
  <c r="P284" i="4"/>
  <c r="Q284" i="4"/>
  <c r="O284" i="4"/>
  <c r="N284" i="4"/>
  <c r="M284" i="4"/>
  <c r="U296" i="4"/>
  <c r="L226" i="4"/>
  <c r="T254" i="4"/>
  <c r="R254" i="4"/>
  <c r="I224" i="4"/>
  <c r="N254" i="4"/>
  <c r="K224" i="4"/>
  <c r="Q254" i="4"/>
  <c r="L224" i="4"/>
  <c r="F223" i="4"/>
  <c r="H224" i="4"/>
  <c r="S254" i="4"/>
  <c r="M254" i="4"/>
  <c r="J224" i="4"/>
  <c r="J265" i="4" s="1"/>
  <c r="O254" i="4"/>
  <c r="EW146" i="4"/>
  <c r="Y149" i="4" s="1"/>
  <c r="K88" i="4"/>
  <c r="L88" i="4"/>
  <c r="J226" i="4"/>
  <c r="K226" i="4"/>
  <c r="H226" i="4"/>
  <c r="I226" i="4"/>
  <c r="CU95" i="4"/>
  <c r="CS95" i="4"/>
  <c r="CR95" i="4"/>
  <c r="CQ95" i="4"/>
  <c r="CT95" i="4"/>
  <c r="J292" i="4" l="1"/>
  <c r="K292" i="4"/>
  <c r="L292" i="4"/>
  <c r="H292" i="4"/>
  <c r="I292" i="4"/>
  <c r="G88" i="4"/>
  <c r="U290" i="4"/>
  <c r="U289" i="4"/>
  <c r="J293" i="4"/>
  <c r="AB298" i="4"/>
  <c r="AB299" i="4" s="1"/>
  <c r="AD298" i="4"/>
  <c r="AD299" i="4" s="1"/>
  <c r="K284" i="4"/>
  <c r="Z298" i="4"/>
  <c r="Z299" i="4" s="1"/>
  <c r="I295" i="4"/>
  <c r="I298" i="4"/>
  <c r="L284" i="4"/>
  <c r="AB284" i="4"/>
  <c r="AB285" i="4" s="1"/>
  <c r="AB292" i="4"/>
  <c r="AB293" i="4" s="1"/>
  <c r="AA284" i="4"/>
  <c r="AA285" i="4" s="1"/>
  <c r="AA293" i="4"/>
  <c r="AC298" i="4"/>
  <c r="AC299" i="4" s="1"/>
  <c r="AA298" i="4"/>
  <c r="AA299" i="4" s="1"/>
  <c r="AC284" i="4"/>
  <c r="AC285" i="4" s="1"/>
  <c r="AC292" i="4"/>
  <c r="AC293" i="4" s="1"/>
  <c r="AD284" i="4"/>
  <c r="AD285" i="4" s="1"/>
  <c r="AD292" i="4"/>
  <c r="AD293" i="4" s="1"/>
  <c r="Z284" i="4"/>
  <c r="Z285" i="4" s="1"/>
  <c r="Z293" i="4"/>
  <c r="V184" i="4"/>
  <c r="W182" i="4"/>
  <c r="P315" i="4"/>
  <c r="P316" i="4" s="1"/>
  <c r="P317" i="4" s="1"/>
  <c r="P318" i="4" s="1"/>
  <c r="P320" i="4" s="1"/>
  <c r="R315" i="4"/>
  <c r="R316" i="4" s="1"/>
  <c r="R317" i="4" s="1"/>
  <c r="R318" i="4" s="1"/>
  <c r="R320" i="4" s="1"/>
  <c r="N315" i="4"/>
  <c r="N316" i="4" s="1"/>
  <c r="N317" i="4" s="1"/>
  <c r="N318" i="4" s="1"/>
  <c r="N320" i="4" s="1"/>
  <c r="Q315" i="4"/>
  <c r="Q316" i="4" s="1"/>
  <c r="Q317" i="4" s="1"/>
  <c r="Q318" i="4" s="1"/>
  <c r="Q320" i="4" s="1"/>
  <c r="T315" i="4"/>
  <c r="T316" i="4" s="1"/>
  <c r="T317" i="4" s="1"/>
  <c r="T318" i="4" s="1"/>
  <c r="T320" i="4" s="1"/>
  <c r="O315" i="4"/>
  <c r="O316" i="4" s="1"/>
  <c r="O317" i="4" s="1"/>
  <c r="O318" i="4" s="1"/>
  <c r="O320" i="4" s="1"/>
  <c r="M315" i="4"/>
  <c r="M316" i="4" s="1"/>
  <c r="M317" i="4" s="1"/>
  <c r="M318" i="4" s="1"/>
  <c r="M320" i="4" s="1"/>
  <c r="S315" i="4"/>
  <c r="S316" i="4" s="1"/>
  <c r="S317" i="4" s="1"/>
  <c r="S318" i="4" s="1"/>
  <c r="S320" i="4" s="1"/>
  <c r="M257" i="4"/>
  <c r="N257" i="4"/>
  <c r="R257" i="4"/>
  <c r="Q257" i="4"/>
  <c r="O257" i="4"/>
  <c r="P251" i="4"/>
  <c r="P254" i="4"/>
  <c r="U279" i="4"/>
  <c r="U310" i="4" s="1"/>
  <c r="T257" i="4"/>
  <c r="S257" i="4"/>
  <c r="P257" i="4"/>
  <c r="O248" i="4"/>
  <c r="O251" i="4"/>
  <c r="T248" i="4"/>
  <c r="T251" i="4"/>
  <c r="Q248" i="4"/>
  <c r="Q251" i="4"/>
  <c r="N248" i="4"/>
  <c r="N251" i="4"/>
  <c r="M248" i="4"/>
  <c r="M251" i="4"/>
  <c r="S248" i="4"/>
  <c r="S251" i="4"/>
  <c r="R248" i="4"/>
  <c r="R251" i="4"/>
  <c r="P285" i="4"/>
  <c r="P288" i="4" s="1"/>
  <c r="P248" i="4"/>
  <c r="R285" i="4"/>
  <c r="R288" i="4" s="1"/>
  <c r="T285" i="4"/>
  <c r="T288" i="4" s="1"/>
  <c r="S285" i="4"/>
  <c r="S288" i="4" s="1"/>
  <c r="Q285" i="4"/>
  <c r="Q288" i="4" s="1"/>
  <c r="O285" i="4"/>
  <c r="O288" i="4" s="1"/>
  <c r="N285" i="4"/>
  <c r="N288" i="4" s="1"/>
  <c r="M285" i="4"/>
  <c r="M288" i="4" s="1"/>
  <c r="O296" i="4"/>
  <c r="O293" i="4"/>
  <c r="O299" i="4"/>
  <c r="M296" i="4"/>
  <c r="M299" i="4"/>
  <c r="M293" i="4"/>
  <c r="P296" i="4"/>
  <c r="P293" i="4"/>
  <c r="P299" i="4"/>
  <c r="Q293" i="4"/>
  <c r="Q299" i="4"/>
  <c r="Q296" i="4"/>
  <c r="T293" i="4"/>
  <c r="T296" i="4"/>
  <c r="T299" i="4"/>
  <c r="N293" i="4"/>
  <c r="N296" i="4"/>
  <c r="N299" i="4"/>
  <c r="S296" i="4"/>
  <c r="S293" i="4"/>
  <c r="S299" i="4"/>
  <c r="R296" i="4"/>
  <c r="R293" i="4"/>
  <c r="R299" i="4"/>
  <c r="H225" i="4"/>
  <c r="H265" i="4"/>
  <c r="L225" i="4"/>
  <c r="L265" i="4"/>
  <c r="I225" i="4"/>
  <c r="I265" i="4"/>
  <c r="J225" i="4"/>
  <c r="K225" i="4"/>
  <c r="K265" i="4"/>
  <c r="F224" i="4"/>
  <c r="K227" i="4"/>
  <c r="K267" i="4" s="1"/>
  <c r="I227" i="4"/>
  <c r="L227" i="4"/>
  <c r="L267" i="4" s="1"/>
  <c r="J227" i="4"/>
  <c r="J267" i="4" s="1"/>
  <c r="H227" i="4"/>
  <c r="H267" i="4" s="1"/>
  <c r="G55" i="4" a="1"/>
  <c r="L89" i="4"/>
  <c r="K89" i="4"/>
  <c r="K93" i="4"/>
  <c r="L93" i="4"/>
  <c r="K92" i="4"/>
  <c r="L91" i="4"/>
  <c r="K90" i="4"/>
  <c r="L92" i="4"/>
  <c r="I55" i="4" a="1"/>
  <c r="K91" i="4"/>
  <c r="H55" i="4" a="1"/>
  <c r="L94" i="4"/>
  <c r="L156" i="4" s="1"/>
  <c r="L157" i="4" s="1"/>
  <c r="K94" i="4"/>
  <c r="K156" i="4" s="1"/>
  <c r="H295" i="4"/>
  <c r="J295" i="4"/>
  <c r="J296" i="4" s="1"/>
  <c r="L295" i="4"/>
  <c r="K295" i="4"/>
  <c r="F93" i="4"/>
  <c r="F94" i="4"/>
  <c r="F89" i="4"/>
  <c r="F90" i="4"/>
  <c r="F91" i="4"/>
  <c r="F92" i="4"/>
  <c r="H298" i="4"/>
  <c r="J298" i="4"/>
  <c r="K298" i="4"/>
  <c r="L298" i="4"/>
  <c r="J284" i="4"/>
  <c r="F55" i="4" a="1"/>
  <c r="J93" i="4"/>
  <c r="J92" i="4"/>
  <c r="J89" i="4"/>
  <c r="J94" i="4"/>
  <c r="J90" i="4"/>
  <c r="J91" i="4"/>
  <c r="H93" i="4"/>
  <c r="H92" i="4"/>
  <c r="H89" i="4"/>
  <c r="H94" i="4"/>
  <c r="H156" i="4" s="1"/>
  <c r="H90" i="4"/>
  <c r="H91" i="4"/>
  <c r="I93" i="4"/>
  <c r="I92" i="4"/>
  <c r="I89" i="4"/>
  <c r="I94" i="4"/>
  <c r="I156" i="4" s="1"/>
  <c r="I157" i="4" s="1"/>
  <c r="I90" i="4"/>
  <c r="I91" i="4"/>
  <c r="G93" i="4"/>
  <c r="G90" i="4"/>
  <c r="G92" i="4"/>
  <c r="G89" i="4"/>
  <c r="G91" i="4"/>
  <c r="G94" i="4"/>
  <c r="G156" i="4" s="1"/>
  <c r="G157" i="4" s="1"/>
  <c r="H88" i="4"/>
  <c r="I88" i="4"/>
  <c r="F88" i="4"/>
  <c r="F149" i="4" l="1"/>
  <c r="F265" i="4"/>
  <c r="J156" i="4"/>
  <c r="J157" i="4" s="1"/>
  <c r="K149" i="4"/>
  <c r="M289" i="4"/>
  <c r="M290" i="4"/>
  <c r="N290" i="4"/>
  <c r="N289" i="4"/>
  <c r="Q289" i="4"/>
  <c r="Q290" i="4"/>
  <c r="S290" i="4"/>
  <c r="S289" i="4"/>
  <c r="P289" i="4"/>
  <c r="P290" i="4"/>
  <c r="O289" i="4"/>
  <c r="O290" i="4"/>
  <c r="T290" i="4"/>
  <c r="T289" i="4"/>
  <c r="R290" i="4"/>
  <c r="R289" i="4"/>
  <c r="W184" i="4"/>
  <c r="X182" i="4"/>
  <c r="H157" i="4"/>
  <c r="AN156" i="4"/>
  <c r="R321" i="4"/>
  <c r="K157" i="4"/>
  <c r="I267" i="4"/>
  <c r="I149" i="4"/>
  <c r="J149" i="4"/>
  <c r="L149" i="4"/>
  <c r="H149" i="4"/>
  <c r="P279" i="4"/>
  <c r="P310" i="4" s="1"/>
  <c r="S279" i="4"/>
  <c r="S310" i="4" s="1"/>
  <c r="T279" i="4"/>
  <c r="T310" i="4" s="1"/>
  <c r="R279" i="4"/>
  <c r="Q279" i="4"/>
  <c r="N279" i="4"/>
  <c r="N310" i="4" s="1"/>
  <c r="M279" i="4"/>
  <c r="O279" i="4"/>
  <c r="O310" i="4" s="1"/>
  <c r="F156" i="4"/>
  <c r="G55" i="4"/>
  <c r="G115" i="4" s="1"/>
  <c r="G151" i="4" s="1"/>
  <c r="G116" i="4"/>
  <c r="G312" i="4" s="1"/>
  <c r="G314" i="4" s="1"/>
  <c r="F55" i="4"/>
  <c r="F116" i="4"/>
  <c r="F312" i="4" s="1"/>
  <c r="F314" i="4" s="1"/>
  <c r="H55" i="4"/>
  <c r="H115" i="4" s="1"/>
  <c r="H151" i="4" s="1"/>
  <c r="H116" i="4"/>
  <c r="H312" i="4" s="1"/>
  <c r="H314" i="4" s="1"/>
  <c r="K228" i="4"/>
  <c r="H228" i="4"/>
  <c r="L228" i="4"/>
  <c r="I228" i="4"/>
  <c r="I55" i="4"/>
  <c r="I115" i="4" s="1"/>
  <c r="I151" i="4" s="1"/>
  <c r="I116" i="4"/>
  <c r="I312" i="4" s="1"/>
  <c r="I314" i="4" s="1"/>
  <c r="J228" i="4"/>
  <c r="F147" i="4"/>
  <c r="F225" i="4"/>
  <c r="L95" i="4"/>
  <c r="K95" i="4"/>
  <c r="K147" i="4"/>
  <c r="J147" i="4"/>
  <c r="L147" i="4"/>
  <c r="H147" i="4"/>
  <c r="I147" i="4"/>
  <c r="F95" i="4"/>
  <c r="I95" i="4"/>
  <c r="H95" i="4"/>
  <c r="J95" i="4"/>
  <c r="G95" i="4"/>
  <c r="G260" i="4" l="1"/>
  <c r="G263" i="4"/>
  <c r="I260" i="4"/>
  <c r="I284" i="4" s="1"/>
  <c r="I263" i="4"/>
  <c r="H260" i="4"/>
  <c r="H284" i="4" s="1"/>
  <c r="H263" i="4"/>
  <c r="F157" i="4"/>
  <c r="F115" i="4"/>
  <c r="F8" i="81" a="1"/>
  <c r="F8" i="80" a="1"/>
  <c r="X184" i="4"/>
  <c r="Y182" i="4"/>
  <c r="M310" i="4"/>
  <c r="R310" i="4"/>
  <c r="Q310" i="4"/>
  <c r="G315" i="4"/>
  <c r="G316" i="4" s="1"/>
  <c r="G317" i="4" s="1"/>
  <c r="G318" i="4" s="1"/>
  <c r="G320" i="4" s="1"/>
  <c r="H315" i="4"/>
  <c r="H316" i="4" s="1"/>
  <c r="H317" i="4" s="1"/>
  <c r="H318" i="4" s="1"/>
  <c r="H320" i="4" s="1"/>
  <c r="G254" i="4"/>
  <c r="G257" i="4"/>
  <c r="H254" i="4"/>
  <c r="H257" i="4"/>
  <c r="G248" i="4"/>
  <c r="G251" i="4"/>
  <c r="H248" i="4"/>
  <c r="H251" i="4"/>
  <c r="H117" i="4"/>
  <c r="I117" i="4"/>
  <c r="G117" i="4"/>
  <c r="I315" i="4"/>
  <c r="I316" i="4" s="1"/>
  <c r="I317" i="4" s="1"/>
  <c r="I318" i="4" s="1"/>
  <c r="I320" i="4" s="1"/>
  <c r="L315" i="4"/>
  <c r="L316" i="4" s="1"/>
  <c r="L317" i="4" s="1"/>
  <c r="L318" i="4" s="1"/>
  <c r="L320" i="4" s="1"/>
  <c r="K315" i="4"/>
  <c r="K316" i="4" s="1"/>
  <c r="K317" i="4" s="1"/>
  <c r="K318" i="4" s="1"/>
  <c r="K320" i="4" s="1"/>
  <c r="F151" i="4" l="1"/>
  <c r="F117" i="4"/>
  <c r="R102" i="80"/>
  <c r="BH92" i="80"/>
  <c r="AG88" i="80"/>
  <c r="AG152" i="80" s="1"/>
  <c r="AG157" i="80" s="1"/>
  <c r="BI102" i="80"/>
  <c r="AG102" i="80"/>
  <c r="BJ88" i="80"/>
  <c r="Z92" i="80"/>
  <c r="BI78" i="80"/>
  <c r="X101" i="80"/>
  <c r="X137" i="80" s="1"/>
  <c r="AY97" i="80"/>
  <c r="BD88" i="80"/>
  <c r="AC88" i="80"/>
  <c r="AC152" i="80" s="1"/>
  <c r="AC157" i="80" s="1"/>
  <c r="X92" i="80"/>
  <c r="BD97" i="80"/>
  <c r="BE92" i="80"/>
  <c r="BI79" i="80"/>
  <c r="X96" i="80"/>
  <c r="X210" i="80" s="1"/>
  <c r="X89" i="80"/>
  <c r="X183" i="80" s="1"/>
  <c r="W88" i="80"/>
  <c r="W152" i="80" s="1"/>
  <c r="W157" i="80" s="1"/>
  <c r="BA96" i="80"/>
  <c r="BB79" i="80"/>
  <c r="BA74" i="80"/>
  <c r="BB78" i="80"/>
  <c r="BA76" i="80"/>
  <c r="AY74" i="80"/>
  <c r="AZ79" i="80"/>
  <c r="P92" i="80"/>
  <c r="AS101" i="80"/>
  <c r="AS88" i="80"/>
  <c r="AS85" i="80"/>
  <c r="P96" i="80"/>
  <c r="O92" i="80"/>
  <c r="AP88" i="80"/>
  <c r="AK99" i="80"/>
  <c r="L88" i="80"/>
  <c r="L152" i="80" s="1"/>
  <c r="L157" i="80" s="1"/>
  <c r="AO88" i="80"/>
  <c r="AI85" i="80"/>
  <c r="T89" i="80"/>
  <c r="T183" i="80" s="1"/>
  <c r="T184" i="80" s="1"/>
  <c r="U89" i="80"/>
  <c r="U183" i="80" s="1"/>
  <c r="U184" i="80" s="1"/>
  <c r="I86" i="80"/>
  <c r="AP97" i="80"/>
  <c r="AO92" i="80"/>
  <c r="AV99" i="80"/>
  <c r="K92" i="80"/>
  <c r="K88" i="80"/>
  <c r="K152" i="80" s="1"/>
  <c r="K157" i="80" s="1"/>
  <c r="H99" i="80"/>
  <c r="I89" i="80"/>
  <c r="I183" i="80" s="1"/>
  <c r="I184" i="80" s="1"/>
  <c r="AF93" i="80"/>
  <c r="AF189" i="80" s="1"/>
  <c r="AF195" i="80" s="1"/>
  <c r="AF196" i="80" s="1"/>
  <c r="AD93" i="80"/>
  <c r="AD189" i="80" s="1"/>
  <c r="AD195" i="80" s="1"/>
  <c r="AD196" i="80" s="1"/>
  <c r="AK93" i="80"/>
  <c r="AN76" i="80"/>
  <c r="K232" i="80" s="1"/>
  <c r="AS74" i="80"/>
  <c r="AL77" i="80"/>
  <c r="I233" i="80" s="1"/>
  <c r="AU74" i="80"/>
  <c r="AP77" i="80"/>
  <c r="M233" i="80" s="1"/>
  <c r="AI79" i="80"/>
  <c r="F235" i="80" s="1"/>
  <c r="AO76" i="80"/>
  <c r="L232" i="80" s="1"/>
  <c r="AM79" i="80"/>
  <c r="J235" i="80" s="1"/>
  <c r="AQ80" i="80"/>
  <c r="N236" i="80" s="1"/>
  <c r="N261" i="80" s="1"/>
  <c r="AX74" i="80"/>
  <c r="J77" i="80"/>
  <c r="Q78" i="80"/>
  <c r="K75" i="80"/>
  <c r="P78" i="80"/>
  <c r="U77" i="80"/>
  <c r="S76" i="80"/>
  <c r="N75" i="80"/>
  <c r="L101" i="80"/>
  <c r="L137" i="80" s="1"/>
  <c r="AO101" i="80"/>
  <c r="R101" i="80"/>
  <c r="R137" i="80" s="1"/>
  <c r="F101" i="80"/>
  <c r="BH85" i="80"/>
  <c r="BH93" i="80"/>
  <c r="AF92" i="80"/>
  <c r="BI97" i="80"/>
  <c r="AG101" i="80"/>
  <c r="AG137" i="80" s="1"/>
  <c r="Y101" i="80"/>
  <c r="Y137" i="80" s="1"/>
  <c r="AD88" i="80"/>
  <c r="AD152" i="80" s="1"/>
  <c r="AD157" i="80" s="1"/>
  <c r="BH79" i="80"/>
  <c r="W101" i="80"/>
  <c r="W137" i="80" s="1"/>
  <c r="BA102" i="80"/>
  <c r="AB89" i="80"/>
  <c r="AB183" i="80" s="1"/>
  <c r="BJ74" i="80"/>
  <c r="BB89" i="80"/>
  <c r="BC74" i="80"/>
  <c r="BJ79" i="80"/>
  <c r="W92" i="80"/>
  <c r="W99" i="80"/>
  <c r="W199" i="80" s="1"/>
  <c r="BE89" i="80"/>
  <c r="AD96" i="80"/>
  <c r="AD210" i="80" s="1"/>
  <c r="BD93" i="80"/>
  <c r="AZ93" i="80"/>
  <c r="BE78" i="80"/>
  <c r="BE76" i="80"/>
  <c r="AY79" i="80"/>
  <c r="V235" i="80" s="1"/>
  <c r="AY75" i="80"/>
  <c r="V231" i="80" s="1"/>
  <c r="AQ101" i="80"/>
  <c r="AS96" i="80"/>
  <c r="V85" i="80"/>
  <c r="V92" i="80"/>
  <c r="AQ89" i="80"/>
  <c r="AN99" i="80"/>
  <c r="AO99" i="80"/>
  <c r="J96" i="80"/>
  <c r="H86" i="80"/>
  <c r="AK89" i="80"/>
  <c r="Q97" i="80"/>
  <c r="AT96" i="80"/>
  <c r="G86" i="80"/>
  <c r="AO85" i="80"/>
  <c r="AJ99" i="80"/>
  <c r="G83" i="80"/>
  <c r="AP89" i="80"/>
  <c r="J92" i="80"/>
  <c r="K97" i="80"/>
  <c r="H88" i="80"/>
  <c r="H152" i="80" s="1"/>
  <c r="H157" i="80" s="1"/>
  <c r="H89" i="80"/>
  <c r="H183" i="80" s="1"/>
  <c r="H184" i="80" s="1"/>
  <c r="R93" i="80"/>
  <c r="Y93" i="80"/>
  <c r="Y189" i="80" s="1"/>
  <c r="Y195" i="80" s="1"/>
  <c r="Y196" i="80" s="1"/>
  <c r="AO93" i="80"/>
  <c r="AJ80" i="80"/>
  <c r="G236" i="80" s="1"/>
  <c r="G261" i="80" s="1"/>
  <c r="AO79" i="80"/>
  <c r="L235" i="80" s="1"/>
  <c r="M93" i="80"/>
  <c r="AP76" i="80"/>
  <c r="M232" i="80" s="1"/>
  <c r="AX77" i="80"/>
  <c r="U233" i="80" s="1"/>
  <c r="AX78" i="80"/>
  <c r="U234" i="80" s="1"/>
  <c r="AM78" i="80"/>
  <c r="J234" i="80" s="1"/>
  <c r="AV75" i="80"/>
  <c r="S231" i="80" s="1"/>
  <c r="AK74" i="80"/>
  <c r="AK80" i="80"/>
  <c r="H236" i="80" s="1"/>
  <c r="O74" i="80"/>
  <c r="R75" i="80"/>
  <c r="J74" i="80"/>
  <c r="S75" i="80"/>
  <c r="M75" i="80"/>
  <c r="Q80" i="80"/>
  <c r="Q140" i="80" s="1"/>
  <c r="O77" i="80"/>
  <c r="AP101" i="80"/>
  <c r="AV102" i="80"/>
  <c r="Q101" i="80"/>
  <c r="Q137" i="80" s="1"/>
  <c r="N102" i="80"/>
  <c r="Q102" i="80"/>
  <c r="AE92" i="80"/>
  <c r="BJ89" i="80"/>
  <c r="BI101" i="80"/>
  <c r="AF97" i="80"/>
  <c r="AF205" i="80" s="1"/>
  <c r="AG96" i="80"/>
  <c r="AG210" i="80" s="1"/>
  <c r="BG96" i="80"/>
  <c r="AC89" i="80"/>
  <c r="AC183" i="80" s="1"/>
  <c r="AA89" i="80"/>
  <c r="AA183" i="80" s="1"/>
  <c r="BJ80" i="80"/>
  <c r="AY88" i="80"/>
  <c r="AA96" i="80"/>
  <c r="AA210" i="80" s="1"/>
  <c r="AC85" i="80"/>
  <c r="X97" i="80"/>
  <c r="X205" i="80" s="1"/>
  <c r="AZ96" i="80"/>
  <c r="AA85" i="80"/>
  <c r="BH80" i="80"/>
  <c r="AC99" i="80"/>
  <c r="AC199" i="80" s="1"/>
  <c r="AZ88" i="80"/>
  <c r="Z101" i="80"/>
  <c r="Z137" i="80" s="1"/>
  <c r="BE79" i="80"/>
  <c r="BB75" i="80"/>
  <c r="BD78" i="80"/>
  <c r="BF75" i="80"/>
  <c r="AY78" i="80"/>
  <c r="V234" i="80" s="1"/>
  <c r="AL102" i="80"/>
  <c r="AL88" i="80"/>
  <c r="P85" i="80"/>
  <c r="V99" i="80"/>
  <c r="V199" i="80" s="1"/>
  <c r="AS99" i="80"/>
  <c r="AX85" i="80"/>
  <c r="AT85" i="80"/>
  <c r="K99" i="80"/>
  <c r="AK92" i="80"/>
  <c r="I87" i="80"/>
  <c r="T85" i="80"/>
  <c r="AU88" i="80"/>
  <c r="N97" i="80"/>
  <c r="F84" i="80"/>
  <c r="Q92" i="80"/>
  <c r="AU99" i="80"/>
  <c r="AO89" i="80"/>
  <c r="AO96" i="80"/>
  <c r="AN96" i="80"/>
  <c r="R92" i="80"/>
  <c r="G88" i="80"/>
  <c r="G152" i="80" s="1"/>
  <c r="G157" i="80" s="1"/>
  <c r="I99" i="80"/>
  <c r="W93" i="80"/>
  <c r="W189" i="80" s="1"/>
  <c r="W195" i="80" s="1"/>
  <c r="W196" i="80" s="1"/>
  <c r="T93" i="80"/>
  <c r="AJ93" i="80"/>
  <c r="AT80" i="80"/>
  <c r="Q236" i="80" s="1"/>
  <c r="Q261" i="80" s="1"/>
  <c r="AR75" i="80"/>
  <c r="O231" i="80" s="1"/>
  <c r="K93" i="80"/>
  <c r="AS79" i="80"/>
  <c r="P235" i="80" s="1"/>
  <c r="J93" i="80"/>
  <c r="AI80" i="80"/>
  <c r="F236" i="80" s="1"/>
  <c r="AT77" i="80"/>
  <c r="Q233" i="80" s="1"/>
  <c r="AS76" i="80"/>
  <c r="P232" i="80" s="1"/>
  <c r="AW78" i="80"/>
  <c r="T234" i="80" s="1"/>
  <c r="AN78" i="80"/>
  <c r="K234" i="80" s="1"/>
  <c r="P75" i="80"/>
  <c r="O75" i="80"/>
  <c r="N74" i="80"/>
  <c r="T77" i="80"/>
  <c r="N76" i="80"/>
  <c r="L74" i="80"/>
  <c r="L79" i="80"/>
  <c r="O101" i="80"/>
  <c r="O137" i="80" s="1"/>
  <c r="AK102" i="80"/>
  <c r="AE89" i="80"/>
  <c r="AE183" i="80" s="1"/>
  <c r="AG97" i="80"/>
  <c r="AG205" i="80" s="1"/>
  <c r="BI93" i="80"/>
  <c r="BH97" i="80"/>
  <c r="BI96" i="80"/>
  <c r="BF89" i="80"/>
  <c r="AB96" i="80"/>
  <c r="AB210" i="80" s="1"/>
  <c r="Z96" i="80"/>
  <c r="Z210" i="80" s="1"/>
  <c r="AC102" i="80"/>
  <c r="BH76" i="80"/>
  <c r="Z97" i="80"/>
  <c r="Z205" i="80" s="1"/>
  <c r="Y97" i="80"/>
  <c r="Y205" i="80" s="1"/>
  <c r="Z85" i="80"/>
  <c r="W96" i="80"/>
  <c r="W210" i="80" s="1"/>
  <c r="Z88" i="80"/>
  <c r="Z152" i="80" s="1"/>
  <c r="Z157" i="80" s="1"/>
  <c r="BJ76" i="80"/>
  <c r="AA101" i="80"/>
  <c r="AA137" i="80" s="1"/>
  <c r="BI77" i="80"/>
  <c r="AZ89" i="80"/>
  <c r="BE74" i="80"/>
  <c r="BA79" i="80"/>
  <c r="BC93" i="80"/>
  <c r="BF76" i="80"/>
  <c r="AZ78" i="80"/>
  <c r="AR99" i="80"/>
  <c r="AL101" i="80"/>
  <c r="P99" i="80"/>
  <c r="AR88" i="80"/>
  <c r="P89" i="80"/>
  <c r="P183" i="80" s="1"/>
  <c r="P184" i="80" s="1"/>
  <c r="V102" i="80"/>
  <c r="AI89" i="80"/>
  <c r="AP96" i="80"/>
  <c r="I84" i="80"/>
  <c r="AT92" i="80"/>
  <c r="F88" i="80"/>
  <c r="F152" i="80" s="1"/>
  <c r="F157" i="80" s="1"/>
  <c r="T88" i="80"/>
  <c r="T152" i="80" s="1"/>
  <c r="T157" i="80" s="1"/>
  <c r="J99" i="80"/>
  <c r="AT99" i="80"/>
  <c r="R85" i="80"/>
  <c r="Q89" i="80"/>
  <c r="Q183" i="80" s="1"/>
  <c r="Q184" i="80" s="1"/>
  <c r="S89" i="80"/>
  <c r="S183" i="80" s="1"/>
  <c r="S184" i="80" s="1"/>
  <c r="AV92" i="80"/>
  <c r="R88" i="80"/>
  <c r="R152" i="80" s="1"/>
  <c r="R157" i="80" s="1"/>
  <c r="AJ89" i="80"/>
  <c r="I97" i="80"/>
  <c r="I92" i="80"/>
  <c r="P93" i="80"/>
  <c r="V93" i="80"/>
  <c r="AS93" i="80"/>
  <c r="AU78" i="80"/>
  <c r="R234" i="80" s="1"/>
  <c r="AS77" i="80"/>
  <c r="P233" i="80" s="1"/>
  <c r="AO74" i="80"/>
  <c r="AS75" i="80"/>
  <c r="P231" i="80" s="1"/>
  <c r="AW76" i="80"/>
  <c r="T232" i="80" s="1"/>
  <c r="N93" i="80"/>
  <c r="AQ75" i="80"/>
  <c r="N231" i="80" s="1"/>
  <c r="AO77" i="80"/>
  <c r="L233" i="80" s="1"/>
  <c r="AR74" i="80"/>
  <c r="AU80" i="80"/>
  <c r="R236" i="80" s="1"/>
  <c r="R261" i="80" s="1"/>
  <c r="S79" i="80"/>
  <c r="P76" i="80"/>
  <c r="K76" i="80"/>
  <c r="U78" i="80"/>
  <c r="L76" i="80"/>
  <c r="U79" i="80"/>
  <c r="S80" i="80"/>
  <c r="S140" i="80" s="1"/>
  <c r="S141" i="80" s="1"/>
  <c r="AJ101" i="80"/>
  <c r="U101" i="80"/>
  <c r="U137" i="80" s="1"/>
  <c r="AJ102" i="80"/>
  <c r="G101" i="80"/>
  <c r="T102" i="80"/>
  <c r="AG85" i="80"/>
  <c r="BI89" i="80"/>
  <c r="BI75" i="80"/>
  <c r="AE97" i="80"/>
  <c r="AE205" i="80" s="1"/>
  <c r="BI88" i="80"/>
  <c r="BE85" i="80"/>
  <c r="AA97" i="80"/>
  <c r="AA205" i="80" s="1"/>
  <c r="BG89" i="80"/>
  <c r="BF102" i="80"/>
  <c r="AD99" i="80"/>
  <c r="AD199" i="80" s="1"/>
  <c r="Y99" i="80"/>
  <c r="Y199" i="80" s="1"/>
  <c r="BD101" i="80"/>
  <c r="BI76" i="80"/>
  <c r="BH77" i="80"/>
  <c r="Y89" i="80"/>
  <c r="Y183" i="80" s="1"/>
  <c r="AD102" i="80"/>
  <c r="Y102" i="80"/>
  <c r="BH75" i="80"/>
  <c r="W85" i="80"/>
  <c r="BD75" i="80"/>
  <c r="BD77" i="80"/>
  <c r="BE75" i="80"/>
  <c r="BF78" i="80"/>
  <c r="AY76" i="80"/>
  <c r="V232" i="80" s="1"/>
  <c r="V255" i="80" s="1"/>
  <c r="P97" i="80"/>
  <c r="AL96" i="80"/>
  <c r="AX89" i="80"/>
  <c r="AR101" i="80"/>
  <c r="V97" i="80"/>
  <c r="AS102" i="80"/>
  <c r="U96" i="80"/>
  <c r="S96" i="80"/>
  <c r="AT97" i="80"/>
  <c r="AI99" i="80"/>
  <c r="G84" i="80"/>
  <c r="L96" i="80"/>
  <c r="N85" i="80"/>
  <c r="AJ85" i="80"/>
  <c r="AV85" i="80"/>
  <c r="R89" i="80"/>
  <c r="R183" i="80" s="1"/>
  <c r="R184" i="80" s="1"/>
  <c r="F86" i="80"/>
  <c r="H87" i="80"/>
  <c r="T96" i="80"/>
  <c r="AU85" i="80"/>
  <c r="G92" i="80"/>
  <c r="H97" i="80"/>
  <c r="AB93" i="80"/>
  <c r="AB189" i="80" s="1"/>
  <c r="AB195" i="80" s="1"/>
  <c r="AB196" i="80" s="1"/>
  <c r="F93" i="80"/>
  <c r="AR93" i="80"/>
  <c r="AP80" i="80"/>
  <c r="M236" i="80" s="1"/>
  <c r="M261" i="80" s="1"/>
  <c r="AN74" i="80"/>
  <c r="AM77" i="80"/>
  <c r="J233" i="80" s="1"/>
  <c r="AJ79" i="80"/>
  <c r="G235" i="80" s="1"/>
  <c r="AN79" i="80"/>
  <c r="K235" i="80" s="1"/>
  <c r="AM74" i="80"/>
  <c r="AR78" i="80"/>
  <c r="O234" i="80" s="1"/>
  <c r="AN75" i="80"/>
  <c r="K231" i="80" s="1"/>
  <c r="AX75" i="80"/>
  <c r="U231" i="80" s="1"/>
  <c r="AP75" i="80"/>
  <c r="M231" i="80" s="1"/>
  <c r="T78" i="80"/>
  <c r="S78" i="80"/>
  <c r="L75" i="80"/>
  <c r="O78" i="80"/>
  <c r="K77" i="80"/>
  <c r="N77" i="80"/>
  <c r="U75" i="80"/>
  <c r="AU101" i="80"/>
  <c r="AI101" i="80"/>
  <c r="AM102" i="80"/>
  <c r="G102" i="80"/>
  <c r="S102" i="80"/>
  <c r="F8" i="80"/>
  <c r="F74" i="80" s="1"/>
  <c r="AE102" i="80"/>
  <c r="AE101" i="80"/>
  <c r="AE137" i="80" s="1"/>
  <c r="AA99" i="80"/>
  <c r="AA199" i="80" s="1"/>
  <c r="BC101" i="80"/>
  <c r="W97" i="80"/>
  <c r="W205" i="80" s="1"/>
  <c r="BG93" i="80"/>
  <c r="Z89" i="80"/>
  <c r="Z183" i="80" s="1"/>
  <c r="BD85" i="80"/>
  <c r="BE97" i="80"/>
  <c r="AB99" i="80"/>
  <c r="AB199" i="80" s="1"/>
  <c r="BC79" i="80"/>
  <c r="BB80" i="80"/>
  <c r="BG79" i="80"/>
  <c r="AZ76" i="80"/>
  <c r="AQ102" i="80"/>
  <c r="AQ88" i="80"/>
  <c r="AR97" i="80"/>
  <c r="H83" i="80"/>
  <c r="N88" i="80"/>
  <c r="N152" i="80" s="1"/>
  <c r="N157" i="80" s="1"/>
  <c r="AN97" i="80"/>
  <c r="S85" i="80"/>
  <c r="L89" i="80"/>
  <c r="L183" i="80" s="1"/>
  <c r="L184" i="80" s="1"/>
  <c r="AN88" i="80"/>
  <c r="AT89" i="80"/>
  <c r="AN85" i="80"/>
  <c r="F97" i="80"/>
  <c r="X93" i="80"/>
  <c r="X189" i="80" s="1"/>
  <c r="X195" i="80" s="1"/>
  <c r="X196" i="80" s="1"/>
  <c r="AW93" i="80"/>
  <c r="AS80" i="80"/>
  <c r="P236" i="80" s="1"/>
  <c r="P261" i="80" s="1"/>
  <c r="AS78" i="80"/>
  <c r="P234" i="80" s="1"/>
  <c r="AJ76" i="80"/>
  <c r="G232" i="80" s="1"/>
  <c r="AW74" i="80"/>
  <c r="AV80" i="80"/>
  <c r="S236" i="80" s="1"/>
  <c r="S261" i="80" s="1"/>
  <c r="AL78" i="80"/>
  <c r="I234" i="80" s="1"/>
  <c r="N80" i="80"/>
  <c r="N140" i="80" s="1"/>
  <c r="N141" i="80" s="1"/>
  <c r="U74" i="80"/>
  <c r="R80" i="80"/>
  <c r="R140" i="80" s="1"/>
  <c r="Q74" i="80"/>
  <c r="N101" i="80"/>
  <c r="N137" i="80" s="1"/>
  <c r="O102" i="80"/>
  <c r="BH102" i="80"/>
  <c r="BH88" i="80"/>
  <c r="BJ85" i="80"/>
  <c r="BC102" i="80"/>
  <c r="BB96" i="80"/>
  <c r="BI74" i="80"/>
  <c r="BF85" i="80"/>
  <c r="BG88" i="80"/>
  <c r="AZ92" i="80"/>
  <c r="BD92" i="80"/>
  <c r="BG101" i="80"/>
  <c r="BF79" i="80"/>
  <c r="BF80" i="80"/>
  <c r="BG77" i="80"/>
  <c r="AY80" i="80"/>
  <c r="V236" i="80" s="1"/>
  <c r="AS92" i="80"/>
  <c r="AX97" i="80"/>
  <c r="AQ97" i="80"/>
  <c r="Q88" i="80"/>
  <c r="Q152" i="80" s="1"/>
  <c r="Q157" i="80" s="1"/>
  <c r="O88" i="80"/>
  <c r="O152" i="80" s="1"/>
  <c r="O157" i="80" s="1"/>
  <c r="S92" i="80"/>
  <c r="AI96" i="80"/>
  <c r="M96" i="80"/>
  <c r="AM97" i="80"/>
  <c r="U92" i="80"/>
  <c r="R96" i="80"/>
  <c r="F99" i="80"/>
  <c r="U93" i="80"/>
  <c r="AM93" i="80"/>
  <c r="AW79" i="80"/>
  <c r="T235" i="80" s="1"/>
  <c r="L93" i="80"/>
  <c r="AI78" i="80"/>
  <c r="F234" i="80" s="1"/>
  <c r="AR77" i="80"/>
  <c r="O233" i="80" s="1"/>
  <c r="AO80" i="80"/>
  <c r="L236" i="80" s="1"/>
  <c r="L261" i="80" s="1"/>
  <c r="AV76" i="80"/>
  <c r="S232" i="80" s="1"/>
  <c r="J80" i="80"/>
  <c r="J140" i="80" s="1"/>
  <c r="J141" i="80" s="1"/>
  <c r="Q76" i="80"/>
  <c r="L77" i="80"/>
  <c r="Q77" i="80"/>
  <c r="K101" i="80"/>
  <c r="K137" i="80" s="1"/>
  <c r="H101" i="80"/>
  <c r="AE85" i="80"/>
  <c r="BJ102" i="80"/>
  <c r="AG89" i="80"/>
  <c r="AG183" i="80" s="1"/>
  <c r="BB97" i="80"/>
  <c r="BA89" i="80"/>
  <c r="AD92" i="80"/>
  <c r="BD102" i="80"/>
  <c r="AD101" i="80"/>
  <c r="AD137" i="80" s="1"/>
  <c r="X85" i="80"/>
  <c r="BC88" i="80"/>
  <c r="BB102" i="80"/>
  <c r="BF93" i="80"/>
  <c r="BB74" i="80"/>
  <c r="BG75" i="80"/>
  <c r="AR92" i="80"/>
  <c r="AQ99" i="80"/>
  <c r="V88" i="80"/>
  <c r="AX92" i="80"/>
  <c r="J97" i="80"/>
  <c r="AM85" i="80"/>
  <c r="G87" i="80"/>
  <c r="R97" i="80"/>
  <c r="U88" i="80"/>
  <c r="U152" i="80" s="1"/>
  <c r="U157" i="80" s="1"/>
  <c r="AK96" i="80"/>
  <c r="R99" i="80"/>
  <c r="M88" i="80"/>
  <c r="M152" i="80" s="1"/>
  <c r="M157" i="80" s="1"/>
  <c r="F92" i="80"/>
  <c r="AC93" i="80"/>
  <c r="AC189" i="80" s="1"/>
  <c r="AC195" i="80" s="1"/>
  <c r="AC196" i="80" s="1"/>
  <c r="AP93" i="80"/>
  <c r="AI75" i="80"/>
  <c r="F231" i="80" s="1"/>
  <c r="AU76" i="80"/>
  <c r="R232" i="80" s="1"/>
  <c r="AK79" i="80"/>
  <c r="H235" i="80" s="1"/>
  <c r="AL76" i="80"/>
  <c r="I232" i="80" s="1"/>
  <c r="AM80" i="80"/>
  <c r="J236" i="80" s="1"/>
  <c r="J261" i="80" s="1"/>
  <c r="AV77" i="80"/>
  <c r="S233" i="80" s="1"/>
  <c r="T76" i="80"/>
  <c r="R77" i="80"/>
  <c r="M74" i="80"/>
  <c r="Q79" i="80"/>
  <c r="M101" i="80"/>
  <c r="M137" i="80" s="1"/>
  <c r="L102" i="80"/>
  <c r="AE96" i="80"/>
  <c r="AE210" i="80" s="1"/>
  <c r="AG92" i="80"/>
  <c r="BI92" i="80"/>
  <c r="BA92" i="80"/>
  <c r="BC96" i="80"/>
  <c r="AB102" i="80"/>
  <c r="BC97" i="80"/>
  <c r="Y85" i="80"/>
  <c r="BH78" i="80"/>
  <c r="BB85" i="80"/>
  <c r="BB101" i="80"/>
  <c r="AY93" i="80"/>
  <c r="BA77" i="80"/>
  <c r="BG74" i="80"/>
  <c r="AX88" i="80"/>
  <c r="AW88" i="80"/>
  <c r="AR102" i="80"/>
  <c r="AL89" i="80"/>
  <c r="AI88" i="80"/>
  <c r="O89" i="80"/>
  <c r="O183" i="80" s="1"/>
  <c r="O184" i="80" s="1"/>
  <c r="AU89" i="80"/>
  <c r="AV96" i="80"/>
  <c r="AI97" i="80"/>
  <c r="AP99" i="80"/>
  <c r="AU92" i="80"/>
  <c r="Q99" i="80"/>
  <c r="G97" i="80"/>
  <c r="AG93" i="80"/>
  <c r="AG189" i="80" s="1"/>
  <c r="AG195" i="80" s="1"/>
  <c r="AG196" i="80" s="1"/>
  <c r="AN93" i="80"/>
  <c r="AK75" i="80"/>
  <c r="H231" i="80" s="1"/>
  <c r="AX79" i="80"/>
  <c r="U235" i="80" s="1"/>
  <c r="AK76" i="80"/>
  <c r="H232" i="80" s="1"/>
  <c r="AL75" i="80"/>
  <c r="I231" i="80" s="1"/>
  <c r="AI74" i="80"/>
  <c r="AJ78" i="80"/>
  <c r="G234" i="80" s="1"/>
  <c r="Q75" i="80"/>
  <c r="O80" i="80"/>
  <c r="O140" i="80" s="1"/>
  <c r="O141" i="80" s="1"/>
  <c r="P74" i="80"/>
  <c r="J78" i="80"/>
  <c r="P101" i="80"/>
  <c r="P137" i="80" s="1"/>
  <c r="M102" i="80"/>
  <c r="U102" i="80"/>
  <c r="BI85" i="80"/>
  <c r="AF99" i="80"/>
  <c r="AF199" i="80" s="1"/>
  <c r="AF89" i="80"/>
  <c r="AF183" i="80" s="1"/>
  <c r="AZ85" i="80"/>
  <c r="BA85" i="80"/>
  <c r="BF101" i="80"/>
  <c r="BB92" i="80"/>
  <c r="BE96" i="80"/>
  <c r="BG85" i="80"/>
  <c r="AZ101" i="80"/>
  <c r="BF96" i="80"/>
  <c r="BB77" i="80"/>
  <c r="BE80" i="80"/>
  <c r="BG80" i="80"/>
  <c r="AQ85" i="80"/>
  <c r="AQ96" i="80"/>
  <c r="AW99" i="80"/>
  <c r="AW85" i="80"/>
  <c r="J85" i="80"/>
  <c r="AK97" i="80"/>
  <c r="N92" i="80"/>
  <c r="F87" i="80"/>
  <c r="AU96" i="80"/>
  <c r="S97" i="80"/>
  <c r="M99" i="80"/>
  <c r="O85" i="80"/>
  <c r="I88" i="80"/>
  <c r="I152" i="80" s="1"/>
  <c r="I157" i="80" s="1"/>
  <c r="Q93" i="80"/>
  <c r="AX93" i="80"/>
  <c r="AJ75" i="80"/>
  <c r="G231" i="80" s="1"/>
  <c r="AN77" i="80"/>
  <c r="K233" i="80" s="1"/>
  <c r="AI77" i="80"/>
  <c r="F233" i="80" s="1"/>
  <c r="AT76" i="80"/>
  <c r="Q232" i="80" s="1"/>
  <c r="AT75" i="80"/>
  <c r="Q231" i="80" s="1"/>
  <c r="AK77" i="80"/>
  <c r="H233" i="80" s="1"/>
  <c r="T79" i="80"/>
  <c r="P79" i="80"/>
  <c r="K80" i="80"/>
  <c r="K140" i="80" s="1"/>
  <c r="P77" i="80"/>
  <c r="AP102" i="80"/>
  <c r="H102" i="80"/>
  <c r="AF85" i="80"/>
  <c r="BJ92" i="80"/>
  <c r="AA88" i="80"/>
  <c r="AA152" i="80" s="1"/>
  <c r="AA157" i="80" s="1"/>
  <c r="AD85" i="80"/>
  <c r="AC92" i="80"/>
  <c r="AC97" i="80"/>
  <c r="AC205" i="80" s="1"/>
  <c r="BC78" i="80"/>
  <c r="BF74" i="80"/>
  <c r="AL85" i="80"/>
  <c r="AX102" i="80"/>
  <c r="AN92" i="80"/>
  <c r="N96" i="80"/>
  <c r="O99" i="80"/>
  <c r="AU97" i="80"/>
  <c r="AJ88" i="80"/>
  <c r="F96" i="80"/>
  <c r="AI93" i="80"/>
  <c r="AX76" i="80"/>
  <c r="U232" i="80" s="1"/>
  <c r="AT79" i="80"/>
  <c r="Q235" i="80" s="1"/>
  <c r="AM76" i="80"/>
  <c r="J232" i="80" s="1"/>
  <c r="U80" i="80"/>
  <c r="U140" i="80" s="1"/>
  <c r="U141" i="80" s="1"/>
  <c r="K79" i="80"/>
  <c r="AK101" i="80"/>
  <c r="K102" i="80"/>
  <c r="P102" i="80"/>
  <c r="BH89" i="80"/>
  <c r="AD89" i="80"/>
  <c r="AD183" i="80" s="1"/>
  <c r="Y96" i="80"/>
  <c r="Y210" i="80" s="1"/>
  <c r="BA88" i="80"/>
  <c r="AA102" i="80"/>
  <c r="AA92" i="80"/>
  <c r="BC77" i="80"/>
  <c r="BC76" i="80"/>
  <c r="AS89" i="80"/>
  <c r="AS97" i="80"/>
  <c r="AJ96" i="80"/>
  <c r="M97" i="80"/>
  <c r="AN89" i="80"/>
  <c r="AM99" i="80"/>
  <c r="AM88" i="80"/>
  <c r="H85" i="80"/>
  <c r="AT93" i="80"/>
  <c r="AM75" i="80"/>
  <c r="J231" i="80" s="1"/>
  <c r="AQ77" i="80"/>
  <c r="N233" i="80" s="1"/>
  <c r="AQ78" i="80"/>
  <c r="N234" i="80" s="1"/>
  <c r="S74" i="80"/>
  <c r="M76" i="80"/>
  <c r="AV101" i="80"/>
  <c r="AI102" i="80"/>
  <c r="AF88" i="80"/>
  <c r="AF152" i="80" s="1"/>
  <c r="AF157" i="80" s="1"/>
  <c r="AC96" i="80"/>
  <c r="AC210" i="80" s="1"/>
  <c r="BE102" i="80"/>
  <c r="AY102" i="80"/>
  <c r="BF97" i="80"/>
  <c r="BG97" i="80"/>
  <c r="BA75" i="80"/>
  <c r="BG76" i="80"/>
  <c r="V101" i="80"/>
  <c r="V137" i="80" s="1"/>
  <c r="V96" i="80"/>
  <c r="Q96" i="80"/>
  <c r="F83" i="80"/>
  <c r="O96" i="80"/>
  <c r="M92" i="80"/>
  <c r="F89" i="80"/>
  <c r="F183" i="80" s="1"/>
  <c r="F184" i="80" s="1"/>
  <c r="AE93" i="80"/>
  <c r="AE189" i="80" s="1"/>
  <c r="AE195" i="80" s="1"/>
  <c r="AE196" i="80" s="1"/>
  <c r="AU93" i="80"/>
  <c r="AT78" i="80"/>
  <c r="Q234" i="80" s="1"/>
  <c r="AP79" i="80"/>
  <c r="M235" i="80" s="1"/>
  <c r="AX80" i="80"/>
  <c r="U236" i="80" s="1"/>
  <c r="U261" i="80" s="1"/>
  <c r="O79" i="80"/>
  <c r="T75" i="80"/>
  <c r="AT101" i="80"/>
  <c r="F102" i="80"/>
  <c r="BH101" i="80"/>
  <c r="AB97" i="80"/>
  <c r="AB205" i="80" s="1"/>
  <c r="BC92" i="80"/>
  <c r="BB93" i="80"/>
  <c r="BE101" i="80"/>
  <c r="AD97" i="80"/>
  <c r="AD205" i="80" s="1"/>
  <c r="BC80" i="80"/>
  <c r="BG78" i="80"/>
  <c r="AL97" i="80"/>
  <c r="AR89" i="80"/>
  <c r="I83" i="80"/>
  <c r="O97" i="80"/>
  <c r="T97" i="80"/>
  <c r="U97" i="80"/>
  <c r="G99" i="80"/>
  <c r="S93" i="80"/>
  <c r="AW80" i="80"/>
  <c r="T236" i="80" s="1"/>
  <c r="T261" i="80" s="1"/>
  <c r="AQ76" i="80"/>
  <c r="N232" i="80" s="1"/>
  <c r="AR76" i="80"/>
  <c r="O232" i="80" s="1"/>
  <c r="AI76" i="80"/>
  <c r="F232" i="80" s="1"/>
  <c r="L78" i="80"/>
  <c r="J76" i="80"/>
  <c r="AN101" i="80"/>
  <c r="I101" i="80"/>
  <c r="I137" i="80" s="1"/>
  <c r="BH74" i="80"/>
  <c r="X102" i="80"/>
  <c r="BC85" i="80"/>
  <c r="AY101" i="80"/>
  <c r="BD96" i="80"/>
  <c r="BF92" i="80"/>
  <c r="BF77" i="80"/>
  <c r="AZ75" i="80"/>
  <c r="AW89" i="80"/>
  <c r="P88" i="80"/>
  <c r="P152" i="80" s="1"/>
  <c r="P157" i="80" s="1"/>
  <c r="AJ92" i="80"/>
  <c r="L97" i="80"/>
  <c r="N99" i="80"/>
  <c r="Q85" i="80"/>
  <c r="H96" i="80"/>
  <c r="Z93" i="80"/>
  <c r="Z189" i="80" s="1"/>
  <c r="Z195" i="80" s="1"/>
  <c r="Z196" i="80" s="1"/>
  <c r="AV78" i="80"/>
  <c r="S234" i="80" s="1"/>
  <c r="AP74" i="80"/>
  <c r="AU79" i="80"/>
  <c r="R235" i="80" s="1"/>
  <c r="AU77" i="80"/>
  <c r="R233" i="80" s="1"/>
  <c r="T80" i="80"/>
  <c r="T140" i="80" s="1"/>
  <c r="T141" i="80" s="1"/>
  <c r="J75" i="80"/>
  <c r="AU102" i="80"/>
  <c r="AE99" i="80"/>
  <c r="AE199" i="80" s="1"/>
  <c r="AB88" i="80"/>
  <c r="AB152" i="80" s="1"/>
  <c r="AB157" i="80" s="1"/>
  <c r="AZ97" i="80"/>
  <c r="W102" i="80"/>
  <c r="BC89" i="80"/>
  <c r="BA97" i="80"/>
  <c r="BD79" i="80"/>
  <c r="AZ74" i="80"/>
  <c r="AW97" i="80"/>
  <c r="AW102" i="80"/>
  <c r="K96" i="80"/>
  <c r="AP92" i="80"/>
  <c r="T92" i="80"/>
  <c r="AV89" i="80"/>
  <c r="G85" i="80"/>
  <c r="AA93" i="80"/>
  <c r="AA189" i="80" s="1"/>
  <c r="AA195" i="80" s="1"/>
  <c r="AA196" i="80" s="1"/>
  <c r="AL74" i="80"/>
  <c r="AW75" i="80"/>
  <c r="T231" i="80" s="1"/>
  <c r="AR80" i="80"/>
  <c r="O236" i="80" s="1"/>
  <c r="O261" i="80" s="1"/>
  <c r="M80" i="80"/>
  <c r="M140" i="80" s="1"/>
  <c r="M77" i="80"/>
  <c r="R76" i="80"/>
  <c r="AO102" i="80"/>
  <c r="AE88" i="80"/>
  <c r="AE152" i="80" s="1"/>
  <c r="AE157" i="80" s="1"/>
  <c r="BB88" i="80"/>
  <c r="AB92" i="80"/>
  <c r="BD74" i="80"/>
  <c r="AY77" i="80"/>
  <c r="V233" i="80" s="1"/>
  <c r="AW101" i="80"/>
  <c r="AW92" i="80"/>
  <c r="S99" i="80"/>
  <c r="AP85" i="80"/>
  <c r="AJ97" i="80"/>
  <c r="U85" i="80"/>
  <c r="I96" i="80"/>
  <c r="I93" i="80"/>
  <c r="AT74" i="80"/>
  <c r="AR79" i="80"/>
  <c r="O235" i="80" s="1"/>
  <c r="AN80" i="80"/>
  <c r="K236" i="80" s="1"/>
  <c r="K261" i="80" s="1"/>
  <c r="R79" i="80"/>
  <c r="N78" i="80"/>
  <c r="P80" i="80"/>
  <c r="P140" i="80" s="1"/>
  <c r="P141" i="80" s="1"/>
  <c r="AN102" i="80"/>
  <c r="BJ101" i="80"/>
  <c r="Y92" i="80"/>
  <c r="AY89" i="80"/>
  <c r="BA93" i="80"/>
  <c r="AL99" i="80"/>
  <c r="T99" i="80"/>
  <c r="AM96" i="80"/>
  <c r="H93" i="80"/>
  <c r="AO78" i="80"/>
  <c r="L234" i="80" s="1"/>
  <c r="K78" i="80"/>
  <c r="AT102" i="80"/>
  <c r="Y88" i="80"/>
  <c r="Y152" i="80" s="1"/>
  <c r="Y157" i="80" s="1"/>
  <c r="BA101" i="80"/>
  <c r="AY92" i="80"/>
  <c r="AZ80" i="80"/>
  <c r="M89" i="80"/>
  <c r="M183" i="80" s="1"/>
  <c r="M184" i="80" s="1"/>
  <c r="AW77" i="80"/>
  <c r="T233" i="80" s="1"/>
  <c r="R78" i="80"/>
  <c r="AY85" i="80"/>
  <c r="M85" i="80"/>
  <c r="H92" i="80"/>
  <c r="T74" i="80"/>
  <c r="J101" i="80"/>
  <c r="J137" i="80" s="1"/>
  <c r="AF96" i="80"/>
  <c r="AF210" i="80" s="1"/>
  <c r="AK88" i="80"/>
  <c r="F85" i="80"/>
  <c r="AL79" i="80"/>
  <c r="I235" i="80" s="1"/>
  <c r="J79" i="80"/>
  <c r="AM101" i="80"/>
  <c r="BJ75" i="80"/>
  <c r="AO97" i="80"/>
  <c r="G96" i="80"/>
  <c r="AK78" i="80"/>
  <c r="H234" i="80" s="1"/>
  <c r="L80" i="80"/>
  <c r="L140" i="80" s="1"/>
  <c r="L141" i="80" s="1"/>
  <c r="T101" i="80"/>
  <c r="T137" i="80" s="1"/>
  <c r="Z99" i="80"/>
  <c r="Z199" i="80" s="1"/>
  <c r="K89" i="80"/>
  <c r="K183" i="80" s="1"/>
  <c r="K184" i="80" s="1"/>
  <c r="G93" i="80"/>
  <c r="O93" i="80"/>
  <c r="S101" i="80"/>
  <c r="S137" i="80" s="1"/>
  <c r="BJ93" i="80"/>
  <c r="BG92" i="80"/>
  <c r="X88" i="80"/>
  <c r="X152" i="80" s="1"/>
  <c r="X157" i="80" s="1"/>
  <c r="BA80" i="80"/>
  <c r="AW96" i="80"/>
  <c r="AT88" i="80"/>
  <c r="K85" i="80"/>
  <c r="AQ93" i="80"/>
  <c r="AJ77" i="80"/>
  <c r="G233" i="80" s="1"/>
  <c r="M78" i="80"/>
  <c r="I102" i="80"/>
  <c r="L92" i="80"/>
  <c r="AK85" i="80"/>
  <c r="N89" i="80"/>
  <c r="N183" i="80" s="1"/>
  <c r="N184" i="80" s="1"/>
  <c r="Z102" i="80"/>
  <c r="BE88" i="80"/>
  <c r="AV88" i="80"/>
  <c r="BJ78" i="80"/>
  <c r="BF88" i="80"/>
  <c r="BJ77" i="80"/>
  <c r="BA78" i="80"/>
  <c r="AL92" i="80"/>
  <c r="J88" i="80"/>
  <c r="J152" i="80" s="1"/>
  <c r="J157" i="80" s="1"/>
  <c r="S88" i="80"/>
  <c r="S152" i="80" s="1"/>
  <c r="S157" i="80" s="1"/>
  <c r="AL93" i="80"/>
  <c r="AO75" i="80"/>
  <c r="L231" i="80" s="1"/>
  <c r="N79" i="80"/>
  <c r="J102" i="80"/>
  <c r="BH96" i="80"/>
  <c r="I85" i="80"/>
  <c r="AZ77" i="80"/>
  <c r="J89" i="80"/>
  <c r="J183" i="80" s="1"/>
  <c r="J184" i="80" s="1"/>
  <c r="AI92" i="80"/>
  <c r="AQ92" i="80"/>
  <c r="AG99" i="80"/>
  <c r="AG199" i="80" s="1"/>
  <c r="X99" i="80"/>
  <c r="X199" i="80" s="1"/>
  <c r="AC101" i="80"/>
  <c r="AC137" i="80" s="1"/>
  <c r="BC75" i="80"/>
  <c r="AR96" i="80"/>
  <c r="AM92" i="80"/>
  <c r="H84" i="80"/>
  <c r="AV93" i="80"/>
  <c r="AV74" i="80"/>
  <c r="S77" i="80"/>
  <c r="BD76" i="80"/>
  <c r="O76" i="80"/>
  <c r="BI80" i="80"/>
  <c r="AX101" i="80"/>
  <c r="AX96" i="80"/>
  <c r="BD80" i="80"/>
  <c r="AF102" i="80"/>
  <c r="AB101" i="80"/>
  <c r="AB137" i="80" s="1"/>
  <c r="AZ102" i="80"/>
  <c r="BB76" i="80"/>
  <c r="V89" i="80"/>
  <c r="V183" i="80" s="1"/>
  <c r="AM89" i="80"/>
  <c r="AV97" i="80"/>
  <c r="AU75" i="80"/>
  <c r="R231" i="80" s="1"/>
  <c r="AJ74" i="80"/>
  <c r="M79" i="80"/>
  <c r="BJ97" i="80"/>
  <c r="BG102" i="80"/>
  <c r="AY96" i="80"/>
  <c r="BE77" i="80"/>
  <c r="AR85" i="80"/>
  <c r="L99" i="80"/>
  <c r="U99" i="80"/>
  <c r="U199" i="80" s="1"/>
  <c r="AQ79" i="80"/>
  <c r="N235" i="80" s="1"/>
  <c r="AL80" i="80"/>
  <c r="I236" i="80" s="1"/>
  <c r="K74" i="80"/>
  <c r="BE93" i="80"/>
  <c r="L85" i="80"/>
  <c r="G89" i="80"/>
  <c r="G183" i="80" s="1"/>
  <c r="G184" i="80" s="1"/>
  <c r="AP78" i="80"/>
  <c r="M234" i="80" s="1"/>
  <c r="AQ74" i="80"/>
  <c r="U76" i="80"/>
  <c r="BJ96" i="80"/>
  <c r="AF101" i="80"/>
  <c r="AF137" i="80" s="1"/>
  <c r="AV79" i="80"/>
  <c r="S235" i="80" s="1"/>
  <c r="W89" i="80"/>
  <c r="W183" i="80" s="1"/>
  <c r="BD89" i="80"/>
  <c r="AB85" i="80"/>
  <c r="R74" i="80"/>
  <c r="G78" i="80"/>
  <c r="H78" i="80"/>
  <c r="I75" i="80"/>
  <c r="G80" i="80"/>
  <c r="G140" i="80" s="1"/>
  <c r="G141" i="80" s="1"/>
  <c r="H75" i="80"/>
  <c r="F76" i="80"/>
  <c r="I78" i="80"/>
  <c r="I74" i="80"/>
  <c r="I76" i="80"/>
  <c r="I79" i="80"/>
  <c r="I77" i="80"/>
  <c r="H79" i="80"/>
  <c r="G75" i="80"/>
  <c r="H77" i="80"/>
  <c r="F77" i="80"/>
  <c r="G76" i="80"/>
  <c r="H74" i="80"/>
  <c r="G74" i="80"/>
  <c r="H80" i="80"/>
  <c r="H140" i="80" s="1"/>
  <c r="F78" i="80"/>
  <c r="F80" i="80"/>
  <c r="F140" i="80" s="1"/>
  <c r="F141" i="80" s="1"/>
  <c r="G77" i="80"/>
  <c r="H76" i="80"/>
  <c r="F79" i="80"/>
  <c r="G79" i="80"/>
  <c r="F75" i="80"/>
  <c r="I80" i="80"/>
  <c r="I140" i="80" s="1"/>
  <c r="I141" i="80" s="1"/>
  <c r="V102" i="81"/>
  <c r="Q102" i="81"/>
  <c r="AG102" i="81"/>
  <c r="BA97" i="81"/>
  <c r="W85" i="81"/>
  <c r="AC85" i="81"/>
  <c r="AZ96" i="81"/>
  <c r="BJ96" i="81"/>
  <c r="BH102" i="81"/>
  <c r="BC88" i="81"/>
  <c r="Y88" i="81"/>
  <c r="Y152" i="81" s="1"/>
  <c r="Y157" i="81" s="1"/>
  <c r="Y97" i="81"/>
  <c r="Y205" i="81" s="1"/>
  <c r="BI97" i="81"/>
  <c r="AG96" i="81"/>
  <c r="AG210" i="81" s="1"/>
  <c r="BC97" i="81"/>
  <c r="BF101" i="81"/>
  <c r="AF102" i="81"/>
  <c r="AD102" i="81"/>
  <c r="BA96" i="81"/>
  <c r="BJ97" i="81"/>
  <c r="X102" i="81"/>
  <c r="Z102" i="81"/>
  <c r="AC102" i="81"/>
  <c r="BA93" i="81"/>
  <c r="BI101" i="81"/>
  <c r="AE102" i="81"/>
  <c r="AZ89" i="81"/>
  <c r="BH85" i="81"/>
  <c r="BB97" i="81"/>
  <c r="AY88" i="81"/>
  <c r="Y99" i="81"/>
  <c r="Y199" i="81" s="1"/>
  <c r="W99" i="81"/>
  <c r="W199" i="81" s="1"/>
  <c r="BC102" i="81"/>
  <c r="AY97" i="81"/>
  <c r="Z92" i="81"/>
  <c r="W97" i="81"/>
  <c r="W205" i="81" s="1"/>
  <c r="BF85" i="81"/>
  <c r="AA89" i="81"/>
  <c r="AA183" i="81" s="1"/>
  <c r="BF93" i="81"/>
  <c r="BA102" i="81"/>
  <c r="BH97" i="81"/>
  <c r="X92" i="81"/>
  <c r="W88" i="81"/>
  <c r="W152" i="81" s="1"/>
  <c r="W157" i="81" s="1"/>
  <c r="BH92" i="81"/>
  <c r="Z85" i="81"/>
  <c r="AY92" i="81"/>
  <c r="BI85" i="81"/>
  <c r="BG88" i="81"/>
  <c r="BC93" i="81"/>
  <c r="BF92" i="81"/>
  <c r="BE102" i="81"/>
  <c r="AD96" i="81"/>
  <c r="AD210" i="81" s="1"/>
  <c r="BB89" i="81"/>
  <c r="BC77" i="81"/>
  <c r="BE74" i="81"/>
  <c r="BB75" i="81"/>
  <c r="BG77" i="81"/>
  <c r="BF77" i="81"/>
  <c r="AZ76" i="81"/>
  <c r="AQ96" i="81"/>
  <c r="AX101" i="81"/>
  <c r="AW102" i="81"/>
  <c r="AW99" i="81"/>
  <c r="P97" i="81"/>
  <c r="AW96" i="81"/>
  <c r="J96" i="81"/>
  <c r="R88" i="81"/>
  <c r="R152" i="81" s="1"/>
  <c r="R157" i="81" s="1"/>
  <c r="T85" i="81"/>
  <c r="L89" i="81"/>
  <c r="L183" i="81" s="1"/>
  <c r="L184" i="81" s="1"/>
  <c r="S85" i="81"/>
  <c r="AK85" i="81"/>
  <c r="AI99" i="81"/>
  <c r="AJ88" i="81"/>
  <c r="H84" i="81"/>
  <c r="O92" i="81"/>
  <c r="T99" i="81"/>
  <c r="R96" i="81"/>
  <c r="AV96" i="81"/>
  <c r="S97" i="81"/>
  <c r="F99" i="81"/>
  <c r="G96" i="81"/>
  <c r="AF93" i="81"/>
  <c r="AF189" i="81" s="1"/>
  <c r="AF195" i="81" s="1"/>
  <c r="AF196" i="81" s="1"/>
  <c r="G93" i="81"/>
  <c r="AJ93" i="81"/>
  <c r="AO80" i="81"/>
  <c r="L236" i="81" s="1"/>
  <c r="L261" i="81" s="1"/>
  <c r="AK78" i="81"/>
  <c r="H234" i="81" s="1"/>
  <c r="AW78" i="81"/>
  <c r="T234" i="81" s="1"/>
  <c r="AM76" i="81"/>
  <c r="J232" i="81" s="1"/>
  <c r="K74" i="81"/>
  <c r="AJ75" i="81"/>
  <c r="G231" i="81" s="1"/>
  <c r="AP77" i="81"/>
  <c r="M233" i="81" s="1"/>
  <c r="AT78" i="81"/>
  <c r="Q234" i="81" s="1"/>
  <c r="AO75" i="81"/>
  <c r="L231" i="81" s="1"/>
  <c r="AI77" i="81"/>
  <c r="F233" i="81" s="1"/>
  <c r="M93" i="81"/>
  <c r="AQ75" i="81"/>
  <c r="N231" i="81" s="1"/>
  <c r="J74" i="81"/>
  <c r="N78" i="81"/>
  <c r="J79" i="81"/>
  <c r="N75" i="81"/>
  <c r="U75" i="81"/>
  <c r="AU101" i="81"/>
  <c r="J102" i="81"/>
  <c r="AB101" i="81"/>
  <c r="AB137" i="81" s="1"/>
  <c r="V101" i="81"/>
  <c r="V137" i="81" s="1"/>
  <c r="M102" i="81"/>
  <c r="U102" i="81"/>
  <c r="BA101" i="81"/>
  <c r="AC92" i="81"/>
  <c r="AZ102" i="81"/>
  <c r="BJ102" i="81"/>
  <c r="BG89" i="81"/>
  <c r="BC92" i="81"/>
  <c r="BJ89" i="81"/>
  <c r="X97" i="81"/>
  <c r="X205" i="81" s="1"/>
  <c r="BD74" i="81"/>
  <c r="BB88" i="81"/>
  <c r="BE89" i="81"/>
  <c r="BE101" i="81"/>
  <c r="AC89" i="81"/>
  <c r="AC183" i="81" s="1"/>
  <c r="BB101" i="81"/>
  <c r="BC76" i="81"/>
  <c r="BG78" i="81"/>
  <c r="BJ76" i="81"/>
  <c r="BB77" i="81"/>
  <c r="BF76" i="81"/>
  <c r="AY80" i="81"/>
  <c r="V236" i="81" s="1"/>
  <c r="AX89" i="81"/>
  <c r="AR88" i="81"/>
  <c r="AS92" i="81"/>
  <c r="V97" i="81"/>
  <c r="AR92" i="81"/>
  <c r="AL92" i="81"/>
  <c r="R92" i="81"/>
  <c r="O97" i="81"/>
  <c r="AU96" i="81"/>
  <c r="R89" i="81"/>
  <c r="R183" i="81" s="1"/>
  <c r="R184" i="81" s="1"/>
  <c r="AN97" i="81"/>
  <c r="N85" i="81"/>
  <c r="I84" i="81"/>
  <c r="G87" i="81"/>
  <c r="J99" i="81"/>
  <c r="AJ92" i="81"/>
  <c r="T92" i="81"/>
  <c r="AI88" i="81"/>
  <c r="J92" i="81"/>
  <c r="I92" i="81"/>
  <c r="G99" i="81"/>
  <c r="I89" i="81"/>
  <c r="I183" i="81" s="1"/>
  <c r="I184" i="81" s="1"/>
  <c r="U93" i="81"/>
  <c r="Y102" i="81"/>
  <c r="BA92" i="81"/>
  <c r="BG101" i="81"/>
  <c r="AZ101" i="81"/>
  <c r="BJ93" i="81"/>
  <c r="BG85" i="81"/>
  <c r="BB85" i="81"/>
  <c r="BJ88" i="81"/>
  <c r="AG88" i="81"/>
  <c r="AG152" i="81" s="1"/>
  <c r="AG157" i="81" s="1"/>
  <c r="AE88" i="81"/>
  <c r="AE152" i="81" s="1"/>
  <c r="AE157" i="81" s="1"/>
  <c r="AD99" i="81"/>
  <c r="AD199" i="81" s="1"/>
  <c r="BE88" i="81"/>
  <c r="BE97" i="81"/>
  <c r="AB88" i="81"/>
  <c r="AB152" i="81" s="1"/>
  <c r="AB157" i="81" s="1"/>
  <c r="BA85" i="81"/>
  <c r="BF75" i="81"/>
  <c r="BI74" i="81"/>
  <c r="BA80" i="81"/>
  <c r="BJ77" i="81"/>
  <c r="BG75" i="81"/>
  <c r="AY77" i="81"/>
  <c r="V233" i="81" s="1"/>
  <c r="AQ88" i="81"/>
  <c r="AS101" i="81"/>
  <c r="V92" i="81"/>
  <c r="AS85" i="81"/>
  <c r="P89" i="81"/>
  <c r="P183" i="81" s="1"/>
  <c r="P184" i="81" s="1"/>
  <c r="AW88" i="81"/>
  <c r="AV88" i="81"/>
  <c r="AT85" i="81"/>
  <c r="O96" i="81"/>
  <c r="F83" i="81"/>
  <c r="AP89" i="81"/>
  <c r="AP96" i="81"/>
  <c r="AN88" i="81"/>
  <c r="AU97" i="81"/>
  <c r="AJ89" i="81"/>
  <c r="AU89" i="81"/>
  <c r="AV89" i="81"/>
  <c r="AK97" i="81"/>
  <c r="AN99" i="81"/>
  <c r="P102" i="81"/>
  <c r="AZ88" i="81"/>
  <c r="BG96" i="81"/>
  <c r="AZ97" i="81"/>
  <c r="BI88" i="81"/>
  <c r="AF89" i="81"/>
  <c r="AF183" i="81" s="1"/>
  <c r="AB96" i="81"/>
  <c r="AB210" i="81" s="1"/>
  <c r="BJ85" i="81"/>
  <c r="AA92" i="81"/>
  <c r="BG97" i="81"/>
  <c r="Y85" i="81"/>
  <c r="BE85" i="81"/>
  <c r="BE96" i="81"/>
  <c r="AA85" i="81"/>
  <c r="AA96" i="81"/>
  <c r="AA210" i="81" s="1"/>
  <c r="BG74" i="81"/>
  <c r="BA76" i="81"/>
  <c r="BH80" i="81"/>
  <c r="BC75" i="81"/>
  <c r="BH77" i="81"/>
  <c r="AY76" i="81"/>
  <c r="V232" i="81" s="1"/>
  <c r="V255" i="81" s="1"/>
  <c r="AW97" i="81"/>
  <c r="AW89" i="81"/>
  <c r="V99" i="81"/>
  <c r="V199" i="81" s="1"/>
  <c r="AL102" i="81"/>
  <c r="AR85" i="81"/>
  <c r="AL85" i="81"/>
  <c r="AN92" i="81"/>
  <c r="I87" i="81"/>
  <c r="F87" i="81"/>
  <c r="L99" i="81"/>
  <c r="Q99" i="81"/>
  <c r="Q85" i="81"/>
  <c r="Q88" i="81"/>
  <c r="Q152" i="81" s="1"/>
  <c r="Q157" i="81" s="1"/>
  <c r="AM92" i="81"/>
  <c r="AM99" i="81"/>
  <c r="M88" i="81"/>
  <c r="M152" i="81" s="1"/>
  <c r="M157" i="81" s="1"/>
  <c r="AI89" i="81"/>
  <c r="J88" i="81"/>
  <c r="J152" i="81" s="1"/>
  <c r="J157" i="81" s="1"/>
  <c r="R99" i="81"/>
  <c r="G92" i="81"/>
  <c r="F97" i="81"/>
  <c r="I99" i="81"/>
  <c r="X93" i="81"/>
  <c r="X189" i="81" s="1"/>
  <c r="X195" i="81" s="1"/>
  <c r="X196" i="81" s="1"/>
  <c r="AZ85" i="81"/>
  <c r="BF89" i="81"/>
  <c r="AZ92" i="81"/>
  <c r="BI80" i="81"/>
  <c r="AD85" i="81"/>
  <c r="Z88" i="81"/>
  <c r="Z152" i="81" s="1"/>
  <c r="Z157" i="81" s="1"/>
  <c r="BJ80" i="81"/>
  <c r="BI92" i="81"/>
  <c r="BG93" i="81"/>
  <c r="BB102" i="81"/>
  <c r="BB74" i="81"/>
  <c r="BE92" i="81"/>
  <c r="AF92" i="81"/>
  <c r="BA77" i="81"/>
  <c r="BH74" i="81"/>
  <c r="BF79" i="81"/>
  <c r="BD75" i="81"/>
  <c r="BD76" i="81"/>
  <c r="BI76" i="81"/>
  <c r="AY79" i="81"/>
  <c r="V235" i="81" s="1"/>
  <c r="AL96" i="81"/>
  <c r="AQ101" i="81"/>
  <c r="AR101" i="81"/>
  <c r="P92" i="81"/>
  <c r="AR102" i="81"/>
  <c r="AR96" i="81"/>
  <c r="AJ96" i="81"/>
  <c r="L85" i="81"/>
  <c r="O88" i="81"/>
  <c r="O152" i="81" s="1"/>
  <c r="O157" i="81" s="1"/>
  <c r="N99" i="81"/>
  <c r="AM97" i="81"/>
  <c r="N88" i="81"/>
  <c r="N152" i="81" s="1"/>
  <c r="N157" i="81" s="1"/>
  <c r="S99" i="81"/>
  <c r="M89" i="81"/>
  <c r="M183" i="81" s="1"/>
  <c r="M184" i="81" s="1"/>
  <c r="M92" i="81"/>
  <c r="AN85" i="81"/>
  <c r="AO92" i="81"/>
  <c r="AM96" i="81"/>
  <c r="S89" i="81"/>
  <c r="S183" i="81" s="1"/>
  <c r="S184" i="81" s="1"/>
  <c r="H85" i="81"/>
  <c r="H88" i="81"/>
  <c r="H152" i="81" s="1"/>
  <c r="H157" i="81" s="1"/>
  <c r="AB93" i="81"/>
  <c r="AB189" i="81" s="1"/>
  <c r="AB195" i="81" s="1"/>
  <c r="AB196" i="81" s="1"/>
  <c r="S93" i="81"/>
  <c r="AI93" i="81"/>
  <c r="AV93" i="81"/>
  <c r="K78" i="81"/>
  <c r="O77" i="81"/>
  <c r="AR76" i="81"/>
  <c r="O232" i="81" s="1"/>
  <c r="AK80" i="81"/>
  <c r="H236" i="81" s="1"/>
  <c r="AU79" i="81"/>
  <c r="R235" i="81" s="1"/>
  <c r="S79" i="81"/>
  <c r="O78" i="81"/>
  <c r="N93" i="81"/>
  <c r="AK79" i="81"/>
  <c r="H235" i="81" s="1"/>
  <c r="AU80" i="81"/>
  <c r="R236" i="81" s="1"/>
  <c r="R261" i="81" s="1"/>
  <c r="O74" i="81"/>
  <c r="U78" i="81"/>
  <c r="T80" i="81"/>
  <c r="T140" i="81" s="1"/>
  <c r="T141" i="81" s="1"/>
  <c r="N77" i="81"/>
  <c r="J76" i="81"/>
  <c r="M74" i="81"/>
  <c r="AP101" i="81"/>
  <c r="AO101" i="81"/>
  <c r="Q101" i="81"/>
  <c r="Q137" i="81" s="1"/>
  <c r="J101" i="81"/>
  <c r="J137" i="81" s="1"/>
  <c r="H102" i="81"/>
  <c r="T102" i="81"/>
  <c r="AE85" i="81"/>
  <c r="Z97" i="81"/>
  <c r="Z205" i="81" s="1"/>
  <c r="BF88" i="81"/>
  <c r="Z99" i="81"/>
  <c r="Z199" i="81" s="1"/>
  <c r="BH96" i="81"/>
  <c r="AD92" i="81"/>
  <c r="BD89" i="81"/>
  <c r="BC89" i="81"/>
  <c r="BB80" i="81"/>
  <c r="BE75" i="81"/>
  <c r="BE76" i="81"/>
  <c r="AW101" i="81"/>
  <c r="AX92" i="81"/>
  <c r="V85" i="81"/>
  <c r="AL99" i="81"/>
  <c r="J85" i="81"/>
  <c r="AP97" i="81"/>
  <c r="M99" i="81"/>
  <c r="AI92" i="81"/>
  <c r="G86" i="81"/>
  <c r="AO97" i="81"/>
  <c r="J97" i="81"/>
  <c r="AJ85" i="81"/>
  <c r="H99" i="81"/>
  <c r="AD93" i="81"/>
  <c r="AD189" i="81" s="1"/>
  <c r="AD195" i="81" s="1"/>
  <c r="AD196" i="81" s="1"/>
  <c r="AR93" i="81"/>
  <c r="AO93" i="81"/>
  <c r="L77" i="81"/>
  <c r="AN78" i="81"/>
  <c r="K234" i="81" s="1"/>
  <c r="L80" i="81"/>
  <c r="L140" i="81" s="1"/>
  <c r="L141" i="81" s="1"/>
  <c r="O93" i="81"/>
  <c r="AV79" i="81"/>
  <c r="S235" i="81" s="1"/>
  <c r="AW79" i="81"/>
  <c r="T235" i="81" s="1"/>
  <c r="AU76" i="81"/>
  <c r="R232" i="81" s="1"/>
  <c r="AO76" i="81"/>
  <c r="L232" i="81" s="1"/>
  <c r="N74" i="81"/>
  <c r="P78" i="81"/>
  <c r="R78" i="81"/>
  <c r="T77" i="81"/>
  <c r="M78" i="81"/>
  <c r="Q75" i="81"/>
  <c r="AV102" i="81"/>
  <c r="AG101" i="81"/>
  <c r="AG137" i="81" s="1"/>
  <c r="AA101" i="81"/>
  <c r="AA137" i="81" s="1"/>
  <c r="I102" i="81"/>
  <c r="AI102" i="81"/>
  <c r="S77" i="81"/>
  <c r="S102" i="81"/>
  <c r="AB99" i="81"/>
  <c r="AB199" i="81" s="1"/>
  <c r="BG76" i="81"/>
  <c r="AQ99" i="81"/>
  <c r="BC74" i="81"/>
  <c r="Y96" i="81"/>
  <c r="Y210" i="81" s="1"/>
  <c r="AF96" i="81"/>
  <c r="AF210" i="81" s="1"/>
  <c r="X96" i="81"/>
  <c r="X210" i="81" s="1"/>
  <c r="BH93" i="81"/>
  <c r="BF102" i="81"/>
  <c r="BD88" i="81"/>
  <c r="BE77" i="81"/>
  <c r="BG79" i="81"/>
  <c r="BH78" i="81"/>
  <c r="BD80" i="81"/>
  <c r="AX97" i="81"/>
  <c r="AX85" i="81"/>
  <c r="P99" i="81"/>
  <c r="N97" i="81"/>
  <c r="L97" i="81"/>
  <c r="K88" i="81"/>
  <c r="K152" i="81" s="1"/>
  <c r="K157" i="81" s="1"/>
  <c r="S96" i="81"/>
  <c r="AU88" i="81"/>
  <c r="Q89" i="81"/>
  <c r="Q183" i="81" s="1"/>
  <c r="Q184" i="81" s="1"/>
  <c r="Q92" i="81"/>
  <c r="AM89" i="81"/>
  <c r="U92" i="81"/>
  <c r="F89" i="81"/>
  <c r="F183" i="81" s="1"/>
  <c r="F184" i="81" s="1"/>
  <c r="AA93" i="81"/>
  <c r="AA189" i="81" s="1"/>
  <c r="AA195" i="81" s="1"/>
  <c r="AA196" i="81" s="1"/>
  <c r="AP93" i="81"/>
  <c r="AP74" i="81"/>
  <c r="AS80" i="81"/>
  <c r="P236" i="81" s="1"/>
  <c r="P261" i="81" s="1"/>
  <c r="L78" i="81"/>
  <c r="AI80" i="81"/>
  <c r="F236" i="81" s="1"/>
  <c r="AO79" i="81"/>
  <c r="L235" i="81" s="1"/>
  <c r="O79" i="81"/>
  <c r="AS76" i="81"/>
  <c r="P232" i="81" s="1"/>
  <c r="AQ76" i="81"/>
  <c r="N232" i="81" s="1"/>
  <c r="AW77" i="81"/>
  <c r="T233" i="81" s="1"/>
  <c r="L74" i="81"/>
  <c r="M75" i="81"/>
  <c r="S76" i="81"/>
  <c r="R75" i="81"/>
  <c r="Q79" i="81"/>
  <c r="R76" i="81"/>
  <c r="AK102" i="81"/>
  <c r="U101" i="81"/>
  <c r="U137" i="81" s="1"/>
  <c r="AM102" i="81"/>
  <c r="J77" i="81"/>
  <c r="AA102" i="81"/>
  <c r="AC96" i="81"/>
  <c r="AC210" i="81" s="1"/>
  <c r="X89" i="81"/>
  <c r="X183" i="81" s="1"/>
  <c r="AE89" i="81"/>
  <c r="AE183" i="81" s="1"/>
  <c r="W89" i="81"/>
  <c r="W183" i="81" s="1"/>
  <c r="AG97" i="81"/>
  <c r="AG205" i="81" s="1"/>
  <c r="BF97" i="81"/>
  <c r="BD85" i="81"/>
  <c r="BC78" i="81"/>
  <c r="BJ79" i="81"/>
  <c r="BD79" i="81"/>
  <c r="AY93" i="81"/>
  <c r="AL88" i="81"/>
  <c r="AL97" i="81"/>
  <c r="P85" i="81"/>
  <c r="AN96" i="81"/>
  <c r="AV92" i="81"/>
  <c r="J89" i="81"/>
  <c r="J183" i="81" s="1"/>
  <c r="J184" i="81" s="1"/>
  <c r="AO99" i="81"/>
  <c r="AI97" i="81"/>
  <c r="AK99" i="81"/>
  <c r="AJ99" i="81"/>
  <c r="I85" i="81"/>
  <c r="R85" i="81"/>
  <c r="I96" i="81"/>
  <c r="Z93" i="81"/>
  <c r="Z189" i="81" s="1"/>
  <c r="Z195" i="81" s="1"/>
  <c r="Z196" i="81" s="1"/>
  <c r="AW93" i="81"/>
  <c r="AW80" i="81"/>
  <c r="T236" i="81" s="1"/>
  <c r="T261" i="81" s="1"/>
  <c r="AT76" i="81"/>
  <c r="Q232" i="81" s="1"/>
  <c r="AP75" i="81"/>
  <c r="M231" i="81" s="1"/>
  <c r="AU78" i="81"/>
  <c r="R234" i="81" s="1"/>
  <c r="AP80" i="81"/>
  <c r="M236" i="81" s="1"/>
  <c r="M261" i="81" s="1"/>
  <c r="AQ74" i="81"/>
  <c r="AK76" i="81"/>
  <c r="H232" i="81" s="1"/>
  <c r="AS74" i="81"/>
  <c r="AQ79" i="81"/>
  <c r="N235" i="81" s="1"/>
  <c r="L76" i="81"/>
  <c r="T79" i="81"/>
  <c r="Q76" i="81"/>
  <c r="U76" i="81"/>
  <c r="P77" i="81"/>
  <c r="AM101" i="81"/>
  <c r="AF101" i="81"/>
  <c r="AF137" i="81" s="1"/>
  <c r="AT102" i="81"/>
  <c r="AU102" i="81"/>
  <c r="R102" i="81"/>
  <c r="BC96" i="81"/>
  <c r="W96" i="81"/>
  <c r="W210" i="81" s="1"/>
  <c r="AE99" i="81"/>
  <c r="AE199" i="81" s="1"/>
  <c r="AG85" i="81"/>
  <c r="AD88" i="81"/>
  <c r="AD152" i="81" s="1"/>
  <c r="AD157" i="81" s="1"/>
  <c r="BF96" i="81"/>
  <c r="BA74" i="81"/>
  <c r="BF78" i="81"/>
  <c r="BD78" i="81"/>
  <c r="BD77" i="81"/>
  <c r="AY78" i="81"/>
  <c r="V234" i="81" s="1"/>
  <c r="AQ97" i="81"/>
  <c r="AW85" i="81"/>
  <c r="AW92" i="81"/>
  <c r="AK96" i="81"/>
  <c r="AK92" i="81"/>
  <c r="U97" i="81"/>
  <c r="T96" i="81"/>
  <c r="F84" i="81"/>
  <c r="K99" i="81"/>
  <c r="I83" i="81"/>
  <c r="U99" i="81"/>
  <c r="U199" i="81" s="1"/>
  <c r="F92" i="81"/>
  <c r="G97" i="81"/>
  <c r="T93" i="81"/>
  <c r="AM93" i="81"/>
  <c r="AQ78" i="81"/>
  <c r="N234" i="81" s="1"/>
  <c r="AM74" i="81"/>
  <c r="AS77" i="81"/>
  <c r="P233" i="81" s="1"/>
  <c r="AM79" i="81"/>
  <c r="J235" i="81" s="1"/>
  <c r="AW75" i="81"/>
  <c r="T231" i="81" s="1"/>
  <c r="AV74" i="81"/>
  <c r="AN76" i="81"/>
  <c r="K232" i="81" s="1"/>
  <c r="AQ77" i="81"/>
  <c r="N233" i="81" s="1"/>
  <c r="AR77" i="81"/>
  <c r="O233" i="81" s="1"/>
  <c r="AQ80" i="81"/>
  <c r="N236" i="81" s="1"/>
  <c r="N261" i="81" s="1"/>
  <c r="R80" i="81"/>
  <c r="R140" i="81" s="1"/>
  <c r="M80" i="81"/>
  <c r="M140" i="81" s="1"/>
  <c r="P74" i="81"/>
  <c r="Q78" i="81"/>
  <c r="AN101" i="81"/>
  <c r="R101" i="81"/>
  <c r="R137" i="81" s="1"/>
  <c r="T101" i="81"/>
  <c r="T137" i="81" s="1"/>
  <c r="G102" i="81"/>
  <c r="P79" i="81"/>
  <c r="W102" i="81"/>
  <c r="F8" i="81"/>
  <c r="F74" i="81" s="1"/>
  <c r="AC97" i="81"/>
  <c r="AC205" i="81" s="1"/>
  <c r="BI102" i="81"/>
  <c r="AB89" i="81"/>
  <c r="AB183" i="81" s="1"/>
  <c r="BJ101" i="81"/>
  <c r="BC85" i="81"/>
  <c r="AG99" i="81"/>
  <c r="AG199" i="81" s="1"/>
  <c r="AF99" i="81"/>
  <c r="AF199" i="81" s="1"/>
  <c r="BH75" i="81"/>
  <c r="BA78" i="81"/>
  <c r="BB76" i="81"/>
  <c r="AY74" i="81"/>
  <c r="AX102" i="81"/>
  <c r="AS97" i="81"/>
  <c r="AS102" i="81"/>
  <c r="F86" i="81"/>
  <c r="AP88" i="81"/>
  <c r="U85" i="81"/>
  <c r="T89" i="81"/>
  <c r="T183" i="81" s="1"/>
  <c r="T184" i="81" s="1"/>
  <c r="L92" i="81"/>
  <c r="AU99" i="81"/>
  <c r="U89" i="81"/>
  <c r="U183" i="81" s="1"/>
  <c r="U184" i="81" s="1"/>
  <c r="U88" i="81"/>
  <c r="U152" i="81" s="1"/>
  <c r="U157" i="81" s="1"/>
  <c r="F88" i="81"/>
  <c r="F152" i="81" s="1"/>
  <c r="F157" i="81" s="1"/>
  <c r="G89" i="81"/>
  <c r="G183" i="81" s="1"/>
  <c r="G184" i="81" s="1"/>
  <c r="AE93" i="81"/>
  <c r="AE189" i="81" s="1"/>
  <c r="AE195" i="81" s="1"/>
  <c r="AE196" i="81" s="1"/>
  <c r="AK93" i="81"/>
  <c r="AX80" i="81"/>
  <c r="U236" i="81" s="1"/>
  <c r="U261" i="81" s="1"/>
  <c r="L93" i="81"/>
  <c r="AX77" i="81"/>
  <c r="U233" i="81" s="1"/>
  <c r="AT80" i="81"/>
  <c r="Q236" i="81" s="1"/>
  <c r="Q261" i="81" s="1"/>
  <c r="AS79" i="81"/>
  <c r="P235" i="81" s="1"/>
  <c r="J93" i="81"/>
  <c r="AR78" i="81"/>
  <c r="O234" i="81" s="1"/>
  <c r="AS75" i="81"/>
  <c r="P231" i="81" s="1"/>
  <c r="AW74" i="81"/>
  <c r="AN77" i="81"/>
  <c r="K233" i="81" s="1"/>
  <c r="U79" i="81"/>
  <c r="N76" i="81"/>
  <c r="T75" i="81"/>
  <c r="R74" i="81"/>
  <c r="K101" i="81"/>
  <c r="K137" i="81" s="1"/>
  <c r="N101" i="81"/>
  <c r="N137" i="81" s="1"/>
  <c r="S101" i="81"/>
  <c r="S137" i="81" s="1"/>
  <c r="H101" i="81"/>
  <c r="AB102" i="81"/>
  <c r="W92" i="81"/>
  <c r="BB92" i="81"/>
  <c r="BI96" i="81"/>
  <c r="BB96" i="81"/>
  <c r="BJ92" i="81"/>
  <c r="AD97" i="81"/>
  <c r="AD205" i="81" s="1"/>
  <c r="AF97" i="81"/>
  <c r="AF205" i="81" s="1"/>
  <c r="AE97" i="81"/>
  <c r="AE205" i="81" s="1"/>
  <c r="BI78" i="81"/>
  <c r="BE79" i="81"/>
  <c r="BB78" i="81"/>
  <c r="AZ74" i="81"/>
  <c r="AL89" i="81"/>
  <c r="V96" i="81"/>
  <c r="AR99" i="81"/>
  <c r="N96" i="81"/>
  <c r="AT96" i="81"/>
  <c r="AP99" i="81"/>
  <c r="Q96" i="81"/>
  <c r="L88" i="81"/>
  <c r="L152" i="81" s="1"/>
  <c r="L157" i="81" s="1"/>
  <c r="S92" i="81"/>
  <c r="AM88" i="81"/>
  <c r="AI85" i="81"/>
  <c r="G85" i="81"/>
  <c r="I97" i="81"/>
  <c r="AC93" i="81"/>
  <c r="AC189" i="81" s="1"/>
  <c r="AC195" i="81" s="1"/>
  <c r="AC196" i="81" s="1"/>
  <c r="AU93" i="81"/>
  <c r="AN80" i="81"/>
  <c r="K236" i="81" s="1"/>
  <c r="K261" i="81" s="1"/>
  <c r="AM78" i="81"/>
  <c r="J234" i="81" s="1"/>
  <c r="AN79" i="81"/>
  <c r="K235" i="81" s="1"/>
  <c r="AU74" i="81"/>
  <c r="AX75" i="81"/>
  <c r="U231" i="81" s="1"/>
  <c r="AI79" i="81"/>
  <c r="F235" i="81" s="1"/>
  <c r="AL80" i="81"/>
  <c r="I236" i="81" s="1"/>
  <c r="AO78" i="81"/>
  <c r="L234" i="81" s="1"/>
  <c r="AS78" i="81"/>
  <c r="P234" i="81" s="1"/>
  <c r="O75" i="81"/>
  <c r="S74" i="81"/>
  <c r="AK101" i="81"/>
  <c r="N102" i="81"/>
  <c r="P101" i="81"/>
  <c r="P137" i="81" s="1"/>
  <c r="L102" i="81"/>
  <c r="BA88" i="81"/>
  <c r="BI93" i="81"/>
  <c r="BA89" i="81"/>
  <c r="BI89" i="81"/>
  <c r="AA88" i="81"/>
  <c r="AA152" i="81" s="1"/>
  <c r="AA157" i="81" s="1"/>
  <c r="AE96" i="81"/>
  <c r="AE210" i="81" s="1"/>
  <c r="BD102" i="81"/>
  <c r="BE78" i="81"/>
  <c r="BG80" i="81"/>
  <c r="AZ78" i="81"/>
  <c r="AS99" i="81"/>
  <c r="AS89" i="81"/>
  <c r="AT88" i="81"/>
  <c r="H86" i="81"/>
  <c r="AA99" i="81"/>
  <c r="AA199" i="81" s="1"/>
  <c r="BE80" i="81"/>
  <c r="AE92" i="81"/>
  <c r="BF74" i="81"/>
  <c r="AZ79" i="81"/>
  <c r="AS88" i="81"/>
  <c r="H83" i="81"/>
  <c r="AJ97" i="81"/>
  <c r="AU85" i="81"/>
  <c r="AO89" i="81"/>
  <c r="V93" i="81"/>
  <c r="AT93" i="81"/>
  <c r="AN74" i="81"/>
  <c r="AU75" i="81"/>
  <c r="R231" i="81" s="1"/>
  <c r="AL75" i="81"/>
  <c r="I231" i="81" s="1"/>
  <c r="AV75" i="81"/>
  <c r="S231" i="81" s="1"/>
  <c r="AJ74" i="81"/>
  <c r="T78" i="81"/>
  <c r="T74" i="81"/>
  <c r="Y101" i="81"/>
  <c r="Y137" i="81" s="1"/>
  <c r="O102" i="81"/>
  <c r="U80" i="81"/>
  <c r="U140" i="81" s="1"/>
  <c r="U141" i="81" s="1"/>
  <c r="BB79" i="81"/>
  <c r="AC99" i="81"/>
  <c r="AC199" i="81" s="1"/>
  <c r="K92" i="81"/>
  <c r="H97" i="81"/>
  <c r="AR79" i="81"/>
  <c r="O235" i="81" s="1"/>
  <c r="J75" i="81"/>
  <c r="Y92" i="81"/>
  <c r="AB97" i="81"/>
  <c r="AB205" i="81" s="1"/>
  <c r="BA79" i="81"/>
  <c r="BI75" i="81"/>
  <c r="AK89" i="81"/>
  <c r="O85" i="81"/>
  <c r="I93" i="81"/>
  <c r="AI76" i="81"/>
  <c r="F232" i="81" s="1"/>
  <c r="AK75" i="81"/>
  <c r="H231" i="81" s="1"/>
  <c r="P76" i="81"/>
  <c r="AJ101" i="81"/>
  <c r="AY102" i="81"/>
  <c r="BI79" i="81"/>
  <c r="V88" i="81"/>
  <c r="AU92" i="81"/>
  <c r="I88" i="81"/>
  <c r="I152" i="81" s="1"/>
  <c r="I157" i="81" s="1"/>
  <c r="O80" i="81"/>
  <c r="O140" i="81" s="1"/>
  <c r="O141" i="81" s="1"/>
  <c r="K80" i="81"/>
  <c r="K140" i="81" s="1"/>
  <c r="AM75" i="81"/>
  <c r="J231" i="81" s="1"/>
  <c r="S78" i="81"/>
  <c r="AI101" i="81"/>
  <c r="AZ93" i="81"/>
  <c r="AD89" i="81"/>
  <c r="AD183" i="81" s="1"/>
  <c r="BJ75" i="81"/>
  <c r="AR97" i="81"/>
  <c r="AT97" i="81"/>
  <c r="AP92" i="81"/>
  <c r="F93" i="81"/>
  <c r="AV76" i="81"/>
  <c r="S232" i="81" s="1"/>
  <c r="R77" i="81"/>
  <c r="O101" i="81"/>
  <c r="O137" i="81" s="1"/>
  <c r="AO102" i="81"/>
  <c r="AY89" i="81"/>
  <c r="AC88" i="81"/>
  <c r="AC152" i="81" s="1"/>
  <c r="AC157" i="81" s="1"/>
  <c r="BA75" i="81"/>
  <c r="AY75" i="81"/>
  <c r="V231" i="81" s="1"/>
  <c r="AR89" i="81"/>
  <c r="K97" i="81"/>
  <c r="M85" i="81"/>
  <c r="AV99" i="81"/>
  <c r="G83" i="81"/>
  <c r="F96" i="81"/>
  <c r="AQ93" i="81"/>
  <c r="AX76" i="81"/>
  <c r="U232" i="81" s="1"/>
  <c r="U255" i="81" s="1"/>
  <c r="AT77" i="81"/>
  <c r="Q233" i="81" s="1"/>
  <c r="AV77" i="81"/>
  <c r="S233" i="81" s="1"/>
  <c r="T76" i="81"/>
  <c r="AJ102" i="81"/>
  <c r="AY85" i="81"/>
  <c r="AB85" i="81"/>
  <c r="BC80" i="81"/>
  <c r="AQ89" i="81"/>
  <c r="U96" i="81"/>
  <c r="T97" i="81"/>
  <c r="G88" i="81"/>
  <c r="G152" i="81" s="1"/>
  <c r="G157" i="81" s="1"/>
  <c r="AO77" i="81"/>
  <c r="L233" i="81" s="1"/>
  <c r="AJ80" i="81"/>
  <c r="G236" i="81" s="1"/>
  <c r="G261" i="81" s="1"/>
  <c r="K77" i="81"/>
  <c r="Q77" i="81"/>
  <c r="K102" i="81"/>
  <c r="BH88" i="81"/>
  <c r="AF88" i="81"/>
  <c r="AF152" i="81" s="1"/>
  <c r="AF157" i="81" s="1"/>
  <c r="BE93" i="81"/>
  <c r="BJ74" i="81"/>
  <c r="AZ77" i="81"/>
  <c r="AX96" i="81"/>
  <c r="M96" i="81"/>
  <c r="M97" i="81"/>
  <c r="I86" i="81"/>
  <c r="AV97" i="81"/>
  <c r="AG93" i="81"/>
  <c r="AG189" i="81" s="1"/>
  <c r="AG195" i="81" s="1"/>
  <c r="AG196" i="81" s="1"/>
  <c r="AL93" i="81"/>
  <c r="AT75" i="81"/>
  <c r="Q231" i="81" s="1"/>
  <c r="AP78" i="81"/>
  <c r="M234" i="81" s="1"/>
  <c r="AI78" i="81"/>
  <c r="F234" i="81" s="1"/>
  <c r="AJ77" i="81"/>
  <c r="G233" i="81" s="1"/>
  <c r="AJ78" i="81"/>
  <c r="G234" i="81" s="1"/>
  <c r="U77" i="81"/>
  <c r="W101" i="81"/>
  <c r="W137" i="81" s="1"/>
  <c r="G101" i="81"/>
  <c r="R93" i="81"/>
  <c r="AR74" i="81"/>
  <c r="F102" i="81"/>
  <c r="X99" i="81"/>
  <c r="X199" i="81" s="1"/>
  <c r="AB92" i="81"/>
  <c r="BD101" i="81"/>
  <c r="BC79" i="81"/>
  <c r="AZ75" i="81"/>
  <c r="AQ92" i="81"/>
  <c r="AK88" i="81"/>
  <c r="R97" i="81"/>
  <c r="AO96" i="81"/>
  <c r="H87" i="81"/>
  <c r="W93" i="81"/>
  <c r="W189" i="81" s="1"/>
  <c r="W195" i="81" s="1"/>
  <c r="W196" i="81" s="1"/>
  <c r="AN93" i="81"/>
  <c r="AP76" i="81"/>
  <c r="M232" i="81" s="1"/>
  <c r="AO74" i="81"/>
  <c r="AU77" i="81"/>
  <c r="R233" i="81" s="1"/>
  <c r="AL77" i="81"/>
  <c r="I233" i="81" s="1"/>
  <c r="AX79" i="81"/>
  <c r="U235" i="81" s="1"/>
  <c r="J80" i="81"/>
  <c r="J140" i="81" s="1"/>
  <c r="J141" i="81" s="1"/>
  <c r="S80" i="81"/>
  <c r="S140" i="81" s="1"/>
  <c r="S141" i="81" s="1"/>
  <c r="AD101" i="81"/>
  <c r="AD137" i="81" s="1"/>
  <c r="I101" i="81"/>
  <c r="I137" i="81" s="1"/>
  <c r="AL78" i="81"/>
  <c r="I234" i="81" s="1"/>
  <c r="L79" i="81"/>
  <c r="AA97" i="81"/>
  <c r="AA205" i="81" s="1"/>
  <c r="AG89" i="81"/>
  <c r="AG183" i="81" s="1"/>
  <c r="BH101" i="81"/>
  <c r="BD97" i="81"/>
  <c r="BF80" i="81"/>
  <c r="V89" i="81"/>
  <c r="V183" i="81" s="1"/>
  <c r="AX88" i="81"/>
  <c r="N89" i="81"/>
  <c r="N183" i="81" s="1"/>
  <c r="N184" i="81" s="1"/>
  <c r="S88" i="81"/>
  <c r="S152" i="81" s="1"/>
  <c r="S157" i="81" s="1"/>
  <c r="O99" i="81"/>
  <c r="T88" i="81"/>
  <c r="T152" i="81" s="1"/>
  <c r="T157" i="81" s="1"/>
  <c r="P93" i="81"/>
  <c r="AS93" i="81"/>
  <c r="AL79" i="81"/>
  <c r="I235" i="81" s="1"/>
  <c r="K79" i="81"/>
  <c r="AP79" i="81"/>
  <c r="M235" i="81" s="1"/>
  <c r="AX74" i="81"/>
  <c r="N79" i="81"/>
  <c r="P80" i="81"/>
  <c r="P140" i="81" s="1"/>
  <c r="P141" i="81" s="1"/>
  <c r="J78" i="81"/>
  <c r="AP102" i="81"/>
  <c r="F101" i="81"/>
  <c r="F85" i="81"/>
  <c r="AT101" i="81"/>
  <c r="AT74" i="81"/>
  <c r="S75" i="81"/>
  <c r="Z96" i="81"/>
  <c r="Z210" i="81" s="1"/>
  <c r="BG102" i="81"/>
  <c r="AG92" i="81"/>
  <c r="BD96" i="81"/>
  <c r="BH79" i="81"/>
  <c r="AS96" i="81"/>
  <c r="AQ85" i="81"/>
  <c r="N92" i="81"/>
  <c r="AO85" i="81"/>
  <c r="O89" i="81"/>
  <c r="O183" i="81" s="1"/>
  <c r="O184" i="81" s="1"/>
  <c r="H89" i="81"/>
  <c r="H183" i="81" s="1"/>
  <c r="H184" i="81" s="1"/>
  <c r="Y93" i="81"/>
  <c r="Y189" i="81" s="1"/>
  <c r="Y195" i="81" s="1"/>
  <c r="Y196" i="81" s="1"/>
  <c r="AR75" i="81"/>
  <c r="O231" i="81" s="1"/>
  <c r="AJ76" i="81"/>
  <c r="G232" i="81" s="1"/>
  <c r="AK77" i="81"/>
  <c r="H233" i="81" s="1"/>
  <c r="AM80" i="81"/>
  <c r="J236" i="81" s="1"/>
  <c r="J261" i="81" s="1"/>
  <c r="AK74" i="81"/>
  <c r="Q74" i="81"/>
  <c r="M76" i="81"/>
  <c r="M101" i="81"/>
  <c r="M137" i="81" s="1"/>
  <c r="Z101" i="81"/>
  <c r="Z137" i="81" s="1"/>
  <c r="Y89" i="81"/>
  <c r="Y183" i="81" s="1"/>
  <c r="BG92" i="81"/>
  <c r="BC101" i="81"/>
  <c r="BD92" i="81"/>
  <c r="P96" i="81"/>
  <c r="AQ102" i="81"/>
  <c r="K96" i="81"/>
  <c r="Q97" i="81"/>
  <c r="AT99" i="81"/>
  <c r="AJ79" i="81"/>
  <c r="G235" i="81" s="1"/>
  <c r="AL74" i="81"/>
  <c r="AN75" i="81"/>
  <c r="K231" i="81" s="1"/>
  <c r="K76" i="81"/>
  <c r="AV80" i="81"/>
  <c r="S236" i="81" s="1"/>
  <c r="S261" i="81" s="1"/>
  <c r="M77" i="81"/>
  <c r="N80" i="81"/>
  <c r="N140" i="81" s="1"/>
  <c r="N141" i="81" s="1"/>
  <c r="AV101" i="81"/>
  <c r="AE101" i="81"/>
  <c r="AE137" i="81" s="1"/>
  <c r="X88" i="81"/>
  <c r="X152" i="81" s="1"/>
  <c r="X157" i="81" s="1"/>
  <c r="BB93" i="81"/>
  <c r="BD93" i="81"/>
  <c r="BJ78" i="81"/>
  <c r="P88" i="81"/>
  <c r="P152" i="81" s="1"/>
  <c r="P157" i="81" s="1"/>
  <c r="G84" i="81"/>
  <c r="K85" i="81"/>
  <c r="AT89" i="81"/>
  <c r="Q93" i="81"/>
  <c r="AM77" i="81"/>
  <c r="J233" i="81" s="1"/>
  <c r="AW76" i="81"/>
  <c r="T232" i="81" s="1"/>
  <c r="U74" i="81"/>
  <c r="AC101" i="81"/>
  <c r="AC137" i="81" s="1"/>
  <c r="AF85" i="81"/>
  <c r="AL101" i="81"/>
  <c r="L96" i="81"/>
  <c r="AI96" i="81"/>
  <c r="H96" i="81"/>
  <c r="AI75" i="81"/>
  <c r="F231" i="81" s="1"/>
  <c r="AL76" i="81"/>
  <c r="I232" i="81" s="1"/>
  <c r="AT79" i="81"/>
  <c r="Q235" i="81" s="1"/>
  <c r="M79" i="81"/>
  <c r="AN102" i="81"/>
  <c r="Z89" i="81"/>
  <c r="Z183" i="81" s="1"/>
  <c r="X85" i="81"/>
  <c r="BH76" i="81"/>
  <c r="AP85" i="81"/>
  <c r="AO88" i="81"/>
  <c r="AT92" i="81"/>
  <c r="H93" i="81"/>
  <c r="K75" i="81"/>
  <c r="AV78" i="81"/>
  <c r="S234" i="81" s="1"/>
  <c r="R79" i="81"/>
  <c r="L101" i="81"/>
  <c r="L137" i="81" s="1"/>
  <c r="AY101" i="81"/>
  <c r="BI77" i="81"/>
  <c r="AM85" i="81"/>
  <c r="AV85" i="81"/>
  <c r="H92" i="81"/>
  <c r="K93" i="81"/>
  <c r="O76" i="81"/>
  <c r="AR80" i="81"/>
  <c r="O236" i="81" s="1"/>
  <c r="O261" i="81" s="1"/>
  <c r="Q80" i="81"/>
  <c r="Q140" i="81" s="1"/>
  <c r="AY96" i="81"/>
  <c r="AI74" i="81"/>
  <c r="BH89" i="81"/>
  <c r="AZ80" i="81"/>
  <c r="K89" i="81"/>
  <c r="K183" i="81" s="1"/>
  <c r="K184" i="81" s="1"/>
  <c r="AN89" i="81"/>
  <c r="AX93" i="81"/>
  <c r="L75" i="81"/>
  <c r="AX78" i="81"/>
  <c r="U234" i="81" s="1"/>
  <c r="P75" i="81"/>
  <c r="X101" i="81"/>
  <c r="X137" i="81" s="1"/>
  <c r="H75" i="81"/>
  <c r="G74" i="81"/>
  <c r="I78" i="81"/>
  <c r="G75" i="81"/>
  <c r="G77" i="81"/>
  <c r="G79" i="81"/>
  <c r="H79" i="81"/>
  <c r="H78" i="81"/>
  <c r="H77" i="81"/>
  <c r="G80" i="81"/>
  <c r="G140" i="81" s="1"/>
  <c r="G141" i="81" s="1"/>
  <c r="F78" i="81"/>
  <c r="I76" i="81"/>
  <c r="H74" i="81"/>
  <c r="G76" i="81"/>
  <c r="I77" i="81"/>
  <c r="I75" i="81"/>
  <c r="G78" i="81"/>
  <c r="F79" i="81"/>
  <c r="H76" i="81"/>
  <c r="I80" i="81"/>
  <c r="I140" i="81" s="1"/>
  <c r="I141" i="81" s="1"/>
  <c r="F75" i="81"/>
  <c r="I74" i="81"/>
  <c r="F77" i="81"/>
  <c r="F80" i="81"/>
  <c r="F140" i="81" s="1"/>
  <c r="F141" i="81" s="1"/>
  <c r="H80" i="81"/>
  <c r="H140" i="81" s="1"/>
  <c r="F76" i="81"/>
  <c r="I79" i="81"/>
  <c r="Z182" i="4"/>
  <c r="Y184" i="4"/>
  <c r="K321" i="4"/>
  <c r="F279" i="4"/>
  <c r="L254" i="4"/>
  <c r="L257" i="4"/>
  <c r="I254" i="4"/>
  <c r="I257" i="4"/>
  <c r="H279" i="4"/>
  <c r="K251" i="4"/>
  <c r="K254" i="4"/>
  <c r="K257" i="4"/>
  <c r="I299" i="4"/>
  <c r="I251" i="4"/>
  <c r="L251" i="4"/>
  <c r="I248" i="4"/>
  <c r="I279" i="4" s="1"/>
  <c r="K248" i="4"/>
  <c r="K279" i="4" s="1"/>
  <c r="L285" i="4"/>
  <c r="L288" i="4" s="1"/>
  <c r="J279" i="4"/>
  <c r="J299" i="4"/>
  <c r="J285" i="4"/>
  <c r="J288" i="4" s="1"/>
  <c r="K299" i="4"/>
  <c r="L293" i="4"/>
  <c r="K285" i="4"/>
  <c r="K288" i="4" s="1"/>
  <c r="I293" i="4"/>
  <c r="I296" i="4"/>
  <c r="I285" i="4"/>
  <c r="I288" i="4" s="1"/>
  <c r="L296" i="4"/>
  <c r="L299" i="4"/>
  <c r="H299" i="4"/>
  <c r="K296" i="4"/>
  <c r="K293" i="4"/>
  <c r="H285" i="4"/>
  <c r="H288" i="4" s="1"/>
  <c r="H293" i="4"/>
  <c r="H296" i="4"/>
  <c r="F260" i="4" l="1"/>
  <c r="F284" i="4" s="1"/>
  <c r="F285" i="4" s="1"/>
  <c r="F288" i="4" s="1"/>
  <c r="F263" i="4"/>
  <c r="F254" i="4"/>
  <c r="F257" i="4"/>
  <c r="F296" i="4"/>
  <c r="F248" i="4"/>
  <c r="F251" i="4"/>
  <c r="F293" i="4"/>
  <c r="F299" i="4"/>
  <c r="F315" i="4"/>
  <c r="F316" i="4" s="1"/>
  <c r="F317" i="4" s="1"/>
  <c r="F318" i="4" s="1"/>
  <c r="F320" i="4" s="1"/>
  <c r="G321" i="4" s="1"/>
  <c r="BG103" i="81"/>
  <c r="BD94" i="80"/>
  <c r="R258" i="81"/>
  <c r="R259" i="81" s="1"/>
  <c r="K210" i="80"/>
  <c r="AT94" i="81"/>
  <c r="O199" i="80"/>
  <c r="AU94" i="81"/>
  <c r="M255" i="81"/>
  <c r="M256" i="81" s="1"/>
  <c r="I255" i="80"/>
  <c r="I256" i="80" s="1"/>
  <c r="U205" i="81"/>
  <c r="BC94" i="81"/>
  <c r="H258" i="80"/>
  <c r="X103" i="80"/>
  <c r="Q258" i="80"/>
  <c r="Q259" i="80" s="1"/>
  <c r="L258" i="80"/>
  <c r="L259" i="80" s="1"/>
  <c r="V205" i="80"/>
  <c r="H210" i="80"/>
  <c r="BJ94" i="81"/>
  <c r="K199" i="80"/>
  <c r="O199" i="81"/>
  <c r="M205" i="81"/>
  <c r="BI94" i="80"/>
  <c r="F255" i="81"/>
  <c r="Y103" i="80"/>
  <c r="U255" i="80"/>
  <c r="U256" i="80" s="1"/>
  <c r="AU90" i="81"/>
  <c r="M258" i="80"/>
  <c r="M259" i="80" s="1"/>
  <c r="H189" i="80"/>
  <c r="H195" i="80" s="1"/>
  <c r="H196" i="80" s="1"/>
  <c r="H197" i="80" s="1"/>
  <c r="AO94" i="81"/>
  <c r="T199" i="80"/>
  <c r="U205" i="80"/>
  <c r="H137" i="80"/>
  <c r="BF94" i="80"/>
  <c r="R210" i="81"/>
  <c r="I81" i="80"/>
  <c r="AW94" i="80"/>
  <c r="T205" i="80"/>
  <c r="AA103" i="80"/>
  <c r="F199" i="80"/>
  <c r="T199" i="81"/>
  <c r="R199" i="80"/>
  <c r="V189" i="81"/>
  <c r="V195" i="81" s="1"/>
  <c r="V196" i="81" s="1"/>
  <c r="V228" i="81" s="1"/>
  <c r="AM94" i="80"/>
  <c r="N255" i="80"/>
  <c r="N256" i="80" s="1"/>
  <c r="AZ90" i="80"/>
  <c r="G199" i="80"/>
  <c r="M210" i="80"/>
  <c r="AK94" i="80"/>
  <c r="P189" i="81"/>
  <c r="P195" i="81" s="1"/>
  <c r="P196" i="81" s="1"/>
  <c r="P228" i="81" s="1"/>
  <c r="H210" i="81"/>
  <c r="BG90" i="80"/>
  <c r="K189" i="81"/>
  <c r="K195" i="81" s="1"/>
  <c r="K196" i="81" s="1"/>
  <c r="K197" i="81" s="1"/>
  <c r="AA103" i="81"/>
  <c r="Q199" i="80"/>
  <c r="J205" i="80"/>
  <c r="L210" i="80"/>
  <c r="AM94" i="81"/>
  <c r="T210" i="81"/>
  <c r="AX90" i="81"/>
  <c r="BB81" i="81"/>
  <c r="L199" i="81"/>
  <c r="AY90" i="80"/>
  <c r="S255" i="80"/>
  <c r="S256" i="80" s="1"/>
  <c r="BJ90" i="80"/>
  <c r="T210" i="80"/>
  <c r="AV94" i="80"/>
  <c r="AV90" i="81"/>
  <c r="I258" i="81"/>
  <c r="I259" i="81" s="1"/>
  <c r="R189" i="81"/>
  <c r="R195" i="81" s="1"/>
  <c r="R196" i="81" s="1"/>
  <c r="R228" i="81" s="1"/>
  <c r="BB103" i="81"/>
  <c r="G199" i="81"/>
  <c r="AQ94" i="80"/>
  <c r="M205" i="80"/>
  <c r="F205" i="80"/>
  <c r="K205" i="80"/>
  <c r="Q205" i="80"/>
  <c r="AR90" i="80"/>
  <c r="W103" i="80"/>
  <c r="BC94" i="80"/>
  <c r="N81" i="80"/>
  <c r="AG103" i="81"/>
  <c r="BH103" i="80"/>
  <c r="O210" i="81"/>
  <c r="N205" i="80"/>
  <c r="I189" i="81"/>
  <c r="I195" i="81" s="1"/>
  <c r="I196" i="81" s="1"/>
  <c r="I197" i="81" s="1"/>
  <c r="T205" i="81"/>
  <c r="H205" i="81"/>
  <c r="BC81" i="81"/>
  <c r="I199" i="81"/>
  <c r="AF103" i="81"/>
  <c r="V103" i="81"/>
  <c r="R205" i="80"/>
  <c r="V261" i="80"/>
  <c r="G255" i="80"/>
  <c r="U210" i="80"/>
  <c r="T255" i="80"/>
  <c r="T256" i="80" s="1"/>
  <c r="V103" i="80"/>
  <c r="BH90" i="80"/>
  <c r="Q205" i="81"/>
  <c r="F137" i="81"/>
  <c r="F240" i="81" s="1"/>
  <c r="AW90" i="81"/>
  <c r="F205" i="81"/>
  <c r="AR90" i="81"/>
  <c r="J255" i="81"/>
  <c r="J256" i="81" s="1"/>
  <c r="P205" i="81"/>
  <c r="T81" i="80"/>
  <c r="BA94" i="80"/>
  <c r="P258" i="80"/>
  <c r="P259" i="80" s="1"/>
  <c r="BE90" i="80"/>
  <c r="P210" i="80"/>
  <c r="AO90" i="81"/>
  <c r="BC90" i="81"/>
  <c r="O205" i="81"/>
  <c r="BJ103" i="81"/>
  <c r="T258" i="81"/>
  <c r="T259" i="81" s="1"/>
  <c r="G81" i="80"/>
  <c r="G205" i="80"/>
  <c r="T189" i="80"/>
  <c r="T195" i="80" s="1"/>
  <c r="T196" i="80" s="1"/>
  <c r="T228" i="80" s="1"/>
  <c r="BH90" i="81"/>
  <c r="N258" i="81"/>
  <c r="N259" i="81" s="1"/>
  <c r="P199" i="80"/>
  <c r="H255" i="81"/>
  <c r="R255" i="81"/>
  <c r="R256" i="81" s="1"/>
  <c r="V205" i="81"/>
  <c r="M189" i="81"/>
  <c r="M195" i="81" s="1"/>
  <c r="M196" i="81" s="1"/>
  <c r="M228" i="81" s="1"/>
  <c r="N210" i="80"/>
  <c r="P205" i="80"/>
  <c r="U258" i="80"/>
  <c r="AS90" i="80"/>
  <c r="H189" i="81"/>
  <c r="H195" i="81" s="1"/>
  <c r="H196" i="81" s="1"/>
  <c r="H197" i="81" s="1"/>
  <c r="BA103" i="81"/>
  <c r="L199" i="80"/>
  <c r="U256" i="81"/>
  <c r="BE103" i="81"/>
  <c r="F210" i="80"/>
  <c r="Q255" i="80"/>
  <c r="Q256" i="80" s="1"/>
  <c r="Q210" i="81"/>
  <c r="N255" i="81"/>
  <c r="N256" i="81" s="1"/>
  <c r="AX94" i="81"/>
  <c r="R199" i="81"/>
  <c r="AN94" i="81"/>
  <c r="AZ103" i="81"/>
  <c r="H258" i="81"/>
  <c r="AE103" i="81"/>
  <c r="G210" i="80"/>
  <c r="BD81" i="80"/>
  <c r="R255" i="80"/>
  <c r="R256" i="80" s="1"/>
  <c r="BD103" i="80"/>
  <c r="BA103" i="80"/>
  <c r="L255" i="80"/>
  <c r="L256" i="80" s="1"/>
  <c r="AK94" i="81"/>
  <c r="S199" i="81"/>
  <c r="H199" i="80"/>
  <c r="U258" i="81"/>
  <c r="H199" i="81"/>
  <c r="Z103" i="80"/>
  <c r="N199" i="80"/>
  <c r="BJ94" i="80"/>
  <c r="AX94" i="80"/>
  <c r="R258" i="80"/>
  <c r="R259" i="80" s="1"/>
  <c r="T258" i="80"/>
  <c r="T259" i="80" s="1"/>
  <c r="I199" i="80"/>
  <c r="BD103" i="81"/>
  <c r="BH94" i="81"/>
  <c r="I258" i="80"/>
  <c r="I259" i="80" s="1"/>
  <c r="I205" i="80"/>
  <c r="AY103" i="81"/>
  <c r="BF81" i="81"/>
  <c r="AB103" i="81"/>
  <c r="K199" i="81"/>
  <c r="V256" i="81"/>
  <c r="V261" i="81"/>
  <c r="K255" i="81"/>
  <c r="K256" i="81" s="1"/>
  <c r="L205" i="81"/>
  <c r="S258" i="81"/>
  <c r="S259" i="81" s="1"/>
  <c r="I255" i="81"/>
  <c r="I256" i="81" s="1"/>
  <c r="H137" i="81"/>
  <c r="O255" i="81"/>
  <c r="O256" i="81" s="1"/>
  <c r="BE94" i="81"/>
  <c r="Z213" i="81"/>
  <c r="Z253" i="81"/>
  <c r="Z240" i="81"/>
  <c r="Z261" i="81"/>
  <c r="Z246" i="81"/>
  <c r="Z256" i="81"/>
  <c r="Z259" i="81"/>
  <c r="F90" i="81"/>
  <c r="F148" i="81"/>
  <c r="F156" i="81" s="1"/>
  <c r="F158" i="81" s="1"/>
  <c r="N213" i="81"/>
  <c r="N216" i="81"/>
  <c r="N222" i="81"/>
  <c r="N219" i="81"/>
  <c r="N240" i="81"/>
  <c r="P148" i="81"/>
  <c r="P156" i="81" s="1"/>
  <c r="P158" i="81" s="1"/>
  <c r="P90" i="81"/>
  <c r="L81" i="81"/>
  <c r="AF256" i="80"/>
  <c r="AF240" i="80"/>
  <c r="AF261" i="80"/>
  <c r="AF213" i="80"/>
  <c r="AF253" i="80"/>
  <c r="AF259" i="80"/>
  <c r="AF246" i="80"/>
  <c r="AL81" i="80"/>
  <c r="I230" i="80"/>
  <c r="H90" i="80"/>
  <c r="H148" i="80"/>
  <c r="H156" i="80" s="1"/>
  <c r="H158" i="80" s="1"/>
  <c r="P216" i="80"/>
  <c r="P219" i="80"/>
  <c r="P222" i="80"/>
  <c r="P213" i="80"/>
  <c r="P240" i="80"/>
  <c r="AL103" i="80"/>
  <c r="I271" i="80"/>
  <c r="Y228" i="80"/>
  <c r="Y197" i="80"/>
  <c r="BJ81" i="80"/>
  <c r="N94" i="81"/>
  <c r="N186" i="81"/>
  <c r="N192" i="81" s="1"/>
  <c r="N193" i="81" s="1"/>
  <c r="U186" i="81"/>
  <c r="U192" i="81" s="1"/>
  <c r="U193" i="81" s="1"/>
  <c r="U94" i="81"/>
  <c r="N186" i="80"/>
  <c r="N192" i="80" s="1"/>
  <c r="N193" i="80" s="1"/>
  <c r="N94" i="80"/>
  <c r="AM90" i="80"/>
  <c r="V258" i="80"/>
  <c r="V259" i="80" s="1"/>
  <c r="Q103" i="80"/>
  <c r="Q270" i="80"/>
  <c r="R189" i="80"/>
  <c r="R195" i="80" s="1"/>
  <c r="R196" i="80" s="1"/>
  <c r="L210" i="81"/>
  <c r="AP103" i="81"/>
  <c r="M271" i="81"/>
  <c r="R205" i="81"/>
  <c r="O81" i="81"/>
  <c r="BG81" i="81"/>
  <c r="R186" i="81"/>
  <c r="R192" i="81" s="1"/>
  <c r="R193" i="81" s="1"/>
  <c r="R94" i="81"/>
  <c r="AW103" i="81"/>
  <c r="T271" i="81"/>
  <c r="Q270" i="81"/>
  <c r="Q103" i="81"/>
  <c r="G90" i="80"/>
  <c r="G148" i="80"/>
  <c r="G156" i="80" s="1"/>
  <c r="G158" i="80" s="1"/>
  <c r="P81" i="80"/>
  <c r="AD103" i="80"/>
  <c r="R148" i="80"/>
  <c r="R156" i="80" s="1"/>
  <c r="R158" i="80" s="1"/>
  <c r="R90" i="80"/>
  <c r="W197" i="80"/>
  <c r="W228" i="80"/>
  <c r="H186" i="81"/>
  <c r="H94" i="81"/>
  <c r="O90" i="81"/>
  <c r="O148" i="81"/>
  <c r="O156" i="81" s="1"/>
  <c r="O158" i="81" s="1"/>
  <c r="L270" i="81"/>
  <c r="L103" i="81"/>
  <c r="R90" i="81"/>
  <c r="R148" i="81"/>
  <c r="R156" i="81" s="1"/>
  <c r="R158" i="81" s="1"/>
  <c r="Q94" i="81"/>
  <c r="Q186" i="81"/>
  <c r="Q192" i="81" s="1"/>
  <c r="Q193" i="81" s="1"/>
  <c r="S189" i="81"/>
  <c r="S195" i="81" s="1"/>
  <c r="S196" i="81" s="1"/>
  <c r="AL90" i="81"/>
  <c r="J81" i="81"/>
  <c r="AF103" i="80"/>
  <c r="O210" i="80"/>
  <c r="J148" i="80"/>
  <c r="J156" i="80" s="1"/>
  <c r="J158" i="80" s="1"/>
  <c r="J90" i="80"/>
  <c r="AQ103" i="80"/>
  <c r="N271" i="80"/>
  <c r="AV90" i="80"/>
  <c r="Q219" i="80"/>
  <c r="Q240" i="80"/>
  <c r="Q222" i="80"/>
  <c r="Q216" i="80"/>
  <c r="Q213" i="80"/>
  <c r="W256" i="80"/>
  <c r="W213" i="80"/>
  <c r="W261" i="80"/>
  <c r="W246" i="80"/>
  <c r="W253" i="80"/>
  <c r="W240" i="80"/>
  <c r="W259" i="80"/>
  <c r="H230" i="81"/>
  <c r="AK81" i="81"/>
  <c r="AQ94" i="81"/>
  <c r="O103" i="81"/>
  <c r="O270" i="81"/>
  <c r="J258" i="81"/>
  <c r="J259" i="81" s="1"/>
  <c r="BI103" i="81"/>
  <c r="T189" i="81"/>
  <c r="T195" i="81" s="1"/>
  <c r="T196" i="81" s="1"/>
  <c r="I148" i="81"/>
  <c r="I156" i="81" s="1"/>
  <c r="I158" i="81" s="1"/>
  <c r="I90" i="81"/>
  <c r="J271" i="81"/>
  <c r="AM103" i="81"/>
  <c r="L255" i="81"/>
  <c r="L256" i="81" s="1"/>
  <c r="AB228" i="81"/>
  <c r="AB197" i="81"/>
  <c r="AA90" i="81"/>
  <c r="AA148" i="81"/>
  <c r="AA156" i="81" s="1"/>
  <c r="AA158" i="81" s="1"/>
  <c r="BG90" i="81"/>
  <c r="BG94" i="80"/>
  <c r="Q230" i="80"/>
  <c r="AT81" i="80"/>
  <c r="L205" i="80"/>
  <c r="F103" i="80"/>
  <c r="F270" i="80"/>
  <c r="AI103" i="80"/>
  <c r="F271" i="80"/>
  <c r="AW90" i="80"/>
  <c r="L270" i="80"/>
  <c r="L103" i="80"/>
  <c r="AO261" i="80"/>
  <c r="BJ81" i="81"/>
  <c r="F189" i="81"/>
  <c r="F195" i="81" s="1"/>
  <c r="F196" i="81" s="1"/>
  <c r="N103" i="81"/>
  <c r="N270" i="81"/>
  <c r="AE197" i="81"/>
  <c r="AE228" i="81"/>
  <c r="G205" i="81"/>
  <c r="AI103" i="81"/>
  <c r="F271" i="81"/>
  <c r="J205" i="81"/>
  <c r="N189" i="81"/>
  <c r="N195" i="81" s="1"/>
  <c r="N196" i="81" s="1"/>
  <c r="AD90" i="81"/>
  <c r="AD148" i="81"/>
  <c r="AD156" i="81" s="1"/>
  <c r="AD158" i="81" s="1"/>
  <c r="AL103" i="81"/>
  <c r="I271" i="81"/>
  <c r="P270" i="81"/>
  <c r="P103" i="81"/>
  <c r="BI81" i="81"/>
  <c r="AJ94" i="81"/>
  <c r="AK90" i="81"/>
  <c r="Z186" i="81"/>
  <c r="Z192" i="81" s="1"/>
  <c r="Z94" i="81"/>
  <c r="AC259" i="80"/>
  <c r="AC246" i="80"/>
  <c r="AC256" i="80"/>
  <c r="AC240" i="80"/>
  <c r="AC213" i="80"/>
  <c r="AC261" i="80"/>
  <c r="AC253" i="80"/>
  <c r="AK90" i="80"/>
  <c r="I189" i="80"/>
  <c r="I195" i="80" s="1"/>
  <c r="I196" i="80" s="1"/>
  <c r="AU103" i="80"/>
  <c r="R271" i="80"/>
  <c r="AJ94" i="80"/>
  <c r="Q210" i="80"/>
  <c r="H103" i="80"/>
  <c r="H270" i="80"/>
  <c r="G258" i="80"/>
  <c r="M216" i="80"/>
  <c r="M222" i="80"/>
  <c r="M219" i="80"/>
  <c r="M213" i="80"/>
  <c r="M240" i="80"/>
  <c r="AZ94" i="80"/>
  <c r="AN90" i="80"/>
  <c r="N90" i="80"/>
  <c r="N148" i="80"/>
  <c r="N156" i="80" s="1"/>
  <c r="N158" i="80" s="1"/>
  <c r="AG90" i="80"/>
  <c r="AG148" i="80"/>
  <c r="AG156" i="80" s="1"/>
  <c r="AG158" i="80" s="1"/>
  <c r="H271" i="80"/>
  <c r="AK103" i="80"/>
  <c r="R94" i="80"/>
  <c r="R186" i="80"/>
  <c r="R192" i="80" s="1"/>
  <c r="R193" i="80" s="1"/>
  <c r="J186" i="80"/>
  <c r="J192" i="80" s="1"/>
  <c r="J193" i="80" s="1"/>
  <c r="J94" i="80"/>
  <c r="R230" i="80"/>
  <c r="AU81" i="80"/>
  <c r="AO94" i="80"/>
  <c r="AE259" i="81"/>
  <c r="AE240" i="81"/>
  <c r="AE246" i="81"/>
  <c r="AE256" i="81"/>
  <c r="AE253" i="81"/>
  <c r="AE261" i="81"/>
  <c r="AE213" i="81"/>
  <c r="AQ103" i="81"/>
  <c r="N271" i="81"/>
  <c r="AG186" i="81"/>
  <c r="AG192" i="81" s="1"/>
  <c r="AG94" i="81"/>
  <c r="AX81" i="81"/>
  <c r="U230" i="81"/>
  <c r="F258" i="81"/>
  <c r="M148" i="81"/>
  <c r="M156" i="81" s="1"/>
  <c r="M158" i="81" s="1"/>
  <c r="M90" i="81"/>
  <c r="AP94" i="81"/>
  <c r="T81" i="81"/>
  <c r="AX103" i="81"/>
  <c r="U271" i="81"/>
  <c r="F81" i="81"/>
  <c r="F94" i="81"/>
  <c r="F186" i="81"/>
  <c r="F192" i="81" s="1"/>
  <c r="F193" i="81" s="1"/>
  <c r="V258" i="81"/>
  <c r="V259" i="81" s="1"/>
  <c r="AU103" i="81"/>
  <c r="R271" i="81"/>
  <c r="N230" i="81"/>
  <c r="AQ81" i="81"/>
  <c r="H271" i="81"/>
  <c r="AK103" i="81"/>
  <c r="S210" i="81"/>
  <c r="BF103" i="81"/>
  <c r="I103" i="81"/>
  <c r="I270" i="81"/>
  <c r="Q213" i="81"/>
  <c r="Q222" i="81"/>
  <c r="Q240" i="81"/>
  <c r="Q216" i="81"/>
  <c r="Q219" i="81"/>
  <c r="H148" i="81"/>
  <c r="H156" i="81" s="1"/>
  <c r="H158" i="81" s="1"/>
  <c r="H90" i="81"/>
  <c r="L148" i="81"/>
  <c r="L156" i="81" s="1"/>
  <c r="L158" i="81" s="1"/>
  <c r="L90" i="81"/>
  <c r="BE90" i="81"/>
  <c r="J199" i="81"/>
  <c r="AS94" i="81"/>
  <c r="M103" i="81"/>
  <c r="M270" i="81"/>
  <c r="AF197" i="81"/>
  <c r="AF228" i="81"/>
  <c r="S90" i="81"/>
  <c r="S148" i="81"/>
  <c r="S156" i="81" s="1"/>
  <c r="S158" i="81" s="1"/>
  <c r="AY94" i="81"/>
  <c r="Z103" i="81"/>
  <c r="L148" i="80"/>
  <c r="L156" i="80" s="1"/>
  <c r="L158" i="80" s="1"/>
  <c r="L90" i="80"/>
  <c r="L186" i="80"/>
  <c r="L192" i="80" s="1"/>
  <c r="L193" i="80" s="1"/>
  <c r="L94" i="80"/>
  <c r="S222" i="80"/>
  <c r="S213" i="80"/>
  <c r="S216" i="80"/>
  <c r="S219" i="80"/>
  <c r="S240" i="80"/>
  <c r="I210" i="80"/>
  <c r="AO103" i="80"/>
  <c r="L271" i="80"/>
  <c r="V210" i="80"/>
  <c r="AN94" i="80"/>
  <c r="M271" i="80"/>
  <c r="AP103" i="80"/>
  <c r="Q189" i="80"/>
  <c r="Q195" i="80" s="1"/>
  <c r="Q196" i="80" s="1"/>
  <c r="F230" i="80"/>
  <c r="AI81" i="80"/>
  <c r="BB90" i="80"/>
  <c r="F186" i="80"/>
  <c r="F192" i="80" s="1"/>
  <c r="F193" i="80" s="1"/>
  <c r="F94" i="80"/>
  <c r="AR94" i="80"/>
  <c r="F258" i="80"/>
  <c r="U81" i="80"/>
  <c r="F81" i="80"/>
  <c r="F189" i="80"/>
  <c r="F195" i="80" s="1"/>
  <c r="F196" i="80" s="1"/>
  <c r="V256" i="80"/>
  <c r="T270" i="80"/>
  <c r="T103" i="80"/>
  <c r="AP261" i="80"/>
  <c r="P189" i="80"/>
  <c r="P195" i="80" s="1"/>
  <c r="P196" i="80" s="1"/>
  <c r="O216" i="80"/>
  <c r="O240" i="80"/>
  <c r="O222" i="80"/>
  <c r="O219" i="80"/>
  <c r="O213" i="80"/>
  <c r="AT90" i="80"/>
  <c r="Z240" i="80"/>
  <c r="Z256" i="80"/>
  <c r="Z259" i="80"/>
  <c r="Z253" i="80"/>
  <c r="Z246" i="80"/>
  <c r="Z261" i="80"/>
  <c r="Z213" i="80"/>
  <c r="Y256" i="80"/>
  <c r="Y246" i="80"/>
  <c r="Y253" i="80"/>
  <c r="Y261" i="80"/>
  <c r="Y213" i="80"/>
  <c r="Y240" i="80"/>
  <c r="Y259" i="80"/>
  <c r="AG103" i="80"/>
  <c r="H81" i="81"/>
  <c r="Q141" i="81"/>
  <c r="AK140" i="81"/>
  <c r="K90" i="81"/>
  <c r="K148" i="81"/>
  <c r="K156" i="81" s="1"/>
  <c r="K158" i="81" s="1"/>
  <c r="W228" i="81"/>
  <c r="W197" i="81"/>
  <c r="O230" i="81"/>
  <c r="AR81" i="81"/>
  <c r="S213" i="81"/>
  <c r="S219" i="81"/>
  <c r="S240" i="81"/>
  <c r="S216" i="81"/>
  <c r="S222" i="81"/>
  <c r="R240" i="81"/>
  <c r="R219" i="81"/>
  <c r="R222" i="81"/>
  <c r="R213" i="81"/>
  <c r="R216" i="81"/>
  <c r="AA197" i="81"/>
  <c r="AA228" i="81"/>
  <c r="M94" i="81"/>
  <c r="M186" i="81"/>
  <c r="W148" i="81"/>
  <c r="W156" i="81" s="1"/>
  <c r="W158" i="81" s="1"/>
  <c r="W90" i="81"/>
  <c r="S230" i="80"/>
  <c r="AV81" i="80"/>
  <c r="K148" i="80"/>
  <c r="K156" i="80" s="1"/>
  <c r="K158" i="80" s="1"/>
  <c r="K90" i="80"/>
  <c r="T222" i="80"/>
  <c r="T219" i="80"/>
  <c r="T213" i="80"/>
  <c r="T240" i="80"/>
  <c r="T216" i="80"/>
  <c r="Q271" i="80"/>
  <c r="AT103" i="80"/>
  <c r="S258" i="80"/>
  <c r="S259" i="80" s="1"/>
  <c r="M103" i="80"/>
  <c r="M270" i="80"/>
  <c r="AR103" i="80"/>
  <c r="O271" i="80"/>
  <c r="AM81" i="80"/>
  <c r="J230" i="80"/>
  <c r="W90" i="80"/>
  <c r="W148" i="80"/>
  <c r="W156" i="80" s="1"/>
  <c r="W158" i="80" s="1"/>
  <c r="AK261" i="80"/>
  <c r="K186" i="81"/>
  <c r="K192" i="81" s="1"/>
  <c r="K193" i="81" s="1"/>
  <c r="K94" i="81"/>
  <c r="K230" i="81"/>
  <c r="AN81" i="81"/>
  <c r="H141" i="80"/>
  <c r="AN140" i="80"/>
  <c r="Z197" i="80"/>
  <c r="Z228" i="80"/>
  <c r="S189" i="80"/>
  <c r="S195" i="80" s="1"/>
  <c r="S196" i="80" s="1"/>
  <c r="AY103" i="80"/>
  <c r="AC186" i="80"/>
  <c r="AC192" i="80" s="1"/>
  <c r="AC94" i="80"/>
  <c r="AG228" i="80"/>
  <c r="AG197" i="80"/>
  <c r="R210" i="80"/>
  <c r="AA240" i="80"/>
  <c r="AA261" i="80"/>
  <c r="AA213" i="80"/>
  <c r="AA256" i="80"/>
  <c r="AA259" i="80"/>
  <c r="AA246" i="80"/>
  <c r="AA253" i="80"/>
  <c r="AE186" i="80"/>
  <c r="AE192" i="80" s="1"/>
  <c r="AE94" i="80"/>
  <c r="O81" i="80"/>
  <c r="M213" i="81"/>
  <c r="M222" i="81"/>
  <c r="M240" i="81"/>
  <c r="M216" i="81"/>
  <c r="M219" i="81"/>
  <c r="U90" i="81"/>
  <c r="U148" i="81"/>
  <c r="U156" i="81" s="1"/>
  <c r="U158" i="81" s="1"/>
  <c r="AM81" i="81"/>
  <c r="J230" i="81"/>
  <c r="Z197" i="81"/>
  <c r="Z228" i="81"/>
  <c r="G186" i="81"/>
  <c r="G192" i="81" s="1"/>
  <c r="G193" i="81" s="1"/>
  <c r="G94" i="81"/>
  <c r="O186" i="81"/>
  <c r="O192" i="81" s="1"/>
  <c r="O193" i="81" s="1"/>
  <c r="O94" i="81"/>
  <c r="AZ103" i="80"/>
  <c r="H186" i="80"/>
  <c r="H94" i="80"/>
  <c r="AA197" i="80"/>
  <c r="AA228" i="80"/>
  <c r="U94" i="80"/>
  <c r="U186" i="80"/>
  <c r="U192" i="80" s="1"/>
  <c r="U193" i="80" s="1"/>
  <c r="L230" i="80"/>
  <c r="AO81" i="80"/>
  <c r="AC90" i="80"/>
  <c r="AC148" i="80"/>
  <c r="AC156" i="80" s="1"/>
  <c r="AC158" i="80" s="1"/>
  <c r="R216" i="80"/>
  <c r="R240" i="80"/>
  <c r="R219" i="80"/>
  <c r="R222" i="80"/>
  <c r="R213" i="80"/>
  <c r="AD213" i="81"/>
  <c r="AD256" i="81"/>
  <c r="AD253" i="81"/>
  <c r="AD246" i="81"/>
  <c r="AD261" i="81"/>
  <c r="AD259" i="81"/>
  <c r="AD240" i="81"/>
  <c r="M210" i="81"/>
  <c r="L189" i="81"/>
  <c r="L195" i="81" s="1"/>
  <c r="L196" i="81" s="1"/>
  <c r="AD228" i="81"/>
  <c r="AD197" i="81"/>
  <c r="AE90" i="81"/>
  <c r="AE148" i="81"/>
  <c r="AE156" i="81" s="1"/>
  <c r="AE158" i="81" s="1"/>
  <c r="J186" i="81"/>
  <c r="J192" i="81" s="1"/>
  <c r="J193" i="81" s="1"/>
  <c r="J94" i="81"/>
  <c r="BF94" i="81"/>
  <c r="H81" i="80"/>
  <c r="AB259" i="80"/>
  <c r="AB213" i="80"/>
  <c r="AB253" i="80"/>
  <c r="AB256" i="80"/>
  <c r="AB261" i="80"/>
  <c r="AB240" i="80"/>
  <c r="AB246" i="80"/>
  <c r="M90" i="80"/>
  <c r="M148" i="80"/>
  <c r="M156" i="80" s="1"/>
  <c r="M158" i="80" s="1"/>
  <c r="BG81" i="80"/>
  <c r="AG94" i="80"/>
  <c r="AG186" i="80"/>
  <c r="AG192" i="80" s="1"/>
  <c r="K258" i="80"/>
  <c r="K259" i="80" s="1"/>
  <c r="T148" i="80"/>
  <c r="T156" i="80" s="1"/>
  <c r="T158" i="80" s="1"/>
  <c r="T90" i="80"/>
  <c r="N270" i="80"/>
  <c r="N103" i="80"/>
  <c r="H230" i="80"/>
  <c r="AK81" i="80"/>
  <c r="X261" i="80"/>
  <c r="X213" i="80"/>
  <c r="X253" i="80"/>
  <c r="X240" i="80"/>
  <c r="X256" i="80"/>
  <c r="X259" i="80"/>
  <c r="X246" i="80"/>
  <c r="AP90" i="81"/>
  <c r="Q81" i="81"/>
  <c r="F210" i="81"/>
  <c r="P255" i="81"/>
  <c r="P256" i="81" s="1"/>
  <c r="S103" i="81"/>
  <c r="S270" i="81"/>
  <c r="T270" i="81"/>
  <c r="T103" i="81"/>
  <c r="AC186" i="81"/>
  <c r="AC192" i="81" s="1"/>
  <c r="AC94" i="81"/>
  <c r="BF90" i="81"/>
  <c r="N230" i="80"/>
  <c r="AQ81" i="80"/>
  <c r="AB186" i="80"/>
  <c r="AB192" i="80" s="1"/>
  <c r="AB94" i="80"/>
  <c r="BH81" i="80"/>
  <c r="BB94" i="80"/>
  <c r="AU94" i="80"/>
  <c r="AD186" i="80"/>
  <c r="AD192" i="80" s="1"/>
  <c r="AD94" i="80"/>
  <c r="N219" i="80"/>
  <c r="N213" i="80"/>
  <c r="N222" i="80"/>
  <c r="N240" i="80"/>
  <c r="N216" i="80"/>
  <c r="AN81" i="80"/>
  <c r="K230" i="80"/>
  <c r="J210" i="80"/>
  <c r="L240" i="80"/>
  <c r="L213" i="80"/>
  <c r="L222" i="80"/>
  <c r="L219" i="80"/>
  <c r="L216" i="80"/>
  <c r="P213" i="81"/>
  <c r="P216" i="81"/>
  <c r="P219" i="81"/>
  <c r="P240" i="81"/>
  <c r="P222" i="81"/>
  <c r="AP140" i="81"/>
  <c r="R141" i="81"/>
  <c r="P230" i="81"/>
  <c r="AS81" i="81"/>
  <c r="N199" i="81"/>
  <c r="T186" i="81"/>
  <c r="T192" i="81" s="1"/>
  <c r="T193" i="81" s="1"/>
  <c r="T94" i="81"/>
  <c r="AR94" i="81"/>
  <c r="T186" i="80"/>
  <c r="T192" i="80" s="1"/>
  <c r="T193" i="80" s="1"/>
  <c r="T94" i="80"/>
  <c r="O205" i="80"/>
  <c r="P270" i="80"/>
  <c r="P103" i="80"/>
  <c r="AF90" i="80"/>
  <c r="AF148" i="80"/>
  <c r="AF156" i="80" s="1"/>
  <c r="AF158" i="80" s="1"/>
  <c r="V152" i="80"/>
  <c r="V157" i="80" s="1"/>
  <c r="Q81" i="80"/>
  <c r="AE213" i="80"/>
  <c r="AE240" i="80"/>
  <c r="AE261" i="80"/>
  <c r="AE256" i="80"/>
  <c r="AE259" i="80"/>
  <c r="AE246" i="80"/>
  <c r="AE253" i="80"/>
  <c r="AJ90" i="80"/>
  <c r="J199" i="80"/>
  <c r="Z90" i="80"/>
  <c r="Z148" i="80"/>
  <c r="Z156" i="80" s="1"/>
  <c r="Z158" i="80" s="1"/>
  <c r="P255" i="80"/>
  <c r="P256" i="80" s="1"/>
  <c r="S271" i="80"/>
  <c r="AV103" i="80"/>
  <c r="J258" i="80"/>
  <c r="J259" i="80" s="1"/>
  <c r="AC213" i="81"/>
  <c r="AC240" i="81"/>
  <c r="AC253" i="81"/>
  <c r="AC256" i="81"/>
  <c r="AC246" i="81"/>
  <c r="AC259" i="81"/>
  <c r="AC261" i="81"/>
  <c r="K210" i="81"/>
  <c r="Y256" i="81"/>
  <c r="Y259" i="81"/>
  <c r="Y246" i="81"/>
  <c r="Y240" i="81"/>
  <c r="Y213" i="81"/>
  <c r="Y253" i="81"/>
  <c r="Y261" i="81"/>
  <c r="AJ261" i="81"/>
  <c r="N210" i="81"/>
  <c r="R270" i="81"/>
  <c r="R103" i="81"/>
  <c r="U216" i="81"/>
  <c r="U219" i="81"/>
  <c r="U213" i="81"/>
  <c r="U222" i="81"/>
  <c r="U240" i="81"/>
  <c r="J216" i="81"/>
  <c r="J219" i="81"/>
  <c r="J213" i="81"/>
  <c r="J222" i="81"/>
  <c r="J240" i="81"/>
  <c r="AT90" i="81"/>
  <c r="U270" i="81"/>
  <c r="U103" i="81"/>
  <c r="G189" i="81"/>
  <c r="G195" i="81" s="1"/>
  <c r="G196" i="81" s="1"/>
  <c r="BI90" i="81"/>
  <c r="AC103" i="81"/>
  <c r="AP94" i="80"/>
  <c r="K270" i="80"/>
  <c r="K103" i="80"/>
  <c r="BA90" i="80"/>
  <c r="AC197" i="80"/>
  <c r="AC228" i="80"/>
  <c r="S94" i="80"/>
  <c r="S186" i="80"/>
  <c r="AP140" i="80"/>
  <c r="R141" i="80"/>
  <c r="AE103" i="80"/>
  <c r="V189" i="80"/>
  <c r="V195" i="80" s="1"/>
  <c r="V196" i="80" s="1"/>
  <c r="U81" i="81"/>
  <c r="AN103" i="81"/>
  <c r="K271" i="81"/>
  <c r="T255" i="81"/>
  <c r="T256" i="81" s="1"/>
  <c r="P210" i="81"/>
  <c r="G255" i="81"/>
  <c r="M258" i="81"/>
  <c r="M259" i="81" s="1"/>
  <c r="AB90" i="81"/>
  <c r="AB148" i="81"/>
  <c r="AB156" i="81" s="1"/>
  <c r="AB158" i="81" s="1"/>
  <c r="K205" i="81"/>
  <c r="V152" i="81"/>
  <c r="V157" i="81" s="1"/>
  <c r="S81" i="81"/>
  <c r="AC197" i="81"/>
  <c r="AC228" i="81"/>
  <c r="V210" i="81"/>
  <c r="BB94" i="81"/>
  <c r="T230" i="81"/>
  <c r="AW81" i="81"/>
  <c r="V230" i="81"/>
  <c r="AY81" i="81"/>
  <c r="W103" i="81"/>
  <c r="AT103" i="81"/>
  <c r="Q271" i="81"/>
  <c r="AO261" i="81"/>
  <c r="BD90" i="81"/>
  <c r="AA246" i="81"/>
  <c r="AA259" i="81"/>
  <c r="AA256" i="81"/>
  <c r="AA213" i="81"/>
  <c r="AA240" i="81"/>
  <c r="AA253" i="81"/>
  <c r="AA261" i="81"/>
  <c r="BH81" i="81"/>
  <c r="AZ94" i="81"/>
  <c r="Y90" i="81"/>
  <c r="Y148" i="81"/>
  <c r="Y156" i="81" s="1"/>
  <c r="Y158" i="81" s="1"/>
  <c r="BA90" i="81"/>
  <c r="V213" i="81"/>
  <c r="V240" i="81"/>
  <c r="G210" i="81"/>
  <c r="Z90" i="81"/>
  <c r="Z148" i="81"/>
  <c r="Z156" i="81" s="1"/>
  <c r="Z158" i="81" s="1"/>
  <c r="BC103" i="81"/>
  <c r="X103" i="81"/>
  <c r="BH103" i="81"/>
  <c r="R81" i="80"/>
  <c r="G230" i="80"/>
  <c r="AJ81" i="80"/>
  <c r="I270" i="80"/>
  <c r="I103" i="80"/>
  <c r="O189" i="80"/>
  <c r="O195" i="80" s="1"/>
  <c r="O196" i="80" s="1"/>
  <c r="U90" i="80"/>
  <c r="U148" i="80"/>
  <c r="U156" i="80" s="1"/>
  <c r="U158" i="80" s="1"/>
  <c r="T271" i="80"/>
  <c r="AW103" i="80"/>
  <c r="V213" i="80"/>
  <c r="V240" i="80"/>
  <c r="S81" i="80"/>
  <c r="AX103" i="80"/>
  <c r="U271" i="80"/>
  <c r="AQ90" i="80"/>
  <c r="M81" i="80"/>
  <c r="BJ103" i="80"/>
  <c r="L189" i="80"/>
  <c r="L195" i="80" s="1"/>
  <c r="L196" i="80" s="1"/>
  <c r="BF90" i="80"/>
  <c r="S270" i="80"/>
  <c r="S103" i="80"/>
  <c r="AB228" i="80"/>
  <c r="AB197" i="80"/>
  <c r="G137" i="80"/>
  <c r="O230" i="80"/>
  <c r="AR81" i="80"/>
  <c r="I186" i="80"/>
  <c r="I192" i="80" s="1"/>
  <c r="I193" i="80" s="1"/>
  <c r="I94" i="80"/>
  <c r="AT94" i="80"/>
  <c r="J189" i="80"/>
  <c r="J195" i="80" s="1"/>
  <c r="J196" i="80" s="1"/>
  <c r="AX90" i="80"/>
  <c r="AK140" i="80"/>
  <c r="Q141" i="80"/>
  <c r="M255" i="80"/>
  <c r="M256" i="80" s="1"/>
  <c r="V186" i="80"/>
  <c r="V192" i="80" s="1"/>
  <c r="V94" i="80"/>
  <c r="AG240" i="80"/>
  <c r="AG246" i="80"/>
  <c r="AG256" i="80"/>
  <c r="AG213" i="80"/>
  <c r="AG253" i="80"/>
  <c r="AG261" i="80"/>
  <c r="AG259" i="80"/>
  <c r="AS81" i="80"/>
  <c r="P230" i="80"/>
  <c r="BI103" i="80"/>
  <c r="X240" i="81"/>
  <c r="X213" i="81"/>
  <c r="X261" i="81"/>
  <c r="X246" i="81"/>
  <c r="X259" i="81"/>
  <c r="X253" i="81"/>
  <c r="X256" i="81"/>
  <c r="AS103" i="80"/>
  <c r="P271" i="80"/>
  <c r="AL81" i="81"/>
  <c r="I230" i="81"/>
  <c r="AG90" i="81"/>
  <c r="AG148" i="81"/>
  <c r="AG156" i="81" s="1"/>
  <c r="AG158" i="81" s="1"/>
  <c r="BE103" i="80"/>
  <c r="AD256" i="80"/>
  <c r="AD253" i="80"/>
  <c r="AD259" i="80"/>
  <c r="AD246" i="80"/>
  <c r="AD261" i="80"/>
  <c r="AD240" i="80"/>
  <c r="AD213" i="80"/>
  <c r="R81" i="81"/>
  <c r="BI94" i="81"/>
  <c r="M186" i="80"/>
  <c r="M94" i="80"/>
  <c r="K141" i="81"/>
  <c r="AJ140" i="81"/>
  <c r="AO140" i="81"/>
  <c r="M141" i="81"/>
  <c r="AP261" i="81"/>
  <c r="X228" i="80"/>
  <c r="X197" i="80"/>
  <c r="K186" i="80"/>
  <c r="K192" i="80" s="1"/>
  <c r="K193" i="80" s="1"/>
  <c r="K94" i="80"/>
  <c r="AF90" i="81"/>
  <c r="AF148" i="81"/>
  <c r="AF156" i="81" s="1"/>
  <c r="AF158" i="81" s="1"/>
  <c r="U210" i="81"/>
  <c r="AS103" i="81"/>
  <c r="P271" i="81"/>
  <c r="H270" i="81"/>
  <c r="H103" i="81"/>
  <c r="AM90" i="81"/>
  <c r="L240" i="81"/>
  <c r="L213" i="81"/>
  <c r="L222" i="81"/>
  <c r="L216" i="81"/>
  <c r="L219" i="81"/>
  <c r="BD94" i="81"/>
  <c r="AO81" i="81"/>
  <c r="L230" i="81"/>
  <c r="AB186" i="81"/>
  <c r="AB192" i="81" s="1"/>
  <c r="AB94" i="81"/>
  <c r="AY90" i="81"/>
  <c r="Y186" i="81"/>
  <c r="Y192" i="81" s="1"/>
  <c r="Y94" i="81"/>
  <c r="AJ81" i="81"/>
  <c r="G230" i="81"/>
  <c r="I205" i="81"/>
  <c r="W186" i="81"/>
  <c r="W192" i="81" s="1"/>
  <c r="W94" i="81"/>
  <c r="AF213" i="81"/>
  <c r="AF240" i="81"/>
  <c r="AF261" i="81"/>
  <c r="AF246" i="81"/>
  <c r="AF259" i="81"/>
  <c r="AF256" i="81"/>
  <c r="AF253" i="81"/>
  <c r="AG213" i="81"/>
  <c r="AG259" i="81"/>
  <c r="AG240" i="81"/>
  <c r="AG246" i="81"/>
  <c r="AG253" i="81"/>
  <c r="AG256" i="81"/>
  <c r="AG261" i="81"/>
  <c r="O189" i="81"/>
  <c r="O195" i="81" s="1"/>
  <c r="O196" i="81" s="1"/>
  <c r="AI94" i="81"/>
  <c r="BA94" i="81"/>
  <c r="BD81" i="81"/>
  <c r="AB213" i="81"/>
  <c r="AB240" i="81"/>
  <c r="AB261" i="81"/>
  <c r="AB256" i="81"/>
  <c r="AB259" i="81"/>
  <c r="AB246" i="81"/>
  <c r="AB253" i="81"/>
  <c r="Q258" i="81"/>
  <c r="Q259" i="81" s="1"/>
  <c r="F199" i="81"/>
  <c r="T90" i="81"/>
  <c r="T148" i="81"/>
  <c r="T156" i="81" s="1"/>
  <c r="T158" i="81" s="1"/>
  <c r="AB90" i="80"/>
  <c r="AB148" i="80"/>
  <c r="AB156" i="80" s="1"/>
  <c r="AB158" i="80" s="1"/>
  <c r="K81" i="80"/>
  <c r="AL94" i="80"/>
  <c r="G189" i="80"/>
  <c r="G195" i="80" s="1"/>
  <c r="G196" i="80" s="1"/>
  <c r="F90" i="80"/>
  <c r="F148" i="80"/>
  <c r="F156" i="80" s="1"/>
  <c r="F158" i="80" s="1"/>
  <c r="AY94" i="80"/>
  <c r="Y186" i="80"/>
  <c r="Y192" i="80" s="1"/>
  <c r="Y94" i="80"/>
  <c r="F255" i="80"/>
  <c r="N258" i="80"/>
  <c r="N259" i="80" s="1"/>
  <c r="AL90" i="80"/>
  <c r="K141" i="80"/>
  <c r="AJ140" i="80"/>
  <c r="O148" i="80"/>
  <c r="O156" i="80" s="1"/>
  <c r="O158" i="80" s="1"/>
  <c r="O90" i="80"/>
  <c r="H255" i="80"/>
  <c r="Y90" i="80"/>
  <c r="Y148" i="80"/>
  <c r="Y156" i="80" s="1"/>
  <c r="Y158" i="80" s="1"/>
  <c r="BB81" i="80"/>
  <c r="AE90" i="80"/>
  <c r="AE148" i="80"/>
  <c r="AE156" i="80" s="1"/>
  <c r="AE158" i="80" s="1"/>
  <c r="BI81" i="80"/>
  <c r="G103" i="80"/>
  <c r="G270" i="80"/>
  <c r="H205" i="80"/>
  <c r="G271" i="80"/>
  <c r="AJ103" i="80"/>
  <c r="AC103" i="80"/>
  <c r="L81" i="80"/>
  <c r="M189" i="80"/>
  <c r="M195" i="80" s="1"/>
  <c r="M196" i="80" s="1"/>
  <c r="V90" i="80"/>
  <c r="V148" i="80"/>
  <c r="V156" i="80" s="1"/>
  <c r="W186" i="80"/>
  <c r="W192" i="80" s="1"/>
  <c r="W94" i="80"/>
  <c r="K255" i="80"/>
  <c r="K256" i="80" s="1"/>
  <c r="P94" i="80"/>
  <c r="P186" i="80"/>
  <c r="P192" i="80" s="1"/>
  <c r="P193" i="80" s="1"/>
  <c r="BE94" i="80"/>
  <c r="H141" i="81"/>
  <c r="AN140" i="81"/>
  <c r="J90" i="81"/>
  <c r="J148" i="81"/>
  <c r="J156" i="81" s="1"/>
  <c r="J158" i="81" s="1"/>
  <c r="J240" i="80"/>
  <c r="J219" i="80"/>
  <c r="J216" i="80"/>
  <c r="J213" i="80"/>
  <c r="J222" i="80"/>
  <c r="AF228" i="80"/>
  <c r="AF197" i="80"/>
  <c r="AK261" i="81"/>
  <c r="I148" i="80"/>
  <c r="I156" i="80" s="1"/>
  <c r="I158" i="80" s="1"/>
  <c r="I90" i="80"/>
  <c r="AE197" i="80"/>
  <c r="AE228" i="80"/>
  <c r="X148" i="80"/>
  <c r="X156" i="80" s="1"/>
  <c r="X158" i="80" s="1"/>
  <c r="X90" i="80"/>
  <c r="K213" i="81"/>
  <c r="K240" i="81"/>
  <c r="K222" i="81"/>
  <c r="K219" i="81"/>
  <c r="K216" i="81"/>
  <c r="V90" i="81"/>
  <c r="V148" i="81"/>
  <c r="V156" i="81" s="1"/>
  <c r="BA81" i="80"/>
  <c r="I81" i="81"/>
  <c r="AQ90" i="81"/>
  <c r="O219" i="81"/>
  <c r="O240" i="81"/>
  <c r="O216" i="81"/>
  <c r="O213" i="81"/>
  <c r="O222" i="81"/>
  <c r="AU81" i="81"/>
  <c r="R230" i="81"/>
  <c r="I210" i="81"/>
  <c r="AJ261" i="80"/>
  <c r="BB90" i="81"/>
  <c r="O186" i="80"/>
  <c r="O192" i="80" s="1"/>
  <c r="O193" i="80" s="1"/>
  <c r="O94" i="80"/>
  <c r="G258" i="81"/>
  <c r="I240" i="80"/>
  <c r="I213" i="80"/>
  <c r="I216" i="80"/>
  <c r="I222" i="80"/>
  <c r="I219" i="80"/>
  <c r="X90" i="81"/>
  <c r="X148" i="81"/>
  <c r="X156" i="81" s="1"/>
  <c r="X158" i="81" s="1"/>
  <c r="AI81" i="81"/>
  <c r="F230" i="81"/>
  <c r="Q189" i="81"/>
  <c r="Q195" i="81" s="1"/>
  <c r="Q196" i="81" s="1"/>
  <c r="Y228" i="81"/>
  <c r="Y197" i="81"/>
  <c r="AL94" i="81"/>
  <c r="K103" i="81"/>
  <c r="K270" i="81"/>
  <c r="G271" i="81"/>
  <c r="AJ103" i="81"/>
  <c r="P258" i="81"/>
  <c r="P259" i="81" s="1"/>
  <c r="G90" i="81"/>
  <c r="G148" i="81"/>
  <c r="G156" i="81" s="1"/>
  <c r="G158" i="81" s="1"/>
  <c r="AZ81" i="81"/>
  <c r="O258" i="81"/>
  <c r="O259" i="81" s="1"/>
  <c r="G270" i="81"/>
  <c r="G103" i="81"/>
  <c r="S230" i="81"/>
  <c r="AV81" i="81"/>
  <c r="AP81" i="81"/>
  <c r="M230" i="81"/>
  <c r="N205" i="81"/>
  <c r="AV103" i="81"/>
  <c r="S271" i="81"/>
  <c r="M199" i="81"/>
  <c r="AD186" i="81"/>
  <c r="AD192" i="81" s="1"/>
  <c r="AD94" i="81"/>
  <c r="M81" i="81"/>
  <c r="O271" i="81"/>
  <c r="AR103" i="81"/>
  <c r="AF186" i="81"/>
  <c r="AF192" i="81" s="1"/>
  <c r="AF94" i="81"/>
  <c r="AZ90" i="81"/>
  <c r="Q90" i="81"/>
  <c r="Q148" i="81"/>
  <c r="Q156" i="81" s="1"/>
  <c r="Q158" i="81" s="1"/>
  <c r="AA186" i="81"/>
  <c r="AA192" i="81" s="1"/>
  <c r="AA94" i="81"/>
  <c r="AS90" i="81"/>
  <c r="Y103" i="81"/>
  <c r="N90" i="81"/>
  <c r="N148" i="81"/>
  <c r="N156" i="81" s="1"/>
  <c r="N158" i="81" s="1"/>
  <c r="J103" i="81"/>
  <c r="J270" i="81"/>
  <c r="S205" i="81"/>
  <c r="BE81" i="81"/>
  <c r="AI94" i="80"/>
  <c r="AP90" i="80"/>
  <c r="M141" i="80"/>
  <c r="AO140" i="80"/>
  <c r="AZ81" i="80"/>
  <c r="O255" i="80"/>
  <c r="O256" i="80" s="1"/>
  <c r="J255" i="80"/>
  <c r="J256" i="80" s="1"/>
  <c r="BF81" i="80"/>
  <c r="M199" i="80"/>
  <c r="BI90" i="80"/>
  <c r="S90" i="80"/>
  <c r="S148" i="80"/>
  <c r="S156" i="80" s="1"/>
  <c r="S158" i="80" s="1"/>
  <c r="AM103" i="80"/>
  <c r="J271" i="80"/>
  <c r="G94" i="80"/>
  <c r="G186" i="80"/>
  <c r="G192" i="80" s="1"/>
  <c r="G193" i="80" s="1"/>
  <c r="BF103" i="80"/>
  <c r="U219" i="80"/>
  <c r="U216" i="80"/>
  <c r="U213" i="80"/>
  <c r="U222" i="80"/>
  <c r="U240" i="80"/>
  <c r="BE81" i="80"/>
  <c r="K189" i="80"/>
  <c r="K195" i="80" s="1"/>
  <c r="K196" i="80" s="1"/>
  <c r="AO90" i="80"/>
  <c r="AF186" i="80"/>
  <c r="AF192" i="80" s="1"/>
  <c r="AF94" i="80"/>
  <c r="BH94" i="80"/>
  <c r="L186" i="81"/>
  <c r="L192" i="81" s="1"/>
  <c r="L193" i="81" s="1"/>
  <c r="L94" i="81"/>
  <c r="K81" i="81"/>
  <c r="U230" i="80"/>
  <c r="AX81" i="80"/>
  <c r="S186" i="81"/>
  <c r="S94" i="81"/>
  <c r="I240" i="81"/>
  <c r="I219" i="81"/>
  <c r="I213" i="81"/>
  <c r="I222" i="81"/>
  <c r="I216" i="81"/>
  <c r="L271" i="81"/>
  <c r="AO103" i="81"/>
  <c r="I186" i="81"/>
  <c r="I192" i="81" s="1"/>
  <c r="I193" i="81" s="1"/>
  <c r="I94" i="81"/>
  <c r="BC90" i="80"/>
  <c r="AD90" i="80"/>
  <c r="AD148" i="80"/>
  <c r="AD156" i="80" s="1"/>
  <c r="AD158" i="80" s="1"/>
  <c r="W240" i="81"/>
  <c r="W213" i="81"/>
  <c r="W259" i="81"/>
  <c r="W246" i="81"/>
  <c r="W261" i="81"/>
  <c r="W256" i="81"/>
  <c r="W253" i="81"/>
  <c r="P81" i="81"/>
  <c r="J270" i="80"/>
  <c r="J103" i="80"/>
  <c r="Q90" i="80"/>
  <c r="Q148" i="80"/>
  <c r="Q156" i="80" s="1"/>
  <c r="Q158" i="80" s="1"/>
  <c r="O270" i="80"/>
  <c r="O103" i="80"/>
  <c r="AW94" i="81"/>
  <c r="N81" i="81"/>
  <c r="S255" i="81"/>
  <c r="S256" i="81" s="1"/>
  <c r="AJ90" i="81"/>
  <c r="BG103" i="80"/>
  <c r="Z94" i="80"/>
  <c r="Z186" i="80"/>
  <c r="Z192" i="80" s="1"/>
  <c r="G81" i="81"/>
  <c r="BG94" i="81"/>
  <c r="Q230" i="81"/>
  <c r="AT81" i="81"/>
  <c r="F270" i="81"/>
  <c r="F103" i="81"/>
  <c r="AG197" i="81"/>
  <c r="AG228" i="81"/>
  <c r="G137" i="81"/>
  <c r="AE186" i="81"/>
  <c r="AE192" i="81" s="1"/>
  <c r="AE94" i="81"/>
  <c r="L258" i="81"/>
  <c r="L259" i="81" s="1"/>
  <c r="AI90" i="81"/>
  <c r="J189" i="81"/>
  <c r="J195" i="81" s="1"/>
  <c r="J196" i="81" s="1"/>
  <c r="T213" i="81"/>
  <c r="T219" i="81"/>
  <c r="T222" i="81"/>
  <c r="T240" i="81"/>
  <c r="T216" i="81"/>
  <c r="BA81" i="81"/>
  <c r="Q255" i="81"/>
  <c r="Q256" i="81" s="1"/>
  <c r="AV94" i="81"/>
  <c r="P199" i="81"/>
  <c r="K258" i="81"/>
  <c r="K259" i="81" s="1"/>
  <c r="AN90" i="81"/>
  <c r="P186" i="81"/>
  <c r="P192" i="81" s="1"/>
  <c r="P193" i="81" s="1"/>
  <c r="P94" i="81"/>
  <c r="X228" i="81"/>
  <c r="X197" i="81"/>
  <c r="Q199" i="81"/>
  <c r="BJ90" i="81"/>
  <c r="V94" i="81"/>
  <c r="V186" i="81"/>
  <c r="V192" i="81" s="1"/>
  <c r="U189" i="81"/>
  <c r="U195" i="81" s="1"/>
  <c r="U196" i="81" s="1"/>
  <c r="J210" i="81"/>
  <c r="X94" i="81"/>
  <c r="X186" i="81"/>
  <c r="X192" i="81" s="1"/>
  <c r="AD103" i="81"/>
  <c r="AC90" i="81"/>
  <c r="AC148" i="81"/>
  <c r="AC156" i="81" s="1"/>
  <c r="AC158" i="81" s="1"/>
  <c r="K271" i="80"/>
  <c r="AN103" i="80"/>
  <c r="S199" i="80"/>
  <c r="AP81" i="80"/>
  <c r="M230" i="80"/>
  <c r="AA186" i="80"/>
  <c r="AA192" i="80" s="1"/>
  <c r="AA94" i="80"/>
  <c r="S205" i="80"/>
  <c r="U270" i="80"/>
  <c r="U103" i="80"/>
  <c r="AB103" i="80"/>
  <c r="BB103" i="80"/>
  <c r="K240" i="80"/>
  <c r="K222" i="80"/>
  <c r="K213" i="80"/>
  <c r="K216" i="80"/>
  <c r="K219" i="80"/>
  <c r="U189" i="80"/>
  <c r="U195" i="80" s="1"/>
  <c r="U196" i="80" s="1"/>
  <c r="AS94" i="80"/>
  <c r="BC103" i="80"/>
  <c r="AW81" i="80"/>
  <c r="T230" i="80"/>
  <c r="BD90" i="80"/>
  <c r="F137" i="80"/>
  <c r="F261" i="80" s="1"/>
  <c r="O258" i="80"/>
  <c r="O259" i="80" s="1"/>
  <c r="AU90" i="80"/>
  <c r="S210" i="80"/>
  <c r="N189" i="80"/>
  <c r="N195" i="80" s="1"/>
  <c r="N196" i="80" s="1"/>
  <c r="Q186" i="80"/>
  <c r="Q192" i="80" s="1"/>
  <c r="Q193" i="80" s="1"/>
  <c r="Q94" i="80"/>
  <c r="P90" i="80"/>
  <c r="P148" i="80"/>
  <c r="P156" i="80" s="1"/>
  <c r="P158" i="80" s="1"/>
  <c r="AA148" i="80"/>
  <c r="AA156" i="80" s="1"/>
  <c r="AA158" i="80" s="1"/>
  <c r="AA90" i="80"/>
  <c r="J81" i="80"/>
  <c r="BC81" i="80"/>
  <c r="AD228" i="80"/>
  <c r="AD197" i="80"/>
  <c r="AI90" i="80"/>
  <c r="V230" i="80"/>
  <c r="AY81" i="80"/>
  <c r="X186" i="80"/>
  <c r="X192" i="80" s="1"/>
  <c r="X94" i="80"/>
  <c r="R270" i="80"/>
  <c r="R103" i="80"/>
  <c r="L289" i="4"/>
  <c r="L290" i="4"/>
  <c r="H290" i="4"/>
  <c r="H289" i="4"/>
  <c r="J290" i="4"/>
  <c r="J289" i="4"/>
  <c r="I290" i="4"/>
  <c r="I289" i="4"/>
  <c r="K290" i="4"/>
  <c r="K289" i="4"/>
  <c r="Z184" i="4"/>
  <c r="AA182" i="4"/>
  <c r="L279" i="4"/>
  <c r="L310" i="4" s="1"/>
  <c r="J310" i="4"/>
  <c r="I310" i="4"/>
  <c r="H310" i="4"/>
  <c r="K310" i="4"/>
  <c r="F289" i="4" l="1"/>
  <c r="F290" i="4"/>
  <c r="F310" i="4"/>
  <c r="AP256" i="80"/>
  <c r="AP259" i="81"/>
  <c r="AP240" i="81"/>
  <c r="AP240" i="80"/>
  <c r="AP259" i="80"/>
  <c r="AP256" i="81"/>
  <c r="AK259" i="80"/>
  <c r="AK240" i="81"/>
  <c r="AK256" i="81"/>
  <c r="AK240" i="80"/>
  <c r="AK259" i="81"/>
  <c r="AK256" i="80"/>
  <c r="AO259" i="80"/>
  <c r="AO256" i="80"/>
  <c r="AO259" i="81"/>
  <c r="AO240" i="80"/>
  <c r="AO240" i="81"/>
  <c r="AO256" i="81"/>
  <c r="AJ240" i="81"/>
  <c r="AJ259" i="81"/>
  <c r="AJ256" i="80"/>
  <c r="AJ256" i="81"/>
  <c r="AJ240" i="80"/>
  <c r="AJ259" i="80"/>
  <c r="H259" i="80"/>
  <c r="AN259" i="80" s="1"/>
  <c r="H256" i="81"/>
  <c r="AN256" i="81" s="1"/>
  <c r="H228" i="80"/>
  <c r="H240" i="80"/>
  <c r="AN240" i="80" s="1"/>
  <c r="H256" i="80"/>
  <c r="AN256" i="80" s="1"/>
  <c r="H219" i="80"/>
  <c r="H222" i="80"/>
  <c r="H213" i="80"/>
  <c r="H216" i="80"/>
  <c r="P197" i="81"/>
  <c r="V197" i="81"/>
  <c r="AP199" i="80"/>
  <c r="F219" i="81"/>
  <c r="K228" i="81"/>
  <c r="AP199" i="81"/>
  <c r="AN199" i="81"/>
  <c r="Q272" i="80"/>
  <c r="Q273" i="80" s="1"/>
  <c r="Q274" i="80" s="1"/>
  <c r="Q275" i="80" s="1"/>
  <c r="Q276" i="80" s="1"/>
  <c r="Q278" i="80" s="1"/>
  <c r="F222" i="81"/>
  <c r="F213" i="81"/>
  <c r="V158" i="81"/>
  <c r="V163" i="81" s="1"/>
  <c r="M197" i="81"/>
  <c r="F216" i="81"/>
  <c r="F261" i="81"/>
  <c r="R197" i="81"/>
  <c r="T197" i="80"/>
  <c r="F256" i="81"/>
  <c r="F259" i="81"/>
  <c r="G256" i="80"/>
  <c r="S272" i="80"/>
  <c r="S273" i="80" s="1"/>
  <c r="S274" i="80" s="1"/>
  <c r="S275" i="80" s="1"/>
  <c r="S276" i="80" s="1"/>
  <c r="S278" i="80" s="1"/>
  <c r="F256" i="80"/>
  <c r="O272" i="80"/>
  <c r="O273" i="80" s="1"/>
  <c r="O274" i="80" s="1"/>
  <c r="O275" i="80" s="1"/>
  <c r="O276" i="80" s="1"/>
  <c r="O278" i="80" s="1"/>
  <c r="K272" i="81"/>
  <c r="K273" i="81" s="1"/>
  <c r="K274" i="81" s="1"/>
  <c r="K275" i="81" s="1"/>
  <c r="K276" i="81" s="1"/>
  <c r="K278" i="81" s="1"/>
  <c r="I228" i="81"/>
  <c r="H259" i="81"/>
  <c r="AN259" i="81" s="1"/>
  <c r="H240" i="81"/>
  <c r="AN240" i="81" s="1"/>
  <c r="H219" i="81"/>
  <c r="H213" i="81"/>
  <c r="H228" i="81"/>
  <c r="AN199" i="80"/>
  <c r="H216" i="81"/>
  <c r="L272" i="80"/>
  <c r="L273" i="80" s="1"/>
  <c r="L274" i="80" s="1"/>
  <c r="L275" i="80" s="1"/>
  <c r="L276" i="80" s="1"/>
  <c r="L278" i="80" s="1"/>
  <c r="AO199" i="80"/>
  <c r="H272" i="80"/>
  <c r="H273" i="80" s="1"/>
  <c r="H274" i="80" s="1"/>
  <c r="H275" i="80" s="1"/>
  <c r="H276" i="80" s="1"/>
  <c r="H278" i="80" s="1"/>
  <c r="F259" i="80"/>
  <c r="V158" i="80"/>
  <c r="V163" i="80" s="1"/>
  <c r="AO199" i="81"/>
  <c r="R272" i="81"/>
  <c r="R273" i="81" s="1"/>
  <c r="R274" i="81" s="1"/>
  <c r="R275" i="81" s="1"/>
  <c r="R276" i="81" s="1"/>
  <c r="R278" i="81" s="1"/>
  <c r="S272" i="81"/>
  <c r="S273" i="81" s="1"/>
  <c r="S274" i="81" s="1"/>
  <c r="S275" i="81" s="1"/>
  <c r="S276" i="81" s="1"/>
  <c r="S278" i="81" s="1"/>
  <c r="J272" i="80"/>
  <c r="J273" i="80" s="1"/>
  <c r="J274" i="80" s="1"/>
  <c r="J275" i="80" s="1"/>
  <c r="J276" i="80" s="1"/>
  <c r="J278" i="80" s="1"/>
  <c r="R272" i="80"/>
  <c r="R273" i="80" s="1"/>
  <c r="R274" i="80" s="1"/>
  <c r="R275" i="80" s="1"/>
  <c r="R276" i="80" s="1"/>
  <c r="R278" i="80" s="1"/>
  <c r="G272" i="81"/>
  <c r="G273" i="81" s="1"/>
  <c r="G274" i="81" s="1"/>
  <c r="G275" i="81" s="1"/>
  <c r="G276" i="81" s="1"/>
  <c r="G278" i="81" s="1"/>
  <c r="G272" i="80"/>
  <c r="G273" i="80" s="1"/>
  <c r="G274" i="80" s="1"/>
  <c r="G275" i="80" s="1"/>
  <c r="G276" i="80" s="1"/>
  <c r="G278" i="80" s="1"/>
  <c r="Q272" i="81"/>
  <c r="Q273" i="81" s="1"/>
  <c r="Q274" i="81" s="1"/>
  <c r="Q275" i="81" s="1"/>
  <c r="Q276" i="81" s="1"/>
  <c r="Q278" i="81" s="1"/>
  <c r="N272" i="81"/>
  <c r="N273" i="81" s="1"/>
  <c r="N274" i="81" s="1"/>
  <c r="N275" i="81" s="1"/>
  <c r="N276" i="81" s="1"/>
  <c r="N278" i="81" s="1"/>
  <c r="T272" i="81"/>
  <c r="T273" i="81" s="1"/>
  <c r="T274" i="81" s="1"/>
  <c r="T275" i="81" s="1"/>
  <c r="T276" i="81" s="1"/>
  <c r="T278" i="81" s="1"/>
  <c r="T272" i="80"/>
  <c r="T273" i="80" s="1"/>
  <c r="T274" i="80" s="1"/>
  <c r="T275" i="80" s="1"/>
  <c r="T276" i="80" s="1"/>
  <c r="T278" i="80" s="1"/>
  <c r="H222" i="81"/>
  <c r="P272" i="81"/>
  <c r="P273" i="81" s="1"/>
  <c r="P274" i="81" s="1"/>
  <c r="P275" i="81" s="1"/>
  <c r="P276" i="81" s="1"/>
  <c r="P278" i="81" s="1"/>
  <c r="R279" i="81" s="1"/>
  <c r="U272" i="81"/>
  <c r="U273" i="81" s="1"/>
  <c r="U274" i="81" s="1"/>
  <c r="U275" i="81" s="1"/>
  <c r="U276" i="81" s="1"/>
  <c r="U278" i="81" s="1"/>
  <c r="F272" i="80"/>
  <c r="F273" i="80" s="1"/>
  <c r="F274" i="80" s="1"/>
  <c r="F275" i="80" s="1"/>
  <c r="F276" i="80" s="1"/>
  <c r="F278" i="80" s="1"/>
  <c r="G135" i="80"/>
  <c r="G226" i="80"/>
  <c r="G133" i="80"/>
  <c r="G194" i="80"/>
  <c r="Q252" i="81"/>
  <c r="Q253" i="81" s="1"/>
  <c r="Q245" i="81"/>
  <c r="Q246" i="81" s="1"/>
  <c r="X164" i="81"/>
  <c r="X159" i="81"/>
  <c r="X163" i="81"/>
  <c r="K245" i="80"/>
  <c r="K246" i="80" s="1"/>
  <c r="K252" i="80"/>
  <c r="K253" i="80" s="1"/>
  <c r="J245" i="81"/>
  <c r="J246" i="81" s="1"/>
  <c r="J252" i="81"/>
  <c r="J253" i="81" s="1"/>
  <c r="AE193" i="80"/>
  <c r="AE135" i="80"/>
  <c r="AC193" i="80"/>
  <c r="AC135" i="80"/>
  <c r="K169" i="80"/>
  <c r="K163" i="80"/>
  <c r="K174" i="80"/>
  <c r="K164" i="80"/>
  <c r="K159" i="80"/>
  <c r="O159" i="81"/>
  <c r="O163" i="81"/>
  <c r="O164" i="81"/>
  <c r="O169" i="81"/>
  <c r="O174" i="81"/>
  <c r="Y163" i="80"/>
  <c r="Y164" i="80"/>
  <c r="Y159" i="80"/>
  <c r="AB193" i="81"/>
  <c r="AB135" i="81"/>
  <c r="I133" i="80"/>
  <c r="I135" i="80"/>
  <c r="I194" i="80"/>
  <c r="I226" i="80"/>
  <c r="AB193" i="80"/>
  <c r="AB135" i="80"/>
  <c r="L228" i="81"/>
  <c r="L197" i="81"/>
  <c r="K164" i="81"/>
  <c r="K169" i="81"/>
  <c r="K174" i="81"/>
  <c r="K159" i="81"/>
  <c r="K163" i="81"/>
  <c r="F226" i="81"/>
  <c r="F135" i="81"/>
  <c r="F194" i="81"/>
  <c r="F133" i="81"/>
  <c r="Z193" i="81"/>
  <c r="Z135" i="81"/>
  <c r="N197" i="81"/>
  <c r="N228" i="81"/>
  <c r="AA164" i="81"/>
  <c r="AA159" i="81"/>
  <c r="AA163" i="81"/>
  <c r="N194" i="80"/>
  <c r="N226" i="80"/>
  <c r="N135" i="80"/>
  <c r="N133" i="80"/>
  <c r="F174" i="81"/>
  <c r="F175" i="81" s="1"/>
  <c r="F164" i="81"/>
  <c r="F165" i="81" s="1"/>
  <c r="F169" i="81"/>
  <c r="F170" i="81" s="1"/>
  <c r="F159" i="81"/>
  <c r="F160" i="81" s="1"/>
  <c r="F163" i="81"/>
  <c r="Q164" i="80"/>
  <c r="Q174" i="80"/>
  <c r="Q163" i="80"/>
  <c r="Q159" i="80"/>
  <c r="Q169" i="80"/>
  <c r="AD159" i="80"/>
  <c r="AD163" i="80"/>
  <c r="AD164" i="80"/>
  <c r="K197" i="80"/>
  <c r="K228" i="80"/>
  <c r="S163" i="80"/>
  <c r="S159" i="80"/>
  <c r="S164" i="80"/>
  <c r="S174" i="80"/>
  <c r="S169" i="80"/>
  <c r="M252" i="81"/>
  <c r="M253" i="81" s="1"/>
  <c r="M245" i="81"/>
  <c r="M246" i="81" s="1"/>
  <c r="R245" i="81"/>
  <c r="R246" i="81" s="1"/>
  <c r="R252" i="81"/>
  <c r="R253" i="81" s="1"/>
  <c r="F159" i="80"/>
  <c r="F160" i="80" s="1"/>
  <c r="F169" i="80"/>
  <c r="F170" i="80" s="1"/>
  <c r="F163" i="80"/>
  <c r="F164" i="80"/>
  <c r="F165" i="80" s="1"/>
  <c r="F167" i="80" s="1"/>
  <c r="F174" i="80"/>
  <c r="F175" i="80" s="1"/>
  <c r="L245" i="81"/>
  <c r="L246" i="81" s="1"/>
  <c r="L252" i="81"/>
  <c r="L253" i="81" s="1"/>
  <c r="U272" i="80"/>
  <c r="U273" i="80" s="1"/>
  <c r="U274" i="80" s="1"/>
  <c r="U275" i="80" s="1"/>
  <c r="U276" i="80" s="1"/>
  <c r="U278" i="80" s="1"/>
  <c r="Y159" i="81"/>
  <c r="Y163" i="81"/>
  <c r="Y164" i="81"/>
  <c r="V228" i="80"/>
  <c r="V197" i="80"/>
  <c r="T226" i="80"/>
  <c r="T133" i="80"/>
  <c r="T135" i="80"/>
  <c r="T194" i="80"/>
  <c r="U159" i="81"/>
  <c r="U174" i="81"/>
  <c r="U164" i="81"/>
  <c r="U163" i="81"/>
  <c r="U169" i="81"/>
  <c r="S197" i="80"/>
  <c r="S228" i="80"/>
  <c r="S245" i="80"/>
  <c r="S246" i="80" s="1"/>
  <c r="S252" i="80"/>
  <c r="S253" i="80" s="1"/>
  <c r="L135" i="80"/>
  <c r="L226" i="80"/>
  <c r="L133" i="80"/>
  <c r="L194" i="80"/>
  <c r="AG135" i="81"/>
  <c r="AG193" i="81"/>
  <c r="R245" i="80"/>
  <c r="R246" i="80" s="1"/>
  <c r="R252" i="80"/>
  <c r="R253" i="80" s="1"/>
  <c r="M272" i="81"/>
  <c r="M273" i="81" s="1"/>
  <c r="M274" i="81" s="1"/>
  <c r="M275" i="81" s="1"/>
  <c r="M276" i="81" s="1"/>
  <c r="M278" i="81" s="1"/>
  <c r="J228" i="80"/>
  <c r="J197" i="80"/>
  <c r="L245" i="80"/>
  <c r="L246" i="80" s="1"/>
  <c r="L252" i="80"/>
  <c r="L253" i="80" s="1"/>
  <c r="Q252" i="80"/>
  <c r="Q253" i="80" s="1"/>
  <c r="Q245" i="80"/>
  <c r="Q246" i="80" s="1"/>
  <c r="T228" i="81"/>
  <c r="T197" i="81"/>
  <c r="V245" i="80"/>
  <c r="V246" i="80" s="1"/>
  <c r="V252" i="80"/>
  <c r="V253" i="80" s="1"/>
  <c r="N228" i="80"/>
  <c r="N197" i="80"/>
  <c r="U228" i="81"/>
  <c r="U197" i="81"/>
  <c r="J163" i="81"/>
  <c r="J169" i="81"/>
  <c r="J174" i="81"/>
  <c r="J159" i="81"/>
  <c r="J164" i="81"/>
  <c r="O228" i="81"/>
  <c r="O197" i="81"/>
  <c r="O197" i="80"/>
  <c r="O228" i="80"/>
  <c r="H252" i="80"/>
  <c r="H253" i="80" s="1"/>
  <c r="H245" i="80"/>
  <c r="H246" i="80" s="1"/>
  <c r="U245" i="81"/>
  <c r="U246" i="81" s="1"/>
  <c r="U252" i="81"/>
  <c r="U253" i="81" s="1"/>
  <c r="N169" i="80"/>
  <c r="N163" i="80"/>
  <c r="N159" i="80"/>
  <c r="N174" i="80"/>
  <c r="N164" i="80"/>
  <c r="AD159" i="81"/>
  <c r="AD163" i="81"/>
  <c r="AD164" i="81"/>
  <c r="J163" i="80"/>
  <c r="J174" i="80"/>
  <c r="J169" i="80"/>
  <c r="J159" i="80"/>
  <c r="J164" i="80"/>
  <c r="G159" i="80"/>
  <c r="G174" i="80"/>
  <c r="G164" i="80"/>
  <c r="G163" i="80"/>
  <c r="G169" i="80"/>
  <c r="M252" i="80"/>
  <c r="M253" i="80" s="1"/>
  <c r="M245" i="80"/>
  <c r="M246" i="80" s="1"/>
  <c r="AF193" i="80"/>
  <c r="AF135" i="80"/>
  <c r="Q163" i="81"/>
  <c r="Q159" i="81"/>
  <c r="Q174" i="81"/>
  <c r="Q169" i="81"/>
  <c r="Q164" i="81"/>
  <c r="I164" i="80"/>
  <c r="I163" i="80"/>
  <c r="I174" i="80"/>
  <c r="I159" i="80"/>
  <c r="I169" i="80"/>
  <c r="Y135" i="80"/>
  <c r="Y193" i="80"/>
  <c r="F216" i="80"/>
  <c r="F213" i="80"/>
  <c r="F240" i="80"/>
  <c r="F222" i="80"/>
  <c r="F219" i="80"/>
  <c r="N252" i="80"/>
  <c r="N253" i="80" s="1"/>
  <c r="N245" i="80"/>
  <c r="N246" i="80" s="1"/>
  <c r="I197" i="80"/>
  <c r="I228" i="80"/>
  <c r="H192" i="81"/>
  <c r="H193" i="81" s="1"/>
  <c r="AN186" i="81"/>
  <c r="U226" i="81"/>
  <c r="U194" i="81"/>
  <c r="U133" i="81"/>
  <c r="U135" i="81"/>
  <c r="K272" i="80"/>
  <c r="K273" i="80" s="1"/>
  <c r="K274" i="80" s="1"/>
  <c r="K275" i="80" s="1"/>
  <c r="K276" i="80" s="1"/>
  <c r="K278" i="80" s="1"/>
  <c r="S192" i="81"/>
  <c r="S193" i="81" s="1"/>
  <c r="AP186" i="81"/>
  <c r="AF135" i="81"/>
  <c r="AF193" i="81"/>
  <c r="P226" i="80"/>
  <c r="P133" i="80"/>
  <c r="P135" i="80"/>
  <c r="P194" i="80"/>
  <c r="G228" i="80"/>
  <c r="G197" i="80"/>
  <c r="G197" i="81"/>
  <c r="G228" i="81"/>
  <c r="AN186" i="80"/>
  <c r="H192" i="80"/>
  <c r="H193" i="80" s="1"/>
  <c r="W163" i="81"/>
  <c r="W164" i="81"/>
  <c r="W159" i="81"/>
  <c r="P228" i="80"/>
  <c r="P197" i="80"/>
  <c r="J194" i="80"/>
  <c r="J133" i="80"/>
  <c r="J135" i="80"/>
  <c r="J226" i="80"/>
  <c r="S197" i="81"/>
  <c r="S228" i="81"/>
  <c r="N226" i="81"/>
  <c r="N194" i="81"/>
  <c r="N133" i="81"/>
  <c r="N135" i="81"/>
  <c r="AC164" i="81"/>
  <c r="AC163" i="81"/>
  <c r="AC159" i="81"/>
  <c r="S245" i="81"/>
  <c r="S246" i="81" s="1"/>
  <c r="S252" i="81"/>
  <c r="S253" i="81" s="1"/>
  <c r="O164" i="80"/>
  <c r="O159" i="80"/>
  <c r="O174" i="80"/>
  <c r="O163" i="80"/>
  <c r="O169" i="80"/>
  <c r="T194" i="81"/>
  <c r="T135" i="81"/>
  <c r="T133" i="81"/>
  <c r="T226" i="81"/>
  <c r="AG193" i="80"/>
  <c r="AG135" i="80"/>
  <c r="AO186" i="81"/>
  <c r="M192" i="81"/>
  <c r="M193" i="81" s="1"/>
  <c r="L163" i="81"/>
  <c r="L169" i="81"/>
  <c r="L164" i="81"/>
  <c r="L174" i="81"/>
  <c r="L159" i="81"/>
  <c r="R226" i="80"/>
  <c r="R133" i="80"/>
  <c r="R135" i="80"/>
  <c r="R194" i="80"/>
  <c r="H252" i="81"/>
  <c r="H253" i="81" s="1"/>
  <c r="H245" i="81"/>
  <c r="H246" i="81" s="1"/>
  <c r="R228" i="80"/>
  <c r="R197" i="80"/>
  <c r="N159" i="81"/>
  <c r="N164" i="81"/>
  <c r="N169" i="81"/>
  <c r="N163" i="81"/>
  <c r="N174" i="81"/>
  <c r="O272" i="81"/>
  <c r="O273" i="81" s="1"/>
  <c r="O274" i="81" s="1"/>
  <c r="O275" i="81" s="1"/>
  <c r="O276" i="81" s="1"/>
  <c r="O278" i="81" s="1"/>
  <c r="S192" i="80"/>
  <c r="S193" i="80" s="1"/>
  <c r="AP186" i="80"/>
  <c r="I169" i="81"/>
  <c r="I159" i="81"/>
  <c r="I164" i="81"/>
  <c r="I163" i="81"/>
  <c r="I174" i="81"/>
  <c r="AC193" i="81"/>
  <c r="AC135" i="81"/>
  <c r="W159" i="80"/>
  <c r="W163" i="80"/>
  <c r="W164" i="80"/>
  <c r="F252" i="80"/>
  <c r="F253" i="80" s="1"/>
  <c r="F245" i="80"/>
  <c r="F246" i="80" s="1"/>
  <c r="Q133" i="81"/>
  <c r="Q226" i="81"/>
  <c r="Q135" i="81"/>
  <c r="Q194" i="81"/>
  <c r="R226" i="81"/>
  <c r="R194" i="81"/>
  <c r="R133" i="81"/>
  <c r="R135" i="81"/>
  <c r="I252" i="80"/>
  <c r="I253" i="80" s="1"/>
  <c r="I245" i="80"/>
  <c r="I246" i="80" s="1"/>
  <c r="P163" i="80"/>
  <c r="P169" i="80"/>
  <c r="P174" i="80"/>
  <c r="P159" i="80"/>
  <c r="P164" i="80"/>
  <c r="P194" i="81"/>
  <c r="P133" i="81"/>
  <c r="P226" i="81"/>
  <c r="P135" i="81"/>
  <c r="G259" i="81"/>
  <c r="AB159" i="80"/>
  <c r="AB164" i="80"/>
  <c r="AB163" i="80"/>
  <c r="G252" i="81"/>
  <c r="G253" i="81" s="1"/>
  <c r="G245" i="81"/>
  <c r="G246" i="81" s="1"/>
  <c r="K133" i="80"/>
  <c r="K226" i="80"/>
  <c r="K135" i="80"/>
  <c r="K194" i="80"/>
  <c r="I245" i="81"/>
  <c r="I246" i="81" s="1"/>
  <c r="I252" i="81"/>
  <c r="I253" i="81" s="1"/>
  <c r="P252" i="80"/>
  <c r="P253" i="80" s="1"/>
  <c r="P245" i="80"/>
  <c r="P246" i="80" s="1"/>
  <c r="V245" i="81"/>
  <c r="V246" i="81" s="1"/>
  <c r="V252" i="81"/>
  <c r="V253" i="81" s="1"/>
  <c r="Z163" i="80"/>
  <c r="Z159" i="80"/>
  <c r="Z164" i="80"/>
  <c r="AC163" i="80"/>
  <c r="AC164" i="80"/>
  <c r="AC159" i="80"/>
  <c r="O133" i="81"/>
  <c r="O135" i="81"/>
  <c r="O226" i="81"/>
  <c r="O194" i="81"/>
  <c r="Q197" i="80"/>
  <c r="Q228" i="80"/>
  <c r="S169" i="81"/>
  <c r="S163" i="81"/>
  <c r="S174" i="81"/>
  <c r="S159" i="81"/>
  <c r="S164" i="81"/>
  <c r="H169" i="81"/>
  <c r="H159" i="81"/>
  <c r="H164" i="81"/>
  <c r="H163" i="81"/>
  <c r="H174" i="81"/>
  <c r="H272" i="81"/>
  <c r="H273" i="81" s="1"/>
  <c r="H274" i="81" s="1"/>
  <c r="H275" i="81" s="1"/>
  <c r="H276" i="81" s="1"/>
  <c r="H278" i="81" s="1"/>
  <c r="J272" i="81"/>
  <c r="J273" i="81" s="1"/>
  <c r="J274" i="81" s="1"/>
  <c r="J275" i="81" s="1"/>
  <c r="J276" i="81" s="1"/>
  <c r="J278" i="81" s="1"/>
  <c r="R164" i="80"/>
  <c r="R169" i="80"/>
  <c r="R163" i="80"/>
  <c r="R159" i="80"/>
  <c r="R174" i="80"/>
  <c r="Q135" i="80"/>
  <c r="Q194" i="80"/>
  <c r="Q226" i="80"/>
  <c r="Q133" i="80"/>
  <c r="G164" i="81"/>
  <c r="G159" i="81"/>
  <c r="G169" i="81"/>
  <c r="G163" i="81"/>
  <c r="G174" i="81"/>
  <c r="AA193" i="81"/>
  <c r="AA135" i="81"/>
  <c r="U133" i="80"/>
  <c r="U226" i="80"/>
  <c r="U135" i="80"/>
  <c r="U194" i="80"/>
  <c r="G245" i="80"/>
  <c r="G246" i="80" s="1"/>
  <c r="G252" i="80"/>
  <c r="G253" i="80" s="1"/>
  <c r="M192" i="80"/>
  <c r="M193" i="80" s="1"/>
  <c r="AO186" i="80"/>
  <c r="T245" i="80"/>
  <c r="T246" i="80" s="1"/>
  <c r="T252" i="80"/>
  <c r="T253" i="80" s="1"/>
  <c r="AE193" i="81"/>
  <c r="AE135" i="81"/>
  <c r="AG159" i="81"/>
  <c r="AG164" i="81"/>
  <c r="AG163" i="81"/>
  <c r="P163" i="81"/>
  <c r="P159" i="81"/>
  <c r="P164" i="81"/>
  <c r="P174" i="81"/>
  <c r="P169" i="81"/>
  <c r="G213" i="81"/>
  <c r="G222" i="81"/>
  <c r="G219" i="81"/>
  <c r="G216" i="81"/>
  <c r="G240" i="81"/>
  <c r="U245" i="80"/>
  <c r="U246" i="80" s="1"/>
  <c r="U252" i="80"/>
  <c r="U253" i="80" s="1"/>
  <c r="X135" i="81"/>
  <c r="X193" i="81"/>
  <c r="J197" i="81"/>
  <c r="J228" i="81"/>
  <c r="L272" i="81"/>
  <c r="L273" i="81" s="1"/>
  <c r="L274" i="81" s="1"/>
  <c r="L275" i="81" s="1"/>
  <c r="L276" i="81" s="1"/>
  <c r="L278" i="81" s="1"/>
  <c r="X159" i="80"/>
  <c r="X164" i="80"/>
  <c r="X163" i="80"/>
  <c r="W193" i="80"/>
  <c r="W135" i="80"/>
  <c r="Z163" i="81"/>
  <c r="Z159" i="81"/>
  <c r="Z164" i="81"/>
  <c r="G256" i="81"/>
  <c r="AF163" i="80"/>
  <c r="AF159" i="80"/>
  <c r="AF164" i="80"/>
  <c r="P252" i="81"/>
  <c r="P253" i="81" s="1"/>
  <c r="P245" i="81"/>
  <c r="P246" i="81" s="1"/>
  <c r="AD135" i="80"/>
  <c r="AD193" i="80"/>
  <c r="M163" i="80"/>
  <c r="M169" i="80"/>
  <c r="M174" i="80"/>
  <c r="M164" i="80"/>
  <c r="M159" i="80"/>
  <c r="J226" i="81"/>
  <c r="J194" i="81"/>
  <c r="J133" i="81"/>
  <c r="J135" i="81"/>
  <c r="K245" i="81"/>
  <c r="K246" i="81" s="1"/>
  <c r="K252" i="81"/>
  <c r="K253" i="81" s="1"/>
  <c r="J245" i="80"/>
  <c r="J246" i="80" s="1"/>
  <c r="J252" i="80"/>
  <c r="J253" i="80" s="1"/>
  <c r="O252" i="81"/>
  <c r="O253" i="81" s="1"/>
  <c r="O245" i="81"/>
  <c r="O246" i="81" s="1"/>
  <c r="G259" i="80"/>
  <c r="N272" i="80"/>
  <c r="N273" i="80" s="1"/>
  <c r="N274" i="80" s="1"/>
  <c r="N275" i="80" s="1"/>
  <c r="N276" i="80" s="1"/>
  <c r="N278" i="80" s="1"/>
  <c r="R174" i="81"/>
  <c r="R169" i="81"/>
  <c r="R159" i="81"/>
  <c r="R163" i="81"/>
  <c r="R164" i="81"/>
  <c r="F252" i="81"/>
  <c r="F253" i="81" s="1"/>
  <c r="F245" i="81"/>
  <c r="F246" i="81" s="1"/>
  <c r="Y193" i="81"/>
  <c r="Y135" i="81"/>
  <c r="L197" i="80"/>
  <c r="L228" i="80"/>
  <c r="K226" i="81"/>
  <c r="K133" i="81"/>
  <c r="K194" i="81"/>
  <c r="K135" i="81"/>
  <c r="F228" i="81"/>
  <c r="F197" i="81"/>
  <c r="M228" i="80"/>
  <c r="M197" i="80"/>
  <c r="V193" i="81"/>
  <c r="V135" i="81"/>
  <c r="O245" i="80"/>
  <c r="O246" i="80" s="1"/>
  <c r="O252" i="80"/>
  <c r="O253" i="80" s="1"/>
  <c r="T159" i="80"/>
  <c r="T174" i="80"/>
  <c r="T164" i="80"/>
  <c r="T169" i="80"/>
  <c r="T163" i="80"/>
  <c r="F194" i="80"/>
  <c r="F135" i="80"/>
  <c r="F226" i="80"/>
  <c r="F133" i="80"/>
  <c r="F272" i="81"/>
  <c r="F273" i="81" s="1"/>
  <c r="F274" i="81" s="1"/>
  <c r="F275" i="81" s="1"/>
  <c r="F276" i="81" s="1"/>
  <c r="F278" i="81" s="1"/>
  <c r="AF164" i="81"/>
  <c r="AF159" i="81"/>
  <c r="AF163" i="81"/>
  <c r="G216" i="80"/>
  <c r="G222" i="80"/>
  <c r="G219" i="80"/>
  <c r="G240" i="80"/>
  <c r="G213" i="80"/>
  <c r="L169" i="80"/>
  <c r="L174" i="80"/>
  <c r="L159" i="80"/>
  <c r="L163" i="80"/>
  <c r="L164" i="80"/>
  <c r="H159" i="80"/>
  <c r="H163" i="80"/>
  <c r="H164" i="80"/>
  <c r="H169" i="80"/>
  <c r="H174" i="80"/>
  <c r="Z193" i="80"/>
  <c r="Z135" i="80"/>
  <c r="W193" i="81"/>
  <c r="W135" i="81"/>
  <c r="V135" i="80"/>
  <c r="V193" i="80"/>
  <c r="AB164" i="81"/>
  <c r="AB163" i="81"/>
  <c r="AB159" i="81"/>
  <c r="AA164" i="80"/>
  <c r="AA159" i="80"/>
  <c r="AA163" i="80"/>
  <c r="I194" i="81"/>
  <c r="I133" i="81"/>
  <c r="I135" i="81"/>
  <c r="I226" i="81"/>
  <c r="X135" i="80"/>
  <c r="X193" i="80"/>
  <c r="U228" i="80"/>
  <c r="U197" i="80"/>
  <c r="AA135" i="80"/>
  <c r="AA193" i="80"/>
  <c r="L194" i="81"/>
  <c r="L133" i="81"/>
  <c r="L135" i="81"/>
  <c r="L226" i="81"/>
  <c r="AD193" i="81"/>
  <c r="AD135" i="81"/>
  <c r="Q228" i="81"/>
  <c r="Q197" i="81"/>
  <c r="O226" i="80"/>
  <c r="O194" i="80"/>
  <c r="O135" i="80"/>
  <c r="O133" i="80"/>
  <c r="AE164" i="80"/>
  <c r="AE159" i="80"/>
  <c r="AE163" i="80"/>
  <c r="T163" i="81"/>
  <c r="T164" i="81"/>
  <c r="T169" i="81"/>
  <c r="T159" i="81"/>
  <c r="T174" i="81"/>
  <c r="P272" i="80"/>
  <c r="P273" i="80" s="1"/>
  <c r="P274" i="80" s="1"/>
  <c r="P275" i="80" s="1"/>
  <c r="P276" i="80" s="1"/>
  <c r="P278" i="80" s="1"/>
  <c r="R279" i="80" s="1"/>
  <c r="U169" i="80"/>
  <c r="U164" i="80"/>
  <c r="U163" i="80"/>
  <c r="U159" i="80"/>
  <c r="U174" i="80"/>
  <c r="T245" i="81"/>
  <c r="T246" i="81" s="1"/>
  <c r="T252" i="81"/>
  <c r="T253" i="81" s="1"/>
  <c r="AE159" i="81"/>
  <c r="AE163" i="81"/>
  <c r="AE164" i="81"/>
  <c r="G135" i="81"/>
  <c r="G133" i="81"/>
  <c r="G226" i="81"/>
  <c r="G194" i="81"/>
  <c r="F197" i="80"/>
  <c r="F228" i="80"/>
  <c r="M272" i="80"/>
  <c r="M273" i="80" s="1"/>
  <c r="M274" i="80" s="1"/>
  <c r="M275" i="80" s="1"/>
  <c r="M276" i="80" s="1"/>
  <c r="M278" i="80" s="1"/>
  <c r="N252" i="81"/>
  <c r="N253" i="81" s="1"/>
  <c r="N245" i="81"/>
  <c r="N246" i="81" s="1"/>
  <c r="M174" i="81"/>
  <c r="M164" i="81"/>
  <c r="M159" i="81"/>
  <c r="M163" i="81"/>
  <c r="M169" i="81"/>
  <c r="AG163" i="80"/>
  <c r="AG159" i="80"/>
  <c r="AG164" i="80"/>
  <c r="I272" i="81"/>
  <c r="I273" i="81" s="1"/>
  <c r="I274" i="81" s="1"/>
  <c r="I275" i="81" s="1"/>
  <c r="I276" i="81" s="1"/>
  <c r="I278" i="81" s="1"/>
  <c r="I272" i="80"/>
  <c r="I273" i="80" s="1"/>
  <c r="I274" i="80" s="1"/>
  <c r="I275" i="80" s="1"/>
  <c r="I276" i="80" s="1"/>
  <c r="I278" i="80" s="1"/>
  <c r="AB182" i="4"/>
  <c r="AA184" i="4"/>
  <c r="CP94" i="4"/>
  <c r="G226" i="4"/>
  <c r="CP92" i="4"/>
  <c r="CP90" i="4"/>
  <c r="CP88" i="4"/>
  <c r="CP89" i="4"/>
  <c r="G279" i="4"/>
  <c r="CP93" i="4"/>
  <c r="CP91" i="4"/>
  <c r="AP228" i="81" l="1"/>
  <c r="AP253" i="80"/>
  <c r="AP253" i="81"/>
  <c r="AK253" i="80"/>
  <c r="AK253" i="81"/>
  <c r="AO253" i="80"/>
  <c r="AO253" i="81"/>
  <c r="K279" i="80"/>
  <c r="K279" i="81"/>
  <c r="AJ253" i="80"/>
  <c r="AJ253" i="81"/>
  <c r="AN253" i="80"/>
  <c r="AN253" i="81"/>
  <c r="G279" i="80"/>
  <c r="G279" i="81"/>
  <c r="V159" i="81"/>
  <c r="V164" i="81"/>
  <c r="V167" i="81" s="1"/>
  <c r="AN228" i="81"/>
  <c r="U268" i="81"/>
  <c r="Y167" i="81"/>
  <c r="AJ228" i="81"/>
  <c r="AF167" i="80"/>
  <c r="Y167" i="80"/>
  <c r="L268" i="80"/>
  <c r="AO228" i="80"/>
  <c r="V159" i="80"/>
  <c r="V164" i="80"/>
  <c r="W167" i="80" s="1"/>
  <c r="AD167" i="81"/>
  <c r="AK228" i="81"/>
  <c r="I268" i="81"/>
  <c r="AN163" i="80"/>
  <c r="U268" i="80"/>
  <c r="F268" i="80"/>
  <c r="AO228" i="81"/>
  <c r="AP163" i="80"/>
  <c r="AA167" i="80"/>
  <c r="G165" i="80"/>
  <c r="H165" i="80" s="1"/>
  <c r="AB167" i="81"/>
  <c r="AP163" i="81"/>
  <c r="AB167" i="80"/>
  <c r="O268" i="80"/>
  <c r="AG167" i="81"/>
  <c r="F268" i="81"/>
  <c r="AO163" i="80"/>
  <c r="AD167" i="80"/>
  <c r="V226" i="81"/>
  <c r="V194" i="81"/>
  <c r="R268" i="81"/>
  <c r="N268" i="80"/>
  <c r="K268" i="80"/>
  <c r="M194" i="81"/>
  <c r="M226" i="81"/>
  <c r="M133" i="81"/>
  <c r="M135" i="81"/>
  <c r="Q268" i="81"/>
  <c r="S194" i="80"/>
  <c r="S133" i="80"/>
  <c r="S226" i="80"/>
  <c r="S268" i="80" s="1"/>
  <c r="S135" i="80"/>
  <c r="G160" i="81"/>
  <c r="F162" i="81"/>
  <c r="J268" i="81"/>
  <c r="X167" i="80"/>
  <c r="T268" i="80"/>
  <c r="AJ228" i="80"/>
  <c r="K268" i="81"/>
  <c r="R268" i="80"/>
  <c r="H194" i="81"/>
  <c r="H135" i="81"/>
  <c r="H133" i="81"/>
  <c r="H226" i="81"/>
  <c r="F162" i="80"/>
  <c r="G160" i="80"/>
  <c r="G165" i="81"/>
  <c r="F167" i="81"/>
  <c r="Z194" i="81"/>
  <c r="Z226" i="81"/>
  <c r="AC194" i="80"/>
  <c r="AC226" i="80"/>
  <c r="AG226" i="81"/>
  <c r="AG194" i="81"/>
  <c r="W194" i="81"/>
  <c r="W226" i="81"/>
  <c r="AE194" i="81"/>
  <c r="AE226" i="81"/>
  <c r="AA194" i="81"/>
  <c r="AA226" i="81"/>
  <c r="J268" i="80"/>
  <c r="G268" i="81"/>
  <c r="T268" i="81"/>
  <c r="Y226" i="80"/>
  <c r="Y194" i="80"/>
  <c r="F172" i="80"/>
  <c r="G170" i="80"/>
  <c r="G170" i="81"/>
  <c r="F172" i="81"/>
  <c r="AO163" i="81"/>
  <c r="X194" i="81"/>
  <c r="X226" i="81"/>
  <c r="AF167" i="81"/>
  <c r="AA167" i="81"/>
  <c r="AN163" i="81"/>
  <c r="O268" i="81"/>
  <c r="P268" i="80"/>
  <c r="AN228" i="80"/>
  <c r="AP228" i="80"/>
  <c r="AE167" i="80"/>
  <c r="G175" i="81"/>
  <c r="F177" i="81"/>
  <c r="Y226" i="81"/>
  <c r="Y194" i="81"/>
  <c r="H133" i="80"/>
  <c r="H194" i="80"/>
  <c r="H226" i="80"/>
  <c r="H135" i="80"/>
  <c r="S226" i="81"/>
  <c r="S268" i="81" s="1"/>
  <c r="S135" i="81"/>
  <c r="S194" i="81"/>
  <c r="S133" i="81"/>
  <c r="Z226" i="80"/>
  <c r="Z194" i="80"/>
  <c r="F177" i="80"/>
  <c r="G175" i="80"/>
  <c r="AB194" i="81"/>
  <c r="AB226" i="81"/>
  <c r="AG226" i="80"/>
  <c r="AG194" i="80"/>
  <c r="Z167" i="80"/>
  <c r="AA194" i="80"/>
  <c r="AA226" i="80"/>
  <c r="Q268" i="80"/>
  <c r="X167" i="81"/>
  <c r="AF226" i="81"/>
  <c r="AF194" i="81"/>
  <c r="AF194" i="80"/>
  <c r="AF226" i="80"/>
  <c r="Z167" i="81"/>
  <c r="AB226" i="80"/>
  <c r="AB194" i="80"/>
  <c r="AE226" i="80"/>
  <c r="AE194" i="80"/>
  <c r="G268" i="80"/>
  <c r="AD226" i="80"/>
  <c r="AD194" i="80"/>
  <c r="W194" i="80"/>
  <c r="W226" i="80"/>
  <c r="AD226" i="81"/>
  <c r="AD194" i="81"/>
  <c r="L268" i="81"/>
  <c r="AG167" i="80"/>
  <c r="AK228" i="80"/>
  <c r="M133" i="80"/>
  <c r="M194" i="80"/>
  <c r="M226" i="80"/>
  <c r="M135" i="80"/>
  <c r="AC167" i="80"/>
  <c r="AC167" i="81"/>
  <c r="X226" i="80"/>
  <c r="X194" i="80"/>
  <c r="V226" i="80"/>
  <c r="V194" i="80"/>
  <c r="P268" i="81"/>
  <c r="AC194" i="81"/>
  <c r="AC226" i="81"/>
  <c r="N268" i="81"/>
  <c r="AE167" i="81"/>
  <c r="I268" i="80"/>
  <c r="G270" i="4"/>
  <c r="G269" i="4"/>
  <c r="G272" i="4"/>
  <c r="G274" i="4"/>
  <c r="G271" i="4"/>
  <c r="Y295" i="4"/>
  <c r="Y296" i="4" s="1"/>
  <c r="G273" i="4"/>
  <c r="Y298" i="4"/>
  <c r="Y299" i="4" s="1"/>
  <c r="G275" i="4"/>
  <c r="G301" i="4" s="1"/>
  <c r="AC182" i="4"/>
  <c r="AB184" i="4"/>
  <c r="G227" i="4"/>
  <c r="CP95" i="4"/>
  <c r="G223" i="4"/>
  <c r="G292" i="4" l="1"/>
  <c r="W167" i="81"/>
  <c r="V167" i="80"/>
  <c r="G167" i="80"/>
  <c r="AK226" i="81"/>
  <c r="G167" i="81"/>
  <c r="H165" i="81"/>
  <c r="H160" i="80"/>
  <c r="G162" i="80"/>
  <c r="AJ226" i="80"/>
  <c r="AO226" i="80"/>
  <c r="M268" i="80"/>
  <c r="AK226" i="80"/>
  <c r="G177" i="81"/>
  <c r="H175" i="81"/>
  <c r="AJ226" i="81"/>
  <c r="AO226" i="81"/>
  <c r="M268" i="81"/>
  <c r="H160" i="81"/>
  <c r="G162" i="81"/>
  <c r="AP226" i="81"/>
  <c r="H268" i="80"/>
  <c r="AN226" i="80"/>
  <c r="I165" i="80"/>
  <c r="H167" i="80"/>
  <c r="H175" i="80"/>
  <c r="G177" i="80"/>
  <c r="G172" i="81"/>
  <c r="H170" i="81"/>
  <c r="AN226" i="81"/>
  <c r="H268" i="81"/>
  <c r="H170" i="80"/>
  <c r="G172" i="80"/>
  <c r="AP226" i="80"/>
  <c r="G298" i="4"/>
  <c r="G299" i="4" s="1"/>
  <c r="G295" i="4"/>
  <c r="G296" i="4" s="1"/>
  <c r="Y284" i="4"/>
  <c r="Y285" i="4" s="1"/>
  <c r="Y293" i="4"/>
  <c r="AD182" i="4"/>
  <c r="AC184" i="4"/>
  <c r="G228" i="4"/>
  <c r="G267" i="4"/>
  <c r="G224" i="4"/>
  <c r="G293" i="4"/>
  <c r="G284" i="4"/>
  <c r="G285" i="4" s="1"/>
  <c r="G288" i="4" s="1"/>
  <c r="I167" i="80" l="1"/>
  <c r="J165" i="80"/>
  <c r="H172" i="80"/>
  <c r="I170" i="80"/>
  <c r="H162" i="80"/>
  <c r="I160" i="80"/>
  <c r="I160" i="81"/>
  <c r="H162" i="81"/>
  <c r="H167" i="81"/>
  <c r="I165" i="81"/>
  <c r="I170" i="81"/>
  <c r="H172" i="81"/>
  <c r="H177" i="81"/>
  <c r="I175" i="81"/>
  <c r="H177" i="80"/>
  <c r="I175" i="80"/>
  <c r="G290" i="4"/>
  <c r="G289" i="4"/>
  <c r="AD184" i="4"/>
  <c r="AE182" i="4"/>
  <c r="G265" i="4"/>
  <c r="G310" i="4" s="1"/>
  <c r="G149" i="4"/>
  <c r="G147" i="4"/>
  <c r="G225" i="4"/>
  <c r="I172" i="81" l="1"/>
  <c r="J170" i="81"/>
  <c r="I167" i="81"/>
  <c r="J165" i="81"/>
  <c r="I162" i="81"/>
  <c r="J160" i="81"/>
  <c r="I162" i="80"/>
  <c r="J160" i="80"/>
  <c r="J175" i="80"/>
  <c r="I177" i="80"/>
  <c r="I177" i="81"/>
  <c r="J175" i="81"/>
  <c r="J167" i="80"/>
  <c r="K165" i="80"/>
  <c r="I172" i="80"/>
  <c r="J170" i="80"/>
  <c r="AF182" i="4"/>
  <c r="AE184" i="4"/>
  <c r="J49" i="82"/>
  <c r="J47" i="82"/>
  <c r="J162" i="80" l="1"/>
  <c r="K160" i="80"/>
  <c r="J172" i="80"/>
  <c r="K170" i="80"/>
  <c r="J167" i="81"/>
  <c r="K165" i="81"/>
  <c r="K175" i="80"/>
  <c r="J177" i="80"/>
  <c r="J162" i="81"/>
  <c r="K160" i="81"/>
  <c r="L165" i="80"/>
  <c r="K167" i="80"/>
  <c r="K170" i="81"/>
  <c r="J172" i="81"/>
  <c r="K175" i="81"/>
  <c r="J177" i="81"/>
  <c r="AG182" i="4"/>
  <c r="AG184" i="4" s="1"/>
  <c r="AF184" i="4"/>
  <c r="L170" i="80" l="1"/>
  <c r="K172" i="80"/>
  <c r="L165" i="81"/>
  <c r="K167" i="81"/>
  <c r="L175" i="81"/>
  <c r="K177" i="81"/>
  <c r="L167" i="80"/>
  <c r="M165" i="80"/>
  <c r="L160" i="81"/>
  <c r="K162" i="81"/>
  <c r="K177" i="80"/>
  <c r="L175" i="80"/>
  <c r="K162" i="80"/>
  <c r="L160" i="80"/>
  <c r="K172" i="81"/>
  <c r="L170" i="81"/>
  <c r="L177" i="81" l="1"/>
  <c r="M175" i="81"/>
  <c r="M170" i="81"/>
  <c r="L172" i="81"/>
  <c r="M175" i="80"/>
  <c r="L177" i="80"/>
  <c r="L162" i="81"/>
  <c r="M160" i="81"/>
  <c r="L167" i="81"/>
  <c r="M165" i="81"/>
  <c r="L162" i="80"/>
  <c r="M160" i="80"/>
  <c r="L172" i="80"/>
  <c r="M170" i="80"/>
  <c r="N165" i="80"/>
  <c r="M167" i="80"/>
  <c r="N160" i="80" l="1"/>
  <c r="M162" i="80"/>
  <c r="M167" i="81"/>
  <c r="N165" i="81"/>
  <c r="N160" i="81"/>
  <c r="M162" i="81"/>
  <c r="M177" i="80"/>
  <c r="N175" i="80"/>
  <c r="N167" i="80"/>
  <c r="O165" i="80"/>
  <c r="M172" i="81"/>
  <c r="N170" i="81"/>
  <c r="N170" i="80"/>
  <c r="M172" i="80"/>
  <c r="N175" i="81"/>
  <c r="M177" i="81"/>
  <c r="N172" i="81" l="1"/>
  <c r="O170" i="81"/>
  <c r="O167" i="80"/>
  <c r="P165" i="80"/>
  <c r="O175" i="80"/>
  <c r="N177" i="80"/>
  <c r="N162" i="81"/>
  <c r="O160" i="81"/>
  <c r="N167" i="81"/>
  <c r="O165" i="81"/>
  <c r="O175" i="81"/>
  <c r="N177" i="81"/>
  <c r="O170" i="80"/>
  <c r="N172" i="80"/>
  <c r="N162" i="80"/>
  <c r="O160" i="80"/>
  <c r="P175" i="81" l="1"/>
  <c r="O177" i="81"/>
  <c r="P165" i="81"/>
  <c r="O167" i="81"/>
  <c r="O162" i="81"/>
  <c r="P160" i="81"/>
  <c r="O177" i="80"/>
  <c r="P175" i="80"/>
  <c r="P160" i="80"/>
  <c r="O162" i="80"/>
  <c r="Q165" i="80"/>
  <c r="P167" i="80"/>
  <c r="P170" i="81"/>
  <c r="O172" i="81"/>
  <c r="P170" i="80"/>
  <c r="O172" i="80"/>
  <c r="P162" i="80" l="1"/>
  <c r="Q160" i="80"/>
  <c r="P177" i="80"/>
  <c r="Q175" i="80"/>
  <c r="P162" i="81"/>
  <c r="Q160" i="81"/>
  <c r="P172" i="80"/>
  <c r="Q170" i="80"/>
  <c r="P167" i="81"/>
  <c r="Q165" i="81"/>
  <c r="R165" i="80"/>
  <c r="Q167" i="80"/>
  <c r="P172" i="81"/>
  <c r="Q170" i="81"/>
  <c r="P177" i="81"/>
  <c r="Q175" i="81"/>
  <c r="S165" i="80" l="1"/>
  <c r="R167" i="80"/>
  <c r="Q172" i="80"/>
  <c r="R170" i="80"/>
  <c r="R160" i="81"/>
  <c r="Q162" i="81"/>
  <c r="R175" i="81"/>
  <c r="Q177" i="81"/>
  <c r="Q177" i="80"/>
  <c r="R175" i="80"/>
  <c r="R165" i="81"/>
  <c r="Q167" i="81"/>
  <c r="Q172" i="81"/>
  <c r="R170" i="81"/>
  <c r="Q162" i="80"/>
  <c r="R160" i="80"/>
  <c r="S175" i="80" l="1"/>
  <c r="R177" i="80"/>
  <c r="R177" i="81"/>
  <c r="S175" i="81"/>
  <c r="R162" i="81"/>
  <c r="S160" i="81"/>
  <c r="S160" i="80"/>
  <c r="R162" i="80"/>
  <c r="R172" i="80"/>
  <c r="S170" i="80"/>
  <c r="S165" i="81"/>
  <c r="R167" i="81"/>
  <c r="S170" i="81"/>
  <c r="R172" i="81"/>
  <c r="T165" i="80"/>
  <c r="S167" i="80"/>
  <c r="T170" i="80" l="1"/>
  <c r="S172" i="80"/>
  <c r="T160" i="81"/>
  <c r="S162" i="81"/>
  <c r="T175" i="81"/>
  <c r="S177" i="81"/>
  <c r="T167" i="80"/>
  <c r="U165" i="80"/>
  <c r="U167" i="80" s="1"/>
  <c r="T165" i="81"/>
  <c r="S167" i="81"/>
  <c r="S162" i="80"/>
  <c r="T160" i="80"/>
  <c r="T170" i="81"/>
  <c r="S172" i="81"/>
  <c r="S177" i="80"/>
  <c r="T175" i="80"/>
  <c r="U160" i="80" l="1"/>
  <c r="T162" i="80"/>
  <c r="U175" i="81"/>
  <c r="U177" i="81" s="1"/>
  <c r="T177" i="81"/>
  <c r="U175" i="80"/>
  <c r="U177" i="80" s="1"/>
  <c r="T177" i="80"/>
  <c r="U160" i="81"/>
  <c r="T162" i="81"/>
  <c r="U165" i="81"/>
  <c r="U167" i="81" s="1"/>
  <c r="T167" i="81"/>
  <c r="U170" i="81"/>
  <c r="U172" i="81" s="1"/>
  <c r="T172" i="81"/>
  <c r="T172" i="80"/>
  <c r="U170" i="80"/>
  <c r="U172" i="80" s="1"/>
  <c r="V160" i="81" l="1"/>
  <c r="U162" i="81"/>
  <c r="V160" i="80"/>
  <c r="U162" i="80"/>
  <c r="W160" i="80" l="1"/>
  <c r="V162" i="80"/>
  <c r="V162" i="81"/>
  <c r="W160" i="81"/>
  <c r="X160" i="81" l="1"/>
  <c r="W162" i="81"/>
  <c r="W162" i="80"/>
  <c r="X160" i="80"/>
  <c r="X162" i="81" l="1"/>
  <c r="Y160" i="81"/>
  <c r="X162" i="80"/>
  <c r="Y160" i="80"/>
  <c r="Y162" i="80" l="1"/>
  <c r="Z160" i="80"/>
  <c r="Z160" i="81"/>
  <c r="Y162" i="81"/>
  <c r="AA160" i="81" l="1"/>
  <c r="Z162" i="81"/>
  <c r="AA160" i="80"/>
  <c r="Z162" i="80"/>
  <c r="AA162" i="80" l="1"/>
  <c r="AB160" i="80"/>
  <c r="AA162" i="81"/>
  <c r="AB160" i="81"/>
  <c r="AB162" i="81" l="1"/>
  <c r="AC160" i="81"/>
  <c r="AB162" i="80"/>
  <c r="AC160" i="80"/>
  <c r="AC162" i="80" l="1"/>
  <c r="AD160" i="80"/>
  <c r="AC162" i="81"/>
  <c r="AD160" i="81"/>
  <c r="AE160" i="81" l="1"/>
  <c r="AD162" i="81"/>
  <c r="AD162" i="80"/>
  <c r="AE160" i="80"/>
  <c r="AE162" i="80" l="1"/>
  <c r="AF160" i="80"/>
  <c r="AF160" i="81"/>
  <c r="AE162" i="81"/>
  <c r="AF162" i="80" l="1"/>
  <c r="AG160" i="80"/>
  <c r="AG162" i="80" s="1"/>
  <c r="AG160" i="81"/>
  <c r="AG162" i="81" s="1"/>
  <c r="AF162" i="8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H18" authorId="0" shapeId="0" xr:uid="{85C3140E-FF6B-4906-AB0E-3A93FA6B2A7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0.1787 %WT</t>
        </r>
      </text>
    </comment>
    <comment ref="V18" authorId="0" shapeId="0" xr:uid="{2149F349-96B7-4AC6-B8AA-180DA665EF2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ASTM D4294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Devas IPASON</author>
  </authors>
  <commentList>
    <comment ref="K19" authorId="0" shapeId="0" xr:uid="{BF3F6D25-9675-42D7-9A5E-2FF1EC897433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L19" authorId="0" shapeId="0" xr:uid="{0DD442EB-0AAB-494F-8C10-408DBF791D0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0.925 %WT</t>
        </r>
      </text>
    </comment>
    <comment ref="M19" authorId="0" shapeId="0" xr:uid="{AA7BD93E-AE1B-40C0-A715-62395A930393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0.925 %WT</t>
        </r>
      </text>
    </comment>
    <comment ref="N19" authorId="0" shapeId="0" xr:uid="{A3081C96-6B1B-4635-A087-1302D0B6DC1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O19" authorId="0" shapeId="0" xr:uid="{E83E6F6B-ED8C-44E6-9EED-B289AF5B4FB7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P19" authorId="0" shapeId="0" xr:uid="{6D6B4971-F16C-4F29-8ED4-70BFEDB795B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Q19" authorId="0" shapeId="0" xr:uid="{D499883B-5D94-475F-8BFA-2555B63B5198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R19" authorId="0" shapeId="0" xr:uid="{085EBBE1-F12A-4A2B-B7B5-1AFCA155BF77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1.280 %WT</t>
        </r>
      </text>
    </comment>
    <comment ref="S19" authorId="0" shapeId="0" xr:uid="{0E1C5D4D-2614-4D72-BF75-971A76F14AA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2622</t>
        </r>
      </text>
    </comment>
    <comment ref="S89" authorId="1" shapeId="0" xr:uid="{045D68AE-5976-424D-9EAC-6A8638AA1429}">
      <text>
        <r>
          <rPr>
            <b/>
            <sz val="9"/>
            <color indexed="81"/>
            <rFont val="Tahoma"/>
            <family val="2"/>
          </rPr>
          <t>Devas IPASON:</t>
        </r>
        <r>
          <rPr>
            <sz val="9"/>
            <color indexed="81"/>
            <rFont val="Tahoma"/>
            <family val="2"/>
          </rPr>
          <t xml:space="preserve">
Repeat 0.24</t>
        </r>
      </text>
    </comment>
    <comment ref="T89" authorId="1" shapeId="0" xr:uid="{BE57582B-20C3-43FF-83EE-57C144591613}">
      <text>
        <r>
          <rPr>
            <b/>
            <sz val="9"/>
            <color indexed="81"/>
            <rFont val="Tahoma"/>
            <family val="2"/>
          </rPr>
          <t>Devas IPASON:</t>
        </r>
        <r>
          <rPr>
            <sz val="9"/>
            <color indexed="81"/>
            <rFont val="Tahoma"/>
            <family val="2"/>
          </rPr>
          <t xml:space="preserve">
Repeat 0.030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TOP RDCU-Nikom C.</author>
    <author>TOP EOSL-A-ST-Krongkiat</author>
    <author>TOP RHRD-Nikom C.</author>
    <author>TOP EOSL-A-ST-Sarawut</author>
    <author>Devas IPASON</author>
  </authors>
  <commentList>
    <comment ref="L6" authorId="0" shapeId="0" xr:uid="{E77D9D1A-E122-43BF-941F-D8BFCB778B4A}">
      <text>
        <r>
          <rPr>
            <b/>
            <sz val="9"/>
            <color indexed="81"/>
            <rFont val="Tahoma"/>
            <family val="2"/>
          </rPr>
          <t>TOP RDCU-Nikom C.:</t>
        </r>
        <r>
          <rPr>
            <sz val="9"/>
            <color indexed="81"/>
            <rFont val="Tahoma"/>
            <family val="2"/>
          </rPr>
          <t xml:space="preserve">
24Feb26: start 20.00
25Feb26: end 08.00</t>
        </r>
      </text>
    </comment>
    <comment ref="Q6" authorId="1" shapeId="0" xr:uid="{9C866685-44F7-413B-9C1D-88F1E20AC8AD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MEBU Trip at 1am</t>
        </r>
      </text>
    </comment>
    <comment ref="AN6" authorId="0" shapeId="0" xr:uid="{6083B0B3-1B56-4DBD-8D56-A20154890FCB}">
      <text>
        <r>
          <rPr>
            <b/>
            <sz val="9"/>
            <color indexed="81"/>
            <rFont val="Tahoma"/>
            <family val="2"/>
          </rPr>
          <t>TOP RDCU-Nikom C.:</t>
        </r>
        <r>
          <rPr>
            <sz val="9"/>
            <color indexed="81"/>
            <rFont val="Tahoma"/>
            <family val="2"/>
          </rPr>
          <t xml:space="preserve">
23Feb26: start 20.00
24Feb26: end 08.00</t>
        </r>
      </text>
    </comment>
    <comment ref="AO6" authorId="0" shapeId="0" xr:uid="{C80D35F2-1D20-46DA-BF25-9764B5FF43D7}">
      <text>
        <r>
          <rPr>
            <b/>
            <sz val="9"/>
            <color indexed="81"/>
            <rFont val="Tahoma"/>
            <family val="2"/>
          </rPr>
          <t>TOP RDCU-Nikom C.:</t>
        </r>
        <r>
          <rPr>
            <sz val="9"/>
            <color indexed="81"/>
            <rFont val="Tahoma"/>
            <family val="2"/>
          </rPr>
          <t xml:space="preserve">
24Feb26: start 08.30
25Feb26: end 20.00</t>
        </r>
      </text>
    </comment>
    <comment ref="AR6" authorId="0" shapeId="0" xr:uid="{B31A1668-81EA-4ADB-8F7C-D3C619E9BEBE}">
      <text>
        <r>
          <rPr>
            <b/>
            <sz val="9"/>
            <color indexed="81"/>
            <rFont val="Tahoma"/>
            <family val="2"/>
          </rPr>
          <t>TOP RDCU-Nikom C.:</t>
        </r>
        <r>
          <rPr>
            <sz val="9"/>
            <color indexed="81"/>
            <rFont val="Tahoma"/>
            <family val="2"/>
          </rPr>
          <t xml:space="preserve">
24Feb26: start 20.00
25Feb26: end 08.00</t>
        </r>
      </text>
    </comment>
    <comment ref="L10" authorId="1" shapeId="0" xr:uid="{77943E8C-E28C-4D75-9E41-96224B9F518C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@8:00
12.62</t>
        </r>
      </text>
    </comment>
    <comment ref="AO10" authorId="1" shapeId="0" xr:uid="{F6C81ECE-F3C4-46FB-ACDC-A5F24D71C463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@8:00
12.62</t>
        </r>
      </text>
    </comment>
    <comment ref="AR10" authorId="1" shapeId="0" xr:uid="{6D19DF83-27AA-4E46-A99A-37528CCDF356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@8:00
12.62</t>
        </r>
      </text>
    </comment>
    <comment ref="L11" authorId="1" shapeId="0" xr:uid="{A6C6395C-F6EB-4FE2-ADFE-585C6E913615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@8:00 25FEB
0.9809</t>
        </r>
      </text>
    </comment>
    <comment ref="AO11" authorId="1" shapeId="0" xr:uid="{B04FCF1E-ABCE-453A-9CDE-D5FE9E13923A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@8:00 25FEB
0.9809</t>
        </r>
      </text>
    </comment>
    <comment ref="AR11" authorId="1" shapeId="0" xr:uid="{314A621D-19C7-4ACA-8843-EF1B6C5E8F30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@8:00 25FEB
0.9809</t>
        </r>
      </text>
    </comment>
    <comment ref="L20" authorId="1" shapeId="0" xr:uid="{A8287B58-B8D4-4B2C-A2BC-7A7EA351B01D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@8:00
2.127</t>
        </r>
      </text>
    </comment>
    <comment ref="AO20" authorId="1" shapeId="0" xr:uid="{30B6F009-9FBD-4359-9259-6E7390523F77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@8:00
2.127</t>
        </r>
      </text>
    </comment>
    <comment ref="AR20" authorId="1" shapeId="0" xr:uid="{EC356E2B-795D-4763-9BB6-A76B7ECFE312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@8:00
2.127</t>
        </r>
      </text>
    </comment>
    <comment ref="G25" authorId="2" shapeId="0" xr:uid="{53879634-EDF7-4228-8EDF-1F40BE5E431D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0.3301</t>
        </r>
      </text>
    </comment>
    <comment ref="H25" authorId="2" shapeId="0" xr:uid="{0CDAC9B4-BF2A-46B2-9F46-538953022970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0.3301</t>
        </r>
      </text>
    </comment>
    <comment ref="I25" authorId="2" shapeId="0" xr:uid="{40845252-2512-4F04-874F-C3715FE54904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0.3301</t>
        </r>
      </text>
    </comment>
    <comment ref="J25" authorId="2" shapeId="0" xr:uid="{40E24BBB-D7FC-4370-920F-3F97BF44F5C9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0.3301</t>
        </r>
      </text>
    </comment>
    <comment ref="M42" authorId="0" shapeId="0" xr:uid="{0E1B9A73-AAC8-4F58-80D6-FCA9355F1A40}">
      <text>
        <r>
          <rPr>
            <b/>
            <sz val="9"/>
            <color indexed="81"/>
            <rFont val="Tahoma"/>
            <family val="2"/>
          </rPr>
          <t>TOP RDCU-Nikom C.:</t>
        </r>
        <r>
          <rPr>
            <sz val="9"/>
            <color indexed="81"/>
            <rFont val="Tahoma"/>
            <family val="2"/>
          </rPr>
          <t xml:space="preserve">
23.72</t>
        </r>
      </text>
    </comment>
    <comment ref="AU42" authorId="0" shapeId="0" xr:uid="{7A64AF9F-DA75-4C29-9FF1-2E6AF3E555C2}">
      <text>
        <r>
          <rPr>
            <b/>
            <sz val="9"/>
            <color indexed="81"/>
            <rFont val="Tahoma"/>
            <family val="2"/>
          </rPr>
          <t>TOP RDCU-Nikom C.:</t>
        </r>
        <r>
          <rPr>
            <sz val="9"/>
            <color indexed="81"/>
            <rFont val="Tahoma"/>
            <family val="2"/>
          </rPr>
          <t xml:space="preserve">
23.72</t>
        </r>
      </text>
    </comment>
    <comment ref="M43" authorId="0" shapeId="0" xr:uid="{2D35A773-FF6D-41AF-A37F-17402A887600}">
      <text>
        <r>
          <rPr>
            <b/>
            <sz val="9"/>
            <color indexed="81"/>
            <rFont val="Tahoma"/>
            <family val="2"/>
          </rPr>
          <t>TOP RDCU-Nikom C.:</t>
        </r>
        <r>
          <rPr>
            <sz val="9"/>
            <color indexed="81"/>
            <rFont val="Tahoma"/>
            <family val="2"/>
          </rPr>
          <t xml:space="preserve">
34.91</t>
        </r>
      </text>
    </comment>
    <comment ref="AU43" authorId="0" shapeId="0" xr:uid="{A987CBCD-7B35-46ED-9656-7424A1F8E507}">
      <text>
        <r>
          <rPr>
            <b/>
            <sz val="9"/>
            <color indexed="81"/>
            <rFont val="Tahoma"/>
            <family val="2"/>
          </rPr>
          <t>TOP RDCU-Nikom C.:</t>
        </r>
        <r>
          <rPr>
            <sz val="9"/>
            <color indexed="81"/>
            <rFont val="Tahoma"/>
            <family val="2"/>
          </rPr>
          <t xml:space="preserve">
34.91</t>
        </r>
      </text>
    </comment>
    <comment ref="L66" authorId="1" shapeId="0" xr:uid="{586DC9E1-ECEC-4F2A-8D03-E6A62F1DDF00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0.136</t>
        </r>
      </text>
    </comment>
    <comment ref="AO66" authorId="1" shapeId="0" xr:uid="{166ACBFD-44BB-41EF-9792-C8C87EF04BC0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0.136</t>
        </r>
      </text>
    </comment>
    <comment ref="AR66" authorId="1" shapeId="0" xr:uid="{F7B2175C-C42D-49D3-9063-A390FBBC767D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0.136</t>
        </r>
      </text>
    </comment>
    <comment ref="L67" authorId="1" shapeId="0" xr:uid="{2CE65770-C8C8-4A16-A1A1-144712C26D33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0.444</t>
        </r>
      </text>
    </comment>
    <comment ref="AO67" authorId="1" shapeId="0" xr:uid="{56D9CC5D-0FB0-4285-AE45-B68BD77CB178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0.444</t>
        </r>
      </text>
    </comment>
    <comment ref="AR67" authorId="1" shapeId="0" xr:uid="{22CDB7C4-BE21-43D1-B13E-5FAF0BA1482D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0.444</t>
        </r>
      </text>
    </comment>
    <comment ref="L68" authorId="1" shapeId="0" xr:uid="{7DBEEB01-FB13-41C3-AC95-51EC71595EDA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2.22</t>
        </r>
      </text>
    </comment>
    <comment ref="AO68" authorId="1" shapeId="0" xr:uid="{8A6BE8CF-C1B7-4923-9769-FBD2859F6B5B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2.22</t>
        </r>
      </text>
    </comment>
    <comment ref="AR68" authorId="1" shapeId="0" xr:uid="{09FB1F31-23C0-4561-9623-89C73A27C126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2.22</t>
        </r>
      </text>
    </comment>
    <comment ref="L69" authorId="1" shapeId="0" xr:uid="{93778564-47B3-4EDC-8C56-F20701C82A5C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6.471</t>
        </r>
      </text>
    </comment>
    <comment ref="AO69" authorId="1" shapeId="0" xr:uid="{73C01231-23A8-4C2A-B828-1FED93FB7449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6.471</t>
        </r>
      </text>
    </comment>
    <comment ref="AR69" authorId="1" shapeId="0" xr:uid="{5190814B-F3B9-4B4F-98A4-57C67A8C2142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6.471</t>
        </r>
      </text>
    </comment>
    <comment ref="L70" authorId="1" shapeId="0" xr:uid="{9859971E-B9A6-4E27-B6F2-2A0B415A0CEF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20.737</t>
        </r>
      </text>
    </comment>
    <comment ref="AO70" authorId="1" shapeId="0" xr:uid="{19D59820-2312-4E10-9580-8D9B454EA687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20.737</t>
        </r>
      </text>
    </comment>
    <comment ref="AR70" authorId="1" shapeId="0" xr:uid="{E5753F1C-9E97-4E1D-9640-163D2E4B2795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20.737</t>
        </r>
      </text>
    </comment>
    <comment ref="L71" authorId="1" shapeId="0" xr:uid="{F0DC7234-03E3-4680-BCA1-A58927EFD467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13.512</t>
        </r>
      </text>
    </comment>
    <comment ref="AO71" authorId="1" shapeId="0" xr:uid="{5B1B0AC7-40D3-446E-A451-00332F0FB7D1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13.512</t>
        </r>
      </text>
    </comment>
    <comment ref="AR71" authorId="1" shapeId="0" xr:uid="{7775F97C-24FE-4B6D-9F69-AC99F0411A73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13.512</t>
        </r>
      </text>
    </comment>
    <comment ref="W72" authorId="1" shapeId="0" xr:uid="{7FC2746D-0DDC-4FD0-B708-B0B22BF4DA25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27.881</t>
        </r>
      </text>
    </comment>
    <comment ref="L89" authorId="1" shapeId="0" xr:uid="{616C6C59-C952-4B48-89D7-61E142D580E9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@8:00 25 FEB
13.61</t>
        </r>
      </text>
    </comment>
    <comment ref="AO89" authorId="1" shapeId="0" xr:uid="{F46ED1C8-325E-4179-8C68-0D47374B3D75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@8:00 25 FEB
13.61</t>
        </r>
      </text>
    </comment>
    <comment ref="AR89" authorId="1" shapeId="0" xr:uid="{E4D09DC3-241A-46CC-8E89-ABE8D19E51F8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Sample @8:00 25 FEB
13.61</t>
        </r>
      </text>
    </comment>
    <comment ref="K90" authorId="1" shapeId="0" xr:uid="{C6D7F610-580B-42CF-9B6F-6E0B9DD8CF71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@20:00 24 FEB</t>
        </r>
      </text>
    </comment>
    <comment ref="L90" authorId="1" shapeId="0" xr:uid="{E5F9A8F0-216A-436F-B46D-9478A3A72004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@08:00 25FEB</t>
        </r>
      </text>
    </comment>
    <comment ref="R90" authorId="3" shapeId="0" xr:uid="{7934799D-CB34-45DF-9083-251E674247B0}">
      <text>
        <r>
          <rPr>
            <b/>
            <sz val="9"/>
            <color indexed="81"/>
            <rFont val="Tahoma"/>
            <family val="2"/>
          </rPr>
          <t>TOP EOSL-A-ST-Sarawut:</t>
        </r>
        <r>
          <rPr>
            <sz val="9"/>
            <color indexed="81"/>
            <rFont val="Tahoma"/>
            <family val="2"/>
          </rPr>
          <t xml:space="preserve">
4803</t>
        </r>
      </text>
    </comment>
    <comment ref="X90" authorId="4" shapeId="0" xr:uid="{A6739C9D-75AB-4C3F-B020-C8A2637726E5}">
      <text>
        <r>
          <rPr>
            <b/>
            <sz val="9"/>
            <color indexed="81"/>
            <rFont val="Tahoma"/>
            <family val="2"/>
          </rPr>
          <t>Devas IPASON:</t>
        </r>
        <r>
          <rPr>
            <sz val="9"/>
            <color indexed="81"/>
            <rFont val="Tahoma"/>
            <family val="2"/>
          </rPr>
          <t xml:space="preserve">
Repeat 0.030</t>
        </r>
      </text>
    </comment>
    <comment ref="AN90" authorId="1" shapeId="0" xr:uid="{9D0CB9BF-3611-4D9C-A396-B94858A24E26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@20:00 24 FEB</t>
        </r>
      </text>
    </comment>
    <comment ref="AO90" authorId="1" shapeId="0" xr:uid="{747E2017-DEF7-4412-A203-267AAD8DC925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@08:00 25FEB</t>
        </r>
      </text>
    </comment>
    <comment ref="AR90" authorId="1" shapeId="0" xr:uid="{D8A89AA1-2C4E-42F0-BACE-8F657B742EAD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@08:00 25FEB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TOP RDCU-Nikom C.</author>
    <author>TOP RHRD-Nikom C.</author>
    <author>TOP EOSL-A-ST-Krongkiat</author>
  </authors>
  <commentList>
    <comment ref="F4" authorId="0" shapeId="0" xr:uid="{B0F4C195-40AE-4EE6-8775-E32B54FFEBAF}">
      <text>
        <r>
          <rPr>
            <b/>
            <sz val="9"/>
            <color indexed="81"/>
            <rFont val="Tahoma"/>
            <family val="2"/>
          </rPr>
          <t>TOP RDCU-Nikom C.:</t>
        </r>
        <r>
          <rPr>
            <sz val="9"/>
            <color indexed="81"/>
            <rFont val="Tahoma"/>
            <family val="2"/>
          </rPr>
          <t xml:space="preserve">
23Feb26: start 20.00
24Feb26: end 20.00
</t>
        </r>
      </text>
    </comment>
    <comment ref="G4" authorId="0" shapeId="0" xr:uid="{A736CDC8-3C7B-408B-8C8A-812DAAACCB5D}">
      <text>
        <r>
          <rPr>
            <b/>
            <sz val="9"/>
            <color indexed="81"/>
            <rFont val="Tahoma"/>
            <family val="2"/>
          </rPr>
          <t>TOP RDCU-Nikom C.:</t>
        </r>
        <r>
          <rPr>
            <sz val="9"/>
            <color indexed="81"/>
            <rFont val="Tahoma"/>
            <family val="2"/>
          </rPr>
          <t xml:space="preserve">
24Feb26: start 20.00
25Feb26: end 08.00
-26Feb-03Mar'26-กลางวัน: ซ่อม LCV-812&amp; Rx3 pump
-Night shift: เอา Aging ต่อ D2 ต่อ</t>
        </r>
      </text>
    </comment>
    <comment ref="H4" authorId="0" shapeId="0" xr:uid="{06F286D1-2497-4D40-856A-A7C0C632F3F0}">
      <text>
        <r>
          <rPr>
            <b/>
            <sz val="9"/>
            <color indexed="81"/>
            <rFont val="Tahoma"/>
            <family val="2"/>
          </rPr>
          <t>TOP RDCU-Nikom C.: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4" authorId="0" shapeId="0" xr:uid="{78174D4C-115A-41EC-88D0-F638D73C5561}">
      <text>
        <r>
          <rPr>
            <b/>
            <sz val="9"/>
            <color indexed="81"/>
            <rFont val="Tahoma"/>
            <family val="2"/>
          </rPr>
          <t>TOP RDCU-Nikom C.:</t>
        </r>
        <r>
          <rPr>
            <sz val="9"/>
            <color indexed="81"/>
            <rFont val="Tahoma"/>
            <family val="2"/>
          </rPr>
          <t xml:space="preserve">
05-06Mar'26: 399/405/407 ---&gt;423/423/423</t>
        </r>
      </text>
    </comment>
    <comment ref="K4" authorId="0" shapeId="0" xr:uid="{8E2A663B-0C37-40B2-AB67-DA25B4B7D38B}">
      <text>
        <r>
          <rPr>
            <b/>
            <sz val="9"/>
            <color indexed="81"/>
            <rFont val="Tahoma"/>
            <family val="2"/>
          </rPr>
          <t>TOP RDCU-Nikom C.:</t>
        </r>
        <r>
          <rPr>
            <sz val="9"/>
            <color indexed="81"/>
            <rFont val="Tahoma"/>
            <family val="2"/>
          </rPr>
          <t xml:space="preserve">
-Heating mantle ของ Rx2 เสีย
-ไฟดับตีหนึ่งของวันที่ 09Mar'26</t>
        </r>
      </text>
    </comment>
    <comment ref="M4" authorId="0" shapeId="0" xr:uid="{E5287EE8-889C-4637-A58B-488EDF823AB3}">
      <text>
        <r>
          <rPr>
            <b/>
            <sz val="9"/>
            <color indexed="81"/>
            <rFont val="Tahoma"/>
            <family val="2"/>
          </rPr>
          <t>TOP RDCU-Nikom C.:</t>
        </r>
        <r>
          <rPr>
            <sz val="9"/>
            <color indexed="81"/>
            <rFont val="Tahoma"/>
            <family val="2"/>
          </rPr>
          <t xml:space="preserve">
-10mar'26: 4 ทุ่ม Rx3 pump ติด
-ซ่อมกลับคืนวันที่ 11Mar'26-Night Shift
-12Mar'26: 4 ทุ่ม Rx ทั้ง 3 ตัว hits target temp ที่ 423 degC และรัน+10hrs ให้ครับ 24 hrs ของวันที่  13mar'23 --&gt;08.00</t>
        </r>
      </text>
    </comment>
    <comment ref="N4" authorId="0" shapeId="0" xr:uid="{8AB6871B-E434-48A3-B105-FED06AE402EB}">
      <text>
        <r>
          <rPr>
            <b/>
            <sz val="9"/>
            <color indexed="81"/>
            <rFont val="Tahoma"/>
            <family val="2"/>
          </rPr>
          <t>TOP RDCU-Nikom C.:</t>
        </r>
        <r>
          <rPr>
            <sz val="9"/>
            <color indexed="81"/>
            <rFont val="Tahoma"/>
            <family val="2"/>
          </rPr>
          <t xml:space="preserve">
-เริ่มวันที่ 13Mar'26--&gt;08.00 และครบ 24 hrs วันที่ 14Mar'26 เวลา 08.00</t>
        </r>
      </text>
    </comment>
    <comment ref="BP6" authorId="1" shapeId="0" xr:uid="{D547D9DA-7699-4258-AB53-E5B9F2118A84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- Feed คือ ABQ 3358_21:30/28Nov25-8:48/29Nov25
- Feed คือ (ABQ3358 mixed กับ LS VR for flushing )8:48- 18:00/29Nov25</t>
        </r>
      </text>
    </comment>
    <comment ref="FL6" authorId="1" shapeId="0" xr:uid="{15F14F19-B080-493B-96A7-94F789D184A9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M6" authorId="1" shapeId="0" xr:uid="{5CC3FE24-528E-4873-9808-CE7CCF088CFB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N6" authorId="1" shapeId="0" xr:uid="{CEF650FB-EB3F-48F9-B95B-52EC08243A67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O6" authorId="1" shapeId="0" xr:uid="{BBC37058-BAC9-417A-8441-B89E9302B854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P6" authorId="1" shapeId="0" xr:uid="{8412F6C9-11D4-46A3-8D22-0C354A9C635E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Q6" authorId="1" shapeId="0" xr:uid="{310C10D7-3E74-4D18-964C-245EDD5CF6A8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R6" authorId="1" shapeId="0" xr:uid="{F3899C90-9E53-4121-B755-A1B0D0F3C8F2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S6" authorId="1" shapeId="0" xr:uid="{591D1923-4E21-478D-891F-31EC5B4EDDD7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T6" authorId="1" shapeId="0" xr:uid="{793CD147-02A3-4C42-8760-C32C1CB7DC47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U6" authorId="1" shapeId="0" xr:uid="{AE2EAAC2-974A-43DB-8349-603BDB1AC740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V6" authorId="1" shapeId="0" xr:uid="{0EAFDC36-EEEE-4A12-BBCB-FC18B4DCD992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W6" authorId="1" shapeId="0" xr:uid="{D32CDDE2-0FC0-4163-BB7C-9D2962C44651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BM72" authorId="0" shapeId="0" xr:uid="{C284FD92-4C8E-4087-9F40-196AE41C624C}">
      <text>
        <r>
          <rPr>
            <b/>
            <sz val="9"/>
            <color indexed="81"/>
            <rFont val="Tahoma"/>
            <family val="2"/>
          </rPr>
          <t>TOP RDCU-Nikom C.:</t>
        </r>
        <r>
          <rPr>
            <sz val="9"/>
            <color indexed="81"/>
            <rFont val="Tahoma"/>
            <family val="2"/>
          </rPr>
          <t xml:space="preserve">
3320 คือ HPS ออกวันที่ 25Feb26 เวลา 08.00
3350 คือ HPS ออกวันที่ 04Mar26 เวลา 08.00</t>
        </r>
      </text>
    </comment>
    <comment ref="DV72" authorId="0" shapeId="0" xr:uid="{3FCE0FF4-D254-4080-8C0C-ABB2A583CEAF}">
      <text>
        <r>
          <rPr>
            <b/>
            <sz val="9"/>
            <color indexed="81"/>
            <rFont val="Tahoma"/>
            <family val="2"/>
          </rPr>
          <t>TOP RDCU-Nikom C.:</t>
        </r>
        <r>
          <rPr>
            <sz val="9"/>
            <color indexed="81"/>
            <rFont val="Tahoma"/>
            <family val="2"/>
          </rPr>
          <t xml:space="preserve">
391.1</t>
        </r>
      </text>
    </comment>
    <comment ref="DW72" authorId="1" shapeId="0" xr:uid="{87F93D43-17CB-4CC5-A82A-0CDC2A09ED71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29 Morning Shift</t>
        </r>
      </text>
    </comment>
    <comment ref="EV72" authorId="1" shapeId="0" xr:uid="{16B9DB19-F253-4E6A-90AB-483F34EEDB08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Off N2 purge</t>
        </r>
      </text>
    </comment>
    <comment ref="EW72" authorId="1" shapeId="0" xr:uid="{F92DA4EE-8DBC-4DA4-965F-75259295B19B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Off N2</t>
        </r>
      </text>
    </comment>
    <comment ref="EX72" authorId="1" shapeId="0" xr:uid="{F268C3DA-BA26-4F27-B01C-DD8EB04542E9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Off N2 Purge</t>
        </r>
      </text>
    </comment>
    <comment ref="EY72" authorId="1" shapeId="0" xr:uid="{97662447-DCB4-41D2-8E07-9B3AD90DCF1B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Off N2 Purge</t>
        </r>
      </text>
    </comment>
    <comment ref="BP73" authorId="0" shapeId="0" xr:uid="{5B835104-BC7E-4CDF-8EC7-74E1759112E5}">
      <text>
        <r>
          <rPr>
            <b/>
            <sz val="9"/>
            <color indexed="81"/>
            <rFont val="Tahoma"/>
            <family val="2"/>
          </rPr>
          <t>TOP RDCU-Nikom C.:</t>
        </r>
        <r>
          <rPr>
            <sz val="9"/>
            <color indexed="81"/>
            <rFont val="Tahoma"/>
            <family val="2"/>
          </rPr>
          <t xml:space="preserve">
HPS ของวันที่ 29Nov25
(Day Shift)</t>
        </r>
      </text>
    </comment>
    <comment ref="BU73" authorId="2" shapeId="0" xr:uid="{B2BA13B7-7B7F-442E-AECB-DCF8570EACC5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Basis on VR Feed rate</t>
        </r>
      </text>
    </comment>
    <comment ref="F183" authorId="1" shapeId="0" xr:uid="{9BDE1916-0ACC-47D6-9708-592BEAA7D34E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Dry Basis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TOP RHRD-Nikom C.</author>
  </authors>
  <commentList>
    <comment ref="DI6" authorId="0" shapeId="0" xr:uid="{C8263996-070B-4B09-A56E-891B64AA2BCA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CS58" authorId="0" shapeId="0" xr:uid="{BDBD9E33-5329-4DFF-A3E5-85135F364C99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Off N2 purge</t>
        </r>
      </text>
    </comment>
    <comment ref="CT58" authorId="0" shapeId="0" xr:uid="{4AF12416-4C69-43DF-A340-633602C1DF07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Off N2</t>
        </r>
      </text>
    </comment>
    <comment ref="CU58" authorId="0" shapeId="0" xr:uid="{C19F2182-3169-43D0-A279-23EE8E24995D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Off N2 Purge</t>
        </r>
      </text>
    </comment>
    <comment ref="CV58" authorId="0" shapeId="0" xr:uid="{34E4CE7B-878A-4ED3-901F-1C179852FB66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Off N2 Purge</t>
        </r>
      </text>
    </comment>
    <comment ref="F161" authorId="0" shapeId="0" xr:uid="{44C67426-4078-4F9F-B273-9FA2AB78BC33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Dry Basis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tc={A3C03ADD-A0FD-4BB3-96B6-B676146E0AA2}</author>
  </authors>
  <commentList>
    <comment ref="H18" authorId="0" shapeId="0" xr:uid="{7A976523-2266-4BFA-8448-9CFA72F5FF2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0.1787 %WT</t>
        </r>
      </text>
    </comment>
    <comment ref="T18" authorId="1" shapeId="0" xr:uid="{A3C03ADD-A0FD-4BB3-96B6-B676146E0AA2}">
      <text>
        <t>[Threaded comment]
Your version of Excel allows you to read this threaded comment; however, any edits to it will get removed if the file is opened in a newer version of Excel. Learn more: https://go.microsoft.com/fwlink/?linkid=870924
Comment:
    ASTM D2622 0.1560</t>
      </text>
    </comment>
    <comment ref="V18" authorId="0" shapeId="0" xr:uid="{E72E56C7-75CB-4167-A90B-2E0A792B5457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ASTM D4294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TOP RHRD-Nikom C.</author>
    <author>Devas IPASON</author>
  </authors>
  <commentList>
    <comment ref="O20" authorId="0" shapeId="0" xr:uid="{6A8B01CA-2D30-42C7-BB68-57D823738FBB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P20" authorId="0" shapeId="0" xr:uid="{2CE03818-2264-4F14-91E7-5C281D9436F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0.925 %WT</t>
        </r>
      </text>
    </comment>
    <comment ref="Q20" authorId="0" shapeId="0" xr:uid="{B62519C2-F6FA-4F41-8C7F-BEE6079D8F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R20" authorId="0" shapeId="0" xr:uid="{CE042CA2-4FB5-4D6C-B9AE-41EBE202FF21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S20" authorId="0" shapeId="0" xr:uid="{230156CC-DF59-418B-9B8E-B6B5B59EC80B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T20" authorId="0" shapeId="0" xr:uid="{ED634C58-04F1-4050-A71D-5F55C2231512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U20" authorId="0" shapeId="0" xr:uid="{2D6B9199-E33C-41EA-B87A-23A9CD464658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V20" authorId="0" shapeId="0" xr:uid="{03F0EDC8-0E81-4960-B868-9CB469C2E053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1.280 %WT</t>
        </r>
      </text>
    </comment>
    <comment ref="W20" authorId="0" shapeId="0" xr:uid="{D8326E2F-4B6F-4799-A2C2-C2EBA22C4F4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2622</t>
        </r>
      </text>
    </comment>
    <comment ref="G25" authorId="1" shapeId="0" xr:uid="{96D6BECB-BAC6-4399-A5BC-16DD063E171F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0.3301</t>
        </r>
      </text>
    </comment>
    <comment ref="G27" authorId="1" shapeId="0" xr:uid="{6EC457CF-23DA-42C0-908C-CB28DAA12890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84.54</t>
        </r>
      </text>
    </comment>
    <comment ref="J27" authorId="1" shapeId="0" xr:uid="{D5450096-7F1F-4242-ABB0-9FECBFE4A592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84.52</t>
        </r>
      </text>
    </comment>
    <comment ref="G28" authorId="1" shapeId="0" xr:uid="{54D0BB0F-40FC-4C3C-B20C-1CC44D77F64D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10.36</t>
        </r>
      </text>
    </comment>
    <comment ref="J28" authorId="1" shapeId="0" xr:uid="{898396B4-98B9-4DE2-B204-7118FB827B9B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10.34</t>
        </r>
      </text>
    </comment>
    <comment ref="W90" authorId="2" shapeId="0" xr:uid="{F0679445-2E05-4B12-9A24-79520D09E1B2}">
      <text>
        <r>
          <rPr>
            <b/>
            <sz val="9"/>
            <color indexed="81"/>
            <rFont val="Tahoma"/>
            <family val="2"/>
          </rPr>
          <t>Devas IPASON:</t>
        </r>
        <r>
          <rPr>
            <sz val="9"/>
            <color indexed="81"/>
            <rFont val="Tahoma"/>
            <family val="2"/>
          </rPr>
          <t xml:space="preserve">
Repeat 0.24</t>
        </r>
      </text>
    </comment>
    <comment ref="X90" authorId="2" shapeId="0" xr:uid="{23C42989-E765-4493-9632-77AC559C38E9}">
      <text>
        <r>
          <rPr>
            <b/>
            <sz val="9"/>
            <color indexed="81"/>
            <rFont val="Tahoma"/>
            <family val="2"/>
          </rPr>
          <t>Devas IPASON:</t>
        </r>
        <r>
          <rPr>
            <sz val="9"/>
            <color indexed="81"/>
            <rFont val="Tahoma"/>
            <family val="2"/>
          </rPr>
          <t xml:space="preserve">
Repeat 0.030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TOP RHRD-Nikom C.</author>
    <author>Devas IPASON</author>
  </authors>
  <commentList>
    <comment ref="O20" authorId="0" shapeId="0" xr:uid="{328FF1D4-304D-4DF6-B55A-ABD1E266CD5D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P20" authorId="0" shapeId="0" xr:uid="{64F0E377-8EFA-4B1B-82EB-DF6669387625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0.925 %WT</t>
        </r>
      </text>
    </comment>
    <comment ref="Q20" authorId="0" shapeId="0" xr:uid="{AFF38CE1-6BFC-4C7C-9FEA-3FBECD7404B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R20" authorId="0" shapeId="0" xr:uid="{1296F44E-EEEC-4563-8DAC-DFA9B6C0491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S20" authorId="0" shapeId="0" xr:uid="{DF126631-6848-42E7-A5EB-BA82861122A8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T20" authorId="0" shapeId="0" xr:uid="{CB459B2C-CDD3-4583-977A-3EC0E62C846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U20" authorId="0" shapeId="0" xr:uid="{40D31F1B-6DAF-4D1B-BD25-5E93FA7CFE5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V20" authorId="0" shapeId="0" xr:uid="{B5C4F000-8913-4F5C-8ACD-D80982F8B30F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1.280 %WT</t>
        </r>
      </text>
    </comment>
    <comment ref="W20" authorId="0" shapeId="0" xr:uid="{E4BECC18-0708-4FB1-BCF1-3B0C9D605691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2622</t>
        </r>
      </text>
    </comment>
    <comment ref="G25" authorId="1" shapeId="0" xr:uid="{6F15971E-7A2D-45C7-B808-B6E16FDE5572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0.3301</t>
        </r>
      </text>
    </comment>
    <comment ref="G27" authorId="1" shapeId="0" xr:uid="{624818FD-E21E-462A-B4E0-8ED0F4460CDE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84.54</t>
        </r>
      </text>
    </comment>
    <comment ref="I27" authorId="1" shapeId="0" xr:uid="{212A8061-374A-4F18-ACD9-2F895C973155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84.52</t>
        </r>
      </text>
    </comment>
    <comment ref="G28" authorId="1" shapeId="0" xr:uid="{3482BCA7-19A3-4EF1-BA43-CE13A13A1FB0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10.36</t>
        </r>
      </text>
    </comment>
    <comment ref="I28" authorId="1" shapeId="0" xr:uid="{1E84AD22-BB4C-4E10-8777-B8DBBA934326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10.34</t>
        </r>
      </text>
    </comment>
    <comment ref="W90" authorId="2" shapeId="0" xr:uid="{272143DE-8C6F-4CC3-B745-C6A6626019EB}">
      <text>
        <r>
          <rPr>
            <b/>
            <sz val="9"/>
            <color indexed="81"/>
            <rFont val="Tahoma"/>
            <family val="2"/>
          </rPr>
          <t>Devas IPASON:</t>
        </r>
        <r>
          <rPr>
            <sz val="9"/>
            <color indexed="81"/>
            <rFont val="Tahoma"/>
            <family val="2"/>
          </rPr>
          <t xml:space="preserve">
Repeat 0.24</t>
        </r>
      </text>
    </comment>
    <comment ref="X90" authorId="2" shapeId="0" xr:uid="{A0BE387D-C8B4-4BC8-81CF-C19C86235E6C}">
      <text>
        <r>
          <rPr>
            <b/>
            <sz val="9"/>
            <color indexed="81"/>
            <rFont val="Tahoma"/>
            <family val="2"/>
          </rPr>
          <t>Devas IPASON:</t>
        </r>
        <r>
          <rPr>
            <sz val="9"/>
            <color indexed="81"/>
            <rFont val="Tahoma"/>
            <family val="2"/>
          </rPr>
          <t xml:space="preserve">
Repeat 0.030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TOP EOSL-C-AA-Kesorn</author>
  </authors>
  <commentList>
    <comment ref="B39" authorId="0" shapeId="0" xr:uid="{3BC698D4-B2DD-48D1-A14D-ECC397A4F1B5}">
      <text>
        <r>
          <rPr>
            <b/>
            <sz val="9"/>
            <color indexed="81"/>
            <rFont val="Tahoma"/>
            <family val="2"/>
          </rPr>
          <t>Full report  in LIMS</t>
        </r>
      </text>
    </comment>
    <comment ref="B62" authorId="0" shapeId="0" xr:uid="{BFC5B403-E770-4724-898E-B0844AE1339E}">
      <text>
        <r>
          <rPr>
            <b/>
            <sz val="9"/>
            <color indexed="81"/>
            <rFont val="Tahoma"/>
            <family val="2"/>
          </rPr>
          <t>Full report  in LIMS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TOP EOSL-C-AA-Kesorn</author>
  </authors>
  <commentList>
    <comment ref="B39" authorId="0" shapeId="0" xr:uid="{641DAB56-BF34-4BD4-BFE7-26CF3D5DB387}">
      <text>
        <r>
          <rPr>
            <b/>
            <sz val="9"/>
            <color indexed="81"/>
            <rFont val="Tahoma"/>
            <family val="2"/>
          </rPr>
          <t>Full report  in LIMS</t>
        </r>
      </text>
    </comment>
    <comment ref="B62" authorId="0" shapeId="0" xr:uid="{655F7F1A-A4F0-4354-A32E-A43B04B89A62}">
      <text>
        <r>
          <rPr>
            <b/>
            <sz val="9"/>
            <color indexed="81"/>
            <rFont val="Tahoma"/>
            <family val="2"/>
          </rPr>
          <t>Full report  in LIMS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TOP EOSL-C-AA-Kesorn</author>
  </authors>
  <commentList>
    <comment ref="B37" authorId="0" shapeId="0" xr:uid="{602D686B-0CB5-4088-8C47-72B74A70224B}">
      <text>
        <r>
          <rPr>
            <b/>
            <sz val="9"/>
            <color indexed="81"/>
            <rFont val="Tahoma"/>
            <family val="2"/>
          </rPr>
          <t>Full report  in LIMS</t>
        </r>
      </text>
    </comment>
    <comment ref="B55" authorId="0" shapeId="0" xr:uid="{34FCBAC5-5F44-4B73-83C1-7147359102BF}">
      <text>
        <r>
          <rPr>
            <b/>
            <sz val="9"/>
            <color indexed="81"/>
            <rFont val="Tahoma"/>
            <family val="2"/>
          </rPr>
          <t>Full report  in LIMS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TOP RHRD-Nikom C.</author>
  </authors>
  <commentList>
    <comment ref="FL6" authorId="0" shapeId="0" xr:uid="{CB04AE51-6CFF-478D-AC4B-2CC7D49D8C54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M6" authorId="0" shapeId="0" xr:uid="{1FA79D82-1851-40CD-8015-470479A62EEE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N6" authorId="0" shapeId="0" xr:uid="{98C8BE1B-920A-461B-A6F8-E9F9F2048362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O6" authorId="0" shapeId="0" xr:uid="{34D5C456-92DB-4127-A253-73423368F639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P6" authorId="0" shapeId="0" xr:uid="{3A966471-0F7A-4691-A59D-ADCF7F8139B9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Q6" authorId="0" shapeId="0" xr:uid="{F16C7DB6-209A-4DAB-9A08-7AC8E0478234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R6" authorId="0" shapeId="0" xr:uid="{700B90BE-4F1C-4181-9422-309D9768C328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S6" authorId="0" shapeId="0" xr:uid="{A84192C7-8E5E-4FE9-BC7B-2AF2142987C9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T6" authorId="0" shapeId="0" xr:uid="{C4451766-2193-470C-9657-A6C5C8F1648B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U6" authorId="0" shapeId="0" xr:uid="{C5F71EAB-5A7A-4C1D-ADB2-C8D53136130D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V6" authorId="0" shapeId="0" xr:uid="{B45E7C75-97BD-45ED-B5D8-50B9DDF85ADB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W6" authorId="0" shapeId="0" xr:uid="{AEA1489E-FD47-4265-B23A-2160A17BDE9F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EV58" authorId="0" shapeId="0" xr:uid="{87EFCAFF-E4AE-4B8E-86FE-B7CC86FB00B9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Off N2 purge</t>
        </r>
      </text>
    </comment>
    <comment ref="EW58" authorId="0" shapeId="0" xr:uid="{1B15A3A8-818D-43DB-88AB-80C260EB9D6D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Off N2</t>
        </r>
      </text>
    </comment>
    <comment ref="EX58" authorId="0" shapeId="0" xr:uid="{F9EFCB9B-6B98-4B72-9E51-385C10E33191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Off N2 Purge</t>
        </r>
      </text>
    </comment>
    <comment ref="EY58" authorId="0" shapeId="0" xr:uid="{B9025CD3-063D-4EF8-A922-81AD80D356F6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Off N2 Purge</t>
        </r>
      </text>
    </comment>
    <comment ref="F161" authorId="0" shapeId="0" xr:uid="{C11F21F4-5DF9-401A-B02D-21F5A98127AD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Dry Basis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TOP RHRD-Nikom C.</author>
  </authors>
  <commentList>
    <comment ref="FL6" authorId="0" shapeId="0" xr:uid="{D5262092-12A4-43E0-ABEE-CEBFE05F0EC9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M6" authorId="0" shapeId="0" xr:uid="{09513972-A9AF-48C9-B99A-C556EBA32FBC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N6" authorId="0" shapeId="0" xr:uid="{A38B0B07-6179-4865-9554-7583A0F52DDD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O6" authorId="0" shapeId="0" xr:uid="{93D3740C-3E6B-4993-A449-6B0F86FFF45A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P6" authorId="0" shapeId="0" xr:uid="{429C3BD1-BA51-4240-AB7B-8A809FF800AE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Q6" authorId="0" shapeId="0" xr:uid="{98C0401A-1BA7-4C6D-A95A-7ADD24A58067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R6" authorId="0" shapeId="0" xr:uid="{2139CD6D-3E31-4AFA-A866-5C0E5DD06AD5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S6" authorId="0" shapeId="0" xr:uid="{5D28C82D-21BB-46E2-8248-6C5C6AC9B2DE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T6" authorId="0" shapeId="0" xr:uid="{76B1ACF5-E9C2-4129-9D82-9A37B10090B0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U6" authorId="0" shapeId="0" xr:uid="{9AD9C925-0F2C-4AF3-83B8-ED8E11F40580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V6" authorId="0" shapeId="0" xr:uid="{A616C3DC-1F4F-436F-934E-02DB3BCC41D4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W6" authorId="0" shapeId="0" xr:uid="{D8522339-FD4A-4E15-86E0-9A043D8781BC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EV58" authorId="0" shapeId="0" xr:uid="{CD773F80-117E-43FA-A08F-58FD79B8CAF6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Off N2 purge</t>
        </r>
      </text>
    </comment>
    <comment ref="EW58" authorId="0" shapeId="0" xr:uid="{D3CB61D7-2E9A-469B-9694-EF1B090192C6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Off N2</t>
        </r>
      </text>
    </comment>
    <comment ref="EX58" authorId="0" shapeId="0" xr:uid="{161B1468-24B9-4DA0-8A9C-052162306AC6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Off N2 Purge</t>
        </r>
      </text>
    </comment>
    <comment ref="EY58" authorId="0" shapeId="0" xr:uid="{34CE0B55-EFE1-417B-91BF-00D2A3B2CDA2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Off N2 Purge</t>
        </r>
      </text>
    </comment>
    <comment ref="F161" authorId="0" shapeId="0" xr:uid="{5055081E-1CF2-4C20-AA48-DF665C2362ED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Dry Basis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TOP RHRD-Nikom C.</author>
    <author>Devas IPASON</author>
  </authors>
  <commentList>
    <comment ref="N20" authorId="0" shapeId="0" xr:uid="{90A2D0CE-7115-4F87-BF9E-FA2B632681D2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O20" authorId="0" shapeId="0" xr:uid="{2B803E03-F8D0-4106-9B35-F7F923C51232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0.925 %WT</t>
        </r>
      </text>
    </comment>
    <comment ref="P20" authorId="0" shapeId="0" xr:uid="{1950B3AE-B237-4F6E-B891-1DE0BA830DAD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Q20" authorId="0" shapeId="0" xr:uid="{1B617854-F349-4596-919E-C546992188D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R20" authorId="0" shapeId="0" xr:uid="{EAA3AA0B-5424-4919-A7BA-D96A9A4F04B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S20" authorId="0" shapeId="0" xr:uid="{7CFB858D-036E-4CBA-9DC0-304B8CE95D7F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T20" authorId="0" shapeId="0" xr:uid="{6893DF3A-FA6C-4C09-91F3-82998B3BD1CF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U20" authorId="0" shapeId="0" xr:uid="{ACCF7A3B-AE12-41C7-AA9E-F4C88ECA46A1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1.280 %WT</t>
        </r>
      </text>
    </comment>
    <comment ref="V20" authorId="0" shapeId="0" xr:uid="{67188048-5822-41C7-9425-CBD3C2628F08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2622</t>
        </r>
      </text>
    </comment>
    <comment ref="G25" authorId="1" shapeId="0" xr:uid="{B348D53E-F151-47A2-A501-D07CD0934B66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0.3301</t>
        </r>
      </text>
    </comment>
    <comment ref="G27" authorId="1" shapeId="0" xr:uid="{686ACA8B-DE2D-4304-AE6F-80713963E6CB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84.54</t>
        </r>
      </text>
    </comment>
    <comment ref="I27" authorId="1" shapeId="0" xr:uid="{CC6751FC-149A-48CD-9800-ABE329ED5495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84.52</t>
        </r>
      </text>
    </comment>
    <comment ref="G28" authorId="1" shapeId="0" xr:uid="{BE383026-F5AD-4774-9B40-C4CB5387A9B3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10.36</t>
        </r>
      </text>
    </comment>
    <comment ref="I28" authorId="1" shapeId="0" xr:uid="{BBA99C48-7339-4976-B95F-428FCD39F8A1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10.34</t>
        </r>
      </text>
    </comment>
    <comment ref="V90" authorId="2" shapeId="0" xr:uid="{10F558CE-C49F-40E9-83A6-4DD421B715F8}">
      <text>
        <r>
          <rPr>
            <b/>
            <sz val="9"/>
            <color indexed="81"/>
            <rFont val="Tahoma"/>
            <family val="2"/>
          </rPr>
          <t>Devas IPASON:</t>
        </r>
        <r>
          <rPr>
            <sz val="9"/>
            <color indexed="81"/>
            <rFont val="Tahoma"/>
            <family val="2"/>
          </rPr>
          <t xml:space="preserve">
Repeat 0.24</t>
        </r>
      </text>
    </comment>
    <comment ref="W90" authorId="2" shapeId="0" xr:uid="{A5F139E0-4CC9-4C58-858C-3B4A742A4390}">
      <text>
        <r>
          <rPr>
            <b/>
            <sz val="9"/>
            <color indexed="81"/>
            <rFont val="Tahoma"/>
            <family val="2"/>
          </rPr>
          <t>Devas IPASON:</t>
        </r>
        <r>
          <rPr>
            <sz val="9"/>
            <color indexed="81"/>
            <rFont val="Tahoma"/>
            <family val="2"/>
          </rPr>
          <t xml:space="preserve">
Repeat 0.030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TOP RHRD-Nikom C.</author>
    <author>Devas IPASON</author>
  </authors>
  <commentList>
    <comment ref="N20" authorId="0" shapeId="0" xr:uid="{3C32F370-0905-4CD9-9EDF-20D04AE5374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O20" authorId="0" shapeId="0" xr:uid="{BB79EFDE-4143-4617-B69D-C92E315E7A17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0.925 %WT</t>
        </r>
      </text>
    </comment>
    <comment ref="P20" authorId="0" shapeId="0" xr:uid="{EA6C7995-7FB5-49F0-B5B8-9D70EFCAA011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Q20" authorId="0" shapeId="0" xr:uid="{E00C131B-DD0A-4FA4-ACDD-7C1A99280F7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R20" authorId="0" shapeId="0" xr:uid="{0932ABE5-6890-4653-8C31-8A6E27D56B8B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S20" authorId="0" shapeId="0" xr:uid="{69AD3302-802E-47DE-A693-E7D02E06A412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T20" authorId="0" shapeId="0" xr:uid="{ED2115D1-A9CE-435D-8DC8-9D85A806CF5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U20" authorId="0" shapeId="0" xr:uid="{DE9DAF5F-C662-401B-8140-B110A0B6A4F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1.280 %WT</t>
        </r>
      </text>
    </comment>
    <comment ref="V20" authorId="0" shapeId="0" xr:uid="{E18A8E54-8909-40D4-892D-6D5B546E0C63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2622</t>
        </r>
      </text>
    </comment>
    <comment ref="G25" authorId="1" shapeId="0" xr:uid="{E08BC079-6995-4965-8BF1-6AAEAB276482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0.3301</t>
        </r>
      </text>
    </comment>
    <comment ref="G27" authorId="1" shapeId="0" xr:uid="{CB873BDE-F19D-4E37-A9F4-9CC0EFA3E92F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84.54</t>
        </r>
      </text>
    </comment>
    <comment ref="I27" authorId="1" shapeId="0" xr:uid="{C8A90EF1-7670-45D6-B54C-71F16C954C43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84.52</t>
        </r>
      </text>
    </comment>
    <comment ref="G28" authorId="1" shapeId="0" xr:uid="{C162A708-BE9F-4C68-BBE5-AE658B877069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10.36</t>
        </r>
      </text>
    </comment>
    <comment ref="I28" authorId="1" shapeId="0" xr:uid="{6A865378-C238-441A-8B63-91ED02795B10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10.34</t>
        </r>
      </text>
    </comment>
    <comment ref="V90" authorId="2" shapeId="0" xr:uid="{CF74BA72-35C5-498D-B000-84AE8F06C25D}">
      <text>
        <r>
          <rPr>
            <b/>
            <sz val="9"/>
            <color indexed="81"/>
            <rFont val="Tahoma"/>
            <family val="2"/>
          </rPr>
          <t>Devas IPASON:</t>
        </r>
        <r>
          <rPr>
            <sz val="9"/>
            <color indexed="81"/>
            <rFont val="Tahoma"/>
            <family val="2"/>
          </rPr>
          <t xml:space="preserve">
Repeat 0.24</t>
        </r>
      </text>
    </comment>
    <comment ref="W90" authorId="2" shapeId="0" xr:uid="{FC7EBB6A-F69E-4F07-ABF8-A412302E4BEA}">
      <text>
        <r>
          <rPr>
            <b/>
            <sz val="9"/>
            <color indexed="81"/>
            <rFont val="Tahoma"/>
            <family val="2"/>
          </rPr>
          <t>Devas IPASON:</t>
        </r>
        <r>
          <rPr>
            <sz val="9"/>
            <color indexed="81"/>
            <rFont val="Tahoma"/>
            <family val="2"/>
          </rPr>
          <t xml:space="preserve">
Repeat 0.030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tc={49ED0550-414B-4B91-B945-E5EF9ADE7D0D}</author>
    <author>TOP RHRD-Nikom C.</author>
  </authors>
  <commentList>
    <comment ref="H18" authorId="0" shapeId="0" xr:uid="{6241DF9D-A315-4A71-A300-B3716226AF44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0.1787 %WT</t>
        </r>
      </text>
    </comment>
    <comment ref="T18" authorId="1" shapeId="0" xr:uid="{49ED0550-414B-4B91-B945-E5EF9ADE7D0D}">
      <text>
        <t>[Threaded comment]
Your version of Excel allows you to read this threaded comment; however, any edits to it will get removed if the file is opened in a newer version of Excel. Learn more: https://go.microsoft.com/fwlink/?linkid=870924
Comment:
    ASTM D2622 0.1560</t>
      </text>
    </comment>
    <comment ref="V18" authorId="0" shapeId="0" xr:uid="{01DA73F1-7B22-4298-990F-D22D57E12B05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ASTM D4294</t>
        </r>
      </text>
    </comment>
    <comment ref="G23" authorId="2" shapeId="0" xr:uid="{129F0B6B-FF26-4EB9-924D-1F44BAC5E3B8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0.3301</t>
        </r>
      </text>
    </comment>
    <comment ref="G25" authorId="2" shapeId="0" xr:uid="{6287C1D1-8769-4B69-9BB7-BD9C207DD8E5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84.54</t>
        </r>
      </text>
    </comment>
    <comment ref="G26" authorId="2" shapeId="0" xr:uid="{D96FFBD6-816A-4500-9B2F-59BFEEED81A2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10.36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tc={06E53C49-46E7-4073-9583-DFCB8A8F96DC}</author>
    <author>TOP RHRD-Nikom C.</author>
  </authors>
  <commentList>
    <comment ref="H18" authorId="0" shapeId="0" xr:uid="{FCDC493A-9DB3-4781-8A5A-1A6C9B05B60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0.1787 %WT</t>
        </r>
      </text>
    </comment>
    <comment ref="T18" authorId="1" shapeId="0" xr:uid="{06E53C49-46E7-4073-9583-DFCB8A8F96DC}">
      <text>
        <t>[Threaded comment]
Your version of Excel allows you to read this threaded comment; however, any edits to it will get removed if the file is opened in a newer version of Excel. Learn more: https://go.microsoft.com/fwlink/?linkid=870924
Comment:
    ASTM D2622 0.1560</t>
      </text>
    </comment>
    <comment ref="V18" authorId="0" shapeId="0" xr:uid="{410FB255-BF71-4A85-A7ED-E27104D3D9A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ASTM D4294</t>
        </r>
      </text>
    </comment>
    <comment ref="G23" authorId="2" shapeId="0" xr:uid="{BB1B4EFA-0F4D-4970-938F-31FF0C1BF648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0.3301</t>
        </r>
      </text>
    </comment>
    <comment ref="G25" authorId="2" shapeId="0" xr:uid="{06AE5EFA-68B6-48C6-8413-8FB613147FC6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84.54</t>
        </r>
      </text>
    </comment>
    <comment ref="G26" authorId="2" shapeId="0" xr:uid="{1FAB3EC4-02F0-418C-AB01-9B1D5FD571D7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10.36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<sst xmlns="http://schemas.openxmlformats.org/spreadsheetml/2006/main" count="6385" uniqueCount="1124">
  <si>
    <t>LTO</t>
  </si>
  <si>
    <t>High Gas</t>
  </si>
  <si>
    <t>Low Gas</t>
  </si>
  <si>
    <t>Ni</t>
  </si>
  <si>
    <t>V</t>
  </si>
  <si>
    <t>RHCU Pilot Plant Laboratory Worksheet</t>
  </si>
  <si>
    <t>Batch Name :</t>
  </si>
  <si>
    <t>SR ABQ3358 ACCEPTANCE TEST</t>
  </si>
  <si>
    <t>Date :</t>
  </si>
  <si>
    <t>Note :</t>
  </si>
  <si>
    <t>MEBU ACCEPTANCE TEST</t>
  </si>
  <si>
    <t>Properties</t>
  </si>
  <si>
    <t>Method</t>
  </si>
  <si>
    <t>Unit</t>
  </si>
  <si>
    <t>SR ABQ3358</t>
  </si>
  <si>
    <t>HPS</t>
  </si>
  <si>
    <t>Ratio</t>
  </si>
  <si>
    <t>-</t>
  </si>
  <si>
    <t>%wt.</t>
  </si>
  <si>
    <t>Weight</t>
  </si>
  <si>
    <t>kg</t>
  </si>
  <si>
    <t>Density</t>
  </si>
  <si>
    <t>ASTM D4052</t>
  </si>
  <si>
    <t>kg/L</t>
  </si>
  <si>
    <r>
      <t xml:space="preserve">Relative Density@25/25 </t>
    </r>
    <r>
      <rPr>
        <vertAlign val="superscript"/>
        <sz val="12"/>
        <rFont val="Century Gothic"/>
        <family val="2"/>
      </rPr>
      <t>o</t>
    </r>
    <r>
      <rPr>
        <sz val="12"/>
        <rFont val="Century Gothic"/>
        <family val="2"/>
      </rPr>
      <t>C</t>
    </r>
  </si>
  <si>
    <t>ASTM D70</t>
  </si>
  <si>
    <r>
      <t xml:space="preserve">Viscosity @ -20 </t>
    </r>
    <r>
      <rPr>
        <vertAlign val="superscript"/>
        <sz val="12"/>
        <rFont val="Century Gothic"/>
        <family val="2"/>
      </rPr>
      <t>o</t>
    </r>
    <r>
      <rPr>
        <sz val="12"/>
        <rFont val="Century Gothic"/>
        <family val="2"/>
      </rPr>
      <t>C</t>
    </r>
  </si>
  <si>
    <t>ASTM D445</t>
  </si>
  <si>
    <t>cSt.</t>
  </si>
  <si>
    <r>
      <t xml:space="preserve">Viscosity @ 40 </t>
    </r>
    <r>
      <rPr>
        <vertAlign val="superscript"/>
        <sz val="12"/>
        <rFont val="Century Gothic"/>
        <family val="2"/>
      </rPr>
      <t>o</t>
    </r>
    <r>
      <rPr>
        <sz val="12"/>
        <rFont val="Century Gothic"/>
        <family val="2"/>
      </rPr>
      <t>C</t>
    </r>
  </si>
  <si>
    <r>
      <t xml:space="preserve">Viscosity @ 70 </t>
    </r>
    <r>
      <rPr>
        <vertAlign val="superscript"/>
        <sz val="12"/>
        <rFont val="Century Gothic"/>
        <family val="2"/>
      </rPr>
      <t>o</t>
    </r>
    <r>
      <rPr>
        <sz val="12"/>
        <rFont val="Century Gothic"/>
        <family val="2"/>
      </rPr>
      <t>C</t>
    </r>
  </si>
  <si>
    <r>
      <t xml:space="preserve">Viscosity @ 100 </t>
    </r>
    <r>
      <rPr>
        <vertAlign val="superscript"/>
        <sz val="12"/>
        <rFont val="Century Gothic"/>
        <family val="2"/>
      </rPr>
      <t>o</t>
    </r>
    <r>
      <rPr>
        <sz val="12"/>
        <rFont val="Century Gothic"/>
        <family val="2"/>
      </rPr>
      <t>C</t>
    </r>
  </si>
  <si>
    <r>
      <t xml:space="preserve">Viscosity @ 150 </t>
    </r>
    <r>
      <rPr>
        <vertAlign val="superscript"/>
        <sz val="12"/>
        <rFont val="Century Gothic"/>
        <family val="2"/>
      </rPr>
      <t>o</t>
    </r>
    <r>
      <rPr>
        <sz val="12"/>
        <rFont val="Century Gothic"/>
        <family val="2"/>
      </rPr>
      <t>C</t>
    </r>
  </si>
  <si>
    <t>V50</t>
  </si>
  <si>
    <t>Sulfur</t>
  </si>
  <si>
    <t>ASTM D4294</t>
  </si>
  <si>
    <t>%wt</t>
  </si>
  <si>
    <t>ASTM D2622</t>
  </si>
  <si>
    <t>PPMw</t>
  </si>
  <si>
    <t>Total Nitrogen</t>
  </si>
  <si>
    <t>ASTM D4629</t>
  </si>
  <si>
    <t>ASTM D5762</t>
  </si>
  <si>
    <t>CHN</t>
  </si>
  <si>
    <t>ASTM D5291</t>
  </si>
  <si>
    <t>Carbon</t>
  </si>
  <si>
    <t>Hydrogen</t>
  </si>
  <si>
    <t>Nitrogen</t>
  </si>
  <si>
    <t>ICP</t>
  </si>
  <si>
    <t>ASTM D7691
UOP 389</t>
  </si>
  <si>
    <t>Nickle (Ni)</t>
  </si>
  <si>
    <t>Vanadium (V)</t>
  </si>
  <si>
    <t>Sodium (Na)</t>
  </si>
  <si>
    <t>Calcium (Ca)</t>
  </si>
  <si>
    <t>Iron (Fe)</t>
  </si>
  <si>
    <t>Conversion</t>
  </si>
  <si>
    <t>%</t>
  </si>
  <si>
    <t>Ni+V</t>
  </si>
  <si>
    <t>Simdist</t>
  </si>
  <si>
    <t>ASTM D2887
ASTM D7169</t>
  </si>
  <si>
    <t>deg.C</t>
  </si>
  <si>
    <t>IBP</t>
  </si>
  <si>
    <t>FBP</t>
  </si>
  <si>
    <t>SARA</t>
  </si>
  <si>
    <t>IP469</t>
  </si>
  <si>
    <t>Saturates</t>
  </si>
  <si>
    <t>Aromatics</t>
  </si>
  <si>
    <t>Resins</t>
  </si>
  <si>
    <t>Asphaltenes</t>
  </si>
  <si>
    <t>Flocculation</t>
  </si>
  <si>
    <t>ASTM D6703
ASTM D7112</t>
  </si>
  <si>
    <t>Pa</t>
  </si>
  <si>
    <t>Po</t>
  </si>
  <si>
    <t>P</t>
  </si>
  <si>
    <t>FRmax</t>
  </si>
  <si>
    <t>SBN</t>
  </si>
  <si>
    <t>IN</t>
  </si>
  <si>
    <t>C5 Insoluble</t>
  </si>
  <si>
    <t>ASTM D4055</t>
  </si>
  <si>
    <t>C7 Insoluble</t>
  </si>
  <si>
    <t>ASTM D3279</t>
  </si>
  <si>
    <t>CCR</t>
  </si>
  <si>
    <t>ASTM D4530</t>
  </si>
  <si>
    <t>Total Sediment</t>
  </si>
  <si>
    <t>ASTM D4870</t>
  </si>
  <si>
    <t>ASTM D7833</t>
  </si>
  <si>
    <r>
      <t>H</t>
    </r>
    <r>
      <rPr>
        <vertAlign val="subscript"/>
        <sz val="12"/>
        <rFont val="Century Gothic"/>
        <family val="2"/>
      </rPr>
      <t>2</t>
    </r>
    <r>
      <rPr>
        <sz val="12"/>
        <rFont val="Century Gothic"/>
        <family val="2"/>
      </rPr>
      <t>S</t>
    </r>
  </si>
  <si>
    <r>
      <t>C</t>
    </r>
    <r>
      <rPr>
        <vertAlign val="subscript"/>
        <sz val="12"/>
        <rFont val="Century Gothic"/>
        <family val="2"/>
      </rPr>
      <t>1</t>
    </r>
  </si>
  <si>
    <r>
      <t>C</t>
    </r>
    <r>
      <rPr>
        <vertAlign val="subscript"/>
        <sz val="12"/>
        <rFont val="Century Gothic"/>
        <family val="2"/>
      </rPr>
      <t>2</t>
    </r>
  </si>
  <si>
    <r>
      <t>C</t>
    </r>
    <r>
      <rPr>
        <vertAlign val="subscript"/>
        <sz val="12"/>
        <rFont val="Century Gothic"/>
        <family val="2"/>
      </rPr>
      <t>3</t>
    </r>
  </si>
  <si>
    <r>
      <t>C</t>
    </r>
    <r>
      <rPr>
        <vertAlign val="subscript"/>
        <sz val="12"/>
        <rFont val="Century Gothic"/>
        <family val="2"/>
      </rPr>
      <t>5</t>
    </r>
  </si>
  <si>
    <t>CO</t>
  </si>
  <si>
    <r>
      <t>CO</t>
    </r>
    <r>
      <rPr>
        <vertAlign val="subscript"/>
        <sz val="12"/>
        <rFont val="Century Gothic"/>
        <family val="2"/>
      </rPr>
      <t>2</t>
    </r>
  </si>
  <si>
    <t>SIMDIST</t>
  </si>
  <si>
    <t>FEED</t>
  </si>
  <si>
    <t>ABQ3358</t>
  </si>
  <si>
    <t>MCRT, wt%</t>
  </si>
  <si>
    <t>Ni, ppm</t>
  </si>
  <si>
    <t>V, ppm</t>
  </si>
  <si>
    <t>Fe, ppm</t>
  </si>
  <si>
    <t>C3</t>
  </si>
  <si>
    <t>500-560</t>
  </si>
  <si>
    <t>IBP-90</t>
  </si>
  <si>
    <t>90-160</t>
  </si>
  <si>
    <t>160-250</t>
  </si>
  <si>
    <t>250-360</t>
  </si>
  <si>
    <t>360-500</t>
  </si>
  <si>
    <t>C</t>
  </si>
  <si>
    <t>H</t>
  </si>
  <si>
    <t>H/C</t>
  </si>
  <si>
    <t>H2S, wt%</t>
  </si>
  <si>
    <t>NH3, wt%</t>
  </si>
  <si>
    <t>500-560, wt%</t>
  </si>
  <si>
    <t>560 plus, wt%</t>
  </si>
  <si>
    <t>90-160, wt%</t>
  </si>
  <si>
    <t>160-250, wt%</t>
  </si>
  <si>
    <t>250-360, wt%</t>
  </si>
  <si>
    <t>360-500, wt%</t>
  </si>
  <si>
    <t>C5 Asphaltene, wt%</t>
  </si>
  <si>
    <t>C7 Asphaltene, wt%</t>
  </si>
  <si>
    <t>CH4, wt%</t>
  </si>
  <si>
    <t>C2H6, wt%</t>
  </si>
  <si>
    <t>C3H8, wt%</t>
  </si>
  <si>
    <t>C4H10, wt%</t>
  </si>
  <si>
    <t>C5H12, wt%</t>
  </si>
  <si>
    <t>C6H14 plus, wt%</t>
  </si>
  <si>
    <t>90-160, g/h</t>
  </si>
  <si>
    <t>IBP-90, g/h</t>
  </si>
  <si>
    <t>160-250, g/h</t>
  </si>
  <si>
    <t>250-360, g/h</t>
  </si>
  <si>
    <t>Ni, g/h</t>
  </si>
  <si>
    <t>V, g/h</t>
  </si>
  <si>
    <t>Fe, g/h</t>
  </si>
  <si>
    <t>C5 Asphaltene, g/h</t>
  </si>
  <si>
    <t>C7 Asphaltene, g/h</t>
  </si>
  <si>
    <t>MCRT, g/h</t>
  </si>
  <si>
    <t>H2S</t>
  </si>
  <si>
    <t>NH3</t>
  </si>
  <si>
    <t>C1 carbon, g/h</t>
  </si>
  <si>
    <t>C2 carbon, g/h</t>
  </si>
  <si>
    <t>C3 carbon, g/h</t>
  </si>
  <si>
    <t>C4 carbon, g/h</t>
  </si>
  <si>
    <t>C5 carbon, g/h</t>
  </si>
  <si>
    <t>Yield</t>
  </si>
  <si>
    <t>IBP-90,  wt%</t>
  </si>
  <si>
    <r>
      <t>C</t>
    </r>
    <r>
      <rPr>
        <b/>
        <vertAlign val="subscript"/>
        <sz val="11"/>
        <color theme="1"/>
        <rFont val="Aptos Narrow"/>
        <family val="2"/>
        <scheme val="minor"/>
      </rPr>
      <t>N</t>
    </r>
    <r>
      <rPr>
        <b/>
        <sz val="11"/>
        <color theme="1"/>
        <rFont val="Aptos Narrow"/>
        <family val="2"/>
        <scheme val="minor"/>
      </rPr>
      <t>, wt%</t>
    </r>
  </si>
  <si>
    <r>
      <t>H</t>
    </r>
    <r>
      <rPr>
        <b/>
        <vertAlign val="subscript"/>
        <sz val="11"/>
        <color theme="1"/>
        <rFont val="Aptos Narrow"/>
        <family val="2"/>
        <scheme val="minor"/>
      </rPr>
      <t>N</t>
    </r>
    <r>
      <rPr>
        <b/>
        <sz val="11"/>
        <color theme="1"/>
        <rFont val="Aptos Narrow"/>
        <family val="2"/>
        <scheme val="minor"/>
      </rPr>
      <t>, wt%</t>
    </r>
  </si>
  <si>
    <r>
      <t>S</t>
    </r>
    <r>
      <rPr>
        <b/>
        <vertAlign val="subscript"/>
        <sz val="11"/>
        <color theme="1"/>
        <rFont val="Aptos Narrow"/>
        <family val="2"/>
        <scheme val="minor"/>
      </rPr>
      <t>N</t>
    </r>
    <r>
      <rPr>
        <b/>
        <sz val="11"/>
        <color theme="1"/>
        <rFont val="Aptos Narrow"/>
        <family val="2"/>
        <scheme val="minor"/>
      </rPr>
      <t>, wt</t>
    </r>
  </si>
  <si>
    <r>
      <t>C</t>
    </r>
    <r>
      <rPr>
        <b/>
        <vertAlign val="subscript"/>
        <sz val="11"/>
        <color theme="1"/>
        <rFont val="Aptos Narrow"/>
        <family val="2"/>
        <scheme val="minor"/>
      </rPr>
      <t>N</t>
    </r>
    <r>
      <rPr>
        <b/>
        <sz val="11"/>
        <color theme="1"/>
        <rFont val="Aptos Narrow"/>
        <family val="2"/>
        <scheme val="minor"/>
      </rPr>
      <t>, g/h</t>
    </r>
  </si>
  <si>
    <r>
      <t>H</t>
    </r>
    <r>
      <rPr>
        <b/>
        <vertAlign val="subscript"/>
        <sz val="11"/>
        <color theme="1"/>
        <rFont val="Aptos Narrow"/>
        <family val="2"/>
        <scheme val="minor"/>
      </rPr>
      <t>N</t>
    </r>
    <r>
      <rPr>
        <b/>
        <sz val="11"/>
        <color theme="1"/>
        <rFont val="Aptos Narrow"/>
        <family val="2"/>
        <scheme val="minor"/>
      </rPr>
      <t>, g/h</t>
    </r>
  </si>
  <si>
    <t>CRACKING EXPERIMENT</t>
  </si>
  <si>
    <t>CHNS</t>
  </si>
  <si>
    <r>
      <t>C</t>
    </r>
    <r>
      <rPr>
        <b/>
        <vertAlign val="subscript"/>
        <sz val="12"/>
        <color theme="4" tint="-0.499984740745262"/>
        <rFont val="Century Gothic"/>
        <family val="2"/>
      </rPr>
      <t>N</t>
    </r>
  </si>
  <si>
    <r>
      <t>H</t>
    </r>
    <r>
      <rPr>
        <b/>
        <vertAlign val="subscript"/>
        <sz val="12"/>
        <color theme="4" tint="-0.499984740745262"/>
        <rFont val="Century Gothic"/>
        <family val="2"/>
      </rPr>
      <t>N</t>
    </r>
  </si>
  <si>
    <r>
      <t>N</t>
    </r>
    <r>
      <rPr>
        <b/>
        <vertAlign val="subscript"/>
        <sz val="12"/>
        <color theme="4" tint="-0.499984740745262"/>
        <rFont val="Century Gothic"/>
        <family val="2"/>
      </rPr>
      <t>N</t>
    </r>
  </si>
  <si>
    <r>
      <t>S</t>
    </r>
    <r>
      <rPr>
        <b/>
        <vertAlign val="subscript"/>
        <sz val="12"/>
        <color theme="4" tint="-0.499984740745262"/>
        <rFont val="Century Gothic"/>
        <family val="2"/>
      </rPr>
      <t>N</t>
    </r>
  </si>
  <si>
    <r>
      <t>H</t>
    </r>
    <r>
      <rPr>
        <b/>
        <vertAlign val="subscript"/>
        <sz val="12"/>
        <color theme="4" tint="-0.499984740745262"/>
        <rFont val="Century Gothic"/>
        <family val="2"/>
      </rPr>
      <t>N</t>
    </r>
    <r>
      <rPr>
        <b/>
        <sz val="12"/>
        <color theme="4" tint="-0.499984740745262"/>
        <rFont val="Century Gothic"/>
        <family val="2"/>
      </rPr>
      <t>/C</t>
    </r>
    <r>
      <rPr>
        <b/>
        <vertAlign val="subscript"/>
        <sz val="12"/>
        <color theme="4" tint="-0.499984740745262"/>
        <rFont val="Century Gothic"/>
        <family val="2"/>
      </rPr>
      <t>N</t>
    </r>
  </si>
  <si>
    <t>N</t>
  </si>
  <si>
    <t>S</t>
  </si>
  <si>
    <t>&lt;560 = 14.1%</t>
  </si>
  <si>
    <t>CUT POINTS</t>
  </si>
  <si>
    <t>560+</t>
  </si>
  <si>
    <t>TOTAL</t>
  </si>
  <si>
    <t>CATALYST AGING</t>
  </si>
  <si>
    <t>HDM Conversion</t>
  </si>
  <si>
    <t>%mol</t>
  </si>
  <si>
    <r>
      <t>N</t>
    </r>
    <r>
      <rPr>
        <vertAlign val="subscript"/>
        <sz val="12"/>
        <rFont val="Century Gothic"/>
        <family val="2"/>
      </rPr>
      <t>2</t>
    </r>
  </si>
  <si>
    <t>Total</t>
  </si>
  <si>
    <t>Total g/h</t>
  </si>
  <si>
    <t>360-500, g/h</t>
  </si>
  <si>
    <t>500-560, g/h</t>
  </si>
  <si>
    <t>S, g/h</t>
  </si>
  <si>
    <t>N, g/h</t>
  </si>
  <si>
    <t>N, wt% (ASTM D5762)</t>
  </si>
  <si>
    <t>S, wt% (ASTM D4294)</t>
  </si>
  <si>
    <t>C, wt% (ASTM D5291)</t>
  </si>
  <si>
    <t>H, wt% (ASTM D5291)</t>
  </si>
  <si>
    <t>N, wt% (ASTM D5291)</t>
  </si>
  <si>
    <t>S, wt%  (ASTM D4294)</t>
  </si>
  <si>
    <t>CH4, g/h</t>
  </si>
  <si>
    <t>C2H6, g/h</t>
  </si>
  <si>
    <t>C3H8, g/h</t>
  </si>
  <si>
    <t>C4H10, g/h</t>
  </si>
  <si>
    <t>C5H12, g/h</t>
  </si>
  <si>
    <t>H2S, g/h</t>
  </si>
  <si>
    <t>NH3, g/h</t>
  </si>
  <si>
    <t>Litre</t>
  </si>
  <si>
    <t>C1</t>
  </si>
  <si>
    <t>C2</t>
  </si>
  <si>
    <t>C4</t>
  </si>
  <si>
    <t>C5</t>
  </si>
  <si>
    <t>C6</t>
  </si>
  <si>
    <t>H2</t>
  </si>
  <si>
    <t>H4</t>
  </si>
  <si>
    <t>H3</t>
  </si>
  <si>
    <t>H8</t>
  </si>
  <si>
    <t>H6</t>
  </si>
  <si>
    <t>H10</t>
  </si>
  <si>
    <t>H12</t>
  </si>
  <si>
    <t>H14</t>
  </si>
  <si>
    <t>CH4</t>
  </si>
  <si>
    <t>C2H6</t>
  </si>
  <si>
    <t>C3H8</t>
  </si>
  <si>
    <t>C4H10</t>
  </si>
  <si>
    <t>C5H12</t>
  </si>
  <si>
    <t>C6H16</t>
  </si>
  <si>
    <t>Nconv, g/h</t>
  </si>
  <si>
    <t>VR</t>
  </si>
  <si>
    <t>L/hr</t>
  </si>
  <si>
    <t>K</t>
  </si>
  <si>
    <t xml:space="preserve">Reference Temp </t>
  </si>
  <si>
    <t>ART Reference</t>
  </si>
  <si>
    <t>CrkConversion</t>
  </si>
  <si>
    <t xml:space="preserve">Breakdown Flow rate, Low gas (L/h) </t>
  </si>
  <si>
    <t>ART Reference(MCRT)</t>
  </si>
  <si>
    <t>ART Reference (S)</t>
  </si>
  <si>
    <t>Lab Date--&gt;</t>
  </si>
  <si>
    <t>H element in H2S</t>
  </si>
  <si>
    <t>H element in NH3</t>
  </si>
  <si>
    <t>H element of hydrocarbon in Low Gas</t>
  </si>
  <si>
    <t>H2, g/h</t>
  </si>
  <si>
    <t>H2,g/h</t>
  </si>
  <si>
    <t>C4 minus</t>
  </si>
  <si>
    <t>H element of hydrocarbon in High Gas (g/h)</t>
  </si>
  <si>
    <t>Sedimentation, ppm</t>
  </si>
  <si>
    <t>Breakdown Flow Rate, High Gas (g/h)</t>
  </si>
  <si>
    <t xml:space="preserve">Breakdown Flow Rate, Low gas (g/h) </t>
  </si>
  <si>
    <t>=</t>
  </si>
  <si>
    <t>500 minus (C corrected), %</t>
  </si>
  <si>
    <t>500 minus as is obtained, %</t>
  </si>
  <si>
    <t>C4 minus (C corrected)</t>
  </si>
  <si>
    <t>"5% Difference</t>
  </si>
  <si>
    <t>+5%</t>
  </si>
  <si>
    <t>-5%</t>
  </si>
  <si>
    <t>IBP-160 (included C5&amp;6)</t>
  </si>
  <si>
    <t>160-360</t>
  </si>
  <si>
    <t>IBP-160 (included C5&amp;6, C corrected)</t>
  </si>
  <si>
    <t>160-360, C corrected</t>
  </si>
  <si>
    <t>360-560</t>
  </si>
  <si>
    <t>360-560, C corrected</t>
  </si>
  <si>
    <t>560 plus, C corrected</t>
  </si>
  <si>
    <t>560 plus ART Reference</t>
  </si>
  <si>
    <t>360-560 ART Reference</t>
  </si>
  <si>
    <t>160-360 ART Reference</t>
  </si>
  <si>
    <t>IBP-160 ART Reference</t>
  </si>
  <si>
    <t>500 minus ART Reference (Yield)</t>
  </si>
  <si>
    <t>C4 minus, ART</t>
  </si>
  <si>
    <t>LICENSOR reccommendation to improve EPC euipment selection</t>
  </si>
  <si>
    <t>Item</t>
  </si>
  <si>
    <t>Reccommendation</t>
  </si>
  <si>
    <t>Note</t>
  </si>
  <si>
    <t>HPS-1 Level control</t>
  </si>
  <si>
    <t>Install H2 purge to HP leg to provide the caauracy of level indication</t>
  </si>
  <si>
    <t>Current HP leg is dead line, it is more prone to have sedimentation, then plugging</t>
  </si>
  <si>
    <t>Current Kammer valve has liquid passing through, investigate Kammer calibration and tighteness after S/D</t>
  </si>
  <si>
    <t>HPS-2 level control</t>
  </si>
  <si>
    <t>Order larger trim size of Kammer valve</t>
  </si>
  <si>
    <t>Current level sensor is capacitive level sensor, maybe looking for alternative level sensors i.e floating type</t>
  </si>
  <si>
    <t>HPS-3</t>
  </si>
  <si>
    <t>Back pressure regulator</t>
  </si>
  <si>
    <t>Current back pressure regulator is Tescom, Swagelok. It should be changed todiaphram back pressure regulator</t>
  </si>
  <si>
    <t>HPS product</t>
  </si>
  <si>
    <t xml:space="preserve">Put heat tracing to allow product flow </t>
  </si>
  <si>
    <t>LTO nitrogen stripper</t>
  </si>
  <si>
    <t>Current stripper is over size, consider to make a small size</t>
  </si>
  <si>
    <t>HMI improvement</t>
  </si>
  <si>
    <t>Ask VINCI to correct the mass flow rate calculation</t>
  </si>
  <si>
    <t>Put the average temperature of all Rxs for both uncorrected and corrected temperature</t>
  </si>
  <si>
    <t>Licensor reccommendation for additional testing</t>
  </si>
  <si>
    <t>Test one or two higher conversions</t>
  </si>
  <si>
    <r>
      <rPr>
        <b/>
        <sz val="11"/>
        <color rgb="FFFF0000"/>
        <rFont val="Aptos Narrow"/>
        <family val="2"/>
        <scheme val="minor"/>
      </rPr>
      <t>1. target 4-5% higher CrkConversion</t>
    </r>
    <r>
      <rPr>
        <sz val="11"/>
        <color theme="1"/>
        <rFont val="Aptos Narrow"/>
        <family val="2"/>
        <scheme val="minor"/>
      </rPr>
      <t xml:space="preserve">
2. target 6-8% higher CrkConversion</t>
    </r>
  </si>
  <si>
    <t>Test ISV loop control for sampling</t>
  </si>
  <si>
    <t>- Dr. Shuwu will send TOP HPS sample of the reference test and ABQ 2986</t>
  </si>
  <si>
    <t>- Nikom will send Dr. Shu the sample tests (HPS) + spread sheet</t>
  </si>
  <si>
    <t>H/C Ratio, wt/wt</t>
  </si>
  <si>
    <t>H/C Ratio, wt/wt, ART</t>
  </si>
  <si>
    <t>CrkConv, wt%, As is</t>
  </si>
  <si>
    <t>- Dr. Shuwu will share presentation slide/detail reference simdist/and spread sheet to TOP (Done)</t>
  </si>
  <si>
    <t>- Dr. Shuwu will revise the acceptance result and issue the certificate for acceptance</t>
  </si>
  <si>
    <t>- Dr. Shuwu will share 1% simdist of the related to Thai Oil MEBU feed reactivity study (Done)</t>
  </si>
  <si>
    <t>Scope of Technical Consultation Service</t>
  </si>
  <si>
    <t>Site visitation i.e. LICENSOR visits TOP site to advise improvement</t>
  </si>
  <si>
    <t xml:space="preserve">Training i.e. hydroprocessing, ebullated bed unit, </t>
  </si>
  <si>
    <t>Desktop technical consultation i.e. design experiment on crude testing, MEBU result interpretation, laboratory analysis, SR preparation, MEBU operation, MEBU pump fabrication</t>
  </si>
  <si>
    <t>MEBU background technology assitance</t>
  </si>
  <si>
    <t>560 plus, wt%, ART reference</t>
  </si>
  <si>
    <t>ART Reference (N)</t>
  </si>
  <si>
    <t>ABQ 3358</t>
  </si>
  <si>
    <t>S, %wt</t>
  </si>
  <si>
    <t>N, %wt</t>
  </si>
  <si>
    <t>MCR, %wt</t>
  </si>
  <si>
    <t>Density, kg/L</t>
  </si>
  <si>
    <t>50%BSH, 30%Arab light, 3% aromatic, and others .i.e. Arab medium</t>
  </si>
  <si>
    <t>Day on stream--&gt;</t>
  </si>
  <si>
    <t>Pilot Plant Operation---&gt;</t>
  </si>
  <si>
    <t>Unit Balance (H2S and NH3 included)</t>
  </si>
  <si>
    <t>TOP</t>
  </si>
  <si>
    <t>H, %wt</t>
  </si>
  <si>
    <t>C, %wt</t>
  </si>
  <si>
    <t>C5 As,%wt</t>
  </si>
  <si>
    <t>C7 As, %wt</t>
  </si>
  <si>
    <t>SConv, g/h</t>
  </si>
  <si>
    <t>NConv, wt%</t>
  </si>
  <si>
    <t>SConv, wt%</t>
  </si>
  <si>
    <t>FeConv, wt%</t>
  </si>
  <si>
    <t>(Ni+V)Conv, wt%</t>
  </si>
  <si>
    <t>NiConverted, g/h</t>
  </si>
  <si>
    <t>VConverted, g/h</t>
  </si>
  <si>
    <t>VConv, wt%</t>
  </si>
  <si>
    <t>VConv, wt%, ART</t>
  </si>
  <si>
    <t>NiConv, wt%</t>
  </si>
  <si>
    <t>NiConv, wt%, ART</t>
  </si>
  <si>
    <t>(Ni+V)Converted, g/h</t>
  </si>
  <si>
    <t>C7 AsConv,wt%</t>
  </si>
  <si>
    <t>C7 AsConv,wt%, ART</t>
  </si>
  <si>
    <t>N, wt% (ASTM D5762), ART</t>
  </si>
  <si>
    <t>S, wt% (ASTM D4294), ART</t>
  </si>
  <si>
    <t>V, ppm, ART</t>
  </si>
  <si>
    <t>Ni, ppm, ART</t>
  </si>
  <si>
    <t>MCRT, wt%, ART</t>
  </si>
  <si>
    <t>C7 Asphaltene, wt%, ART</t>
  </si>
  <si>
    <t>CII</t>
  </si>
  <si>
    <t>5% Difference</t>
  </si>
  <si>
    <t>MCRConv, wt%</t>
  </si>
  <si>
    <t>Volumetric Flow rate, ml</t>
  </si>
  <si>
    <t>L</t>
  </si>
  <si>
    <t>"</t>
  </si>
  <si>
    <t>mm</t>
  </si>
  <si>
    <t>D/2 = R</t>
  </si>
  <si>
    <t>mm3</t>
  </si>
  <si>
    <t>ml</t>
  </si>
  <si>
    <t>V1</t>
  </si>
  <si>
    <t>V2</t>
  </si>
  <si>
    <t>1.155/2</t>
  </si>
  <si>
    <t>2.060/2</t>
  </si>
  <si>
    <t>tan 30</t>
  </si>
  <si>
    <t>0.4525/x</t>
  </si>
  <si>
    <t>h</t>
  </si>
  <si>
    <t>R</t>
  </si>
  <si>
    <t>r</t>
  </si>
  <si>
    <t>V3</t>
  </si>
  <si>
    <t>Tube volume</t>
  </si>
  <si>
    <t>Thk</t>
  </si>
  <si>
    <t>Net volume Rx</t>
  </si>
  <si>
    <t>Total Vlolume</t>
  </si>
  <si>
    <t>Inserted internal part volume</t>
  </si>
  <si>
    <t>Uper Rod+ Lower rod</t>
  </si>
  <si>
    <t>C6H14 , g/h</t>
  </si>
  <si>
    <t>C6 carbon , g/h</t>
  </si>
  <si>
    <t>C5 AsConc, wt%</t>
  </si>
  <si>
    <t>High gas (g/h)</t>
  </si>
  <si>
    <t>C5 Asphaltene, wt%, ART</t>
  </si>
  <si>
    <t>C6H14 plus, g/h</t>
  </si>
  <si>
    <t>HPS: ABQ3358(Aging)</t>
  </si>
  <si>
    <t>Low&amp;High Sedimentation</t>
  </si>
  <si>
    <t>Date</t>
  </si>
  <si>
    <t>Day on stream</t>
  </si>
  <si>
    <t>Low Sedim</t>
  </si>
  <si>
    <t>High Sedim</t>
  </si>
  <si>
    <t>LCF LHSV, hr-1</t>
  </si>
  <si>
    <t>Pressure, barg</t>
  </si>
  <si>
    <t>VR Low Sedim</t>
  </si>
  <si>
    <t>VR ABQ3358</t>
  </si>
  <si>
    <t>LowSed</t>
  </si>
  <si>
    <t>HighSed</t>
  </si>
  <si>
    <t>Flow Information</t>
  </si>
  <si>
    <t>Temperature, degC</t>
  </si>
  <si>
    <t>rate, g/h, ART</t>
  </si>
  <si>
    <t>Density, g/ml</t>
  </si>
  <si>
    <t>Temperature, degC, ART</t>
  </si>
  <si>
    <t>H-C1 carbon, g/h</t>
  </si>
  <si>
    <t>H-C2 carbon, g/h</t>
  </si>
  <si>
    <t>H-C3 carbon, g/h</t>
  </si>
  <si>
    <t>H-C4 carbon, g/h</t>
  </si>
  <si>
    <t>H-C5 carbon, g/h</t>
  </si>
  <si>
    <t>C6H14</t>
  </si>
  <si>
    <t>%vol(mol)</t>
  </si>
  <si>
    <t>C4H10(Total)</t>
  </si>
  <si>
    <r>
      <t>C</t>
    </r>
    <r>
      <rPr>
        <vertAlign val="subscript"/>
        <sz val="12"/>
        <rFont val="Century Gothic"/>
        <family val="2"/>
      </rPr>
      <t>4</t>
    </r>
    <r>
      <rPr>
        <sz val="12"/>
        <rFont val="Century Gothic"/>
        <family val="2"/>
      </rPr>
      <t>(Total)</t>
    </r>
  </si>
  <si>
    <t>C4iso/C4 (Total)</t>
  </si>
  <si>
    <t>C4(Total)</t>
  </si>
  <si>
    <r>
      <t>C</t>
    </r>
    <r>
      <rPr>
        <vertAlign val="subscript"/>
        <sz val="12"/>
        <rFont val="Century Gothic"/>
        <family val="2"/>
      </rPr>
      <t>6  Plus</t>
    </r>
  </si>
  <si>
    <r>
      <t>C</t>
    </r>
    <r>
      <rPr>
        <vertAlign val="subscript"/>
        <sz val="12"/>
        <rFont val="Century Gothic"/>
        <family val="2"/>
      </rPr>
      <t>6</t>
    </r>
    <r>
      <rPr>
        <sz val="12"/>
        <rFont val="Century Gothic"/>
        <family val="2"/>
      </rPr>
      <t xml:space="preserve"> Plus</t>
    </r>
  </si>
  <si>
    <t>Pressure, barg, ART</t>
  </si>
  <si>
    <t>MEBU LHSV, hr-1, ART</t>
  </si>
  <si>
    <t>Molecular Weight</t>
  </si>
  <si>
    <t>C4H10, g/h (Total)</t>
  </si>
  <si>
    <t>Low gas</t>
  </si>
  <si>
    <t>Total (S+N ), g/h</t>
  </si>
  <si>
    <t>Mass Flow, g/hr</t>
  </si>
  <si>
    <t>Total(Ni+V), g/h</t>
  </si>
  <si>
    <t>ISV</t>
  </si>
  <si>
    <t>ISV: ABQ3358</t>
  </si>
  <si>
    <t>ISV: Low Sedim</t>
  </si>
  <si>
    <t>ISV: High Sedim</t>
  </si>
  <si>
    <t>CrkConv/ LHSV Corrected, wt%</t>
  </si>
  <si>
    <t>560 Plus, g/h</t>
  </si>
  <si>
    <t xml:space="preserve">Aging-ABQ3358 </t>
  </si>
  <si>
    <t>Aging-ABQ3358</t>
  </si>
  <si>
    <t>Aging- ABQ3358</t>
  </si>
  <si>
    <t>Aging-ABQ3358(Aging)</t>
  </si>
  <si>
    <t>Low Sed</t>
  </si>
  <si>
    <t xml:space="preserve"> High Sed</t>
  </si>
  <si>
    <t>High Sed</t>
  </si>
  <si>
    <t>C6H14 plus</t>
  </si>
  <si>
    <t>560 plus</t>
  </si>
  <si>
    <t>C6H14 plus , g/h</t>
  </si>
  <si>
    <t>H-C6 carbon, g/h</t>
  </si>
  <si>
    <t>C6 carbon plus, g/h</t>
  </si>
  <si>
    <t>Low Gas (g/h)</t>
  </si>
  <si>
    <t>High Gas (g/h)</t>
  </si>
  <si>
    <t>Low Gas(g/h)</t>
  </si>
  <si>
    <t>HPS: High Sed</t>
  </si>
  <si>
    <t>HPS: Low Sed</t>
  </si>
  <si>
    <t>Total Yield(NH3/H2S/C4-/IBP-560/560+), C Total Yield, C corrected</t>
  </si>
  <si>
    <t>Catalyst, dry basis, g</t>
  </si>
  <si>
    <t>VR rate Rx2, g/h</t>
  </si>
  <si>
    <t>Accumulative mass to Rx2 (Acc Mass_23.5 hrs), g</t>
  </si>
  <si>
    <t>V, Rx1, g/h</t>
  </si>
  <si>
    <t>V, Rx2, g/h</t>
  </si>
  <si>
    <t>Total rate, g/h (23.5hrs)</t>
  </si>
  <si>
    <t>Accumulative mass to Rx1 (Acc Mass_23.5 hrs), g</t>
  </si>
  <si>
    <t>VR rate Rx1, g/h</t>
  </si>
  <si>
    <t>Ni, Rx2,  g/h</t>
  </si>
  <si>
    <t>Ni, Rx1, g/h</t>
  </si>
  <si>
    <t>ISV LHSV, hr-1</t>
  </si>
  <si>
    <t>MEBU LHSV, Actual, hr-1</t>
  </si>
  <si>
    <t>MEBU Target LHSV, hr-1</t>
  </si>
  <si>
    <t xml:space="preserve"> </t>
  </si>
  <si>
    <r>
      <t xml:space="preserve">Viscosity @ 135 </t>
    </r>
    <r>
      <rPr>
        <sz val="12"/>
        <rFont val="Calibri"/>
        <family val="2"/>
      </rPr>
      <t>°</t>
    </r>
    <r>
      <rPr>
        <sz val="12"/>
        <rFont val="Century Gothic"/>
        <family val="2"/>
      </rPr>
      <t>C</t>
    </r>
  </si>
  <si>
    <t>CrkConv ART Reference</t>
  </si>
  <si>
    <t>ART Reference (Ni+V), %</t>
  </si>
  <si>
    <t>LS Feed</t>
  </si>
  <si>
    <t>17/07-01/8/2025</t>
  </si>
  <si>
    <t>API</t>
  </si>
  <si>
    <t>Accumulative mass (Acc Mass_23.5 hrs), g</t>
  </si>
  <si>
    <t>Unit Balance (Product/Feed)</t>
  </si>
  <si>
    <t>Carbon Balance(Product/Feed)</t>
  </si>
  <si>
    <t>&lt;560 = 11.379%</t>
  </si>
  <si>
    <t>Time-On-Stream (Day)</t>
  </si>
  <si>
    <t>LTO API (Degree)</t>
  </si>
  <si>
    <t>HPS API (Degree)</t>
  </si>
  <si>
    <t>no sample</t>
  </si>
  <si>
    <t>01WT%</t>
  </si>
  <si>
    <t>02WT%</t>
  </si>
  <si>
    <t>03WT%</t>
  </si>
  <si>
    <t>04WT%</t>
  </si>
  <si>
    <t>05WT%</t>
  </si>
  <si>
    <t>06WT%</t>
  </si>
  <si>
    <t>07WT%</t>
  </si>
  <si>
    <t>08WT%</t>
  </si>
  <si>
    <t>09WT%</t>
  </si>
  <si>
    <t>10WT%</t>
  </si>
  <si>
    <t>11WT%</t>
  </si>
  <si>
    <t>12WT%</t>
  </si>
  <si>
    <t>13WT%</t>
  </si>
  <si>
    <t>14WT%</t>
  </si>
  <si>
    <t>15WT%</t>
  </si>
  <si>
    <t>16WT%</t>
  </si>
  <si>
    <t>17WT%</t>
  </si>
  <si>
    <t>18WT%</t>
  </si>
  <si>
    <t>19WT%</t>
  </si>
  <si>
    <t>20WT%</t>
  </si>
  <si>
    <t>21WT%</t>
  </si>
  <si>
    <t>22WT%</t>
  </si>
  <si>
    <t>23WT%</t>
  </si>
  <si>
    <t>24WT%</t>
  </si>
  <si>
    <t>25WT%</t>
  </si>
  <si>
    <t>26WT%</t>
  </si>
  <si>
    <t>27WT%</t>
  </si>
  <si>
    <t>28WT%</t>
  </si>
  <si>
    <t>29WT%</t>
  </si>
  <si>
    <t>30WT%</t>
  </si>
  <si>
    <t>31WT%</t>
  </si>
  <si>
    <t>32WT%</t>
  </si>
  <si>
    <t>33WT%</t>
  </si>
  <si>
    <t>34WT%</t>
  </si>
  <si>
    <t>35WT%</t>
  </si>
  <si>
    <t>36WT%</t>
  </si>
  <si>
    <t>37WT%</t>
  </si>
  <si>
    <t>38WT%</t>
  </si>
  <si>
    <t>39WT%</t>
  </si>
  <si>
    <t>40WT%</t>
  </si>
  <si>
    <t>41WT%</t>
  </si>
  <si>
    <t>42WT%</t>
  </si>
  <si>
    <t>43WT%</t>
  </si>
  <si>
    <t>44WT%</t>
  </si>
  <si>
    <t>45WT%</t>
  </si>
  <si>
    <t>46WT%</t>
  </si>
  <si>
    <t>47WT%</t>
  </si>
  <si>
    <t>48WT%</t>
  </si>
  <si>
    <t>49WT%</t>
  </si>
  <si>
    <t>50WT%</t>
  </si>
  <si>
    <t>51WT%</t>
  </si>
  <si>
    <t>52WT%</t>
  </si>
  <si>
    <t>53WT%</t>
  </si>
  <si>
    <t>54WT%</t>
  </si>
  <si>
    <t>55WT%</t>
  </si>
  <si>
    <t>56WT%</t>
  </si>
  <si>
    <t>57WT%</t>
  </si>
  <si>
    <t>58WT%</t>
  </si>
  <si>
    <t>59WT%</t>
  </si>
  <si>
    <t>60WT%</t>
  </si>
  <si>
    <t>61WT%</t>
  </si>
  <si>
    <t>62WT%</t>
  </si>
  <si>
    <t>63WT%</t>
  </si>
  <si>
    <t>64WT%</t>
  </si>
  <si>
    <t>65WT%</t>
  </si>
  <si>
    <t>66WT%</t>
  </si>
  <si>
    <t>67WT%</t>
  </si>
  <si>
    <t>68WT%</t>
  </si>
  <si>
    <t>69WT%</t>
  </si>
  <si>
    <t>70WT%</t>
  </si>
  <si>
    <t>71WT%</t>
  </si>
  <si>
    <t>72WT%</t>
  </si>
  <si>
    <t>73WT%</t>
  </si>
  <si>
    <t>74WT%</t>
  </si>
  <si>
    <t>75WT%</t>
  </si>
  <si>
    <t>76WT%</t>
  </si>
  <si>
    <t>77WT%</t>
  </si>
  <si>
    <t>78WT%</t>
  </si>
  <si>
    <t>79WT%</t>
  </si>
  <si>
    <t>80WT%</t>
  </si>
  <si>
    <t>81WT%</t>
  </si>
  <si>
    <t>82WT%</t>
  </si>
  <si>
    <t>83WT%</t>
  </si>
  <si>
    <t>84WT%</t>
  </si>
  <si>
    <t>85WT%</t>
  </si>
  <si>
    <t>86WT%</t>
  </si>
  <si>
    <t>87WT%</t>
  </si>
  <si>
    <t>88WT%</t>
  </si>
  <si>
    <t>89WT%</t>
  </si>
  <si>
    <t>90WT%</t>
  </si>
  <si>
    <t>91WT%</t>
  </si>
  <si>
    <t>92WT%</t>
  </si>
  <si>
    <t>93WT%</t>
  </si>
  <si>
    <t>94WT%</t>
  </si>
  <si>
    <t>95WT%</t>
  </si>
  <si>
    <t>96WT%</t>
  </si>
  <si>
    <t>97WT%</t>
  </si>
  <si>
    <t>98WT%</t>
  </si>
  <si>
    <t>99WT%</t>
  </si>
  <si>
    <t>LS_D3 ART</t>
  </si>
  <si>
    <t>Condition Change</t>
  </si>
  <si>
    <t>560- = 3.808</t>
  </si>
  <si>
    <t>HS Feed</t>
  </si>
  <si>
    <t>Low Sedimentation</t>
  </si>
  <si>
    <t>BSH</t>
  </si>
  <si>
    <t>CLK</t>
  </si>
  <si>
    <t>SEPIA</t>
  </si>
  <si>
    <t>PAZFLOR</t>
  </si>
  <si>
    <t>PHET</t>
  </si>
  <si>
    <t>Experiment 
(MEBU Experiment)</t>
  </si>
  <si>
    <t xml:space="preserve">Case </t>
  </si>
  <si>
    <t>Case</t>
  </si>
  <si>
    <t>%CrkConv</t>
  </si>
  <si>
    <t>Commercial RHCU LHSV, hr-1</t>
  </si>
  <si>
    <t>LHSV(MEBU)</t>
  </si>
  <si>
    <t>{[100/(100-X)]^1/N} -1</t>
  </si>
  <si>
    <t>e^[Ea/(RT)]</t>
  </si>
  <si>
    <t>k0</t>
  </si>
  <si>
    <t>Temp, degC</t>
  </si>
  <si>
    <t>MEBU Correction factor</t>
  </si>
  <si>
    <t>MEB LHSV, hr-1</t>
  </si>
  <si>
    <t>MEBU Reactor Volume, mL</t>
  </si>
  <si>
    <t>X, %CrkConv</t>
  </si>
  <si>
    <t>T, K</t>
  </si>
  <si>
    <t>T, degC</t>
  </si>
  <si>
    <t>Rx1 Avg. Temp, degC</t>
  </si>
  <si>
    <t>Rx2 Avg. Temp, degC</t>
  </si>
  <si>
    <t>Rx3 Avg. Temp, degC</t>
  </si>
  <si>
    <t>RHCU LHSV</t>
  </si>
  <si>
    <t>No. of Rx, N</t>
  </si>
  <si>
    <t>Krxn</t>
  </si>
  <si>
    <t>100/(100-%CrkConv)</t>
  </si>
  <si>
    <t>100/(100-%CrkConv)^1/N</t>
  </si>
  <si>
    <t>100/(100-%CrkConv)^1/N-1</t>
  </si>
  <si>
    <t>Avg. Temp, degC</t>
  </si>
  <si>
    <t>Temp, K</t>
  </si>
  <si>
    <t>Ea,  cal.mol-1</t>
  </si>
  <si>
    <t>R, cal.mol-1.K-1</t>
  </si>
  <si>
    <t>Ea/(RT)</t>
  </si>
  <si>
    <t>e^(Ea/RT)</t>
  </si>
  <si>
    <t>CH4, Corrected</t>
  </si>
  <si>
    <t>CH4, ART</t>
  </si>
  <si>
    <t>at 18.00 01/08/25</t>
  </si>
  <si>
    <t>at 04.00 02/08/25</t>
  </si>
  <si>
    <t>%wt LTO</t>
  </si>
  <si>
    <t>%wt HPS</t>
  </si>
  <si>
    <t>C2H6, wt%, ART</t>
  </si>
  <si>
    <t>C4H10, wt%, ART</t>
  </si>
  <si>
    <t>C2H6, Corrected</t>
  </si>
  <si>
    <t>C4H10, wt, Corrected</t>
  </si>
  <si>
    <t>C3H8, wt%, Corrected</t>
  </si>
  <si>
    <t>H2S, wt%, ART</t>
  </si>
  <si>
    <t>C3H8, ART</t>
  </si>
  <si>
    <t>NH3, wt%, ART</t>
  </si>
  <si>
    <t>se</t>
  </si>
  <si>
    <t>H Element In (g/hr)</t>
  </si>
  <si>
    <t>H Element Out (g/hr)</t>
  </si>
  <si>
    <t>H with C_Corrected</t>
  </si>
  <si>
    <t>H2 (g/hr)</t>
  </si>
  <si>
    <t>H2 Volume, (sL/hr)</t>
  </si>
  <si>
    <t>H2 Volume, SCF/hr</t>
  </si>
  <si>
    <t>Oil Volume, BBL/hr</t>
  </si>
  <si>
    <t>SCFB</t>
  </si>
  <si>
    <t>SCFB (Average)</t>
  </si>
  <si>
    <t>High Sedimentation</t>
  </si>
  <si>
    <t>Aging Feed</t>
  </si>
  <si>
    <t>ART</t>
  </si>
  <si>
    <t>NAPO</t>
  </si>
  <si>
    <t>560 plus(1040degF), wt%</t>
  </si>
  <si>
    <t>N/S</t>
  </si>
  <si>
    <t>Ni/V</t>
  </si>
  <si>
    <t>Pazflor(Predicted by ART)</t>
  </si>
  <si>
    <t>566 plus</t>
  </si>
  <si>
    <t>Single VR Property</t>
  </si>
  <si>
    <t>Heavy: Good</t>
  </si>
  <si>
    <t>Medium: Difficult crude</t>
  </si>
  <si>
    <t>Heavy: Moerate Difficult</t>
  </si>
  <si>
    <t>Light: Difficult-Parraffinic</t>
  </si>
  <si>
    <t>Heavy: Difficult Asphaltene</t>
  </si>
  <si>
    <t>H Consumption (g/hr) --&gt; Out -In = Add</t>
  </si>
  <si>
    <t>LTO Split, wt/wt Liquid product : LTO/(LTO+HPS)</t>
  </si>
  <si>
    <t>Catalyst in Rx1 (g)</t>
  </si>
  <si>
    <t>Metal on Rx1(Ni+V), g, 24 hrs</t>
  </si>
  <si>
    <t>Metal(Ni+V) on ACC on Rx1, 24 hrs</t>
  </si>
  <si>
    <t>Metal on Rx2(Ni+V), g, 24 hrs</t>
  </si>
  <si>
    <t>MoC (Ni+V) on Rx2, %wt</t>
  </si>
  <si>
    <t>Catalyst on Rx2 (g)</t>
  </si>
  <si>
    <t>MoC (Ni+V) on Rx1,%, wt Metal/ wt Cat</t>
  </si>
  <si>
    <t>Metal on Rx3(Ni+V), g, 24 hrs</t>
  </si>
  <si>
    <t>Metal(Ni+V) on ACC on Rx3, 24 hrs</t>
  </si>
  <si>
    <t>Catalyst on Rx3 (g)</t>
  </si>
  <si>
    <t>MoC (Ni+V) on Rx3, %wt</t>
  </si>
  <si>
    <t>Sedimentation =f( Crude Nature, Conversion level, MoC, Light end)</t>
  </si>
  <si>
    <t>BSH_Assay (550+)</t>
  </si>
  <si>
    <t>CLK_Assay</t>
  </si>
  <si>
    <t>Wax, %wt</t>
  </si>
  <si>
    <t>SEPIA_Assay</t>
  </si>
  <si>
    <t>575+</t>
  </si>
  <si>
    <t>550+</t>
  </si>
  <si>
    <t>Pazflor_Assay</t>
  </si>
  <si>
    <t>PHET_Assay</t>
  </si>
  <si>
    <t>NAPO_Assay</t>
  </si>
  <si>
    <t>Comssioning</t>
  </si>
  <si>
    <t>x=</t>
  </si>
  <si>
    <t>HS_D3 ART</t>
  </si>
  <si>
    <t>Thaioil Laboratory Worksheet</t>
  </si>
  <si>
    <t>Update by:</t>
  </si>
  <si>
    <t>SCSE</t>
  </si>
  <si>
    <t>Update Date:</t>
  </si>
  <si>
    <t>Crude</t>
  </si>
  <si>
    <t>LPG</t>
  </si>
  <si>
    <t>HN</t>
  </si>
  <si>
    <t>HN/KERO</t>
  </si>
  <si>
    <t>KERO</t>
  </si>
  <si>
    <t>KERO/GO</t>
  </si>
  <si>
    <t>GO</t>
  </si>
  <si>
    <t>LR</t>
  </si>
  <si>
    <t>L-Waxy</t>
  </si>
  <si>
    <t>H-Waxy</t>
  </si>
  <si>
    <t>SR</t>
  </si>
  <si>
    <r>
      <t xml:space="preserve">LABIX (150 - 250 </t>
    </r>
    <r>
      <rPr>
        <b/>
        <vertAlign val="superscript"/>
        <sz val="12"/>
        <rFont val="Aptos Narrow"/>
        <family val="2"/>
        <scheme val="minor"/>
      </rPr>
      <t>o</t>
    </r>
    <r>
      <rPr>
        <b/>
        <sz val="12"/>
        <rFont val="Aptos Narrow"/>
        <family val="2"/>
        <scheme val="minor"/>
      </rPr>
      <t>C)</t>
    </r>
  </si>
  <si>
    <t>CP range request</t>
  </si>
  <si>
    <t>15-85</t>
  </si>
  <si>
    <t>85-150</t>
  </si>
  <si>
    <t>150-180</t>
  </si>
  <si>
    <t>180-220</t>
  </si>
  <si>
    <t>220-250</t>
  </si>
  <si>
    <t>250-300</t>
  </si>
  <si>
    <t>300-360</t>
  </si>
  <si>
    <t>360-FBP</t>
  </si>
  <si>
    <t>360-525</t>
  </si>
  <si>
    <t>525-575</t>
  </si>
  <si>
    <t>150-250</t>
  </si>
  <si>
    <t>UOP-411 (%wt.)</t>
  </si>
  <si>
    <t>Boiling Point</t>
  </si>
  <si>
    <t>%Yield by SIMDIST</t>
  </si>
  <si>
    <t>ASTM D-7169</t>
  </si>
  <si>
    <t>x</t>
  </si>
  <si>
    <t>n-Heptane (C7) and lighter</t>
  </si>
  <si>
    <t>%Yield by Autodest</t>
  </si>
  <si>
    <t>ASTM D-2892</t>
  </si>
  <si>
    <t>n-Octane (C8)</t>
  </si>
  <si>
    <t>ASTM D-4052</t>
  </si>
  <si>
    <t>kg/l</t>
  </si>
  <si>
    <t>n-Nonane (C9)</t>
  </si>
  <si>
    <t>ASTM D-1298</t>
  </si>
  <si>
    <t>n-Decane (C10)</t>
  </si>
  <si>
    <r>
      <t xml:space="preserve">Relative Density@25/25 </t>
    </r>
    <r>
      <rPr>
        <vertAlign val="superscript"/>
        <sz val="12"/>
        <color theme="1"/>
        <rFont val="Aptos Narrow"/>
        <family val="2"/>
        <scheme val="minor"/>
      </rPr>
      <t>o</t>
    </r>
    <r>
      <rPr>
        <sz val="12"/>
        <color theme="1"/>
        <rFont val="Aptos Narrow"/>
        <family val="2"/>
        <scheme val="minor"/>
      </rPr>
      <t>C</t>
    </r>
  </si>
  <si>
    <t>ASTM D-70</t>
  </si>
  <si>
    <t>n-Undecane (C11)</t>
  </si>
  <si>
    <t>RVP</t>
  </si>
  <si>
    <t>ASTM D-323</t>
  </si>
  <si>
    <t>psi</t>
  </si>
  <si>
    <t>n-Dodecane (C12)</t>
  </si>
  <si>
    <r>
      <t xml:space="preserve">Viscosity @ -20 </t>
    </r>
    <r>
      <rPr>
        <vertAlign val="superscript"/>
        <sz val="12"/>
        <color rgb="FF000000"/>
        <rFont val="Aptos Narrow"/>
        <family val="2"/>
        <scheme val="minor"/>
      </rPr>
      <t>o</t>
    </r>
    <r>
      <rPr>
        <sz val="12"/>
        <color rgb="FF000000"/>
        <rFont val="Aptos Narrow"/>
        <family val="2"/>
        <scheme val="minor"/>
      </rPr>
      <t>C</t>
    </r>
  </si>
  <si>
    <t>ASTM D-445</t>
  </si>
  <si>
    <t>n-Tridecame (C13)</t>
  </si>
  <si>
    <r>
      <t xml:space="preserve">Viscosity @ 40 </t>
    </r>
    <r>
      <rPr>
        <vertAlign val="superscript"/>
        <sz val="12"/>
        <color rgb="FF000000"/>
        <rFont val="Aptos Narrow"/>
        <family val="2"/>
        <scheme val="minor"/>
      </rPr>
      <t>o</t>
    </r>
    <r>
      <rPr>
        <sz val="12"/>
        <color rgb="FF000000"/>
        <rFont val="Aptos Narrow"/>
        <family val="2"/>
        <scheme val="minor"/>
      </rPr>
      <t>C</t>
    </r>
  </si>
  <si>
    <t>n-Tetradecane (C14)</t>
  </si>
  <si>
    <r>
      <t xml:space="preserve">Viscosity @ 50 </t>
    </r>
    <r>
      <rPr>
        <vertAlign val="superscript"/>
        <sz val="12"/>
        <color rgb="FF000000"/>
        <rFont val="Aptos Narrow"/>
        <family val="2"/>
        <scheme val="minor"/>
      </rPr>
      <t>o</t>
    </r>
    <r>
      <rPr>
        <sz val="12"/>
        <color rgb="FF000000"/>
        <rFont val="Aptos Narrow"/>
        <family val="2"/>
        <scheme val="minor"/>
      </rPr>
      <t>C</t>
    </r>
  </si>
  <si>
    <t>n-Pentadecane(C15)</t>
  </si>
  <si>
    <r>
      <t xml:space="preserve">Viscosity @ 100 </t>
    </r>
    <r>
      <rPr>
        <vertAlign val="superscript"/>
        <sz val="12"/>
        <color rgb="FF000000"/>
        <rFont val="Aptos Narrow"/>
        <family val="2"/>
        <scheme val="minor"/>
      </rPr>
      <t>o</t>
    </r>
    <r>
      <rPr>
        <sz val="12"/>
        <color rgb="FF000000"/>
        <rFont val="Aptos Narrow"/>
        <family val="2"/>
        <scheme val="minor"/>
      </rPr>
      <t>C</t>
    </r>
  </si>
  <si>
    <t>n-Hexadecane+ (C16+)</t>
  </si>
  <si>
    <r>
      <t xml:space="preserve">Viscosity @ 130 </t>
    </r>
    <r>
      <rPr>
        <vertAlign val="superscript"/>
        <sz val="12"/>
        <color rgb="FF000000"/>
        <rFont val="Aptos Narrow"/>
        <family val="2"/>
        <scheme val="minor"/>
      </rPr>
      <t>o</t>
    </r>
    <r>
      <rPr>
        <sz val="12"/>
        <color rgb="FF000000"/>
        <rFont val="Aptos Narrow"/>
        <family val="2"/>
        <scheme val="minor"/>
      </rPr>
      <t>C</t>
    </r>
  </si>
  <si>
    <t>TNP</t>
  </si>
  <si>
    <t>ASTM D-4294</t>
  </si>
  <si>
    <t>TNN</t>
  </si>
  <si>
    <t>ASTM D-2622</t>
  </si>
  <si>
    <t>ppmw</t>
  </si>
  <si>
    <t>Mercaptan</t>
  </si>
  <si>
    <t>ASTM D-3227</t>
  </si>
  <si>
    <t>Naphtha Component (%wt)</t>
  </si>
  <si>
    <t>Freezing point</t>
  </si>
  <si>
    <t>ASTM D-2386</t>
  </si>
  <si>
    <t>°C</t>
  </si>
  <si>
    <t>15-180</t>
  </si>
  <si>
    <t>~49.3</t>
  </si>
  <si>
    <t>Flash point</t>
  </si>
  <si>
    <t>IP-170</t>
  </si>
  <si>
    <t>C5 Naphthenes</t>
  </si>
  <si>
    <t>~27.8</t>
  </si>
  <si>
    <t>ASTM D-93</t>
  </si>
  <si>
    <t>C5 i-Paraffins</t>
  </si>
  <si>
    <t>~36.1</t>
  </si>
  <si>
    <t>Acidity</t>
  </si>
  <si>
    <t>ASTM D-3242</t>
  </si>
  <si>
    <t>mgKOH/g</t>
  </si>
  <si>
    <t>C5 n-Paraffins</t>
  </si>
  <si>
    <t>~80.1</t>
  </si>
  <si>
    <t>ASTM D-664</t>
  </si>
  <si>
    <t>C6 Aromatics</t>
  </si>
  <si>
    <t>~80.7</t>
  </si>
  <si>
    <t>ASTM D-4629</t>
  </si>
  <si>
    <t>C6 Naphthenes</t>
  </si>
  <si>
    <t>~60.3</t>
  </si>
  <si>
    <t>Basic Nitrogen</t>
  </si>
  <si>
    <t>SMS-1468</t>
  </si>
  <si>
    <t>C6 i-Paraffins</t>
  </si>
  <si>
    <t>~68.7</t>
  </si>
  <si>
    <t>Pour point</t>
  </si>
  <si>
    <t>ASTM D-97</t>
  </si>
  <si>
    <t>C6 n-Paraffins</t>
  </si>
  <si>
    <t>~110.6</t>
  </si>
  <si>
    <t>Nickle</t>
  </si>
  <si>
    <t>IP501</t>
  </si>
  <si>
    <t>C7 Aromatics</t>
  </si>
  <si>
    <t>Vanadium</t>
  </si>
  <si>
    <t>C7 Naphthenes</t>
  </si>
  <si>
    <t>Sodium</t>
  </si>
  <si>
    <t>C7 i-Paraffins</t>
  </si>
  <si>
    <t>UOP-389</t>
  </si>
  <si>
    <t>C7 n-Paraffins</t>
  </si>
  <si>
    <t>~101</t>
  </si>
  <si>
    <t>C8 Aromatics</t>
  </si>
  <si>
    <t>~90</t>
  </si>
  <si>
    <t>C8 Naphthenes</t>
  </si>
  <si>
    <t>~98.4</t>
  </si>
  <si>
    <t>Si</t>
  </si>
  <si>
    <t>Iso-Parrafin</t>
  </si>
  <si>
    <t>ASTM D-6839 (GC)</t>
  </si>
  <si>
    <t>C8 i-Paraffins</t>
  </si>
  <si>
    <t>~138 (average, depends on isomer)</t>
  </si>
  <si>
    <t xml:space="preserve">N-Parrafin </t>
  </si>
  <si>
    <t>C8 n-Paraffins</t>
  </si>
  <si>
    <t>~150.8</t>
  </si>
  <si>
    <t>Naphthene</t>
  </si>
  <si>
    <t>C9 Aromatics</t>
  </si>
  <si>
    <t>~99.2</t>
  </si>
  <si>
    <t>Aromatic</t>
  </si>
  <si>
    <t>C9 i-Paraffins</t>
  </si>
  <si>
    <t>~125.7</t>
  </si>
  <si>
    <t>Olefin</t>
  </si>
  <si>
    <t>C9 n-Paraffins</t>
  </si>
  <si>
    <t>~176 (depends on isomer)</t>
  </si>
  <si>
    <t>mono-aromatics</t>
  </si>
  <si>
    <t>ASTM D-6379 (HPLC)</t>
  </si>
  <si>
    <t>C10+ Aromatics</t>
  </si>
  <si>
    <t>di-aromatics</t>
  </si>
  <si>
    <t>C10+ Naphthenes</t>
  </si>
  <si>
    <t>~200+</t>
  </si>
  <si>
    <t>tri-aromatic</t>
  </si>
  <si>
    <t>Total aromatics</t>
  </si>
  <si>
    <t>C10+ i-Paraffins</t>
  </si>
  <si>
    <t>~180–250+ (varies widely)</t>
  </si>
  <si>
    <t>Organic Chloride</t>
  </si>
  <si>
    <t>ASTM D-7536</t>
  </si>
  <si>
    <t>C10+ n-Paraffins</t>
  </si>
  <si>
    <t>Inorganic Chloride</t>
  </si>
  <si>
    <t>~174–370+ (depends on chain length)</t>
  </si>
  <si>
    <t>Wax Content</t>
  </si>
  <si>
    <t>SMS-1769</t>
  </si>
  <si>
    <t>C5 Asphaltene</t>
  </si>
  <si>
    <t>C7 Asphaltene</t>
  </si>
  <si>
    <t xml:space="preserve">IP-143 </t>
  </si>
  <si>
    <t>Case by case</t>
  </si>
  <si>
    <t>ASTM D-4530</t>
  </si>
  <si>
    <t>Cetane Index</t>
  </si>
  <si>
    <t>ASTM D-976</t>
  </si>
  <si>
    <t>Arsenic</t>
  </si>
  <si>
    <t>IFP-9312</t>
  </si>
  <si>
    <t>ppb</t>
  </si>
  <si>
    <t>Mercury Concentration</t>
  </si>
  <si>
    <t>UOP 938-00</t>
  </si>
  <si>
    <t>Distillation 50%</t>
  </si>
  <si>
    <t>ASTM D-86</t>
  </si>
  <si>
    <t xml:space="preserve">Deg.C	</t>
  </si>
  <si>
    <t>Distillation recovery</t>
  </si>
  <si>
    <t>ASTM D-1160</t>
  </si>
  <si>
    <t>Using TLB FF</t>
  </si>
  <si>
    <t>Bromine number</t>
  </si>
  <si>
    <t>ASTM D1159</t>
  </si>
  <si>
    <t>g/100g</t>
  </si>
  <si>
    <t>In</t>
  </si>
  <si>
    <t>Sbn</t>
  </si>
  <si>
    <t xml:space="preserve">Additional Request testing properties </t>
  </si>
  <si>
    <t>Original testing properties</t>
  </si>
  <si>
    <t>No testing</t>
  </si>
  <si>
    <t>ASTM D6839</t>
  </si>
  <si>
    <t>LCF FEED</t>
  </si>
  <si>
    <t>NAPHTHA</t>
  </si>
  <si>
    <t>IBP-160</t>
  </si>
  <si>
    <t>VGO</t>
  </si>
  <si>
    <t>Total Sedimentation</t>
  </si>
  <si>
    <t>KERO PLUS</t>
  </si>
  <si>
    <t>160-FBP</t>
  </si>
  <si>
    <t>VTB</t>
  </si>
  <si>
    <r>
      <t xml:space="preserve">Viscosity @ 150 </t>
    </r>
    <r>
      <rPr>
        <vertAlign val="superscript"/>
        <sz val="12"/>
        <color rgb="FF000000"/>
        <rFont val="Aptos Narrow"/>
        <family val="2"/>
        <scheme val="minor"/>
      </rPr>
      <t>o</t>
    </r>
    <r>
      <rPr>
        <sz val="12"/>
        <color rgb="FF000000"/>
        <rFont val="Aptos Narrow"/>
        <family val="2"/>
        <scheme val="minor"/>
      </rPr>
      <t>C</t>
    </r>
  </si>
  <si>
    <t>D2887</t>
  </si>
  <si>
    <t>D7169</t>
  </si>
  <si>
    <t>API Gravity</t>
  </si>
  <si>
    <t>LS</t>
  </si>
  <si>
    <t>HS</t>
  </si>
  <si>
    <t>SCFB, ART (Average)</t>
  </si>
  <si>
    <t>API @ 15.6 degC</t>
  </si>
  <si>
    <t>Density @ 15.6 degC</t>
  </si>
  <si>
    <t>FeConv, g/h</t>
  </si>
  <si>
    <t>Assay</t>
  </si>
  <si>
    <t>UOPK</t>
  </si>
  <si>
    <t>Wax</t>
  </si>
  <si>
    <t>Cut</t>
  </si>
  <si>
    <t>0.95*95</t>
  </si>
  <si>
    <t>(Ni+V) Accu on Catalyst, 24h, g</t>
  </si>
  <si>
    <t>Total MoC, %, Acc</t>
  </si>
  <si>
    <t>(Ni+V) on Catalyst Acc</t>
  </si>
  <si>
    <t>Calcium</t>
  </si>
  <si>
    <t>Iron</t>
  </si>
  <si>
    <t>LCF VGO LS</t>
  </si>
  <si>
    <t>LCF VTB LS</t>
  </si>
  <si>
    <t>LCF VGO HS</t>
  </si>
  <si>
    <t>LCF VTB HS</t>
  </si>
  <si>
    <t>A</t>
  </si>
  <si>
    <t>Na</t>
  </si>
  <si>
    <t>Ca</t>
  </si>
  <si>
    <t>Fe</t>
  </si>
  <si>
    <t>As</t>
  </si>
  <si>
    <t>Highest Sedm</t>
  </si>
  <si>
    <t>As/Aro</t>
  </si>
  <si>
    <t>As/Aro_ART</t>
  </si>
  <si>
    <t>LCF VGO ABQ_3358</t>
  </si>
  <si>
    <t>LCF VTB ABQ_3358</t>
  </si>
  <si>
    <t>Nitrogen  in VTB_ART</t>
  </si>
  <si>
    <t>Nitrogen  in HVGO_ART</t>
  </si>
  <si>
    <t>Nitrogen in HVGO_TOP</t>
  </si>
  <si>
    <t>Nitrogen in VTB_TOP</t>
  </si>
  <si>
    <t>Asphaltene_VTB_TOP_IP469</t>
  </si>
  <si>
    <t>Asphaltene_VTB_ART_HPLC</t>
  </si>
  <si>
    <t>Aromatic HVGO_ART</t>
  </si>
  <si>
    <t>C4-</t>
  </si>
  <si>
    <t>Crk</t>
  </si>
  <si>
    <t>D</t>
  </si>
  <si>
    <t>Aging</t>
  </si>
  <si>
    <t>Repro</t>
  </si>
  <si>
    <t>=(X+48.48)*0.018</t>
  </si>
  <si>
    <t>=(X*0.5)*0.2314</t>
  </si>
  <si>
    <t>=X*0.087</t>
  </si>
  <si>
    <t>=(4.681*10^-2)*(MCRT+3)</t>
  </si>
  <si>
    <t>=0.759*C5^(2/3)</t>
  </si>
  <si>
    <t>=0.174*Sed^((1/2)</t>
  </si>
  <si>
    <t>=1.9182*((S*10000)^0.6446)/10000</t>
  </si>
  <si>
    <t>=0.3856*((S*10000)^0.8)/10000</t>
  </si>
  <si>
    <t>R1</t>
  </si>
  <si>
    <t>R2</t>
  </si>
  <si>
    <t>VR R1</t>
  </si>
  <si>
    <t>VR R2</t>
  </si>
  <si>
    <t>MEBU D14 (R1D1)</t>
  </si>
  <si>
    <t>MEBU D1 (ABQ D1)</t>
  </si>
  <si>
    <t>MEBU D2 (ABQ D2)</t>
  </si>
  <si>
    <t>MEBU D3 (ABQ D3)</t>
  </si>
  <si>
    <t>MEBU D4 (ABQ D4)</t>
  </si>
  <si>
    <t>MEBU D5 (LS D1)</t>
  </si>
  <si>
    <t>MEBU D6 (LS D2)</t>
  </si>
  <si>
    <t>MEBU D7 (LS D3)</t>
  </si>
  <si>
    <t>MEBU D8 (LS D4)</t>
  </si>
  <si>
    <t>MEBU D9 (LS D5)</t>
  </si>
  <si>
    <t>MEBU D10 (LS D6)</t>
  </si>
  <si>
    <t>MEBU D11 (LS D7)</t>
  </si>
  <si>
    <t>MEBU D12 (LS D8)</t>
  </si>
  <si>
    <t>MEBU D13 (LS D9)</t>
  </si>
  <si>
    <t>MEBU D15 (R1 D2)</t>
  </si>
  <si>
    <t>MEBU D16 (R1 D3)</t>
  </si>
  <si>
    <t>MEBU D17 (R1 D4)</t>
  </si>
  <si>
    <t>MEBU D18 (R1D5)</t>
  </si>
  <si>
    <t>MEBU D19 (R1 D6)</t>
  </si>
  <si>
    <t>MEBU D20 (R2D1)</t>
  </si>
  <si>
    <t>MEBU D21 (R2 D2)</t>
  </si>
  <si>
    <t>MEBU D22 (R2 D3)</t>
  </si>
  <si>
    <t>MEBU D23 (R2 D4)</t>
  </si>
  <si>
    <t>MEBU D24 (R2 D5)</t>
  </si>
  <si>
    <t>MEBU D25 (R2 D6)</t>
  </si>
  <si>
    <t>16_1</t>
  </si>
  <si>
    <t>16_2</t>
  </si>
  <si>
    <t>VR ABQ3358_ART</t>
  </si>
  <si>
    <t>VR High Sedim</t>
  </si>
  <si>
    <t>560- = 6.305%</t>
  </si>
  <si>
    <t>ART Reference (Ni+V), % Conv, LHSV Corrected</t>
  </si>
  <si>
    <t>ART Reference(MCRT), % Conv, LHSV corrected</t>
  </si>
  <si>
    <t>%S Conv (LHSV Corrected)</t>
  </si>
  <si>
    <t>(Ni+V), % Conv, LHSV Corrected</t>
  </si>
  <si>
    <t>MCR Conv (LHSV Corrected)</t>
  </si>
  <si>
    <t>D6</t>
  </si>
  <si>
    <t>D1</t>
  </si>
  <si>
    <t>D2</t>
  </si>
  <si>
    <t>D3</t>
  </si>
  <si>
    <t>D4</t>
  </si>
  <si>
    <t>D5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</si>
  <si>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</si>
  <si>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</si>
  <si>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</si>
  <si>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</si>
  <si>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</si>
  <si>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</si>
  <si>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</si>
  <si>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</si>
  <si>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</si>
  <si>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</si>
  <si>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</si>
  <si>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</si>
  <si>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</si>
  <si>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</si>
  <si>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</si>
  <si>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</si>
  <si>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</si>
  <si>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</si>
  <si>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</si>
  <si>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</si>
  <si>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</si>
  <si>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</si>
  <si>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1732/12</t>
  </si>
  <si>
    <t>Den</t>
  </si>
  <si>
    <t>MEBU25001 LS</t>
  </si>
  <si>
    <t>MEBU25002 LS</t>
  </si>
  <si>
    <t>ABQ3358 Commissioning</t>
  </si>
  <si>
    <t>Conv</t>
  </si>
  <si>
    <t>45% max</t>
  </si>
  <si>
    <t>20% max</t>
  </si>
  <si>
    <t>K0</t>
  </si>
  <si>
    <t>e^(ea/RT)</t>
  </si>
  <si>
    <t>T(K)</t>
  </si>
  <si>
    <t>T (C)</t>
  </si>
  <si>
    <t>161.64</t>
  </si>
  <si>
    <t>CrkConv, ART, Acceptance</t>
  </si>
  <si>
    <t>S Conv, ART, Acceptance</t>
  </si>
  <si>
    <t>MCR, ART, Acceptance</t>
  </si>
  <si>
    <t>(Ni+V), % Conv, ART, Acceptance</t>
  </si>
  <si>
    <t>CrkConv ART Reference, , Low&amp;High, LHSV corrected</t>
  </si>
  <si>
    <t>CrkConv, TOP, Acceptance, Nov-Dec2024</t>
  </si>
  <si>
    <t>(Ni+V), % Conv, TOP, Acceptance, Nov-Dec24</t>
  </si>
  <si>
    <t>MCRT, % Conv, TOP, Acceptance, Nov-Dec24</t>
  </si>
  <si>
    <t>Sedimentation, ART, Acceptance</t>
  </si>
  <si>
    <t>Sedimentation, TOP, Acceptance, Nov-Dec24</t>
  </si>
  <si>
    <t>S Conv, TOP, Acceptance, Nov-Dec24</t>
  </si>
  <si>
    <t>Ni, ppm, ART, Acceptance</t>
  </si>
  <si>
    <t>Ni, ppm, ART, Low and High</t>
  </si>
  <si>
    <t>Ni, ppm, TOP, Acceptance'Dec24</t>
  </si>
  <si>
    <t>V, ppm, TOP, Acceptance'Dec24</t>
  </si>
  <si>
    <t>V, ppm, ART, Acceptance</t>
  </si>
  <si>
    <t>N, wt% (ASTM D5762), ART, Low and High</t>
  </si>
  <si>
    <t>N, ppm, TOP, Acceptance'Dec24</t>
  </si>
  <si>
    <t>S, wt% (ASTM D4294), ART,   Low and High</t>
  </si>
  <si>
    <t>560 plus, ART, acceptance</t>
  </si>
  <si>
    <t>560 plus, TOP acceptance'Dec24</t>
  </si>
  <si>
    <t>C5 Asphaltene, wt%, ART, Low and High</t>
  </si>
  <si>
    <t>C7 Asphaltene, wt%, ART, Low and High</t>
  </si>
  <si>
    <t>MCRT, wt%, ART, Low and High</t>
  </si>
  <si>
    <t>C5, wt%, TOP, Acceptance'Dec24</t>
  </si>
  <si>
    <t>C5, wt%, ART Acceptance</t>
  </si>
  <si>
    <t>MCRT, wt%, TOP, Acceptance'Dec24</t>
  </si>
  <si>
    <t>N, ppm, ART, Acceptance</t>
  </si>
  <si>
    <t>ART Reference, Low and High</t>
  </si>
  <si>
    <t>ART Reference (N), Low and High</t>
  </si>
  <si>
    <t>NConv, TOP, Acceptance, Nov-Dec24</t>
  </si>
  <si>
    <t>C7 AsConv,wt%, ART, Low and High</t>
  </si>
  <si>
    <t>C7, % Conv, TOP, Acceptance, Nov-Dec24</t>
  </si>
  <si>
    <t>C7, % Conv, ART, Acceptance</t>
  </si>
  <si>
    <t>MCRT, wt%, ART, Acceptance</t>
  </si>
  <si>
    <t>C7 Asphaltene, wt%, Acceptance'Dec24</t>
  </si>
  <si>
    <t>C7 Asphaltene, wt%, ART, Acceptance</t>
  </si>
  <si>
    <t>S, wt%, TOP, Acceptance'Dec24</t>
  </si>
  <si>
    <t>S, wt%, ART Acceptance</t>
  </si>
  <si>
    <t>NiConv, wt%, ART, Low &amp; High</t>
  </si>
  <si>
    <t>NiConv, wt%, TOP, Acceptance'24</t>
  </si>
  <si>
    <t>VConv, wt%, ART, Low &amp; High</t>
  </si>
  <si>
    <t>VConv, wt%, TOP, Acceptance'24</t>
  </si>
  <si>
    <t>NConv, ART, Acceptance</t>
  </si>
  <si>
    <t>MEBU001</t>
  </si>
  <si>
    <t>MEBU002</t>
  </si>
  <si>
    <t>MEBU2026'01</t>
  </si>
  <si>
    <t>Repeat Acceptance test</t>
  </si>
  <si>
    <t>ABQ3358 (No3+No5)</t>
  </si>
  <si>
    <t>ABQ3358 (No.3&amp;5)</t>
  </si>
  <si>
    <t>560 plus, TOP acceptance'Dec26</t>
  </si>
  <si>
    <t>V, ppm, ART, Low and High</t>
  </si>
  <si>
    <t>VR Rate</t>
  </si>
  <si>
    <t>HPS Rate</t>
  </si>
  <si>
    <t>LTO Rate</t>
  </si>
  <si>
    <t>HighGas Rate</t>
  </si>
  <si>
    <t>LowGas Rate</t>
  </si>
  <si>
    <t>3</t>
  </si>
  <si>
    <t>-3</t>
  </si>
  <si>
    <t>ART Reference (S), %, LHSV Corrected, Low&amp;High</t>
  </si>
  <si>
    <t>MEBU LHSV, hr-1, ART, Acceptance</t>
  </si>
  <si>
    <t>Crking</t>
  </si>
  <si>
    <t>Lab Date---&gt;</t>
  </si>
  <si>
    <r>
      <t>H</t>
    </r>
    <r>
      <rPr>
        <b/>
        <vertAlign val="subscript"/>
        <sz val="11"/>
        <color theme="1"/>
        <rFont val="Aptos Narrow"/>
        <family val="2"/>
        <scheme val="minor"/>
      </rPr>
      <t>N</t>
    </r>
    <r>
      <rPr>
        <b/>
        <sz val="11"/>
        <color theme="1"/>
        <rFont val="Aptos Narrow"/>
        <family val="2"/>
        <scheme val="minor"/>
      </rPr>
      <t>/C</t>
    </r>
    <r>
      <rPr>
        <b/>
        <vertAlign val="subscript"/>
        <sz val="11"/>
        <color theme="1"/>
        <rFont val="Aptos Narrow"/>
        <family val="2"/>
        <scheme val="minor"/>
      </rPr>
      <t>N</t>
    </r>
  </si>
  <si>
    <t>Lab Date (Sample Day)--&gt;</t>
  </si>
  <si>
    <t>560plus, MEBU25002</t>
  </si>
  <si>
    <t>NITROGEN, PPM</t>
  </si>
  <si>
    <t>SULFUR, WT%</t>
  </si>
  <si>
    <t>MCRT, WT%</t>
  </si>
  <si>
    <t>C7 ASPHALTENE, WT%</t>
  </si>
  <si>
    <t>CA, PPM</t>
  </si>
  <si>
    <t>FE PPM</t>
  </si>
  <si>
    <t>NA, PPM</t>
  </si>
  <si>
    <t>NI, PPM</t>
  </si>
  <si>
    <t>V, PPM</t>
  </si>
  <si>
    <t>NI+V, PPM</t>
  </si>
  <si>
    <t>CARBON, WT%</t>
  </si>
  <si>
    <t>HYDROGEN, WT%</t>
  </si>
  <si>
    <t>H/C RATIO, wt/wt</t>
  </si>
  <si>
    <r>
      <t>VIS @ 150</t>
    </r>
    <r>
      <rPr>
        <vertAlign val="superscript"/>
        <sz val="11"/>
        <color rgb="FF000000"/>
        <rFont val="Aptos"/>
        <family val="2"/>
      </rPr>
      <t>o</t>
    </r>
    <r>
      <rPr>
        <sz val="11"/>
        <color rgb="FF000000"/>
        <rFont val="Aptos"/>
        <family val="2"/>
      </rPr>
      <t>C</t>
    </r>
  </si>
  <si>
    <t>560°C+, WT%</t>
  </si>
  <si>
    <t>TOP'Feb'26</t>
  </si>
  <si>
    <t>&gt;732</t>
  </si>
  <si>
    <t>degC, TOP'Feb26</t>
  </si>
  <si>
    <t>degC, ART</t>
  </si>
  <si>
    <t>ART,Aging D1</t>
  </si>
  <si>
    <t>C7</t>
  </si>
  <si>
    <t>MEBU25002</t>
  </si>
  <si>
    <t>Crk Conv</t>
  </si>
  <si>
    <t>S Conv</t>
  </si>
  <si>
    <t>N Conv</t>
  </si>
  <si>
    <t>Ni+v</t>
  </si>
  <si>
    <t>Ni+V Conv</t>
  </si>
  <si>
    <t>MCR</t>
  </si>
  <si>
    <t>MCR Conv</t>
  </si>
  <si>
    <t>C7 Conv</t>
  </si>
  <si>
    <t>MEBU25001</t>
  </si>
  <si>
    <t>At 20:00 24 FEB</t>
  </si>
  <si>
    <t>At 08:00 24 FEB</t>
  </si>
  <si>
    <t>Avg 8AM&amp;8PM 24FEB</t>
  </si>
  <si>
    <t>d1 c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</si>
  <si>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</si>
  <si>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</si>
  <si>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</si>
  <si>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</si>
  <si>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</si>
  <si>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</si>
  <si>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</si>
  <si>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</si>
  <si>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</si>
  <si>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</si>
  <si>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D1.5</t>
  </si>
  <si>
    <t>At 08AM 04 MAR</t>
  </si>
  <si>
    <t>400/405/407</t>
  </si>
  <si>
    <t>1am</t>
  </si>
  <si>
    <t>8am</t>
  </si>
  <si>
    <t>m</t>
  </si>
  <si>
    <t>c</t>
  </si>
  <si>
    <t>Predict GC</t>
  </si>
  <si>
    <t>Mainlab</t>
  </si>
  <si>
    <t>0.5uL</t>
  </si>
  <si>
    <t>10PM Sample</t>
  </si>
  <si>
    <t>Rx-3 Stuck</t>
  </si>
  <si>
    <t>0.2uL</t>
  </si>
  <si>
    <t>D5 recheck</t>
  </si>
  <si>
    <t>IBP-160 ART Acceptance</t>
  </si>
  <si>
    <t>160-360ART Acceptance</t>
  </si>
  <si>
    <t>360-560 ART Acceptance</t>
  </si>
  <si>
    <t>560 plus ART Acceptance</t>
  </si>
  <si>
    <t>C4 minus, ART Acceptance</t>
  </si>
  <si>
    <t>C5H12, wt%, ART Acceptance</t>
  </si>
  <si>
    <t>C2H6, wt%, ART Acceptance</t>
  </si>
  <si>
    <t>CH4, ART Acceptance</t>
  </si>
  <si>
    <t>C3H8, ART Acceptance</t>
  </si>
  <si>
    <t>C4H10, wt%, ART Acceptance</t>
  </si>
  <si>
    <t>H2S, wt%, ART Acceptance</t>
  </si>
  <si>
    <t>NH3, wt%, ART Acceptance</t>
  </si>
  <si>
    <t>500 minus ART Acceptance (Yield)</t>
  </si>
  <si>
    <t>500-</t>
  </si>
  <si>
    <t>C5H12, wt, Corrected</t>
  </si>
  <si>
    <t>C6H14, wt, Corrected</t>
  </si>
  <si>
    <t>C6H14, wt%, ART Acceptance</t>
  </si>
  <si>
    <t>9-1</t>
  </si>
  <si>
    <t>9-2</t>
  </si>
  <si>
    <t>04/03/2026</t>
  </si>
  <si>
    <t>05/03/2026</t>
  </si>
  <si>
    <t>07/03/2026</t>
  </si>
  <si>
    <t>08/03/2026</t>
  </si>
  <si>
    <t>09/03/2026</t>
  </si>
  <si>
    <t>10/03/2026</t>
  </si>
  <si>
    <t>13/03/2026</t>
  </si>
  <si>
    <t>14/03/2026</t>
  </si>
  <si>
    <t>15/03/2026</t>
  </si>
  <si>
    <t>Pre-Expo</t>
  </si>
  <si>
    <t>React Rate</t>
  </si>
  <si>
    <t>Average Temp</t>
  </si>
  <si>
    <t>D9-2</t>
  </si>
  <si>
    <t>D9-1+2</t>
  </si>
  <si>
    <t>TOP24</t>
  </si>
  <si>
    <t>TOP26</t>
  </si>
  <si>
    <t>500 minus_TOP'26, %</t>
  </si>
  <si>
    <t>500 minus_TOP'24,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</si>
</sst>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0.0"/>
    <numFmt numFmtId="165" formatCode="0.0000"/>
    <numFmt numFmtId="166" formatCode="0.000"/>
    <numFmt numFmtId="167" formatCode="0.00000"/>
    <numFmt numFmtId="168" formatCode="0E+00"/>
    <numFmt numFmtId="169" formatCode="0.0000E+00"/>
    <numFmt numFmtId="170" formatCode="[$-409]dd\-mmm\-yy;@"/>
    <numFmt numFmtId="171" formatCode="_(* #,##0_);_(* \(#,##0\);_(* &quot;-&quot;??_);_(@_)"/>
    <numFmt numFmtId="172" formatCode="[$-409]d\-mmm\-yy;@"/>
  </numFmts>
  <fonts count="8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20"/>
      <color theme="1"/>
      <name val="Century Gothic"/>
      <family val="2"/>
    </font>
    <font>
      <i/>
      <sz val="12"/>
      <color theme="1"/>
      <name val="Century Gothic"/>
      <family val="2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b/>
      <sz val="12"/>
      <color rgb="FF0000FF"/>
      <name val="Century Gothic"/>
      <family val="2"/>
    </font>
    <font>
      <b/>
      <sz val="12"/>
      <color theme="0"/>
      <name val="Century Gothic"/>
      <family val="2"/>
    </font>
    <font>
      <sz val="12"/>
      <name val="Century Gothic"/>
      <family val="2"/>
    </font>
    <font>
      <sz val="12"/>
      <color rgb="FF000000"/>
      <name val="Century Gothic"/>
      <family val="2"/>
    </font>
    <font>
      <vertAlign val="superscript"/>
      <sz val="12"/>
      <name val="Century Gothic"/>
      <family val="2"/>
    </font>
    <font>
      <b/>
      <sz val="12"/>
      <color rgb="FF000000"/>
      <name val="Century Gothic"/>
      <family val="2"/>
    </font>
    <font>
      <b/>
      <sz val="12"/>
      <name val="Century Gothic"/>
      <family val="2"/>
    </font>
    <font>
      <b/>
      <sz val="12"/>
      <color theme="5"/>
      <name val="Century Gothic"/>
      <family val="2"/>
    </font>
    <font>
      <vertAlign val="subscript"/>
      <sz val="12"/>
      <name val="Century Gothic"/>
      <family val="2"/>
    </font>
    <font>
      <b/>
      <sz val="12"/>
      <color rgb="FF0070C0"/>
      <name val="Century Gothic"/>
      <family val="2"/>
    </font>
    <font>
      <b/>
      <vertAlign val="subscript"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22"/>
      <scheme val="minor"/>
    </font>
    <font>
      <b/>
      <sz val="12"/>
      <color theme="4" tint="-0.499984740745262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8"/>
      <color rgb="FF002060"/>
      <name val="Century Gothic"/>
      <family val="2"/>
    </font>
    <font>
      <b/>
      <sz val="12"/>
      <color rgb="FFFF0000"/>
      <name val="Century Gothic"/>
      <family val="2"/>
    </font>
    <font>
      <sz val="12"/>
      <color theme="0"/>
      <name val="Century Gothic"/>
      <family val="2"/>
    </font>
    <font>
      <b/>
      <vertAlign val="subscript"/>
      <sz val="12"/>
      <color theme="4" tint="-0.499984740745262"/>
      <name val="Century Gothic"/>
      <family val="2"/>
    </font>
    <font>
      <b/>
      <sz val="18"/>
      <color rgb="FFFF0000"/>
      <name val="Century Gothic"/>
      <family val="2"/>
    </font>
    <font>
      <b/>
      <sz val="14"/>
      <color rgb="FFFF0000"/>
      <name val="Century Gothic"/>
      <family val="2"/>
    </font>
    <font>
      <sz val="12"/>
      <color rgb="FFFF0000"/>
      <name val="Century Gothic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EE0000"/>
      <name val="Aptos Narrow"/>
      <family val="2"/>
      <scheme val="minor"/>
    </font>
    <font>
      <sz val="11"/>
      <color rgb="FFEE0000"/>
      <name val="Aptos Narrow"/>
      <family val="2"/>
      <scheme val="minor"/>
    </font>
    <font>
      <b/>
      <sz val="11"/>
      <color theme="8" tint="0.39997558519241921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  <font>
      <b/>
      <sz val="12"/>
      <color theme="1" tint="4.9989318521683403E-2"/>
      <name val="Century Gothic"/>
      <family val="2"/>
    </font>
    <font>
      <sz val="12"/>
      <name val="Calibri"/>
      <family val="2"/>
    </font>
    <font>
      <b/>
      <sz val="12"/>
      <color rgb="FF3333FF"/>
      <name val="Century Gothic"/>
      <family val="2"/>
    </font>
    <font>
      <b/>
      <i/>
      <sz val="2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b/>
      <sz val="12"/>
      <name val="Aptos Narrow"/>
      <family val="2"/>
      <scheme val="minor"/>
    </font>
    <font>
      <b/>
      <vertAlign val="superscript"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0" tint="-0.499984740745262"/>
      <name val="Aptos Narrow"/>
      <family val="2"/>
      <scheme val="minor"/>
    </font>
    <font>
      <vertAlign val="superscript"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vertAlign val="superscript"/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1"/>
      <color rgb="FFFF0066"/>
      <name val="Aptos Narrow"/>
      <family val="2"/>
      <scheme val="minor"/>
    </font>
    <font>
      <b/>
      <sz val="11"/>
      <color rgb="FF3333FF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sz val="11"/>
      <color theme="9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theme="5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"/>
      <color rgb="FF2D0DA3"/>
      <name val="Aptos Narrow"/>
      <family val="2"/>
      <scheme val="minor"/>
    </font>
    <font>
      <sz val="11"/>
      <color rgb="FF2D0DA3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1"/>
      <color rgb="FFFF5050"/>
      <name val="Aptos Narrow"/>
      <family val="2"/>
      <scheme val="minor"/>
    </font>
    <font>
      <b/>
      <u/>
      <sz val="11"/>
      <color rgb="FFFF5050"/>
      <name val="Aptos Narrow"/>
      <family val="2"/>
      <scheme val="minor"/>
    </font>
    <font>
      <sz val="14"/>
      <name val="Cordia New"/>
      <family val="2"/>
    </font>
    <font>
      <b/>
      <sz val="10"/>
      <color rgb="FF3333FF"/>
      <name val="Aptos Narrow"/>
      <family val="2"/>
      <scheme val="minor"/>
    </font>
    <font>
      <sz val="11"/>
      <color rgb="FF000000"/>
      <name val="Aptos"/>
      <family val="2"/>
    </font>
    <font>
      <vertAlign val="superscript"/>
      <sz val="11"/>
      <color rgb="FF000000"/>
      <name val="Aptos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12"/>
      <color rgb="FF3333FF"/>
      <name val="Century Gothic"/>
      <family val="2"/>
    </font>
    <font>
      <sz val="12"/>
      <color rgb="FF3333FF"/>
      <name val="Century Gothic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BEDF3"/>
        <bgColor indexed="64"/>
      </patternFill>
    </fill>
    <fill>
      <patternFill patternType="solid">
        <fgColor rgb="FFD3D9E6"/>
        <bgColor indexed="64"/>
      </patternFill>
    </fill>
    <fill>
      <patternFill patternType="solid">
        <fgColor theme="0" tint="-0.14999847407452621"/>
        <bgColor indexed="64"/>
      </patternFill>
    </fill>
  </fills>
  <borders count="2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rgb="FFFF505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505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rgb="FFFF5050"/>
      </top>
      <bottom style="thin">
        <color indexed="64"/>
      </bottom>
      <diagonal/>
    </border>
    <border>
      <left/>
      <right style="thin">
        <color indexed="64"/>
      </right>
      <top style="thick">
        <color rgb="FFFF5050"/>
      </top>
      <bottom style="thin">
        <color indexed="64"/>
      </bottom>
      <diagonal/>
    </border>
    <border>
      <left style="thin">
        <color indexed="64"/>
      </left>
      <right/>
      <top style="thick">
        <color rgb="FFFF505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rgb="FFFF5050"/>
      </top>
      <bottom style="thin">
        <color indexed="64"/>
      </bottom>
      <diagonal/>
    </border>
    <border>
      <left/>
      <right/>
      <top style="thick">
        <color rgb="FFFF505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rgb="FFFF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505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rgb="FFFF5050"/>
      </bottom>
      <diagonal/>
    </border>
    <border>
      <left/>
      <right style="thin">
        <color indexed="64"/>
      </right>
      <top style="thin">
        <color indexed="64"/>
      </top>
      <bottom style="thick">
        <color rgb="FFFF5050"/>
      </bottom>
      <diagonal/>
    </border>
    <border>
      <left style="thin">
        <color indexed="64"/>
      </left>
      <right/>
      <top style="thin">
        <color indexed="64"/>
      </top>
      <bottom style="thick">
        <color rgb="FFFF505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rgb="FFFF5050"/>
      </bottom>
      <diagonal/>
    </border>
    <border>
      <left/>
      <right/>
      <top style="thin">
        <color indexed="64"/>
      </top>
      <bottom style="thick">
        <color rgb="FFFF5050"/>
      </bottom>
      <diagonal/>
    </border>
    <border>
      <left style="medium">
        <color indexed="64"/>
      </left>
      <right style="medium">
        <color indexed="64"/>
      </right>
      <top style="thick">
        <color rgb="FFFF5050"/>
      </top>
      <bottom style="medium">
        <color indexed="64"/>
      </bottom>
      <diagonal/>
    </border>
    <border>
      <left/>
      <right/>
      <top style="thick">
        <color rgb="FFFF5050"/>
      </top>
      <bottom/>
      <diagonal/>
    </border>
    <border>
      <left/>
      <right style="medium">
        <color indexed="64"/>
      </right>
      <top style="thick">
        <color rgb="FFFF505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FF5050"/>
      </bottom>
      <diagonal/>
    </border>
    <border>
      <left/>
      <right/>
      <top/>
      <bottom style="thick">
        <color rgb="FFFF5050"/>
      </bottom>
      <diagonal/>
    </border>
    <border>
      <left/>
      <right style="medium">
        <color indexed="64"/>
      </right>
      <top/>
      <bottom style="thick">
        <color rgb="FFFF5050"/>
      </bottom>
      <diagonal/>
    </border>
    <border>
      <left style="thin">
        <color rgb="FFFF5050"/>
      </left>
      <right style="thin">
        <color rgb="FFFF5050"/>
      </right>
      <top style="thin">
        <color rgb="FFFF5050"/>
      </top>
      <bottom style="thin">
        <color rgb="FFFF5050"/>
      </bottom>
      <diagonal/>
    </border>
    <border>
      <left style="thin">
        <color rgb="FFFF5050"/>
      </left>
      <right style="thin">
        <color rgb="FFFF5050"/>
      </right>
      <top style="thick">
        <color theme="1"/>
      </top>
      <bottom style="thin">
        <color rgb="FFFF5050"/>
      </bottom>
      <diagonal/>
    </border>
    <border>
      <left style="thin">
        <color rgb="FFFF5050"/>
      </left>
      <right style="thin">
        <color rgb="FFFF5050"/>
      </right>
      <top style="thin">
        <color rgb="FFFF5050"/>
      </top>
      <bottom style="thick">
        <color theme="1"/>
      </bottom>
      <diagonal/>
    </border>
    <border>
      <left style="medium">
        <color indexed="64"/>
      </left>
      <right style="thin">
        <color indexed="64"/>
      </right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/>
      <bottom style="thick">
        <color auto="1"/>
      </bottom>
      <diagonal/>
    </border>
    <border>
      <left/>
      <right style="thin">
        <color rgb="FFFF5050"/>
      </right>
      <top style="thick">
        <color theme="1"/>
      </top>
      <bottom style="thin">
        <color rgb="FFFF5050"/>
      </bottom>
      <diagonal/>
    </border>
    <border>
      <left/>
      <right style="thin">
        <color rgb="FFFF5050"/>
      </right>
      <top style="thin">
        <color rgb="FFFF5050"/>
      </top>
      <bottom style="thick">
        <color theme="1"/>
      </bottom>
      <diagonal/>
    </border>
    <border>
      <left/>
      <right style="thin">
        <color rgb="FFFF5050"/>
      </right>
      <top style="thin">
        <color rgb="FFFF5050"/>
      </top>
      <bottom style="thin">
        <color rgb="FFFF505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ck">
        <color auto="1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rgb="FFFF5050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rgb="FFFF5050"/>
      </bottom>
      <diagonal/>
    </border>
    <border>
      <left style="thin">
        <color rgb="FFFF5050"/>
      </left>
      <right style="thick">
        <color indexed="64"/>
      </right>
      <top style="thick">
        <color theme="1"/>
      </top>
      <bottom style="thin">
        <color rgb="FFFF5050"/>
      </bottom>
      <diagonal/>
    </border>
    <border>
      <left style="thin">
        <color rgb="FFFF5050"/>
      </left>
      <right style="thick">
        <color indexed="64"/>
      </right>
      <top style="thin">
        <color rgb="FFFF5050"/>
      </top>
      <bottom style="thick">
        <color theme="1"/>
      </bottom>
      <diagonal/>
    </border>
    <border>
      <left style="thin">
        <color rgb="FFFF5050"/>
      </left>
      <right style="thick">
        <color indexed="64"/>
      </right>
      <top style="thin">
        <color rgb="FFFF5050"/>
      </top>
      <bottom style="thin">
        <color rgb="FFFF5050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rgb="FF3333F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3333FF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rgb="FF3333FF"/>
      </top>
      <bottom style="thin">
        <color indexed="64"/>
      </bottom>
      <diagonal/>
    </border>
    <border>
      <left/>
      <right style="thin">
        <color indexed="64"/>
      </right>
      <top style="thick">
        <color rgb="FF3333FF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rgb="FF3333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3333FF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rgb="FF3333FF"/>
      </bottom>
      <diagonal/>
    </border>
    <border>
      <left/>
      <right style="thin">
        <color indexed="64"/>
      </right>
      <top style="thin">
        <color indexed="64"/>
      </top>
      <bottom style="thick">
        <color rgb="FF3333FF"/>
      </bottom>
      <diagonal/>
    </border>
    <border>
      <left style="thin">
        <color rgb="FFFF5050"/>
      </left>
      <right/>
      <top/>
      <bottom style="medium">
        <color indexed="64"/>
      </bottom>
      <diagonal/>
    </border>
    <border>
      <left style="thin">
        <color rgb="FFFF5050"/>
      </left>
      <right/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ck">
        <color auto="1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medium">
        <color rgb="FFFF5050"/>
      </left>
      <right/>
      <top style="medium">
        <color rgb="FFFF5050"/>
      </top>
      <bottom/>
      <diagonal/>
    </border>
    <border>
      <left/>
      <right/>
      <top style="medium">
        <color rgb="FFFF5050"/>
      </top>
      <bottom/>
      <diagonal/>
    </border>
    <border>
      <left style="thick">
        <color indexed="64"/>
      </left>
      <right/>
      <top style="medium">
        <color rgb="FFFF505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5050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rgb="FFFF5050"/>
      </top>
      <bottom style="thin">
        <color indexed="64"/>
      </bottom>
      <diagonal/>
    </border>
    <border>
      <left/>
      <right style="thin">
        <color indexed="64"/>
      </right>
      <top style="medium">
        <color rgb="FFFF5050"/>
      </top>
      <bottom style="thin">
        <color indexed="64"/>
      </bottom>
      <diagonal/>
    </border>
    <border>
      <left style="thin">
        <color indexed="64"/>
      </left>
      <right style="medium">
        <color rgb="FFFF5050"/>
      </right>
      <top style="medium">
        <color rgb="FFFF5050"/>
      </top>
      <bottom style="thin">
        <color indexed="64"/>
      </bottom>
      <diagonal/>
    </border>
    <border>
      <left style="medium">
        <color rgb="FFFF5050"/>
      </left>
      <right/>
      <top/>
      <bottom/>
      <diagonal/>
    </border>
    <border>
      <left style="thin">
        <color indexed="64"/>
      </left>
      <right style="medium">
        <color rgb="FFFF5050"/>
      </right>
      <top style="thin">
        <color indexed="64"/>
      </top>
      <bottom style="thin">
        <color indexed="64"/>
      </bottom>
      <diagonal/>
    </border>
    <border>
      <left style="medium">
        <color rgb="FFFF5050"/>
      </left>
      <right/>
      <top/>
      <bottom style="medium">
        <color rgb="FFFF5050"/>
      </bottom>
      <diagonal/>
    </border>
    <border>
      <left/>
      <right/>
      <top/>
      <bottom style="medium">
        <color rgb="FFFF5050"/>
      </bottom>
      <diagonal/>
    </border>
    <border>
      <left style="thick">
        <color indexed="64"/>
      </left>
      <right/>
      <top style="thin">
        <color indexed="64"/>
      </top>
      <bottom style="medium">
        <color rgb="FFFF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505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rgb="FFFF5050"/>
      </bottom>
      <diagonal/>
    </border>
    <border>
      <left/>
      <right style="thin">
        <color indexed="64"/>
      </right>
      <top style="thin">
        <color indexed="64"/>
      </top>
      <bottom style="medium">
        <color rgb="FFFF5050"/>
      </bottom>
      <diagonal/>
    </border>
    <border>
      <left style="thin">
        <color indexed="64"/>
      </left>
      <right style="medium">
        <color rgb="FFFF5050"/>
      </right>
      <top style="thin">
        <color indexed="64"/>
      </top>
      <bottom style="medium">
        <color rgb="FFFF5050"/>
      </bottom>
      <diagonal/>
    </border>
    <border>
      <left/>
      <right/>
      <top/>
      <bottom style="thick">
        <color theme="1"/>
      </bottom>
      <diagonal/>
    </border>
    <border>
      <left style="thick">
        <color indexed="64"/>
      </left>
      <right/>
      <top style="thin">
        <color indexed="64"/>
      </top>
      <bottom style="thick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1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theme="1"/>
      </bottom>
      <diagonal/>
    </border>
    <border>
      <left/>
      <right style="thin">
        <color indexed="64"/>
      </right>
      <top style="thin">
        <color indexed="64"/>
      </top>
      <bottom style="thick">
        <color theme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theme="1" tint="4.9989318521683403E-2"/>
      </right>
      <top/>
      <bottom style="thick">
        <color indexed="64"/>
      </bottom>
      <diagonal/>
    </border>
    <border>
      <left/>
      <right style="thick">
        <color theme="1" tint="4.9989318521683403E-2"/>
      </right>
      <top/>
      <bottom/>
      <diagonal/>
    </border>
    <border>
      <left/>
      <right style="thick">
        <color theme="1" tint="4.9989318521683403E-2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theme="1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rgb="FF3333FF"/>
      </top>
      <bottom style="thin">
        <color indexed="64"/>
      </bottom>
      <diagonal/>
    </border>
    <border>
      <left style="thin">
        <color rgb="FF3333FF"/>
      </left>
      <right style="thin">
        <color rgb="FF3333FF"/>
      </right>
      <top style="thin">
        <color rgb="FF3333FF"/>
      </top>
      <bottom style="thin">
        <color rgb="FF3333FF"/>
      </bottom>
      <diagonal/>
    </border>
    <border>
      <left style="thick">
        <color indexed="64"/>
      </left>
      <right style="thin">
        <color indexed="64"/>
      </right>
      <top style="thick">
        <color rgb="FF3333FF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rgb="FF3333FF"/>
      </bottom>
      <diagonal/>
    </border>
    <border>
      <left style="thin">
        <color indexed="64"/>
      </left>
      <right style="thin">
        <color rgb="FF3333FF"/>
      </right>
      <top style="thin">
        <color indexed="64"/>
      </top>
      <bottom style="thick">
        <color rgb="FF3333FF"/>
      </bottom>
      <diagonal/>
    </border>
    <border>
      <left style="thin">
        <color theme="1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17" fillId="0" borderId="0"/>
    <xf numFmtId="0" fontId="18" fillId="0" borderId="0"/>
    <xf numFmtId="0" fontId="17" fillId="0" borderId="0"/>
    <xf numFmtId="43" fontId="17" fillId="0" borderId="0" applyFont="0" applyFill="0" applyBorder="0" applyAlignment="0" applyProtection="0"/>
    <xf numFmtId="0" fontId="75" fillId="0" borderId="0"/>
  </cellStyleXfs>
  <cellXfs count="2818">
    <xf numFmtId="0" fontId="0" fillId="0" borderId="0" xfId="0"/>
    <xf numFmtId="0" fontId="1" fillId="0" borderId="0" xfId="0" applyFont="1"/>
    <xf numFmtId="2" fontId="19" fillId="6" borderId="16" xfId="2" applyNumberFormat="1" applyFont="1" applyFill="1" applyBorder="1" applyAlignment="1">
      <alignment horizontal="center"/>
    </xf>
    <xf numFmtId="164" fontId="5" fillId="7" borderId="16" xfId="2" applyNumberFormat="1" applyFont="1" applyFill="1" applyBorder="1" applyAlignment="1">
      <alignment horizontal="center"/>
    </xf>
    <xf numFmtId="0" fontId="2" fillId="0" borderId="0" xfId="2" applyFont="1" applyAlignment="1">
      <alignment horizontal="center"/>
    </xf>
    <xf numFmtId="0" fontId="2" fillId="0" borderId="0" xfId="2" applyFont="1"/>
    <xf numFmtId="0" fontId="3" fillId="2" borderId="0" xfId="2" applyFont="1" applyFill="1" applyAlignment="1">
      <alignment horizontal="center"/>
    </xf>
    <xf numFmtId="0" fontId="4" fillId="0" borderId="0" xfId="2" applyFont="1"/>
    <xf numFmtId="0" fontId="5" fillId="0" borderId="0" xfId="2" applyFont="1" applyAlignment="1">
      <alignment horizontal="right"/>
    </xf>
    <xf numFmtId="0" fontId="4" fillId="8" borderId="2" xfId="2" applyFont="1" applyFill="1" applyBorder="1" applyAlignment="1">
      <alignment horizontal="left"/>
    </xf>
    <xf numFmtId="0" fontId="5" fillId="8" borderId="2" xfId="2" applyFont="1" applyFill="1" applyBorder="1" applyAlignment="1">
      <alignment horizontal="center"/>
    </xf>
    <xf numFmtId="0" fontId="5" fillId="0" borderId="0" xfId="2" applyFont="1" applyAlignment="1">
      <alignment horizontal="left"/>
    </xf>
    <xf numFmtId="0" fontId="5" fillId="0" borderId="0" xfId="2" applyFont="1" applyAlignment="1">
      <alignment horizontal="center"/>
    </xf>
    <xf numFmtId="0" fontId="4" fillId="2" borderId="0" xfId="2" applyFont="1" applyFill="1" applyAlignment="1">
      <alignment horizontal="center"/>
    </xf>
    <xf numFmtId="14" fontId="5" fillId="8" borderId="3" xfId="2" applyNumberFormat="1" applyFont="1" applyFill="1" applyBorder="1" applyAlignment="1">
      <alignment horizontal="left"/>
    </xf>
    <xf numFmtId="0" fontId="5" fillId="8" borderId="3" xfId="2" applyFont="1" applyFill="1" applyBorder="1" applyAlignment="1">
      <alignment horizontal="center"/>
    </xf>
    <xf numFmtId="0" fontId="5" fillId="8" borderId="3" xfId="2" applyFont="1" applyFill="1" applyBorder="1" applyAlignment="1">
      <alignment horizontal="left"/>
    </xf>
    <xf numFmtId="0" fontId="4" fillId="0" borderId="0" xfId="2" applyFont="1" applyAlignment="1">
      <alignment horizontal="left"/>
    </xf>
    <xf numFmtId="0" fontId="4" fillId="0" borderId="0" xfId="2" applyFont="1" applyAlignment="1">
      <alignment horizontal="center"/>
    </xf>
    <xf numFmtId="0" fontId="7" fillId="4" borderId="4" xfId="2" applyFont="1" applyFill="1" applyBorder="1" applyAlignment="1">
      <alignment horizontal="center" vertical="center"/>
    </xf>
    <xf numFmtId="0" fontId="7" fillId="4" borderId="5" xfId="2" applyFont="1" applyFill="1" applyBorder="1" applyAlignment="1">
      <alignment horizontal="center" vertical="center"/>
    </xf>
    <xf numFmtId="0" fontId="7" fillId="4" borderId="31" xfId="2" applyFont="1" applyFill="1" applyBorder="1" applyAlignment="1">
      <alignment horizontal="center" vertical="center"/>
    </xf>
    <xf numFmtId="0" fontId="7" fillId="4" borderId="29" xfId="2" applyFont="1" applyFill="1" applyBorder="1" applyAlignment="1">
      <alignment horizontal="center" vertical="center"/>
    </xf>
    <xf numFmtId="0" fontId="8" fillId="0" borderId="7" xfId="2" applyFont="1" applyBorder="1" applyAlignment="1">
      <alignment horizontal="left"/>
    </xf>
    <xf numFmtId="0" fontId="5" fillId="0" borderId="8" xfId="2" applyFont="1" applyBorder="1" applyAlignment="1">
      <alignment horizontal="center"/>
    </xf>
    <xf numFmtId="0" fontId="4" fillId="0" borderId="26" xfId="2" applyFont="1" applyBorder="1" applyAlignment="1">
      <alignment horizontal="center"/>
    </xf>
    <xf numFmtId="0" fontId="4" fillId="2" borderId="38" xfId="2" applyFont="1" applyFill="1" applyBorder="1" applyAlignment="1">
      <alignment horizontal="center"/>
    </xf>
    <xf numFmtId="2" fontId="9" fillId="9" borderId="38" xfId="2" applyNumberFormat="1" applyFont="1" applyFill="1" applyBorder="1" applyAlignment="1">
      <alignment horizontal="center"/>
    </xf>
    <xf numFmtId="2" fontId="9" fillId="9" borderId="42" xfId="2" applyNumberFormat="1" applyFont="1" applyFill="1" applyBorder="1" applyAlignment="1">
      <alignment horizontal="center"/>
    </xf>
    <xf numFmtId="2" fontId="9" fillId="9" borderId="9" xfId="2" applyNumberFormat="1" applyFont="1" applyFill="1" applyBorder="1" applyAlignment="1">
      <alignment horizontal="center"/>
    </xf>
    <xf numFmtId="0" fontId="8" fillId="0" borderId="10" xfId="2" applyFont="1" applyBorder="1" applyAlignment="1">
      <alignment horizontal="left"/>
    </xf>
    <xf numFmtId="0" fontId="5" fillId="0" borderId="1" xfId="2" applyFont="1" applyBorder="1" applyAlignment="1">
      <alignment horizontal="center"/>
    </xf>
    <xf numFmtId="0" fontId="4" fillId="0" borderId="28" xfId="2" applyFont="1" applyBorder="1" applyAlignment="1">
      <alignment horizontal="center"/>
    </xf>
    <xf numFmtId="0" fontId="4" fillId="2" borderId="16" xfId="2" applyFont="1" applyFill="1" applyBorder="1" applyAlignment="1">
      <alignment horizontal="center"/>
    </xf>
    <xf numFmtId="2" fontId="9" fillId="2" borderId="38" xfId="2" applyNumberFormat="1" applyFont="1" applyFill="1" applyBorder="1" applyAlignment="1">
      <alignment horizontal="center"/>
    </xf>
    <xf numFmtId="2" fontId="9" fillId="2" borderId="42" xfId="2" applyNumberFormat="1" applyFont="1" applyFill="1" applyBorder="1" applyAlignment="1">
      <alignment horizontal="center"/>
    </xf>
    <xf numFmtId="2" fontId="9" fillId="2" borderId="9" xfId="2" applyNumberFormat="1" applyFont="1" applyFill="1" applyBorder="1" applyAlignment="1">
      <alignment horizontal="center"/>
    </xf>
    <xf numFmtId="0" fontId="8" fillId="0" borderId="10" xfId="2" applyFont="1" applyBorder="1" applyAlignment="1">
      <alignment horizontal="left" vertical="center"/>
    </xf>
    <xf numFmtId="0" fontId="4" fillId="10" borderId="16" xfId="2" applyFont="1" applyFill="1" applyBorder="1" applyAlignment="1">
      <alignment horizontal="center"/>
    </xf>
    <xf numFmtId="0" fontId="4" fillId="0" borderId="16" xfId="2" applyFont="1" applyBorder="1" applyAlignment="1">
      <alignment horizontal="center"/>
    </xf>
    <xf numFmtId="0" fontId="4" fillId="0" borderId="40" xfId="2" applyFont="1" applyBorder="1" applyAlignment="1">
      <alignment horizontal="center"/>
    </xf>
    <xf numFmtId="0" fontId="4" fillId="0" borderId="11" xfId="2" applyFont="1" applyBorder="1" applyAlignment="1">
      <alignment horizontal="center"/>
    </xf>
    <xf numFmtId="0" fontId="4" fillId="10" borderId="40" xfId="2" applyFont="1" applyFill="1" applyBorder="1" applyAlignment="1">
      <alignment horizontal="center"/>
    </xf>
    <xf numFmtId="0" fontId="4" fillId="10" borderId="11" xfId="2" applyFont="1" applyFill="1" applyBorder="1" applyAlignment="1">
      <alignment horizontal="center"/>
    </xf>
    <xf numFmtId="0" fontId="8" fillId="0" borderId="10" xfId="2" applyFont="1" applyBorder="1"/>
    <xf numFmtId="0" fontId="11" fillId="0" borderId="13" xfId="2" applyFont="1" applyBorder="1" applyAlignment="1">
      <alignment horizontal="center" vertical="center"/>
    </xf>
    <xf numFmtId="0" fontId="9" fillId="0" borderId="27" xfId="2" applyFont="1" applyBorder="1" applyAlignment="1">
      <alignment horizontal="center" vertical="center"/>
    </xf>
    <xf numFmtId="0" fontId="9" fillId="10" borderId="16" xfId="2" applyFont="1" applyFill="1" applyBorder="1" applyAlignment="1">
      <alignment horizontal="center"/>
    </xf>
    <xf numFmtId="0" fontId="9" fillId="2" borderId="16" xfId="2" applyFont="1" applyFill="1" applyBorder="1" applyAlignment="1">
      <alignment horizontal="center"/>
    </xf>
    <xf numFmtId="0" fontId="9" fillId="9" borderId="16" xfId="2" applyFont="1" applyFill="1" applyBorder="1" applyAlignment="1">
      <alignment horizontal="center"/>
    </xf>
    <xf numFmtId="0" fontId="6" fillId="9" borderId="16" xfId="2" applyFont="1" applyFill="1" applyBorder="1" applyAlignment="1">
      <alignment horizontal="center"/>
    </xf>
    <xf numFmtId="0" fontId="6" fillId="9" borderId="40" xfId="2" applyFont="1" applyFill="1" applyBorder="1" applyAlignment="1">
      <alignment horizontal="center"/>
    </xf>
    <xf numFmtId="0" fontId="6" fillId="9" borderId="11" xfId="2" applyFont="1" applyFill="1" applyBorder="1" applyAlignment="1">
      <alignment horizontal="center"/>
    </xf>
    <xf numFmtId="0" fontId="9" fillId="9" borderId="40" xfId="2" applyFont="1" applyFill="1" applyBorder="1" applyAlignment="1">
      <alignment horizontal="center"/>
    </xf>
    <xf numFmtId="0" fontId="9" fillId="9" borderId="11" xfId="2" applyFont="1" applyFill="1" applyBorder="1" applyAlignment="1">
      <alignment horizontal="center"/>
    </xf>
    <xf numFmtId="0" fontId="9" fillId="10" borderId="40" xfId="2" applyFont="1" applyFill="1" applyBorder="1" applyAlignment="1">
      <alignment horizontal="center"/>
    </xf>
    <xf numFmtId="0" fontId="9" fillId="10" borderId="11" xfId="2" applyFont="1" applyFill="1" applyBorder="1" applyAlignment="1">
      <alignment horizontal="center"/>
    </xf>
    <xf numFmtId="164" fontId="4" fillId="10" borderId="16" xfId="2" applyNumberFormat="1" applyFont="1" applyFill="1" applyBorder="1" applyAlignment="1">
      <alignment horizontal="center"/>
    </xf>
    <xf numFmtId="0" fontId="11" fillId="0" borderId="1" xfId="2" applyFont="1" applyBorder="1" applyAlignment="1">
      <alignment horizontal="center" vertical="center"/>
    </xf>
    <xf numFmtId="0" fontId="9" fillId="0" borderId="28" xfId="2" applyFont="1" applyBorder="1" applyAlignment="1">
      <alignment horizontal="center"/>
    </xf>
    <xf numFmtId="0" fontId="9" fillId="0" borderId="16" xfId="2" applyFont="1" applyBorder="1" applyAlignment="1">
      <alignment horizontal="center"/>
    </xf>
    <xf numFmtId="166" fontId="9" fillId="0" borderId="16" xfId="2" applyNumberFormat="1" applyFont="1" applyBorder="1" applyAlignment="1">
      <alignment horizontal="center"/>
    </xf>
    <xf numFmtId="2" fontId="9" fillId="0" borderId="40" xfId="2" applyNumberFormat="1" applyFont="1" applyBorder="1" applyAlignment="1">
      <alignment horizontal="center"/>
    </xf>
    <xf numFmtId="2" fontId="9" fillId="0" borderId="11" xfId="2" applyNumberFormat="1" applyFont="1" applyBorder="1" applyAlignment="1">
      <alignment horizontal="center"/>
    </xf>
    <xf numFmtId="0" fontId="11" fillId="0" borderId="1" xfId="2" applyFont="1" applyBorder="1" applyAlignment="1">
      <alignment horizontal="center"/>
    </xf>
    <xf numFmtId="1" fontId="4" fillId="10" borderId="16" xfId="2" applyNumberFormat="1" applyFont="1" applyFill="1" applyBorder="1" applyAlignment="1">
      <alignment horizontal="center"/>
    </xf>
    <xf numFmtId="0" fontId="9" fillId="0" borderId="25" xfId="2" applyFont="1" applyBorder="1" applyAlignment="1">
      <alignment horizontal="center"/>
    </xf>
    <xf numFmtId="1" fontId="4" fillId="0" borderId="16" xfId="2" applyNumberFormat="1" applyFont="1" applyBorder="1" applyAlignment="1">
      <alignment horizontal="center"/>
    </xf>
    <xf numFmtId="1" fontId="8" fillId="0" borderId="16" xfId="2" applyNumberFormat="1" applyFont="1" applyBorder="1" applyAlignment="1">
      <alignment horizontal="center"/>
    </xf>
    <xf numFmtId="1" fontId="9" fillId="0" borderId="16" xfId="2" applyNumberFormat="1" applyFont="1" applyBorder="1" applyAlignment="1">
      <alignment horizontal="center"/>
    </xf>
    <xf numFmtId="1" fontId="9" fillId="0" borderId="40" xfId="2" applyNumberFormat="1" applyFont="1" applyBorder="1" applyAlignment="1">
      <alignment horizontal="center"/>
    </xf>
    <xf numFmtId="1" fontId="9" fillId="0" borderId="11" xfId="2" applyNumberFormat="1" applyFont="1" applyBorder="1" applyAlignment="1">
      <alignment horizontal="center"/>
    </xf>
    <xf numFmtId="0" fontId="24" fillId="0" borderId="0" xfId="2" applyFont="1"/>
    <xf numFmtId="165" fontId="4" fillId="0" borderId="16" xfId="2" applyNumberFormat="1" applyFont="1" applyBorder="1" applyAlignment="1">
      <alignment horizontal="center"/>
    </xf>
    <xf numFmtId="165" fontId="8" fillId="0" borderId="16" xfId="2" applyNumberFormat="1" applyFont="1" applyBorder="1" applyAlignment="1">
      <alignment horizontal="center"/>
    </xf>
    <xf numFmtId="0" fontId="12" fillId="0" borderId="10" xfId="2" applyFont="1" applyBorder="1" applyAlignment="1">
      <alignment horizontal="center"/>
    </xf>
    <xf numFmtId="165" fontId="4" fillId="0" borderId="0" xfId="2" applyNumberFormat="1" applyFont="1"/>
    <xf numFmtId="2" fontId="9" fillId="0" borderId="16" xfId="2" applyNumberFormat="1" applyFont="1" applyBorder="1" applyAlignment="1">
      <alignment horizontal="center"/>
    </xf>
    <xf numFmtId="0" fontId="19" fillId="6" borderId="10" xfId="2" applyFont="1" applyFill="1" applyBorder="1" applyAlignment="1">
      <alignment horizontal="center" vertical="center"/>
    </xf>
    <xf numFmtId="0" fontId="11" fillId="6" borderId="13" xfId="2" applyFont="1" applyFill="1" applyBorder="1" applyAlignment="1">
      <alignment horizontal="center" vertical="center"/>
    </xf>
    <xf numFmtId="0" fontId="9" fillId="6" borderId="27" xfId="2" applyFont="1" applyFill="1" applyBorder="1" applyAlignment="1">
      <alignment horizontal="center" vertical="center"/>
    </xf>
    <xf numFmtId="0" fontId="19" fillId="0" borderId="10" xfId="2" applyFont="1" applyBorder="1" applyAlignment="1">
      <alignment horizontal="center" vertical="center"/>
    </xf>
    <xf numFmtId="165" fontId="19" fillId="0" borderId="16" xfId="2" applyNumberFormat="1" applyFont="1" applyBorder="1" applyAlignment="1">
      <alignment horizontal="center"/>
    </xf>
    <xf numFmtId="0" fontId="6" fillId="0" borderId="10" xfId="2" applyFont="1" applyBorder="1" applyAlignment="1">
      <alignment horizontal="center"/>
    </xf>
    <xf numFmtId="164" fontId="9" fillId="0" borderId="16" xfId="2" applyNumberFormat="1" applyFont="1" applyBorder="1" applyAlignment="1">
      <alignment horizontal="center"/>
    </xf>
    <xf numFmtId="164" fontId="9" fillId="0" borderId="40" xfId="2" applyNumberFormat="1" applyFont="1" applyBorder="1" applyAlignment="1">
      <alignment horizontal="center"/>
    </xf>
    <xf numFmtId="164" fontId="9" fillId="0" borderId="11" xfId="2" applyNumberFormat="1" applyFont="1" applyBorder="1" applyAlignment="1">
      <alignment horizontal="center"/>
    </xf>
    <xf numFmtId="0" fontId="9" fillId="0" borderId="40" xfId="2" applyFont="1" applyBorder="1" applyAlignment="1">
      <alignment horizontal="center"/>
    </xf>
    <xf numFmtId="0" fontId="9" fillId="0" borderId="11" xfId="2" applyFont="1" applyBorder="1" applyAlignment="1">
      <alignment horizontal="center"/>
    </xf>
    <xf numFmtId="0" fontId="11" fillId="5" borderId="8" xfId="2" applyFont="1" applyFill="1" applyBorder="1" applyAlignment="1">
      <alignment horizontal="center" vertical="center"/>
    </xf>
    <xf numFmtId="0" fontId="6" fillId="0" borderId="16" xfId="2" applyFont="1" applyBorder="1" applyAlignment="1">
      <alignment horizontal="center"/>
    </xf>
    <xf numFmtId="164" fontId="6" fillId="0" borderId="16" xfId="2" applyNumberFormat="1" applyFont="1" applyBorder="1" applyAlignment="1">
      <alignment horizontal="center"/>
    </xf>
    <xf numFmtId="0" fontId="5" fillId="11" borderId="34" xfId="2" applyFont="1" applyFill="1" applyBorder="1" applyAlignment="1">
      <alignment horizontal="center" vertical="center"/>
    </xf>
    <xf numFmtId="0" fontId="11" fillId="11" borderId="8" xfId="2" applyFont="1" applyFill="1" applyBorder="1" applyAlignment="1">
      <alignment horizontal="center" vertical="center"/>
    </xf>
    <xf numFmtId="0" fontId="9" fillId="11" borderId="26" xfId="2" applyFont="1" applyFill="1" applyBorder="1" applyAlignment="1">
      <alignment horizontal="center" vertical="center"/>
    </xf>
    <xf numFmtId="0" fontId="6" fillId="11" borderId="16" xfId="2" applyFont="1" applyFill="1" applyBorder="1" applyAlignment="1">
      <alignment horizontal="center"/>
    </xf>
    <xf numFmtId="0" fontId="6" fillId="11" borderId="40" xfId="2" applyFont="1" applyFill="1" applyBorder="1" applyAlignment="1">
      <alignment horizontal="center"/>
    </xf>
    <xf numFmtId="0" fontId="5" fillId="7" borderId="33" xfId="2" applyFont="1" applyFill="1" applyBorder="1" applyAlignment="1">
      <alignment horizontal="center" vertical="center" wrapText="1"/>
    </xf>
    <xf numFmtId="0" fontId="5" fillId="7" borderId="16" xfId="2" applyFont="1" applyFill="1" applyBorder="1" applyAlignment="1">
      <alignment horizontal="center"/>
    </xf>
    <xf numFmtId="164" fontId="5" fillId="7" borderId="40" xfId="2" applyNumberFormat="1" applyFont="1" applyFill="1" applyBorder="1" applyAlignment="1">
      <alignment horizontal="center"/>
    </xf>
    <xf numFmtId="0" fontId="5" fillId="11" borderId="36" xfId="2" applyFont="1" applyFill="1" applyBorder="1" applyAlignment="1">
      <alignment horizontal="center" vertical="center" wrapText="1"/>
    </xf>
    <xf numFmtId="0" fontId="5" fillId="11" borderId="16" xfId="2" applyFont="1" applyFill="1" applyBorder="1" applyAlignment="1">
      <alignment horizontal="center"/>
    </xf>
    <xf numFmtId="0" fontId="9" fillId="0" borderId="28" xfId="2" applyFont="1" applyBorder="1" applyAlignment="1">
      <alignment horizontal="center" vertical="center"/>
    </xf>
    <xf numFmtId="0" fontId="4" fillId="2" borderId="0" xfId="2" applyFont="1" applyFill="1"/>
    <xf numFmtId="0" fontId="7" fillId="2" borderId="0" xfId="2" applyFont="1" applyFill="1" applyAlignment="1">
      <alignment horizontal="center" vertical="center"/>
    </xf>
    <xf numFmtId="0" fontId="8" fillId="2" borderId="0" xfId="2" applyFont="1" applyFill="1" applyAlignment="1">
      <alignment horizontal="left"/>
    </xf>
    <xf numFmtId="0" fontId="5" fillId="2" borderId="0" xfId="2" applyFont="1" applyFill="1" applyAlignment="1">
      <alignment vertical="center"/>
    </xf>
    <xf numFmtId="0" fontId="4" fillId="2" borderId="0" xfId="2" applyFont="1" applyFill="1" applyAlignment="1">
      <alignment vertical="center"/>
    </xf>
    <xf numFmtId="0" fontId="8" fillId="2" borderId="0" xfId="2" applyFont="1" applyFill="1" applyAlignment="1">
      <alignment horizontal="left" vertical="center"/>
    </xf>
    <xf numFmtId="164" fontId="4" fillId="2" borderId="0" xfId="2" applyNumberFormat="1" applyFont="1" applyFill="1" applyAlignment="1">
      <alignment horizontal="center"/>
    </xf>
    <xf numFmtId="0" fontId="7" fillId="4" borderId="32" xfId="2" applyFont="1" applyFill="1" applyBorder="1" applyAlignment="1">
      <alignment horizontal="center" vertical="center"/>
    </xf>
    <xf numFmtId="0" fontId="7" fillId="4" borderId="6" xfId="2" applyFont="1" applyFill="1" applyBorder="1" applyAlignment="1">
      <alignment horizontal="center" vertical="center"/>
    </xf>
    <xf numFmtId="166" fontId="9" fillId="0" borderId="11" xfId="2" applyNumberFormat="1" applyFont="1" applyBorder="1" applyAlignment="1">
      <alignment horizontal="center"/>
    </xf>
    <xf numFmtId="0" fontId="13" fillId="6" borderId="10" xfId="2" applyFont="1" applyFill="1" applyBorder="1" applyAlignment="1">
      <alignment horizontal="center"/>
    </xf>
    <xf numFmtId="0" fontId="9" fillId="6" borderId="16" xfId="2" applyFont="1" applyFill="1" applyBorder="1" applyAlignment="1">
      <alignment horizontal="center"/>
    </xf>
    <xf numFmtId="164" fontId="13" fillId="6" borderId="16" xfId="2" applyNumberFormat="1" applyFont="1" applyFill="1" applyBorder="1" applyAlignment="1">
      <alignment horizontal="center"/>
    </xf>
    <xf numFmtId="0" fontId="8" fillId="0" borderId="17" xfId="2" applyFont="1" applyBorder="1"/>
    <xf numFmtId="0" fontId="11" fillId="0" borderId="18" xfId="2" applyFont="1" applyBorder="1" applyAlignment="1">
      <alignment horizontal="center"/>
    </xf>
    <xf numFmtId="0" fontId="9" fillId="0" borderId="37" xfId="2" applyFont="1" applyBorder="1" applyAlignment="1">
      <alignment horizontal="center"/>
    </xf>
    <xf numFmtId="0" fontId="9" fillId="10" borderId="39" xfId="2" applyFont="1" applyFill="1" applyBorder="1" applyAlignment="1">
      <alignment horizontal="center"/>
    </xf>
    <xf numFmtId="0" fontId="4" fillId="2" borderId="8" xfId="2" applyFont="1" applyFill="1" applyBorder="1" applyAlignment="1">
      <alignment horizontal="center"/>
    </xf>
    <xf numFmtId="0" fontId="4" fillId="0" borderId="1" xfId="2" applyFont="1" applyBorder="1" applyAlignment="1">
      <alignment horizontal="center"/>
    </xf>
    <xf numFmtId="0" fontId="4" fillId="0" borderId="8" xfId="2" applyFont="1" applyBorder="1" applyAlignment="1">
      <alignment horizontal="center"/>
    </xf>
    <xf numFmtId="0" fontId="4" fillId="0" borderId="12" xfId="2" applyFont="1" applyBorder="1" applyAlignment="1">
      <alignment horizontal="center"/>
    </xf>
    <xf numFmtId="0" fontId="8" fillId="0" borderId="17" xfId="2" applyFont="1" applyBorder="1" applyAlignment="1">
      <alignment horizontal="left" vertical="center"/>
    </xf>
    <xf numFmtId="0" fontId="4" fillId="0" borderId="18" xfId="2" applyFont="1" applyBorder="1" applyAlignment="1">
      <alignment horizontal="center"/>
    </xf>
    <xf numFmtId="0" fontId="5" fillId="8" borderId="0" xfId="2" applyFont="1" applyFill="1" applyAlignment="1">
      <alignment horizontal="right"/>
    </xf>
    <xf numFmtId="0" fontId="5" fillId="8" borderId="22" xfId="2" applyFont="1" applyFill="1" applyBorder="1" applyAlignment="1">
      <alignment horizontal="center"/>
    </xf>
    <xf numFmtId="0" fontId="4" fillId="2" borderId="0" xfId="2" applyFont="1" applyFill="1" applyAlignment="1">
      <alignment horizontal="left"/>
    </xf>
    <xf numFmtId="0" fontId="6" fillId="2" borderId="0" xfId="2" applyFont="1" applyFill="1" applyAlignment="1">
      <alignment horizontal="center" wrapText="1"/>
    </xf>
    <xf numFmtId="0" fontId="27" fillId="2" borderId="0" xfId="2" applyFont="1" applyFill="1" applyAlignment="1">
      <alignment horizontal="center" vertical="center"/>
    </xf>
    <xf numFmtId="0" fontId="23" fillId="2" borderId="0" xfId="2" applyFont="1" applyFill="1" applyAlignment="1">
      <alignment horizontal="center"/>
    </xf>
    <xf numFmtId="0" fontId="5" fillId="2" borderId="0" xfId="2" applyFont="1" applyFill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7" fillId="4" borderId="23" xfId="2" applyFont="1" applyFill="1" applyBorder="1" applyAlignment="1">
      <alignment horizontal="center" vertical="center"/>
    </xf>
    <xf numFmtId="0" fontId="7" fillId="4" borderId="24" xfId="2" applyFont="1" applyFill="1" applyBorder="1" applyAlignment="1">
      <alignment horizontal="center" vertical="center"/>
    </xf>
    <xf numFmtId="0" fontId="15" fillId="0" borderId="1" xfId="2" applyFont="1" applyBorder="1" applyAlignment="1">
      <alignment horizontal="center" vertical="center"/>
    </xf>
    <xf numFmtId="0" fontId="23" fillId="0" borderId="1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15" fillId="0" borderId="12" xfId="2" applyFont="1" applyBorder="1" applyAlignment="1">
      <alignment horizontal="center" vertical="center"/>
    </xf>
    <xf numFmtId="0" fontId="28" fillId="0" borderId="12" xfId="2" applyFont="1" applyBorder="1" applyAlignment="1">
      <alignment horizontal="center"/>
    </xf>
    <xf numFmtId="0" fontId="28" fillId="0" borderId="1" xfId="2" applyFont="1" applyBorder="1" applyAlignment="1">
      <alignment horizontal="center"/>
    </xf>
    <xf numFmtId="0" fontId="0" fillId="2" borderId="0" xfId="0" applyFill="1"/>
    <xf numFmtId="0" fontId="7" fillId="11" borderId="0" xfId="2" applyFont="1" applyFill="1" applyAlignment="1">
      <alignment horizontal="center"/>
    </xf>
    <xf numFmtId="0" fontId="7" fillId="12" borderId="0" xfId="2" applyFont="1" applyFill="1" applyAlignment="1">
      <alignment horizontal="center" vertical="center"/>
    </xf>
    <xf numFmtId="166" fontId="9" fillId="0" borderId="40" xfId="2" applyNumberFormat="1" applyFont="1" applyBorder="1" applyAlignment="1">
      <alignment horizontal="center"/>
    </xf>
    <xf numFmtId="0" fontId="31" fillId="2" borderId="0" xfId="0" applyFont="1" applyFill="1"/>
    <xf numFmtId="0" fontId="28" fillId="0" borderId="0" xfId="2" applyFont="1" applyAlignment="1">
      <alignment horizontal="center"/>
    </xf>
    <xf numFmtId="165" fontId="4" fillId="0" borderId="11" xfId="2" applyNumberFormat="1" applyFont="1" applyBorder="1" applyAlignment="1">
      <alignment horizontal="center"/>
    </xf>
    <xf numFmtId="166" fontId="19" fillId="6" borderId="16" xfId="2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15" fontId="1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15" fontId="1" fillId="0" borderId="0" xfId="0" applyNumberFormat="1" applyFont="1" applyAlignment="1">
      <alignment horizontal="left" wrapText="1"/>
    </xf>
    <xf numFmtId="0" fontId="0" fillId="3" borderId="0" xfId="0" applyFill="1" applyAlignment="1">
      <alignment wrapText="1"/>
    </xf>
    <xf numFmtId="0" fontId="35" fillId="2" borderId="0" xfId="0" applyFont="1" applyFill="1"/>
    <xf numFmtId="0" fontId="38" fillId="2" borderId="0" xfId="0" applyFont="1" applyFill="1"/>
    <xf numFmtId="0" fontId="11" fillId="0" borderId="12" xfId="2" applyFont="1" applyBorder="1" applyAlignment="1">
      <alignment horizontal="center" vertical="center"/>
    </xf>
    <xf numFmtId="0" fontId="9" fillId="0" borderId="25" xfId="2" applyFont="1" applyBorder="1" applyAlignment="1">
      <alignment horizontal="center" vertical="center"/>
    </xf>
    <xf numFmtId="165" fontId="4" fillId="2" borderId="16" xfId="2" applyNumberFormat="1" applyFont="1" applyFill="1" applyBorder="1" applyAlignment="1">
      <alignment horizontal="center"/>
    </xf>
    <xf numFmtId="0" fontId="11" fillId="2" borderId="1" xfId="2" applyFont="1" applyFill="1" applyBorder="1" applyAlignment="1">
      <alignment horizontal="center"/>
    </xf>
    <xf numFmtId="2" fontId="0" fillId="0" borderId="0" xfId="0" applyNumberFormat="1"/>
    <xf numFmtId="0" fontId="1" fillId="0" borderId="0" xfId="0" applyFont="1" applyAlignment="1">
      <alignment horizontal="right"/>
    </xf>
    <xf numFmtId="0" fontId="34" fillId="0" borderId="0" xfId="0" applyFont="1"/>
    <xf numFmtId="0" fontId="0" fillId="0" borderId="0" xfId="0" applyAlignment="1">
      <alignment horizontal="right"/>
    </xf>
    <xf numFmtId="0" fontId="1" fillId="0" borderId="0" xfId="0" quotePrefix="1" applyFont="1"/>
    <xf numFmtId="9" fontId="1" fillId="0" borderId="0" xfId="0" applyNumberFormat="1" applyFont="1"/>
    <xf numFmtId="0" fontId="1" fillId="0" borderId="0" xfId="0" applyFont="1" applyAlignment="1">
      <alignment wrapText="1"/>
    </xf>
    <xf numFmtId="9" fontId="1" fillId="0" borderId="0" xfId="0" applyNumberFormat="1" applyFont="1" applyAlignment="1">
      <alignment wrapText="1"/>
    </xf>
    <xf numFmtId="9" fontId="1" fillId="0" borderId="0" xfId="0" quotePrefix="1" applyNumberFormat="1" applyFont="1"/>
    <xf numFmtId="164" fontId="0" fillId="2" borderId="0" xfId="0" applyNumberFormat="1" applyFill="1"/>
    <xf numFmtId="0" fontId="4" fillId="9" borderId="16" xfId="2" applyFont="1" applyFill="1" applyBorder="1" applyAlignment="1">
      <alignment horizontal="center"/>
    </xf>
    <xf numFmtId="0" fontId="0" fillId="0" borderId="0" xfId="0" quotePrefix="1"/>
    <xf numFmtId="1" fontId="0" fillId="0" borderId="0" xfId="0" applyNumberFormat="1"/>
    <xf numFmtId="0" fontId="0" fillId="11" borderId="0" xfId="0" applyFill="1"/>
    <xf numFmtId="0" fontId="31" fillId="15" borderId="0" xfId="0" applyFont="1" applyFill="1"/>
    <xf numFmtId="0" fontId="0" fillId="16" borderId="0" xfId="0" applyFill="1"/>
    <xf numFmtId="1" fontId="36" fillId="0" borderId="0" xfId="0" applyNumberFormat="1" applyFont="1"/>
    <xf numFmtId="0" fontId="1" fillId="2" borderId="0" xfId="0" applyFont="1" applyFill="1"/>
    <xf numFmtId="2" fontId="4" fillId="0" borderId="0" xfId="2" applyNumberFormat="1" applyFont="1" applyAlignment="1">
      <alignment horizontal="center" vertical="center"/>
    </xf>
    <xf numFmtId="2" fontId="5" fillId="0" borderId="0" xfId="2" applyNumberFormat="1" applyFont="1" applyAlignment="1">
      <alignment horizontal="center" vertical="center"/>
    </xf>
    <xf numFmtId="0" fontId="31" fillId="0" borderId="0" xfId="0" applyFont="1"/>
    <xf numFmtId="0" fontId="0" fillId="2" borderId="0" xfId="0" applyFill="1" applyAlignment="1">
      <alignment horizontal="right"/>
    </xf>
    <xf numFmtId="0" fontId="5" fillId="0" borderId="45" xfId="2" applyFont="1" applyBorder="1" applyAlignment="1">
      <alignment horizontal="center"/>
    </xf>
    <xf numFmtId="0" fontId="26" fillId="0" borderId="0" xfId="2" applyFont="1" applyAlignment="1">
      <alignment horizontal="center"/>
    </xf>
    <xf numFmtId="0" fontId="22" fillId="0" borderId="0" xfId="2" applyFont="1" applyAlignment="1">
      <alignment horizontal="center"/>
    </xf>
    <xf numFmtId="0" fontId="26" fillId="0" borderId="27" xfId="2" applyFont="1" applyBorder="1" applyAlignment="1">
      <alignment horizontal="center"/>
    </xf>
    <xf numFmtId="0" fontId="22" fillId="0" borderId="27" xfId="2" applyFont="1" applyBorder="1" applyAlignment="1">
      <alignment horizontal="center"/>
    </xf>
    <xf numFmtId="0" fontId="4" fillId="13" borderId="0" xfId="2" applyFont="1" applyFill="1"/>
    <xf numFmtId="0" fontId="5" fillId="0" borderId="27" xfId="2" applyFont="1" applyBorder="1" applyAlignment="1">
      <alignment horizontal="center" wrapText="1"/>
    </xf>
    <xf numFmtId="0" fontId="5" fillId="0" borderId="0" xfId="2" applyFont="1" applyAlignment="1">
      <alignment horizontal="center" wrapText="1"/>
    </xf>
    <xf numFmtId="2" fontId="9" fillId="9" borderId="26" xfId="2" applyNumberFormat="1" applyFont="1" applyFill="1" applyBorder="1" applyAlignment="1">
      <alignment horizontal="center"/>
    </xf>
    <xf numFmtId="2" fontId="9" fillId="2" borderId="26" xfId="2" applyNumberFormat="1" applyFont="1" applyFill="1" applyBorder="1" applyAlignment="1">
      <alignment horizontal="center"/>
    </xf>
    <xf numFmtId="0" fontId="4" fillId="10" borderId="28" xfId="2" applyFont="1" applyFill="1" applyBorder="1" applyAlignment="1">
      <alignment horizontal="center"/>
    </xf>
    <xf numFmtId="0" fontId="9" fillId="10" borderId="28" xfId="2" applyFont="1" applyFill="1" applyBorder="1" applyAlignment="1">
      <alignment horizontal="center"/>
    </xf>
    <xf numFmtId="166" fontId="9" fillId="0" borderId="28" xfId="2" applyNumberFormat="1" applyFont="1" applyBorder="1" applyAlignment="1">
      <alignment horizontal="center"/>
    </xf>
    <xf numFmtId="1" fontId="9" fillId="0" borderId="28" xfId="2" applyNumberFormat="1" applyFont="1" applyBorder="1" applyAlignment="1">
      <alignment horizontal="center"/>
    </xf>
    <xf numFmtId="2" fontId="9" fillId="0" borderId="28" xfId="2" applyNumberFormat="1" applyFont="1" applyBorder="1" applyAlignment="1">
      <alignment horizontal="center"/>
    </xf>
    <xf numFmtId="165" fontId="19" fillId="0" borderId="46" xfId="2" applyNumberFormat="1" applyFont="1" applyBorder="1" applyAlignment="1">
      <alignment horizontal="center"/>
    </xf>
    <xf numFmtId="0" fontId="9" fillId="10" borderId="46" xfId="2" applyFont="1" applyFill="1" applyBorder="1" applyAlignment="1">
      <alignment horizontal="center"/>
    </xf>
    <xf numFmtId="0" fontId="6" fillId="11" borderId="3" xfId="2" applyFont="1" applyFill="1" applyBorder="1" applyAlignment="1">
      <alignment horizontal="center"/>
    </xf>
    <xf numFmtId="164" fontId="5" fillId="7" borderId="3" xfId="2" applyNumberFormat="1" applyFont="1" applyFill="1" applyBorder="1" applyAlignment="1">
      <alignment horizontal="center"/>
    </xf>
    <xf numFmtId="164" fontId="9" fillId="0" borderId="28" xfId="2" applyNumberFormat="1" applyFont="1" applyBorder="1" applyAlignment="1">
      <alignment horizontal="center"/>
    </xf>
    <xf numFmtId="0" fontId="4" fillId="2" borderId="26" xfId="2" applyFont="1" applyFill="1" applyBorder="1" applyAlignment="1">
      <alignment horizontal="center"/>
    </xf>
    <xf numFmtId="0" fontId="4" fillId="0" borderId="25" xfId="2" applyFont="1" applyBorder="1" applyAlignment="1">
      <alignment horizontal="center"/>
    </xf>
    <xf numFmtId="0" fontId="4" fillId="0" borderId="37" xfId="2" applyFont="1" applyBorder="1" applyAlignment="1">
      <alignment horizontal="center"/>
    </xf>
    <xf numFmtId="0" fontId="4" fillId="9" borderId="16" xfId="2" applyFont="1" applyFill="1" applyBorder="1"/>
    <xf numFmtId="0" fontId="4" fillId="0" borderId="16" xfId="2" applyFont="1" applyBorder="1"/>
    <xf numFmtId="0" fontId="7" fillId="4" borderId="30" xfId="2" applyFont="1" applyFill="1" applyBorder="1" applyAlignment="1">
      <alignment horizontal="center" vertical="center"/>
    </xf>
    <xf numFmtId="0" fontId="5" fillId="0" borderId="27" xfId="2" applyFont="1" applyBorder="1" applyAlignment="1">
      <alignment horizontal="center"/>
    </xf>
    <xf numFmtId="0" fontId="43" fillId="0" borderId="27" xfId="2" applyFont="1" applyBorder="1" applyAlignment="1">
      <alignment horizontal="center" wrapText="1"/>
    </xf>
    <xf numFmtId="0" fontId="43" fillId="0" borderId="0" xfId="2" applyFont="1" applyAlignment="1">
      <alignment horizontal="center" wrapText="1"/>
    </xf>
    <xf numFmtId="1" fontId="4" fillId="6" borderId="0" xfId="2" applyNumberFormat="1" applyFont="1" applyFill="1" applyAlignment="1">
      <alignment horizontal="center"/>
    </xf>
    <xf numFmtId="0" fontId="43" fillId="2" borderId="0" xfId="2" applyFont="1" applyFill="1" applyAlignment="1">
      <alignment horizontal="center"/>
    </xf>
    <xf numFmtId="0" fontId="5" fillId="0" borderId="45" xfId="2" applyFont="1" applyBorder="1" applyAlignment="1">
      <alignment horizontal="center" vertical="center"/>
    </xf>
    <xf numFmtId="0" fontId="5" fillId="2" borderId="45" xfId="2" applyFont="1" applyFill="1" applyBorder="1" applyAlignment="1">
      <alignment horizontal="center" vertical="center"/>
    </xf>
    <xf numFmtId="0" fontId="43" fillId="2" borderId="27" xfId="2" applyFont="1" applyFill="1" applyBorder="1" applyAlignment="1">
      <alignment horizontal="center"/>
    </xf>
    <xf numFmtId="0" fontId="5" fillId="2" borderId="27" xfId="2" applyFont="1" applyFill="1" applyBorder="1" applyAlignment="1">
      <alignment horizontal="center"/>
    </xf>
    <xf numFmtId="0" fontId="43" fillId="2" borderId="27" xfId="2" applyFont="1" applyFill="1" applyBorder="1" applyAlignment="1">
      <alignment horizontal="center" wrapText="1"/>
    </xf>
    <xf numFmtId="0" fontId="4" fillId="0" borderId="27" xfId="2" applyFont="1" applyBorder="1" applyAlignment="1">
      <alignment horizontal="center"/>
    </xf>
    <xf numFmtId="0" fontId="4" fillId="0" borderId="45" xfId="2" applyFont="1" applyBorder="1" applyAlignment="1">
      <alignment horizontal="center"/>
    </xf>
    <xf numFmtId="0" fontId="4" fillId="7" borderId="16" xfId="2" applyFont="1" applyFill="1" applyBorder="1"/>
    <xf numFmtId="0" fontId="1" fillId="0" borderId="22" xfId="0" applyFont="1" applyBorder="1"/>
    <xf numFmtId="0" fontId="0" fillId="0" borderId="22" xfId="0" applyBorder="1"/>
    <xf numFmtId="0" fontId="0" fillId="0" borderId="12" xfId="0" applyBorder="1"/>
    <xf numFmtId="0" fontId="0" fillId="0" borderId="25" xfId="0" applyBorder="1"/>
    <xf numFmtId="0" fontId="1" fillId="0" borderId="2" xfId="0" applyFont="1" applyBorder="1"/>
    <xf numFmtId="0" fontId="0" fillId="0" borderId="2" xfId="0" applyBorder="1"/>
    <xf numFmtId="0" fontId="0" fillId="0" borderId="8" xfId="0" applyBorder="1"/>
    <xf numFmtId="0" fontId="31" fillId="0" borderId="1" xfId="0" applyFont="1" applyBorder="1"/>
    <xf numFmtId="0" fontId="0" fillId="0" borderId="28" xfId="0" applyBorder="1"/>
    <xf numFmtId="0" fontId="0" fillId="0" borderId="1" xfId="0" applyBorder="1"/>
    <xf numFmtId="0" fontId="8" fillId="0" borderId="14" xfId="2" applyFont="1" applyBorder="1" applyAlignment="1">
      <alignment horizontal="left"/>
    </xf>
    <xf numFmtId="0" fontId="8" fillId="0" borderId="49" xfId="2" applyFont="1" applyBorder="1" applyAlignment="1">
      <alignment horizontal="left"/>
    </xf>
    <xf numFmtId="0" fontId="4" fillId="0" borderId="50" xfId="2" applyFont="1" applyBorder="1" applyAlignment="1">
      <alignment horizontal="center"/>
    </xf>
    <xf numFmtId="0" fontId="4" fillId="0" borderId="51" xfId="2" applyFont="1" applyBorder="1" applyAlignment="1">
      <alignment horizontal="center"/>
    </xf>
    <xf numFmtId="0" fontId="4" fillId="0" borderId="48" xfId="2" applyFont="1" applyBorder="1"/>
    <xf numFmtId="0" fontId="0" fillId="0" borderId="1" xfId="0" applyBorder="1" applyAlignment="1">
      <alignment horizontal="right"/>
    </xf>
    <xf numFmtId="0" fontId="35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 vertical="center"/>
    </xf>
    <xf numFmtId="2" fontId="35" fillId="0" borderId="1" xfId="0" applyNumberFormat="1" applyFont="1" applyBorder="1" applyAlignment="1">
      <alignment horizontal="center"/>
    </xf>
    <xf numFmtId="2" fontId="35" fillId="0" borderId="1" xfId="0" applyNumberFormat="1" applyFont="1" applyBorder="1"/>
    <xf numFmtId="2" fontId="35" fillId="0" borderId="1" xfId="0" applyNumberFormat="1" applyFont="1" applyBorder="1" applyAlignment="1">
      <alignment horizontal="center" vertical="center"/>
    </xf>
    <xf numFmtId="165" fontId="35" fillId="0" borderId="1" xfId="0" applyNumberFormat="1" applyFont="1" applyBorder="1" applyAlignment="1">
      <alignment horizontal="center" vertical="center"/>
    </xf>
    <xf numFmtId="2" fontId="34" fillId="0" borderId="1" xfId="0" applyNumberFormat="1" applyFont="1" applyBorder="1" applyAlignment="1">
      <alignment horizontal="center"/>
    </xf>
    <xf numFmtId="0" fontId="30" fillId="0" borderId="1" xfId="0" applyFont="1" applyBorder="1"/>
    <xf numFmtId="165" fontId="30" fillId="0" borderId="1" xfId="0" applyNumberFormat="1" applyFont="1" applyBorder="1" applyAlignment="1">
      <alignment horizontal="center" vertical="center"/>
    </xf>
    <xf numFmtId="165" fontId="31" fillId="0" borderId="1" xfId="0" applyNumberFormat="1" applyFont="1" applyBorder="1" applyAlignment="1">
      <alignment horizontal="center" vertical="center"/>
    </xf>
    <xf numFmtId="2" fontId="30" fillId="0" borderId="1" xfId="0" applyNumberFormat="1" applyFont="1" applyBorder="1" applyAlignment="1">
      <alignment horizontal="center" vertical="center"/>
    </xf>
    <xf numFmtId="167" fontId="30" fillId="0" borderId="1" xfId="0" applyNumberFormat="1" applyFont="1" applyBorder="1" applyAlignment="1">
      <alignment horizontal="center"/>
    </xf>
    <xf numFmtId="166" fontId="30" fillId="0" borderId="1" xfId="0" applyNumberFormat="1" applyFont="1" applyBorder="1" applyAlignment="1">
      <alignment horizontal="center"/>
    </xf>
    <xf numFmtId="2" fontId="30" fillId="0" borderId="1" xfId="0" applyNumberFormat="1" applyFont="1" applyBorder="1" applyAlignment="1">
      <alignment horizontal="center"/>
    </xf>
    <xf numFmtId="2" fontId="31" fillId="0" borderId="1" xfId="0" applyNumberFormat="1" applyFont="1" applyBorder="1"/>
    <xf numFmtId="165" fontId="31" fillId="0" borderId="1" xfId="0" applyNumberFormat="1" applyFont="1" applyBorder="1" applyAlignment="1">
      <alignment horizontal="center"/>
    </xf>
    <xf numFmtId="11" fontId="0" fillId="0" borderId="1" xfId="0" applyNumberFormat="1" applyBorder="1"/>
    <xf numFmtId="2" fontId="0" fillId="0" borderId="1" xfId="0" applyNumberFormat="1" applyBorder="1"/>
    <xf numFmtId="2" fontId="0" fillId="0" borderId="1" xfId="0" applyNumberFormat="1" applyBorder="1" applyAlignment="1">
      <alignment horizontal="right"/>
    </xf>
    <xf numFmtId="166" fontId="1" fillId="0" borderId="1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5" fontId="0" fillId="0" borderId="1" xfId="0" applyNumberFormat="1" applyBorder="1"/>
    <xf numFmtId="0" fontId="4" fillId="10" borderId="16" xfId="2" applyFont="1" applyFill="1" applyBorder="1"/>
    <xf numFmtId="164" fontId="9" fillId="10" borderId="40" xfId="2" applyNumberFormat="1" applyFont="1" applyFill="1" applyBorder="1" applyAlignment="1">
      <alignment horizontal="center"/>
    </xf>
    <xf numFmtId="164" fontId="9" fillId="10" borderId="11" xfId="2" applyNumberFormat="1" applyFont="1" applyFill="1" applyBorder="1" applyAlignment="1">
      <alignment horizontal="center"/>
    </xf>
    <xf numFmtId="164" fontId="9" fillId="10" borderId="28" xfId="2" applyNumberFormat="1" applyFont="1" applyFill="1" applyBorder="1" applyAlignment="1">
      <alignment horizontal="center"/>
    </xf>
    <xf numFmtId="2" fontId="9" fillId="10" borderId="11" xfId="2" applyNumberFormat="1" applyFont="1" applyFill="1" applyBorder="1" applyAlignment="1">
      <alignment horizontal="center"/>
    </xf>
    <xf numFmtId="2" fontId="9" fillId="10" borderId="28" xfId="2" applyNumberFormat="1" applyFont="1" applyFill="1" applyBorder="1" applyAlignment="1">
      <alignment horizontal="center"/>
    </xf>
    <xf numFmtId="166" fontId="9" fillId="10" borderId="19" xfId="2" applyNumberFormat="1" applyFont="1" applyFill="1" applyBorder="1" applyAlignment="1">
      <alignment horizontal="center"/>
    </xf>
    <xf numFmtId="166" fontId="4" fillId="10" borderId="19" xfId="2" applyNumberFormat="1" applyFont="1" applyFill="1" applyBorder="1" applyAlignment="1">
      <alignment horizontal="center"/>
    </xf>
    <xf numFmtId="166" fontId="9" fillId="10" borderId="37" xfId="2" applyNumberFormat="1" applyFont="1" applyFill="1" applyBorder="1" applyAlignment="1">
      <alignment horizontal="center"/>
    </xf>
    <xf numFmtId="166" fontId="9" fillId="10" borderId="39" xfId="2" applyNumberFormat="1" applyFont="1" applyFill="1" applyBorder="1" applyAlignment="1">
      <alignment horizontal="center"/>
    </xf>
    <xf numFmtId="166" fontId="9" fillId="10" borderId="41" xfId="2" applyNumberFormat="1" applyFont="1" applyFill="1" applyBorder="1" applyAlignment="1">
      <alignment horizontal="center"/>
    </xf>
    <xf numFmtId="0" fontId="6" fillId="10" borderId="40" xfId="2" applyFont="1" applyFill="1" applyBorder="1" applyAlignment="1">
      <alignment horizontal="center"/>
    </xf>
    <xf numFmtId="0" fontId="6" fillId="10" borderId="11" xfId="2" applyFont="1" applyFill="1" applyBorder="1" applyAlignment="1">
      <alignment horizontal="center"/>
    </xf>
    <xf numFmtId="0" fontId="6" fillId="10" borderId="28" xfId="2" applyFont="1" applyFill="1" applyBorder="1" applyAlignment="1">
      <alignment horizontal="center"/>
    </xf>
    <xf numFmtId="2" fontId="9" fillId="10" borderId="38" xfId="2" applyNumberFormat="1" applyFont="1" applyFill="1" applyBorder="1" applyAlignment="1">
      <alignment horizontal="center"/>
    </xf>
    <xf numFmtId="2" fontId="9" fillId="10" borderId="42" xfId="2" applyNumberFormat="1" applyFont="1" applyFill="1" applyBorder="1" applyAlignment="1">
      <alignment horizontal="center"/>
    </xf>
    <xf numFmtId="2" fontId="9" fillId="10" borderId="9" xfId="2" applyNumberFormat="1" applyFont="1" applyFill="1" applyBorder="1" applyAlignment="1">
      <alignment horizontal="center"/>
    </xf>
    <xf numFmtId="2" fontId="9" fillId="10" borderId="26" xfId="2" applyNumberFormat="1" applyFont="1" applyFill="1" applyBorder="1" applyAlignment="1">
      <alignment horizontal="center"/>
    </xf>
    <xf numFmtId="0" fontId="1" fillId="0" borderId="29" xfId="0" applyFont="1" applyBorder="1"/>
    <xf numFmtId="2" fontId="0" fillId="0" borderId="28" xfId="0" applyNumberFormat="1" applyBorder="1" applyAlignment="1">
      <alignment horizontal="center" vertical="center"/>
    </xf>
    <xf numFmtId="2" fontId="0" fillId="0" borderId="28" xfId="0" applyNumberFormat="1" applyBorder="1" applyAlignment="1">
      <alignment horizontal="right"/>
    </xf>
    <xf numFmtId="0" fontId="0" fillId="0" borderId="8" xfId="0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/>
    <xf numFmtId="0" fontId="0" fillId="0" borderId="53" xfId="0" applyBorder="1"/>
    <xf numFmtId="0" fontId="35" fillId="0" borderId="8" xfId="0" applyFont="1" applyBorder="1"/>
    <xf numFmtId="164" fontId="35" fillId="0" borderId="8" xfId="0" applyNumberFormat="1" applyFont="1" applyBorder="1" applyAlignment="1">
      <alignment horizontal="center"/>
    </xf>
    <xf numFmtId="164" fontId="35" fillId="0" borderId="1" xfId="0" applyNumberFormat="1" applyFon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1" fillId="0" borderId="53" xfId="0" applyFont="1" applyBorder="1"/>
    <xf numFmtId="0" fontId="1" fillId="0" borderId="54" xfId="0" applyFont="1" applyBorder="1" applyAlignment="1">
      <alignment horizontal="center"/>
    </xf>
    <xf numFmtId="0" fontId="0" fillId="0" borderId="54" xfId="0" applyBorder="1"/>
    <xf numFmtId="0" fontId="1" fillId="0" borderId="54" xfId="0" applyFon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0" borderId="12" xfId="0" applyBorder="1" applyAlignment="1">
      <alignment vertical="center"/>
    </xf>
    <xf numFmtId="2" fontId="0" fillId="0" borderId="12" xfId="0" applyNumberForma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2" fontId="0" fillId="0" borderId="8" xfId="0" applyNumberFormat="1" applyBorder="1"/>
    <xf numFmtId="2" fontId="0" fillId="0" borderId="8" xfId="0" applyNumberFormat="1" applyBorder="1" applyAlignment="1">
      <alignment horizontal="center"/>
    </xf>
    <xf numFmtId="2" fontId="0" fillId="0" borderId="54" xfId="0" applyNumberFormat="1" applyBorder="1" applyAlignment="1">
      <alignment horizontal="center"/>
    </xf>
    <xf numFmtId="2" fontId="0" fillId="0" borderId="54" xfId="0" applyNumberFormat="1" applyBorder="1" applyAlignment="1">
      <alignment horizontal="center" vertical="center"/>
    </xf>
    <xf numFmtId="0" fontId="40" fillId="0" borderId="1" xfId="0" applyFont="1" applyBorder="1"/>
    <xf numFmtId="2" fontId="1" fillId="0" borderId="1" xfId="0" applyNumberFormat="1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165" fontId="35" fillId="0" borderId="1" xfId="0" applyNumberFormat="1" applyFont="1" applyBorder="1" applyAlignment="1">
      <alignment horizontal="center"/>
    </xf>
    <xf numFmtId="165" fontId="30" fillId="0" borderId="1" xfId="0" applyNumberFormat="1" applyFont="1" applyBorder="1" applyAlignment="1">
      <alignment horizontal="center"/>
    </xf>
    <xf numFmtId="0" fontId="42" fillId="0" borderId="1" xfId="0" applyFont="1" applyBorder="1"/>
    <xf numFmtId="0" fontId="0" fillId="3" borderId="1" xfId="0" applyFill="1" applyBorder="1"/>
    <xf numFmtId="0" fontId="35" fillId="3" borderId="1" xfId="0" applyFont="1" applyFill="1" applyBorder="1"/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2" fontId="35" fillId="3" borderId="1" xfId="0" applyNumberFormat="1" applyFont="1" applyFill="1" applyBorder="1"/>
    <xf numFmtId="0" fontId="35" fillId="0" borderId="1" xfId="0" applyFont="1" applyBorder="1" applyAlignment="1">
      <alignment horizontal="right"/>
    </xf>
    <xf numFmtId="2" fontId="35" fillId="3" borderId="1" xfId="0" applyNumberFormat="1" applyFont="1" applyFill="1" applyBorder="1" applyAlignment="1">
      <alignment horizontal="center" vertical="center"/>
    </xf>
    <xf numFmtId="0" fontId="30" fillId="3" borderId="1" xfId="0" applyFont="1" applyFill="1" applyBorder="1"/>
    <xf numFmtId="0" fontId="31" fillId="3" borderId="1" xfId="0" applyFont="1" applyFill="1" applyBorder="1"/>
    <xf numFmtId="0" fontId="31" fillId="0" borderId="1" xfId="0" applyFont="1" applyBorder="1" applyAlignment="1">
      <alignment horizontal="right"/>
    </xf>
    <xf numFmtId="0" fontId="30" fillId="3" borderId="1" xfId="0" applyFont="1" applyFill="1" applyBorder="1" applyAlignment="1">
      <alignment horizontal="center" vertical="center"/>
    </xf>
    <xf numFmtId="2" fontId="31" fillId="3" borderId="1" xfId="0" applyNumberFormat="1" applyFont="1" applyFill="1" applyBorder="1"/>
    <xf numFmtId="2" fontId="0" fillId="3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right" vertical="center"/>
    </xf>
    <xf numFmtId="11" fontId="0" fillId="3" borderId="1" xfId="0" applyNumberFormat="1" applyFill="1" applyBorder="1"/>
    <xf numFmtId="166" fontId="0" fillId="3" borderId="1" xfId="0" applyNumberFormat="1" applyFill="1" applyBorder="1" applyAlignment="1">
      <alignment horizontal="center" vertical="center"/>
    </xf>
    <xf numFmtId="2" fontId="0" fillId="3" borderId="1" xfId="0" applyNumberFormat="1" applyFill="1" applyBorder="1"/>
    <xf numFmtId="166" fontId="1" fillId="3" borderId="1" xfId="0" applyNumberFormat="1" applyFon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/>
    </xf>
    <xf numFmtId="165" fontId="0" fillId="3" borderId="1" xfId="0" applyNumberFormat="1" applyFill="1" applyBorder="1"/>
    <xf numFmtId="0" fontId="0" fillId="3" borderId="12" xfId="0" applyFill="1" applyBorder="1"/>
    <xf numFmtId="0" fontId="0" fillId="0" borderId="12" xfId="0" applyBorder="1" applyAlignment="1">
      <alignment horizontal="right"/>
    </xf>
    <xf numFmtId="0" fontId="1" fillId="0" borderId="50" xfId="0" applyFont="1" applyBorder="1"/>
    <xf numFmtId="0" fontId="0" fillId="0" borderId="50" xfId="0" applyBorder="1"/>
    <xf numFmtId="0" fontId="1" fillId="0" borderId="50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0" fillId="3" borderId="12" xfId="0" applyFill="1" applyBorder="1" applyAlignment="1">
      <alignment horizontal="center" vertical="center"/>
    </xf>
    <xf numFmtId="0" fontId="1" fillId="0" borderId="12" xfId="0" applyFont="1" applyBorder="1" applyAlignment="1">
      <alignment horizontal="right"/>
    </xf>
    <xf numFmtId="0" fontId="0" fillId="3" borderId="50" xfId="0" applyFill="1" applyBorder="1"/>
    <xf numFmtId="0" fontId="1" fillId="0" borderId="50" xfId="0" applyFont="1" applyBorder="1" applyAlignment="1">
      <alignment horizontal="center" vertical="center"/>
    </xf>
    <xf numFmtId="0" fontId="0" fillId="3" borderId="50" xfId="0" applyFill="1" applyBorder="1" applyAlignment="1">
      <alignment horizontal="center" vertical="center"/>
    </xf>
    <xf numFmtId="0" fontId="0" fillId="0" borderId="50" xfId="0" applyBorder="1" applyAlignment="1">
      <alignment horizontal="right"/>
    </xf>
    <xf numFmtId="0" fontId="0" fillId="3" borderId="8" xfId="0" applyFill="1" applyBorder="1"/>
    <xf numFmtId="0" fontId="0" fillId="3" borderId="8" xfId="0" applyFill="1" applyBorder="1" applyAlignment="1">
      <alignment horizontal="center" vertical="center"/>
    </xf>
    <xf numFmtId="0" fontId="0" fillId="0" borderId="8" xfId="0" applyBorder="1" applyAlignment="1">
      <alignment horizontal="right"/>
    </xf>
    <xf numFmtId="0" fontId="0" fillId="3" borderId="54" xfId="0" applyFill="1" applyBorder="1"/>
    <xf numFmtId="0" fontId="0" fillId="3" borderId="54" xfId="0" applyFill="1" applyBorder="1" applyAlignment="1">
      <alignment horizontal="center" vertical="center"/>
    </xf>
    <xf numFmtId="0" fontId="0" fillId="0" borderId="54" xfId="0" applyBorder="1" applyAlignment="1">
      <alignment horizontal="right"/>
    </xf>
    <xf numFmtId="16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1" fillId="0" borderId="57" xfId="0" applyFont="1" applyBorder="1"/>
    <xf numFmtId="0" fontId="0" fillId="0" borderId="58" xfId="0" applyBorder="1"/>
    <xf numFmtId="0" fontId="0" fillId="3" borderId="58" xfId="0" applyFill="1" applyBorder="1"/>
    <xf numFmtId="0" fontId="0" fillId="0" borderId="58" xfId="0" applyBorder="1" applyAlignment="1">
      <alignment horizontal="right"/>
    </xf>
    <xf numFmtId="0" fontId="0" fillId="0" borderId="57" xfId="0" applyBorder="1"/>
    <xf numFmtId="0" fontId="0" fillId="3" borderId="58" xfId="0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2" fontId="0" fillId="0" borderId="50" xfId="0" applyNumberFormat="1" applyBorder="1" applyAlignment="1">
      <alignment horizontal="center" vertical="center"/>
    </xf>
    <xf numFmtId="2" fontId="0" fillId="0" borderId="58" xfId="0" applyNumberFormat="1" applyBorder="1" applyAlignment="1">
      <alignment horizontal="center"/>
    </xf>
    <xf numFmtId="2" fontId="0" fillId="0" borderId="12" xfId="0" applyNumberFormat="1" applyBorder="1"/>
    <xf numFmtId="2" fontId="0" fillId="0" borderId="58" xfId="0" applyNumberFormat="1" applyBorder="1" applyAlignment="1">
      <alignment horizontal="center" vertical="center"/>
    </xf>
    <xf numFmtId="0" fontId="1" fillId="0" borderId="48" xfId="0" applyFont="1" applyBorder="1"/>
    <xf numFmtId="166" fontId="0" fillId="0" borderId="50" xfId="0" applyNumberFormat="1" applyBorder="1" applyAlignment="1">
      <alignment horizontal="center" vertical="center"/>
    </xf>
    <xf numFmtId="0" fontId="0" fillId="0" borderId="48" xfId="0" applyBorder="1"/>
    <xf numFmtId="0" fontId="31" fillId="0" borderId="12" xfId="0" applyFont="1" applyBorder="1"/>
    <xf numFmtId="0" fontId="31" fillId="3" borderId="12" xfId="0" applyFont="1" applyFill="1" applyBorder="1"/>
    <xf numFmtId="0" fontId="31" fillId="0" borderId="12" xfId="0" applyFont="1" applyBorder="1" applyAlignment="1">
      <alignment horizontal="right"/>
    </xf>
    <xf numFmtId="2" fontId="0" fillId="3" borderId="8" xfId="0" applyNumberFormat="1" applyFill="1" applyBorder="1" applyAlignment="1">
      <alignment horizontal="center" vertical="center"/>
    </xf>
    <xf numFmtId="2" fontId="0" fillId="0" borderId="8" xfId="0" applyNumberFormat="1" applyBorder="1" applyAlignment="1">
      <alignment horizontal="right" vertical="center"/>
    </xf>
    <xf numFmtId="0" fontId="34" fillId="0" borderId="53" xfId="0" applyFont="1" applyBorder="1"/>
    <xf numFmtId="2" fontId="35" fillId="0" borderId="54" xfId="0" applyNumberFormat="1" applyFont="1" applyBorder="1"/>
    <xf numFmtId="0" fontId="31" fillId="0" borderId="54" xfId="0" applyFont="1" applyBorder="1"/>
    <xf numFmtId="0" fontId="31" fillId="3" borderId="54" xfId="0" applyFont="1" applyFill="1" applyBorder="1"/>
    <xf numFmtId="0" fontId="31" fillId="0" borderId="54" xfId="0" applyFont="1" applyBorder="1" applyAlignment="1">
      <alignment horizontal="right"/>
    </xf>
    <xf numFmtId="0" fontId="31" fillId="0" borderId="53" xfId="0" applyFont="1" applyBorder="1"/>
    <xf numFmtId="2" fontId="1" fillId="0" borderId="12" xfId="0" applyNumberFormat="1" applyFont="1" applyBorder="1" applyAlignment="1">
      <alignment horizontal="center" vertical="center"/>
    </xf>
    <xf numFmtId="2" fontId="1" fillId="3" borderId="12" xfId="0" applyNumberFormat="1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1" fontId="1" fillId="0" borderId="12" xfId="0" applyNumberFormat="1" applyFont="1" applyBorder="1"/>
    <xf numFmtId="11" fontId="1" fillId="3" borderId="12" xfId="0" applyNumberFormat="1" applyFont="1" applyFill="1" applyBorder="1"/>
    <xf numFmtId="166" fontId="0" fillId="3" borderId="8" xfId="0" applyNumberFormat="1" applyFill="1" applyBorder="1" applyAlignment="1">
      <alignment horizontal="center" vertical="center"/>
    </xf>
    <xf numFmtId="2" fontId="0" fillId="3" borderId="8" xfId="0" applyNumberFormat="1" applyFill="1" applyBorder="1"/>
    <xf numFmtId="2" fontId="0" fillId="0" borderId="8" xfId="0" applyNumberFormat="1" applyBorder="1" applyAlignment="1">
      <alignment horizontal="right"/>
    </xf>
    <xf numFmtId="166" fontId="0" fillId="3" borderId="50" xfId="0" applyNumberFormat="1" applyFill="1" applyBorder="1" applyAlignment="1">
      <alignment horizontal="center" vertical="center"/>
    </xf>
    <xf numFmtId="166" fontId="0" fillId="0" borderId="58" xfId="0" applyNumberFormat="1" applyBorder="1" applyAlignment="1">
      <alignment horizontal="center" vertical="center"/>
    </xf>
    <xf numFmtId="166" fontId="0" fillId="3" borderId="58" xfId="0" applyNumberFormat="1" applyFill="1" applyBorder="1" applyAlignment="1">
      <alignment horizontal="center" vertical="center"/>
    </xf>
    <xf numFmtId="166" fontId="0" fillId="3" borderId="12" xfId="0" applyNumberFormat="1" applyFill="1" applyBorder="1" applyAlignment="1">
      <alignment horizontal="center" vertical="center"/>
    </xf>
    <xf numFmtId="0" fontId="1" fillId="0" borderId="12" xfId="0" applyFont="1" applyBorder="1"/>
    <xf numFmtId="0" fontId="1" fillId="0" borderId="58" xfId="0" applyFont="1" applyBorder="1"/>
    <xf numFmtId="165" fontId="0" fillId="0" borderId="12" xfId="0" applyNumberFormat="1" applyBorder="1" applyAlignment="1">
      <alignment horizontal="center" vertical="center"/>
    </xf>
    <xf numFmtId="165" fontId="0" fillId="0" borderId="50" xfId="0" applyNumberFormat="1" applyBorder="1" applyAlignment="1">
      <alignment horizontal="center" vertical="center"/>
    </xf>
    <xf numFmtId="0" fontId="32" fillId="0" borderId="0" xfId="0" applyFont="1"/>
    <xf numFmtId="165" fontId="0" fillId="0" borderId="8" xfId="0" applyNumberFormat="1" applyBorder="1" applyAlignment="1">
      <alignment horizontal="center" vertical="center"/>
    </xf>
    <xf numFmtId="0" fontId="1" fillId="0" borderId="58" xfId="0" applyFont="1" applyBorder="1" applyAlignment="1">
      <alignment horizontal="right"/>
    </xf>
    <xf numFmtId="165" fontId="0" fillId="0" borderId="58" xfId="0" applyNumberFormat="1" applyBorder="1" applyAlignment="1">
      <alignment horizontal="center" vertical="center"/>
    </xf>
    <xf numFmtId="0" fontId="32" fillId="0" borderId="48" xfId="0" applyFont="1" applyBorder="1"/>
    <xf numFmtId="9" fontId="1" fillId="0" borderId="0" xfId="0" quotePrefix="1" applyNumberFormat="1" applyFont="1" applyAlignment="1">
      <alignment horizontal="right"/>
    </xf>
    <xf numFmtId="9" fontId="1" fillId="0" borderId="57" xfId="0" applyNumberFormat="1" applyFont="1" applyBorder="1" applyAlignment="1">
      <alignment horizontal="right"/>
    </xf>
    <xf numFmtId="9" fontId="1" fillId="0" borderId="48" xfId="0" applyNumberFormat="1" applyFont="1" applyBorder="1"/>
    <xf numFmtId="9" fontId="1" fillId="0" borderId="0" xfId="0" applyNumberFormat="1" applyFont="1" applyAlignment="1">
      <alignment horizontal="right"/>
    </xf>
    <xf numFmtId="9" fontId="33" fillId="0" borderId="0" xfId="0" applyNumberFormat="1" applyFont="1"/>
    <xf numFmtId="0" fontId="34" fillId="17" borderId="0" xfId="0" applyFont="1" applyFill="1"/>
    <xf numFmtId="0" fontId="1" fillId="18" borderId="56" xfId="0" applyFont="1" applyFill="1" applyBorder="1"/>
    <xf numFmtId="2" fontId="0" fillId="0" borderId="60" xfId="0" applyNumberFormat="1" applyBorder="1" applyAlignment="1">
      <alignment horizontal="center" vertical="center"/>
    </xf>
    <xf numFmtId="9" fontId="33" fillId="0" borderId="59" xfId="0" applyNumberFormat="1" applyFont="1" applyBorder="1"/>
    <xf numFmtId="2" fontId="0" fillId="0" borderId="61" xfId="0" applyNumberFormat="1" applyBorder="1" applyAlignment="1">
      <alignment horizontal="center" vertical="center"/>
    </xf>
    <xf numFmtId="2" fontId="0" fillId="0" borderId="62" xfId="0" applyNumberFormat="1" applyBorder="1" applyAlignment="1">
      <alignment horizontal="center" vertical="center"/>
    </xf>
    <xf numFmtId="166" fontId="9" fillId="0" borderId="10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1" fillId="18" borderId="0" xfId="0" applyFont="1" applyFill="1"/>
    <xf numFmtId="14" fontId="5" fillId="0" borderId="45" xfId="2" applyNumberFormat="1" applyFont="1" applyBorder="1" applyAlignment="1">
      <alignment horizontal="center"/>
    </xf>
    <xf numFmtId="14" fontId="7" fillId="4" borderId="20" xfId="2" applyNumberFormat="1" applyFont="1" applyFill="1" applyBorder="1" applyAlignment="1">
      <alignment horizontal="center" vertical="center"/>
    </xf>
    <xf numFmtId="0" fontId="15" fillId="14" borderId="1" xfId="2" applyFont="1" applyFill="1" applyBorder="1" applyAlignment="1">
      <alignment horizontal="center" vertical="center"/>
    </xf>
    <xf numFmtId="0" fontId="23" fillId="14" borderId="1" xfId="2" applyFont="1" applyFill="1" applyBorder="1" applyAlignment="1">
      <alignment horizontal="center" vertical="center"/>
    </xf>
    <xf numFmtId="0" fontId="4" fillId="14" borderId="1" xfId="2" applyFont="1" applyFill="1" applyBorder="1" applyAlignment="1">
      <alignment horizontal="center" vertical="center"/>
    </xf>
    <xf numFmtId="0" fontId="28" fillId="14" borderId="1" xfId="2" applyFont="1" applyFill="1" applyBorder="1" applyAlignment="1">
      <alignment horizontal="center"/>
    </xf>
    <xf numFmtId="0" fontId="4" fillId="14" borderId="1" xfId="2" applyFont="1" applyFill="1" applyBorder="1" applyAlignment="1">
      <alignment horizontal="center"/>
    </xf>
    <xf numFmtId="165" fontId="4" fillId="10" borderId="11" xfId="2" applyNumberFormat="1" applyFont="1" applyFill="1" applyBorder="1" applyAlignment="1">
      <alignment horizontal="center"/>
    </xf>
    <xf numFmtId="0" fontId="7" fillId="19" borderId="0" xfId="2" applyFont="1" applyFill="1" applyAlignment="1">
      <alignment horizontal="center"/>
    </xf>
    <xf numFmtId="0" fontId="15" fillId="10" borderId="1" xfId="2" applyFont="1" applyFill="1" applyBorder="1" applyAlignment="1">
      <alignment horizontal="center" vertical="center"/>
    </xf>
    <xf numFmtId="0" fontId="23" fillId="10" borderId="1" xfId="2" applyFont="1" applyFill="1" applyBorder="1" applyAlignment="1">
      <alignment horizontal="center" vertical="center"/>
    </xf>
    <xf numFmtId="0" fontId="15" fillId="10" borderId="12" xfId="2" applyFont="1" applyFill="1" applyBorder="1" applyAlignment="1">
      <alignment horizontal="center" vertical="center"/>
    </xf>
    <xf numFmtId="0" fontId="28" fillId="10" borderId="12" xfId="2" applyFont="1" applyFill="1" applyBorder="1" applyAlignment="1">
      <alignment horizontal="center"/>
    </xf>
    <xf numFmtId="0" fontId="28" fillId="10" borderId="1" xfId="2" applyFont="1" applyFill="1" applyBorder="1" applyAlignment="1">
      <alignment horizontal="center"/>
    </xf>
    <xf numFmtId="0" fontId="4" fillId="10" borderId="1" xfId="2" applyFont="1" applyFill="1" applyBorder="1" applyAlignment="1">
      <alignment horizontal="center"/>
    </xf>
    <xf numFmtId="164" fontId="5" fillId="11" borderId="16" xfId="2" applyNumberFormat="1" applyFont="1" applyFill="1" applyBorder="1" applyAlignment="1">
      <alignment horizontal="center"/>
    </xf>
    <xf numFmtId="0" fontId="1" fillId="7" borderId="0" xfId="0" applyFont="1" applyFill="1"/>
    <xf numFmtId="2" fontId="0" fillId="7" borderId="1" xfId="0" applyNumberFormat="1" applyFill="1" applyBorder="1" applyAlignment="1">
      <alignment horizontal="center"/>
    </xf>
    <xf numFmtId="2" fontId="0" fillId="7" borderId="1" xfId="0" applyNumberFormat="1" applyFill="1" applyBorder="1" applyAlignment="1">
      <alignment horizontal="center" vertical="center"/>
    </xf>
    <xf numFmtId="2" fontId="4" fillId="0" borderId="50" xfId="2" applyNumberFormat="1" applyFont="1" applyBorder="1" applyAlignment="1">
      <alignment horizontal="center"/>
    </xf>
    <xf numFmtId="0" fontId="1" fillId="21" borderId="56" xfId="0" applyFont="1" applyFill="1" applyBorder="1"/>
    <xf numFmtId="0" fontId="1" fillId="21" borderId="0" xfId="0" applyFont="1" applyFill="1"/>
    <xf numFmtId="0" fontId="1" fillId="21" borderId="1" xfId="0" applyFont="1" applyFill="1" applyBorder="1" applyAlignment="1">
      <alignment horizontal="center"/>
    </xf>
    <xf numFmtId="9" fontId="1" fillId="0" borderId="48" xfId="0" applyNumberFormat="1" applyFont="1" applyBorder="1" applyAlignment="1">
      <alignment horizontal="right" vertical="center"/>
    </xf>
    <xf numFmtId="0" fontId="1" fillId="7" borderId="0" xfId="0" applyFont="1" applyFill="1" applyAlignment="1">
      <alignment wrapText="1"/>
    </xf>
    <xf numFmtId="0" fontId="0" fillId="0" borderId="13" xfId="0" applyBorder="1"/>
    <xf numFmtId="0" fontId="0" fillId="3" borderId="13" xfId="0" applyFill="1" applyBorder="1"/>
    <xf numFmtId="0" fontId="0" fillId="0" borderId="13" xfId="0" applyBorder="1" applyAlignment="1">
      <alignment horizontal="right"/>
    </xf>
    <xf numFmtId="9" fontId="1" fillId="0" borderId="59" xfId="0" applyNumberFormat="1" applyFont="1" applyBorder="1" applyAlignment="1">
      <alignment wrapText="1"/>
    </xf>
    <xf numFmtId="9" fontId="1" fillId="7" borderId="0" xfId="0" applyNumberFormat="1" applyFont="1" applyFill="1" applyAlignment="1">
      <alignment wrapText="1"/>
    </xf>
    <xf numFmtId="0" fontId="1" fillId="7" borderId="57" xfId="0" applyFont="1" applyFill="1" applyBorder="1"/>
    <xf numFmtId="2" fontId="0" fillId="7" borderId="1" xfId="0" applyNumberFormat="1" applyFill="1" applyBorder="1"/>
    <xf numFmtId="166" fontId="36" fillId="7" borderId="1" xfId="0" applyNumberFormat="1" applyFont="1" applyFill="1" applyBorder="1" applyAlignment="1">
      <alignment horizontal="center"/>
    </xf>
    <xf numFmtId="166" fontId="36" fillId="7" borderId="63" xfId="0" applyNumberFormat="1" applyFont="1" applyFill="1" applyBorder="1" applyAlignment="1">
      <alignment horizontal="center"/>
    </xf>
    <xf numFmtId="166" fontId="36" fillId="7" borderId="60" xfId="0" applyNumberFormat="1" applyFont="1" applyFill="1" applyBorder="1" applyAlignment="1">
      <alignment horizontal="center"/>
    </xf>
    <xf numFmtId="2" fontId="0" fillId="7" borderId="12" xfId="0" applyNumberFormat="1" applyFill="1" applyBorder="1" applyAlignment="1">
      <alignment horizontal="center" vertical="center"/>
    </xf>
    <xf numFmtId="164" fontId="34" fillId="0" borderId="1" xfId="0" applyNumberFormat="1" applyFont="1" applyBorder="1" applyAlignment="1">
      <alignment horizontal="center"/>
    </xf>
    <xf numFmtId="168" fontId="0" fillId="0" borderId="1" xfId="0" applyNumberFormat="1" applyBorder="1"/>
    <xf numFmtId="1" fontId="0" fillId="0" borderId="12" xfId="0" applyNumberFormat="1" applyBorder="1" applyAlignment="1">
      <alignment horizontal="center" vertical="center"/>
    </xf>
    <xf numFmtId="166" fontId="0" fillId="0" borderId="1" xfId="0" applyNumberFormat="1" applyBorder="1"/>
    <xf numFmtId="0" fontId="0" fillId="7" borderId="1" xfId="0" applyFill="1" applyBorder="1"/>
    <xf numFmtId="2" fontId="35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right"/>
    </xf>
    <xf numFmtId="0" fontId="0" fillId="7" borderId="1" xfId="0" applyFill="1" applyBorder="1" applyAlignment="1">
      <alignment horizontal="right"/>
    </xf>
    <xf numFmtId="165" fontId="0" fillId="7" borderId="1" xfId="0" applyNumberFormat="1" applyFill="1" applyBorder="1" applyAlignment="1">
      <alignment horizontal="center" vertical="center"/>
    </xf>
    <xf numFmtId="0" fontId="1" fillId="7" borderId="1" xfId="0" applyFont="1" applyFill="1" applyBorder="1"/>
    <xf numFmtId="166" fontId="0" fillId="7" borderId="1" xfId="0" applyNumberFormat="1" applyFill="1" applyBorder="1" applyAlignment="1">
      <alignment horizontal="center" vertical="center"/>
    </xf>
    <xf numFmtId="0" fontId="12" fillId="0" borderId="10" xfId="2" applyFont="1" applyBorder="1"/>
    <xf numFmtId="0" fontId="0" fillId="21" borderId="0" xfId="0" applyFill="1"/>
    <xf numFmtId="0" fontId="0" fillId="0" borderId="67" xfId="0" applyBorder="1"/>
    <xf numFmtId="2" fontId="0" fillId="0" borderId="3" xfId="0" applyNumberFormat="1" applyBorder="1" applyAlignment="1">
      <alignment horizontal="center" vertical="center"/>
    </xf>
    <xf numFmtId="164" fontId="0" fillId="7" borderId="1" xfId="0" applyNumberFormat="1" applyFill="1" applyBorder="1"/>
    <xf numFmtId="164" fontId="1" fillId="0" borderId="1" xfId="0" applyNumberFormat="1" applyFont="1" applyBorder="1" applyAlignment="1">
      <alignment horizontal="center"/>
    </xf>
    <xf numFmtId="164" fontId="0" fillId="7" borderId="1" xfId="0" applyNumberFormat="1" applyFill="1" applyBorder="1" applyAlignment="1">
      <alignment horizontal="center" vertical="center"/>
    </xf>
    <xf numFmtId="164" fontId="0" fillId="0" borderId="8" xfId="0" applyNumberFormat="1" applyBorder="1" applyAlignment="1">
      <alignment horizontal="center"/>
    </xf>
    <xf numFmtId="0" fontId="35" fillId="21" borderId="12" xfId="0" applyFont="1" applyFill="1" applyBorder="1" applyAlignment="1">
      <alignment horizontal="center" vertical="center"/>
    </xf>
    <xf numFmtId="0" fontId="35" fillId="22" borderId="12" xfId="0" applyFont="1" applyFill="1" applyBorder="1" applyAlignment="1">
      <alignment horizontal="center" vertical="center"/>
    </xf>
    <xf numFmtId="0" fontId="35" fillId="8" borderId="12" xfId="0" applyFont="1" applyFill="1" applyBorder="1" applyAlignment="1">
      <alignment horizontal="center" vertical="center"/>
    </xf>
    <xf numFmtId="0" fontId="1" fillId="0" borderId="28" xfId="0" applyFont="1" applyBorder="1"/>
    <xf numFmtId="2" fontId="4" fillId="2" borderId="8" xfId="2" applyNumberFormat="1" applyFont="1" applyFill="1" applyBorder="1" applyAlignment="1">
      <alignment horizontal="center"/>
    </xf>
    <xf numFmtId="2" fontId="4" fillId="0" borderId="1" xfId="2" applyNumberFormat="1" applyFont="1" applyBorder="1" applyAlignment="1">
      <alignment horizontal="center"/>
    </xf>
    <xf numFmtId="2" fontId="4" fillId="0" borderId="8" xfId="2" applyNumberFormat="1" applyFont="1" applyBorder="1" applyAlignment="1">
      <alignment horizontal="center"/>
    </xf>
    <xf numFmtId="2" fontId="4" fillId="0" borderId="12" xfId="2" applyNumberFormat="1" applyFont="1" applyBorder="1" applyAlignment="1">
      <alignment horizontal="center"/>
    </xf>
    <xf numFmtId="2" fontId="4" fillId="0" borderId="18" xfId="2" applyNumberFormat="1" applyFont="1" applyBorder="1" applyAlignment="1">
      <alignment horizontal="center"/>
    </xf>
    <xf numFmtId="2" fontId="0" fillId="7" borderId="66" xfId="0" applyNumberFormat="1" applyFill="1" applyBorder="1" applyAlignment="1">
      <alignment horizontal="center" vertical="center"/>
    </xf>
    <xf numFmtId="2" fontId="0" fillId="7" borderId="60" xfId="0" applyNumberFormat="1" applyFill="1" applyBorder="1" applyAlignment="1">
      <alignment horizontal="center" vertical="center"/>
    </xf>
    <xf numFmtId="2" fontId="31" fillId="7" borderId="1" xfId="0" applyNumberFormat="1" applyFont="1" applyFill="1" applyBorder="1" applyAlignment="1">
      <alignment horizontal="center" vertical="center"/>
    </xf>
    <xf numFmtId="2" fontId="1" fillId="0" borderId="66" xfId="0" applyNumberFormat="1" applyFont="1" applyBorder="1" applyAlignment="1">
      <alignment horizontal="center"/>
    </xf>
    <xf numFmtId="2" fontId="1" fillId="0" borderId="60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9" fontId="29" fillId="0" borderId="0" xfId="2" applyNumberFormat="1" applyFont="1" applyAlignment="1">
      <alignment horizontal="right" vertical="top"/>
    </xf>
    <xf numFmtId="0" fontId="29" fillId="0" borderId="0" xfId="2" applyFont="1" applyAlignment="1">
      <alignment horizontal="right" vertical="top"/>
    </xf>
    <xf numFmtId="1" fontId="35" fillId="0" borderId="1" xfId="0" applyNumberFormat="1" applyFont="1" applyBorder="1" applyAlignment="1">
      <alignment horizontal="center"/>
    </xf>
    <xf numFmtId="2" fontId="0" fillId="0" borderId="66" xfId="0" applyNumberFormat="1" applyBorder="1" applyAlignment="1">
      <alignment horizontal="center" vertical="center"/>
    </xf>
    <xf numFmtId="0" fontId="45" fillId="0" borderId="10" xfId="0" applyFont="1" applyBorder="1" applyAlignment="1">
      <alignment horizontal="center"/>
    </xf>
    <xf numFmtId="0" fontId="45" fillId="2" borderId="0" xfId="2" applyFont="1" applyFill="1" applyAlignment="1">
      <alignment horizontal="center"/>
    </xf>
    <xf numFmtId="164" fontId="9" fillId="0" borderId="39" xfId="2" applyNumberFormat="1" applyFont="1" applyBorder="1" applyAlignment="1">
      <alignment horizontal="center"/>
    </xf>
    <xf numFmtId="164" fontId="9" fillId="0" borderId="41" xfId="2" applyNumberFormat="1" applyFont="1" applyBorder="1" applyAlignment="1">
      <alignment horizontal="center"/>
    </xf>
    <xf numFmtId="164" fontId="9" fillId="0" borderId="19" xfId="2" applyNumberFormat="1" applyFont="1" applyBorder="1" applyAlignment="1">
      <alignment horizontal="center"/>
    </xf>
    <xf numFmtId="0" fontId="8" fillId="0" borderId="14" xfId="2" applyFont="1" applyBorder="1"/>
    <xf numFmtId="2" fontId="9" fillId="0" borderId="47" xfId="2" applyNumberFormat="1" applyFont="1" applyBorder="1" applyAlignment="1">
      <alignment horizontal="center"/>
    </xf>
    <xf numFmtId="0" fontId="9" fillId="10" borderId="47" xfId="2" applyFont="1" applyFill="1" applyBorder="1" applyAlignment="1">
      <alignment horizontal="center"/>
    </xf>
    <xf numFmtId="0" fontId="9" fillId="10" borderId="70" xfId="2" applyFont="1" applyFill="1" applyBorder="1" applyAlignment="1">
      <alignment horizontal="center"/>
    </xf>
    <xf numFmtId="0" fontId="9" fillId="10" borderId="43" xfId="2" applyFont="1" applyFill="1" applyBorder="1" applyAlignment="1">
      <alignment horizontal="center"/>
    </xf>
    <xf numFmtId="0" fontId="9" fillId="0" borderId="43" xfId="2" applyFont="1" applyBorder="1" applyAlignment="1">
      <alignment horizontal="center"/>
    </xf>
    <xf numFmtId="0" fontId="8" fillId="0" borderId="71" xfId="2" applyFont="1" applyBorder="1"/>
    <xf numFmtId="0" fontId="11" fillId="0" borderId="72" xfId="2" applyFont="1" applyBorder="1" applyAlignment="1">
      <alignment horizontal="center" vertical="center"/>
    </xf>
    <xf numFmtId="0" fontId="9" fillId="0" borderId="73" xfId="2" applyFont="1" applyBorder="1" applyAlignment="1">
      <alignment horizontal="center" vertical="center"/>
    </xf>
    <xf numFmtId="0" fontId="9" fillId="2" borderId="74" xfId="2" applyFont="1" applyFill="1" applyBorder="1" applyAlignment="1">
      <alignment horizontal="center"/>
    </xf>
    <xf numFmtId="164" fontId="9" fillId="0" borderId="74" xfId="2" applyNumberFormat="1" applyFont="1" applyBorder="1" applyAlignment="1">
      <alignment horizontal="center"/>
    </xf>
    <xf numFmtId="0" fontId="9" fillId="0" borderId="75" xfId="2" applyFont="1" applyBorder="1" applyAlignment="1">
      <alignment horizontal="center"/>
    </xf>
    <xf numFmtId="0" fontId="9" fillId="0" borderId="76" xfId="2" applyFont="1" applyBorder="1" applyAlignment="1">
      <alignment horizontal="center"/>
    </xf>
    <xf numFmtId="164" fontId="9" fillId="0" borderId="76" xfId="2" applyNumberFormat="1" applyFont="1" applyBorder="1" applyAlignment="1">
      <alignment horizontal="center"/>
    </xf>
    <xf numFmtId="0" fontId="9" fillId="0" borderId="73" xfId="2" applyFont="1" applyBorder="1" applyAlignment="1">
      <alignment horizontal="center"/>
    </xf>
    <xf numFmtId="0" fontId="0" fillId="0" borderId="0" xfId="0" quotePrefix="1" applyAlignment="1">
      <alignment horizontal="right"/>
    </xf>
    <xf numFmtId="0" fontId="1" fillId="17" borderId="0" xfId="0" applyFont="1" applyFill="1"/>
    <xf numFmtId="0" fontId="0" fillId="17" borderId="0" xfId="0" applyFill="1"/>
    <xf numFmtId="2" fontId="9" fillId="3" borderId="11" xfId="2" applyNumberFormat="1" applyFont="1" applyFill="1" applyBorder="1" applyAlignment="1">
      <alignment horizontal="center"/>
    </xf>
    <xf numFmtId="2" fontId="9" fillId="3" borderId="40" xfId="2" applyNumberFormat="1" applyFont="1" applyFill="1" applyBorder="1" applyAlignment="1">
      <alignment horizontal="center"/>
    </xf>
    <xf numFmtId="164" fontId="4" fillId="0" borderId="19" xfId="2" applyNumberFormat="1" applyFont="1" applyBorder="1" applyAlignment="1">
      <alignment horizontal="center"/>
    </xf>
    <xf numFmtId="164" fontId="9" fillId="0" borderId="37" xfId="2" applyNumberFormat="1" applyFont="1" applyBorder="1" applyAlignment="1">
      <alignment horizontal="center"/>
    </xf>
    <xf numFmtId="2" fontId="9" fillId="3" borderId="28" xfId="2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2" borderId="34" xfId="0" applyFont="1" applyFill="1" applyBorder="1"/>
    <xf numFmtId="0" fontId="0" fillId="2" borderId="35" xfId="0" applyFill="1" applyBorder="1"/>
    <xf numFmtId="0" fontId="0" fillId="2" borderId="77" xfId="0" applyFill="1" applyBorder="1"/>
    <xf numFmtId="0" fontId="0" fillId="0" borderId="10" xfId="0" applyBorder="1"/>
    <xf numFmtId="0" fontId="0" fillId="0" borderId="11" xfId="0" applyBorder="1"/>
    <xf numFmtId="0" fontId="0" fillId="0" borderId="61" xfId="0" applyBorder="1"/>
    <xf numFmtId="0" fontId="0" fillId="0" borderId="9" xfId="0" applyBorder="1"/>
    <xf numFmtId="0" fontId="1" fillId="0" borderId="15" xfId="0" applyFont="1" applyBorder="1"/>
    <xf numFmtId="0" fontId="1" fillId="0" borderId="13" xfId="0" applyFont="1" applyBorder="1"/>
    <xf numFmtId="0" fontId="1" fillId="0" borderId="13" xfId="0" quotePrefix="1" applyFont="1" applyBorder="1"/>
    <xf numFmtId="0" fontId="1" fillId="0" borderId="44" xfId="0" applyFont="1" applyBorder="1"/>
    <xf numFmtId="0" fontId="0" fillId="0" borderId="78" xfId="0" applyBorder="1"/>
    <xf numFmtId="0" fontId="0" fillId="0" borderId="18" xfId="0" applyBorder="1"/>
    <xf numFmtId="0" fontId="0" fillId="0" borderId="19" xfId="0" applyBorder="1"/>
    <xf numFmtId="0" fontId="0" fillId="0" borderId="4" xfId="0" applyBorder="1"/>
    <xf numFmtId="0" fontId="0" fillId="0" borderId="5" xfId="0" applyBorder="1"/>
    <xf numFmtId="0" fontId="0" fillId="0" borderId="33" xfId="0" applyBorder="1"/>
    <xf numFmtId="0" fontId="0" fillId="0" borderId="71" xfId="0" applyBorder="1"/>
    <xf numFmtId="0" fontId="0" fillId="0" borderId="73" xfId="0" applyBorder="1"/>
    <xf numFmtId="0" fontId="0" fillId="0" borderId="74" xfId="0" applyBorder="1"/>
    <xf numFmtId="0" fontId="0" fillId="0" borderId="79" xfId="0" applyBorder="1"/>
    <xf numFmtId="0" fontId="1" fillId="0" borderId="17" xfId="0" applyFont="1" applyBorder="1"/>
    <xf numFmtId="0" fontId="0" fillId="0" borderId="37" xfId="0" applyBorder="1"/>
    <xf numFmtId="0" fontId="0" fillId="0" borderId="39" xfId="0" applyBorder="1"/>
    <xf numFmtId="0" fontId="0" fillId="0" borderId="52" xfId="0" applyBorder="1"/>
    <xf numFmtId="0" fontId="0" fillId="0" borderId="80" xfId="0" applyBorder="1"/>
    <xf numFmtId="0" fontId="0" fillId="0" borderId="6" xfId="0" applyBorder="1"/>
    <xf numFmtId="0" fontId="1" fillId="23" borderId="0" xfId="0" applyFont="1" applyFill="1"/>
    <xf numFmtId="0" fontId="34" fillId="23" borderId="4" xfId="0" applyFont="1" applyFill="1" applyBorder="1"/>
    <xf numFmtId="169" fontId="34" fillId="23" borderId="6" xfId="0" applyNumberFormat="1" applyFont="1" applyFill="1" applyBorder="1"/>
    <xf numFmtId="11" fontId="0" fillId="0" borderId="0" xfId="0" applyNumberFormat="1"/>
    <xf numFmtId="165" fontId="9" fillId="0" borderId="11" xfId="2" applyNumberFormat="1" applyFont="1" applyBorder="1" applyAlignment="1">
      <alignment horizontal="center"/>
    </xf>
    <xf numFmtId="0" fontId="9" fillId="10" borderId="25" xfId="2" applyFont="1" applyFill="1" applyBorder="1" applyAlignment="1">
      <alignment horizontal="center"/>
    </xf>
    <xf numFmtId="2" fontId="35" fillId="0" borderId="66" xfId="0" applyNumberFormat="1" applyFont="1" applyBorder="1" applyAlignment="1">
      <alignment horizontal="center" vertical="center"/>
    </xf>
    <xf numFmtId="2" fontId="4" fillId="2" borderId="26" xfId="2" applyNumberFormat="1" applyFont="1" applyFill="1" applyBorder="1" applyAlignment="1">
      <alignment horizontal="center"/>
    </xf>
    <xf numFmtId="2" fontId="4" fillId="0" borderId="28" xfId="2" applyNumberFormat="1" applyFont="1" applyBorder="1" applyAlignment="1">
      <alignment horizontal="center"/>
    </xf>
    <xf numFmtId="2" fontId="4" fillId="0" borderId="26" xfId="2" applyNumberFormat="1" applyFont="1" applyBorder="1" applyAlignment="1">
      <alignment horizontal="center"/>
    </xf>
    <xf numFmtId="2" fontId="4" fillId="0" borderId="25" xfId="2" applyNumberFormat="1" applyFont="1" applyBorder="1" applyAlignment="1">
      <alignment horizontal="center"/>
    </xf>
    <xf numFmtId="2" fontId="4" fillId="0" borderId="51" xfId="2" applyNumberFormat="1" applyFont="1" applyBorder="1" applyAlignment="1">
      <alignment horizontal="center"/>
    </xf>
    <xf numFmtId="2" fontId="4" fillId="0" borderId="37" xfId="2" applyNumberFormat="1" applyFont="1" applyBorder="1" applyAlignment="1">
      <alignment horizontal="center"/>
    </xf>
    <xf numFmtId="164" fontId="35" fillId="0" borderId="1" xfId="0" applyNumberFormat="1" applyFont="1" applyBorder="1"/>
    <xf numFmtId="164" fontId="35" fillId="0" borderId="66" xfId="0" applyNumberFormat="1" applyFont="1" applyBorder="1"/>
    <xf numFmtId="164" fontId="35" fillId="0" borderId="12" xfId="0" applyNumberFormat="1" applyFont="1" applyBorder="1"/>
    <xf numFmtId="0" fontId="4" fillId="0" borderId="0" xfId="2" applyFont="1" applyAlignment="1">
      <alignment horizontal="center" vertical="center"/>
    </xf>
    <xf numFmtId="0" fontId="4" fillId="0" borderId="16" xfId="2" applyFont="1" applyBorder="1" applyAlignment="1">
      <alignment horizontal="center" vertical="center"/>
    </xf>
    <xf numFmtId="165" fontId="8" fillId="0" borderId="16" xfId="2" applyNumberFormat="1" applyFont="1" applyBorder="1" applyAlignment="1">
      <alignment horizontal="center" vertical="center"/>
    </xf>
    <xf numFmtId="2" fontId="19" fillId="6" borderId="16" xfId="2" applyNumberFormat="1" applyFont="1" applyFill="1" applyBorder="1" applyAlignment="1">
      <alignment horizontal="center" vertical="center"/>
    </xf>
    <xf numFmtId="166" fontId="19" fillId="6" borderId="16" xfId="2" applyNumberFormat="1" applyFont="1" applyFill="1" applyBorder="1" applyAlignment="1">
      <alignment horizontal="center" vertical="center"/>
    </xf>
    <xf numFmtId="164" fontId="13" fillId="6" borderId="16" xfId="2" applyNumberFormat="1" applyFont="1" applyFill="1" applyBorder="1" applyAlignment="1">
      <alignment horizontal="center" vertical="center"/>
    </xf>
    <xf numFmtId="164" fontId="9" fillId="0" borderId="16" xfId="2" applyNumberFormat="1" applyFont="1" applyBorder="1" applyAlignment="1">
      <alignment horizontal="center" vertical="center"/>
    </xf>
    <xf numFmtId="0" fontId="9" fillId="0" borderId="16" xfId="2" applyFont="1" applyBorder="1" applyAlignment="1">
      <alignment horizontal="center" vertical="center"/>
    </xf>
    <xf numFmtId="164" fontId="6" fillId="0" borderId="16" xfId="2" applyNumberFormat="1" applyFont="1" applyBorder="1" applyAlignment="1">
      <alignment horizontal="center" vertical="center"/>
    </xf>
    <xf numFmtId="0" fontId="6" fillId="11" borderId="3" xfId="2" applyFont="1" applyFill="1" applyBorder="1" applyAlignment="1">
      <alignment horizontal="center" vertical="center"/>
    </xf>
    <xf numFmtId="0" fontId="5" fillId="11" borderId="16" xfId="2" applyFont="1" applyFill="1" applyBorder="1" applyAlignment="1">
      <alignment horizontal="center" vertical="center"/>
    </xf>
    <xf numFmtId="2" fontId="9" fillId="0" borderId="16" xfId="2" applyNumberFormat="1" applyFont="1" applyBorder="1" applyAlignment="1">
      <alignment horizontal="center" vertical="center"/>
    </xf>
    <xf numFmtId="0" fontId="4" fillId="13" borderId="0" xfId="2" applyFont="1" applyFill="1" applyAlignment="1">
      <alignment horizontal="center" vertical="center"/>
    </xf>
    <xf numFmtId="0" fontId="4" fillId="6" borderId="0" xfId="2" applyFont="1" applyFill="1" applyAlignment="1">
      <alignment horizontal="center" vertical="center"/>
    </xf>
    <xf numFmtId="0" fontId="4" fillId="9" borderId="16" xfId="2" applyFont="1" applyFill="1" applyBorder="1" applyAlignment="1">
      <alignment horizontal="center" vertical="center"/>
    </xf>
    <xf numFmtId="0" fontId="4" fillId="10" borderId="16" xfId="2" applyFont="1" applyFill="1" applyBorder="1" applyAlignment="1">
      <alignment horizontal="center" vertical="center"/>
    </xf>
    <xf numFmtId="0" fontId="4" fillId="3" borderId="16" xfId="2" applyFont="1" applyFill="1" applyBorder="1" applyAlignment="1">
      <alignment horizontal="center" vertical="center"/>
    </xf>
    <xf numFmtId="0" fontId="4" fillId="10" borderId="47" xfId="2" applyFont="1" applyFill="1" applyBorder="1" applyAlignment="1">
      <alignment horizontal="center" vertical="center"/>
    </xf>
    <xf numFmtId="0" fontId="4" fillId="0" borderId="74" xfId="2" applyFont="1" applyBorder="1" applyAlignment="1">
      <alignment horizontal="center" vertical="center"/>
    </xf>
    <xf numFmtId="164" fontId="4" fillId="0" borderId="39" xfId="2" applyNumberFormat="1" applyFont="1" applyBorder="1" applyAlignment="1">
      <alignment horizontal="center" vertical="center"/>
    </xf>
    <xf numFmtId="0" fontId="4" fillId="0" borderId="38" xfId="2" applyFont="1" applyBorder="1" applyAlignment="1">
      <alignment horizontal="center" vertical="center"/>
    </xf>
    <xf numFmtId="0" fontId="4" fillId="3" borderId="16" xfId="2" applyFont="1" applyFill="1" applyBorder="1" applyAlignment="1">
      <alignment horizontal="center"/>
    </xf>
    <xf numFmtId="0" fontId="4" fillId="10" borderId="47" xfId="2" applyFont="1" applyFill="1" applyBorder="1" applyAlignment="1">
      <alignment horizontal="center"/>
    </xf>
    <xf numFmtId="0" fontId="4" fillId="0" borderId="74" xfId="2" applyFont="1" applyBorder="1" applyAlignment="1">
      <alignment horizontal="center"/>
    </xf>
    <xf numFmtId="164" fontId="4" fillId="0" borderId="39" xfId="2" applyNumberFormat="1" applyFont="1" applyBorder="1" applyAlignment="1">
      <alignment horizontal="center"/>
    </xf>
    <xf numFmtId="164" fontId="5" fillId="7" borderId="16" xfId="2" applyNumberFormat="1" applyFont="1" applyFill="1" applyBorder="1" applyAlignment="1">
      <alignment horizontal="center" vertical="center"/>
    </xf>
    <xf numFmtId="166" fontId="34" fillId="0" borderId="1" xfId="0" applyNumberFormat="1" applyFont="1" applyBorder="1" applyAlignment="1">
      <alignment horizontal="center"/>
    </xf>
    <xf numFmtId="2" fontId="0" fillId="0" borderId="66" xfId="0" applyNumberFormat="1" applyBorder="1" applyAlignment="1">
      <alignment horizontal="center"/>
    </xf>
    <xf numFmtId="166" fontId="0" fillId="0" borderId="66" xfId="0" applyNumberFormat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1" fontId="0" fillId="0" borderId="1" xfId="0" applyNumberFormat="1" applyBorder="1" applyAlignment="1">
      <alignment horizontal="right"/>
    </xf>
    <xf numFmtId="0" fontId="0" fillId="0" borderId="28" xfId="0" applyBorder="1" applyAlignment="1">
      <alignment horizontal="right"/>
    </xf>
    <xf numFmtId="0" fontId="0" fillId="2" borderId="28" xfId="0" quotePrefix="1" applyFill="1" applyBorder="1" applyAlignment="1">
      <alignment horizontal="right"/>
    </xf>
    <xf numFmtId="0" fontId="0" fillId="2" borderId="28" xfId="0" applyFill="1" applyBorder="1" applyAlignment="1">
      <alignment horizontal="right"/>
    </xf>
    <xf numFmtId="0" fontId="0" fillId="0" borderId="10" xfId="0" applyBorder="1" applyAlignment="1">
      <alignment horizontal="right"/>
    </xf>
    <xf numFmtId="0" fontId="0" fillId="2" borderId="11" xfId="0" applyFill="1" applyBorder="1"/>
    <xf numFmtId="0" fontId="0" fillId="2" borderId="10" xfId="0" quotePrefix="1" applyFill="1" applyBorder="1" applyAlignment="1">
      <alignment horizontal="right"/>
    </xf>
    <xf numFmtId="0" fontId="0" fillId="2" borderId="10" xfId="0" applyFill="1" applyBorder="1" applyAlignment="1">
      <alignment horizontal="right"/>
    </xf>
    <xf numFmtId="0" fontId="0" fillId="0" borderId="17" xfId="0" applyBorder="1" applyAlignment="1">
      <alignment horizontal="right"/>
    </xf>
    <xf numFmtId="0" fontId="0" fillId="2" borderId="19" xfId="0" applyFill="1" applyBorder="1"/>
    <xf numFmtId="0" fontId="0" fillId="2" borderId="28" xfId="0" applyFill="1" applyBorder="1"/>
    <xf numFmtId="0" fontId="0" fillId="2" borderId="10" xfId="0" applyFill="1" applyBorder="1"/>
    <xf numFmtId="0" fontId="0" fillId="2" borderId="11" xfId="0" quotePrefix="1" applyFill="1" applyBorder="1" applyAlignment="1">
      <alignment horizontal="right"/>
    </xf>
    <xf numFmtId="0" fontId="0" fillId="0" borderId="17" xfId="0" applyBorder="1"/>
    <xf numFmtId="0" fontId="0" fillId="20" borderId="11" xfId="0" applyFill="1" applyBorder="1"/>
    <xf numFmtId="0" fontId="0" fillId="2" borderId="76" xfId="0" applyFill="1" applyBorder="1"/>
    <xf numFmtId="0" fontId="1" fillId="17" borderId="10" xfId="0" applyFont="1" applyFill="1" applyBorder="1"/>
    <xf numFmtId="0" fontId="0" fillId="0" borderId="28" xfId="0" quotePrefix="1" applyBorder="1" applyAlignment="1">
      <alignment horizontal="right"/>
    </xf>
    <xf numFmtId="0" fontId="0" fillId="0" borderId="10" xfId="0" quotePrefix="1" applyBorder="1" applyAlignment="1">
      <alignment horizontal="right"/>
    </xf>
    <xf numFmtId="0" fontId="0" fillId="0" borderId="73" xfId="0" applyBorder="1" applyAlignment="1">
      <alignment horizontal="right"/>
    </xf>
    <xf numFmtId="0" fontId="0" fillId="0" borderId="37" xfId="0" applyBorder="1" applyAlignment="1">
      <alignment horizontal="right"/>
    </xf>
    <xf numFmtId="0" fontId="0" fillId="0" borderId="71" xfId="0" applyBorder="1" applyAlignment="1">
      <alignment horizontal="right"/>
    </xf>
    <xf numFmtId="0" fontId="1" fillId="0" borderId="33" xfId="0" applyFont="1" applyBorder="1"/>
    <xf numFmtId="0" fontId="0" fillId="0" borderId="15" xfId="0" applyBorder="1"/>
    <xf numFmtId="0" fontId="0" fillId="0" borderId="27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2" borderId="44" xfId="0" applyFill="1" applyBorder="1"/>
    <xf numFmtId="0" fontId="1" fillId="2" borderId="23" xfId="0" applyFont="1" applyFill="1" applyBorder="1" applyAlignment="1">
      <alignment horizontal="center"/>
    </xf>
    <xf numFmtId="0" fontId="1" fillId="2" borderId="81" xfId="0" applyFont="1" applyFill="1" applyBorder="1"/>
    <xf numFmtId="0" fontId="1" fillId="2" borderId="10" xfId="0" applyFont="1" applyFill="1" applyBorder="1"/>
    <xf numFmtId="0" fontId="1" fillId="0" borderId="10" xfId="0" applyFont="1" applyBorder="1"/>
    <xf numFmtId="2" fontId="0" fillId="2" borderId="11" xfId="0" applyNumberFormat="1" applyFill="1" applyBorder="1"/>
    <xf numFmtId="2" fontId="0" fillId="0" borderId="10" xfId="0" applyNumberFormat="1" applyBorder="1"/>
    <xf numFmtId="0" fontId="1" fillId="2" borderId="82" xfId="0" applyFont="1" applyFill="1" applyBorder="1" applyAlignment="1">
      <alignment horizontal="center"/>
    </xf>
    <xf numFmtId="0" fontId="0" fillId="20" borderId="28" xfId="0" quotePrefix="1" applyFill="1" applyBorder="1" applyAlignment="1">
      <alignment horizontal="right"/>
    </xf>
    <xf numFmtId="2" fontId="0" fillId="0" borderId="10" xfId="0" applyNumberFormat="1" applyBorder="1" applyAlignment="1">
      <alignment horizontal="right"/>
    </xf>
    <xf numFmtId="0" fontId="0" fillId="0" borderId="60" xfId="0" applyBorder="1"/>
    <xf numFmtId="0" fontId="0" fillId="0" borderId="29" xfId="0" applyBorder="1"/>
    <xf numFmtId="2" fontId="0" fillId="0" borderId="60" xfId="0" applyNumberFormat="1" applyBorder="1"/>
    <xf numFmtId="166" fontId="0" fillId="0" borderId="10" xfId="0" applyNumberFormat="1" applyBorder="1"/>
    <xf numFmtId="166" fontId="0" fillId="0" borderId="17" xfId="0" applyNumberFormat="1" applyBorder="1"/>
    <xf numFmtId="2" fontId="0" fillId="0" borderId="78" xfId="0" applyNumberFormat="1" applyBorder="1"/>
    <xf numFmtId="166" fontId="0" fillId="0" borderId="11" xfId="0" applyNumberFormat="1" applyBorder="1"/>
    <xf numFmtId="166" fontId="0" fillId="0" borderId="19" xfId="0" applyNumberFormat="1" applyBorder="1"/>
    <xf numFmtId="2" fontId="35" fillId="0" borderId="60" xfId="0" applyNumberFormat="1" applyFont="1" applyBorder="1" applyAlignment="1">
      <alignment horizontal="center"/>
    </xf>
    <xf numFmtId="2" fontId="0" fillId="21" borderId="12" xfId="0" applyNumberFormat="1" applyFill="1" applyBorder="1" applyAlignment="1">
      <alignment horizontal="center" vertical="center"/>
    </xf>
    <xf numFmtId="2" fontId="0" fillId="0" borderId="84" xfId="0" applyNumberFormat="1" applyBorder="1" applyAlignment="1">
      <alignment horizontal="center" vertical="center"/>
    </xf>
    <xf numFmtId="2" fontId="0" fillId="0" borderId="68" xfId="0" applyNumberFormat="1" applyBorder="1" applyAlignment="1">
      <alignment horizontal="center" vertical="center"/>
    </xf>
    <xf numFmtId="2" fontId="0" fillId="17" borderId="66" xfId="0" applyNumberFormat="1" applyFill="1" applyBorder="1" applyAlignment="1">
      <alignment horizontal="center" vertical="center"/>
    </xf>
    <xf numFmtId="0" fontId="1" fillId="0" borderId="23" xfId="0" applyFont="1" applyBorder="1" applyAlignment="1">
      <alignment horizontal="right"/>
    </xf>
    <xf numFmtId="0" fontId="1" fillId="0" borderId="24" xfId="0" applyFont="1" applyBorder="1" applyAlignment="1">
      <alignment horizontal="right"/>
    </xf>
    <xf numFmtId="0" fontId="1" fillId="0" borderId="81" xfId="0" applyFont="1" applyBorder="1" applyAlignment="1">
      <alignment horizontal="right"/>
    </xf>
    <xf numFmtId="166" fontId="0" fillId="0" borderId="60" xfId="0" applyNumberFormat="1" applyBorder="1"/>
    <xf numFmtId="0" fontId="1" fillId="0" borderId="35" xfId="0" applyFont="1" applyBorder="1" applyAlignment="1">
      <alignment horizontal="right"/>
    </xf>
    <xf numFmtId="0" fontId="0" fillId="0" borderId="3" xfId="0" applyBorder="1"/>
    <xf numFmtId="166" fontId="0" fillId="0" borderId="3" xfId="0" applyNumberFormat="1" applyBorder="1"/>
    <xf numFmtId="166" fontId="0" fillId="0" borderId="86" xfId="0" applyNumberFormat="1" applyBorder="1"/>
    <xf numFmtId="0" fontId="0" fillId="0" borderId="30" xfId="0" applyBorder="1"/>
    <xf numFmtId="0" fontId="0" fillId="0" borderId="32" xfId="0" applyBorder="1"/>
    <xf numFmtId="0" fontId="1" fillId="0" borderId="77" xfId="0" applyFont="1" applyBorder="1" applyAlignment="1">
      <alignment horizontal="right"/>
    </xf>
    <xf numFmtId="0" fontId="0" fillId="0" borderId="40" xfId="0" applyBorder="1"/>
    <xf numFmtId="166" fontId="0" fillId="0" borderId="40" xfId="0" applyNumberFormat="1" applyBorder="1"/>
    <xf numFmtId="166" fontId="0" fillId="0" borderId="41" xfId="0" applyNumberFormat="1" applyBorder="1"/>
    <xf numFmtId="166" fontId="0" fillId="0" borderId="36" xfId="0" applyNumberFormat="1" applyBorder="1"/>
    <xf numFmtId="0" fontId="0" fillId="0" borderId="75" xfId="0" applyBorder="1" applyAlignment="1">
      <alignment horizontal="right"/>
    </xf>
    <xf numFmtId="0" fontId="1" fillId="0" borderId="34" xfId="0" applyFont="1" applyBorder="1" applyAlignment="1">
      <alignment horizontal="right"/>
    </xf>
    <xf numFmtId="166" fontId="0" fillId="20" borderId="46" xfId="0" applyNumberFormat="1" applyFill="1" applyBorder="1"/>
    <xf numFmtId="0" fontId="0" fillId="0" borderId="46" xfId="0" applyBorder="1"/>
    <xf numFmtId="0" fontId="30" fillId="20" borderId="46" xfId="0" applyFont="1" applyFill="1" applyBorder="1"/>
    <xf numFmtId="0" fontId="30" fillId="0" borderId="46" xfId="0" applyFont="1" applyBorder="1"/>
    <xf numFmtId="2" fontId="30" fillId="20" borderId="46" xfId="0" applyNumberFormat="1" applyFont="1" applyFill="1" applyBorder="1"/>
    <xf numFmtId="2" fontId="0" fillId="0" borderId="88" xfId="0" applyNumberFormat="1" applyBorder="1"/>
    <xf numFmtId="166" fontId="0" fillId="20" borderId="11" xfId="0" applyNumberFormat="1" applyFill="1" applyBorder="1"/>
    <xf numFmtId="0" fontId="30" fillId="20" borderId="11" xfId="0" applyFont="1" applyFill="1" applyBorder="1"/>
    <xf numFmtId="0" fontId="30" fillId="0" borderId="11" xfId="0" applyFont="1" applyBorder="1"/>
    <xf numFmtId="2" fontId="30" fillId="20" borderId="11" xfId="0" applyNumberFormat="1" applyFont="1" applyFill="1" applyBorder="1"/>
    <xf numFmtId="2" fontId="0" fillId="0" borderId="19" xfId="0" applyNumberFormat="1" applyBorder="1"/>
    <xf numFmtId="0" fontId="0" fillId="0" borderId="85" xfId="0" applyBorder="1" applyAlignment="1">
      <alignment horizontal="right"/>
    </xf>
    <xf numFmtId="2" fontId="0" fillId="0" borderId="86" xfId="0" applyNumberFormat="1" applyBorder="1"/>
    <xf numFmtId="0" fontId="1" fillId="0" borderId="34" xfId="0" applyFont="1" applyBorder="1" applyAlignment="1">
      <alignment horizontal="right" wrapText="1"/>
    </xf>
    <xf numFmtId="0" fontId="1" fillId="0" borderId="81" xfId="0" applyFont="1" applyBorder="1" applyAlignment="1">
      <alignment horizontal="right" wrapText="1"/>
    </xf>
    <xf numFmtId="0" fontId="0" fillId="0" borderId="87" xfId="0" applyBorder="1" applyAlignment="1">
      <alignment horizontal="right"/>
    </xf>
    <xf numFmtId="0" fontId="0" fillId="0" borderId="76" xfId="0" applyBorder="1" applyAlignment="1">
      <alignment horizontal="right"/>
    </xf>
    <xf numFmtId="0" fontId="0" fillId="20" borderId="46" xfId="0" applyFill="1" applyBorder="1"/>
    <xf numFmtId="0" fontId="0" fillId="0" borderId="46" xfId="0" quotePrefix="1" applyBorder="1" applyAlignment="1">
      <alignment horizontal="right"/>
    </xf>
    <xf numFmtId="0" fontId="0" fillId="0" borderId="11" xfId="0" quotePrefix="1" applyBorder="1" applyAlignment="1">
      <alignment horizontal="right"/>
    </xf>
    <xf numFmtId="2" fontId="0" fillId="0" borderId="3" xfId="0" applyNumberFormat="1" applyBorder="1"/>
    <xf numFmtId="0" fontId="0" fillId="0" borderId="89" xfId="0" applyBorder="1"/>
    <xf numFmtId="0" fontId="0" fillId="2" borderId="73" xfId="0" applyFill="1" applyBorder="1" applyAlignment="1">
      <alignment horizontal="right"/>
    </xf>
    <xf numFmtId="0" fontId="0" fillId="2" borderId="71" xfId="0" applyFill="1" applyBorder="1" applyAlignment="1">
      <alignment horizontal="right"/>
    </xf>
    <xf numFmtId="0" fontId="0" fillId="2" borderId="76" xfId="0" applyFill="1" applyBorder="1" applyAlignment="1">
      <alignment horizontal="right"/>
    </xf>
    <xf numFmtId="0" fontId="0" fillId="0" borderId="83" xfId="0" applyBorder="1" applyAlignment="1">
      <alignment horizontal="right"/>
    </xf>
    <xf numFmtId="0" fontId="1" fillId="2" borderId="71" xfId="0" applyFont="1" applyFill="1" applyBorder="1" applyAlignment="1">
      <alignment horizontal="left"/>
    </xf>
    <xf numFmtId="0" fontId="1" fillId="0" borderId="14" xfId="0" applyFont="1" applyBorder="1"/>
    <xf numFmtId="2" fontId="0" fillId="0" borderId="14" xfId="0" applyNumberFormat="1" applyBorder="1"/>
    <xf numFmtId="2" fontId="0" fillId="0" borderId="25" xfId="0" applyNumberFormat="1" applyBorder="1" applyAlignment="1">
      <alignment horizontal="right"/>
    </xf>
    <xf numFmtId="2" fontId="0" fillId="0" borderId="14" xfId="0" applyNumberFormat="1" applyBorder="1" applyAlignment="1">
      <alignment horizontal="right"/>
    </xf>
    <xf numFmtId="2" fontId="0" fillId="2" borderId="43" xfId="0" applyNumberFormat="1" applyFill="1" applyBorder="1"/>
    <xf numFmtId="2" fontId="0" fillId="2" borderId="1" xfId="0" applyNumberFormat="1" applyFill="1" applyBorder="1"/>
    <xf numFmtId="0" fontId="0" fillId="0" borderId="11" xfId="0" applyBorder="1" applyAlignment="1">
      <alignment horizontal="right"/>
    </xf>
    <xf numFmtId="0" fontId="0" fillId="0" borderId="43" xfId="0" applyBorder="1"/>
    <xf numFmtId="164" fontId="0" fillId="0" borderId="6" xfId="0" applyNumberFormat="1" applyBorder="1"/>
    <xf numFmtId="164" fontId="0" fillId="0" borderId="52" xfId="0" applyNumberFormat="1" applyBorder="1"/>
    <xf numFmtId="164" fontId="0" fillId="0" borderId="36" xfId="0" applyNumberFormat="1" applyBorder="1"/>
    <xf numFmtId="164" fontId="0" fillId="0" borderId="89" xfId="0" applyNumberFormat="1" applyBorder="1"/>
    <xf numFmtId="0" fontId="12" fillId="0" borderId="27" xfId="2" applyFont="1" applyBorder="1" applyAlignment="1">
      <alignment horizontal="center" wrapText="1"/>
    </xf>
    <xf numFmtId="0" fontId="9" fillId="0" borderId="0" xfId="2" applyFont="1" applyAlignment="1">
      <alignment horizontal="center"/>
    </xf>
    <xf numFmtId="0" fontId="29" fillId="0" borderId="0" xfId="2" applyFont="1" applyAlignment="1">
      <alignment horizontal="center" vertical="top"/>
    </xf>
    <xf numFmtId="0" fontId="4" fillId="2" borderId="0" xfId="2" applyFont="1" applyFill="1" applyAlignment="1">
      <alignment horizontal="center" vertical="center"/>
    </xf>
    <xf numFmtId="0" fontId="47" fillId="9" borderId="0" xfId="0" applyFont="1" applyFill="1"/>
    <xf numFmtId="0" fontId="47" fillId="0" borderId="0" xfId="0" applyFont="1"/>
    <xf numFmtId="0" fontId="47" fillId="0" borderId="0" xfId="0" applyFont="1" applyAlignment="1">
      <alignment horizontal="center"/>
    </xf>
    <xf numFmtId="0" fontId="47" fillId="2" borderId="0" xfId="0" applyFont="1" applyFill="1" applyAlignment="1">
      <alignment horizontal="center"/>
    </xf>
    <xf numFmtId="164" fontId="52" fillId="0" borderId="0" xfId="0" applyNumberFormat="1" applyFont="1" applyAlignment="1">
      <alignment horizontal="left"/>
    </xf>
    <xf numFmtId="164" fontId="47" fillId="0" borderId="72" xfId="0" applyNumberFormat="1" applyFont="1" applyBorder="1" applyAlignment="1">
      <alignment horizontal="center"/>
    </xf>
    <xf numFmtId="164" fontId="47" fillId="2" borderId="0" xfId="0" applyNumberFormat="1" applyFont="1" applyFill="1" applyAlignment="1">
      <alignment horizontal="center"/>
    </xf>
    <xf numFmtId="164" fontId="47" fillId="2" borderId="71" xfId="0" applyNumberFormat="1" applyFont="1" applyFill="1" applyBorder="1"/>
    <xf numFmtId="164" fontId="52" fillId="0" borderId="0" xfId="0" applyNumberFormat="1" applyFont="1" applyAlignment="1">
      <alignment horizontal="center"/>
    </xf>
    <xf numFmtId="0" fontId="47" fillId="2" borderId="10" xfId="0" applyFont="1" applyFill="1" applyBorder="1"/>
    <xf numFmtId="0" fontId="54" fillId="2" borderId="10" xfId="0" applyFont="1" applyFill="1" applyBorder="1"/>
    <xf numFmtId="0" fontId="54" fillId="2" borderId="0" xfId="0" applyFont="1" applyFill="1" applyAlignment="1">
      <alignment horizontal="center"/>
    </xf>
    <xf numFmtId="164" fontId="54" fillId="2" borderId="10" xfId="0" applyNumberFormat="1" applyFont="1" applyFill="1" applyBorder="1"/>
    <xf numFmtId="164" fontId="54" fillId="2" borderId="0" xfId="0" applyNumberFormat="1" applyFont="1" applyFill="1" applyAlignment="1">
      <alignment horizontal="center"/>
    </xf>
    <xf numFmtId="2" fontId="54" fillId="2" borderId="10" xfId="0" applyNumberFormat="1" applyFont="1" applyFill="1" applyBorder="1"/>
    <xf numFmtId="0" fontId="54" fillId="2" borderId="17" xfId="0" applyFont="1" applyFill="1" applyBorder="1"/>
    <xf numFmtId="0" fontId="54" fillId="2" borderId="0" xfId="0" applyFont="1" applyFill="1"/>
    <xf numFmtId="164" fontId="52" fillId="0" borderId="0" xfId="0" applyNumberFormat="1" applyFont="1" applyAlignment="1">
      <alignment horizontal="left" indent="2"/>
    </xf>
    <xf numFmtId="0" fontId="47" fillId="2" borderId="10" xfId="0" applyFont="1" applyFill="1" applyBorder="1" applyAlignment="1">
      <alignment horizontal="left" vertical="top"/>
    </xf>
    <xf numFmtId="2" fontId="54" fillId="2" borderId="0" xfId="0" applyNumberFormat="1" applyFont="1" applyFill="1" applyAlignment="1">
      <alignment horizontal="center"/>
    </xf>
    <xf numFmtId="2" fontId="54" fillId="2" borderId="10" xfId="0" applyNumberFormat="1" applyFont="1" applyFill="1" applyBorder="1" applyAlignment="1">
      <alignment horizontal="left" vertical="top"/>
    </xf>
    <xf numFmtId="0" fontId="54" fillId="2" borderId="10" xfId="0" applyFont="1" applyFill="1" applyBorder="1" applyAlignment="1">
      <alignment horizontal="left" vertical="top"/>
    </xf>
    <xf numFmtId="0" fontId="54" fillId="11" borderId="72" xfId="0" applyFont="1" applyFill="1" applyBorder="1" applyAlignment="1">
      <alignment horizontal="center"/>
    </xf>
    <xf numFmtId="0" fontId="54" fillId="9" borderId="1" xfId="0" applyFont="1" applyFill="1" applyBorder="1" applyAlignment="1">
      <alignment horizontal="center"/>
    </xf>
    <xf numFmtId="0" fontId="33" fillId="0" borderId="0" xfId="0" applyFont="1" applyAlignment="1">
      <alignment horizontal="center"/>
    </xf>
    <xf numFmtId="0" fontId="51" fillId="10" borderId="18" xfId="0" applyFont="1" applyFill="1" applyBorder="1" applyAlignment="1">
      <alignment horizontal="center"/>
    </xf>
    <xf numFmtId="164" fontId="51" fillId="10" borderId="1" xfId="0" applyNumberFormat="1" applyFont="1" applyFill="1" applyBorder="1" applyAlignment="1">
      <alignment horizontal="center"/>
    </xf>
    <xf numFmtId="0" fontId="51" fillId="10" borderId="1" xfId="0" applyFont="1" applyFill="1" applyBorder="1" applyAlignment="1">
      <alignment horizontal="center"/>
    </xf>
    <xf numFmtId="0" fontId="51" fillId="10" borderId="76" xfId="0" applyFont="1" applyFill="1" applyBorder="1" applyAlignment="1">
      <alignment horizontal="center"/>
    </xf>
    <xf numFmtId="0" fontId="51" fillId="10" borderId="11" xfId="0" applyFont="1" applyFill="1" applyBorder="1" applyAlignment="1">
      <alignment horizontal="center"/>
    </xf>
    <xf numFmtId="0" fontId="57" fillId="4" borderId="71" xfId="0" applyFont="1" applyFill="1" applyBorder="1" applyAlignment="1">
      <alignment horizontal="center" vertical="center"/>
    </xf>
    <xf numFmtId="0" fontId="57" fillId="4" borderId="72" xfId="0" applyFont="1" applyFill="1" applyBorder="1" applyAlignment="1">
      <alignment horizontal="center" vertical="center"/>
    </xf>
    <xf numFmtId="0" fontId="57" fillId="4" borderId="76" xfId="0" applyFont="1" applyFill="1" applyBorder="1" applyAlignment="1">
      <alignment horizontal="center" vertical="center"/>
    </xf>
    <xf numFmtId="0" fontId="57" fillId="4" borderId="17" xfId="0" applyFont="1" applyFill="1" applyBorder="1" applyAlignment="1">
      <alignment horizontal="center" vertical="center"/>
    </xf>
    <xf numFmtId="0" fontId="57" fillId="4" borderId="18" xfId="0" applyFont="1" applyFill="1" applyBorder="1" applyAlignment="1">
      <alignment horizontal="center" vertical="center"/>
    </xf>
    <xf numFmtId="0" fontId="57" fillId="4" borderId="6" xfId="0" applyFont="1" applyFill="1" applyBorder="1" applyAlignment="1">
      <alignment horizontal="center" vertical="center"/>
    </xf>
    <xf numFmtId="0" fontId="57" fillId="4" borderId="74" xfId="0" applyFont="1" applyFill="1" applyBorder="1" applyAlignment="1">
      <alignment horizontal="center" vertical="center"/>
    </xf>
    <xf numFmtId="0" fontId="57" fillId="4" borderId="39" xfId="0" applyFont="1" applyFill="1" applyBorder="1" applyAlignment="1">
      <alignment horizontal="center" vertical="center"/>
    </xf>
    <xf numFmtId="0" fontId="51" fillId="10" borderId="5" xfId="0" applyFont="1" applyFill="1" applyBorder="1" applyAlignment="1">
      <alignment horizontal="center"/>
    </xf>
    <xf numFmtId="0" fontId="51" fillId="10" borderId="6" xfId="0" applyFont="1" applyFill="1" applyBorder="1" applyAlignment="1">
      <alignment horizontal="center"/>
    </xf>
    <xf numFmtId="0" fontId="51" fillId="10" borderId="72" xfId="0" applyFont="1" applyFill="1" applyBorder="1" applyAlignment="1">
      <alignment horizontal="center"/>
    </xf>
    <xf numFmtId="0" fontId="51" fillId="10" borderId="19" xfId="0" applyFont="1" applyFill="1" applyBorder="1" applyAlignment="1">
      <alignment horizontal="center"/>
    </xf>
    <xf numFmtId="2" fontId="51" fillId="10" borderId="18" xfId="0" applyNumberFormat="1" applyFont="1" applyFill="1" applyBorder="1" applyAlignment="1">
      <alignment horizontal="center"/>
    </xf>
    <xf numFmtId="1" fontId="51" fillId="10" borderId="18" xfId="0" applyNumberFormat="1" applyFont="1" applyFill="1" applyBorder="1" applyAlignment="1">
      <alignment horizontal="center"/>
    </xf>
    <xf numFmtId="0" fontId="51" fillId="10" borderId="12" xfId="0" applyFont="1" applyFill="1" applyBorder="1" applyAlignment="1">
      <alignment horizontal="center"/>
    </xf>
    <xf numFmtId="0" fontId="51" fillId="10" borderId="8" xfId="0" applyFont="1" applyFill="1" applyBorder="1" applyAlignment="1">
      <alignment horizontal="center"/>
    </xf>
    <xf numFmtId="166" fontId="51" fillId="10" borderId="72" xfId="0" applyNumberFormat="1" applyFont="1" applyFill="1" applyBorder="1" applyAlignment="1">
      <alignment horizontal="center"/>
    </xf>
    <xf numFmtId="164" fontId="51" fillId="10" borderId="12" xfId="0" applyNumberFormat="1" applyFont="1" applyFill="1" applyBorder="1" applyAlignment="1">
      <alignment horizontal="center"/>
    </xf>
    <xf numFmtId="0" fontId="51" fillId="10" borderId="9" xfId="0" applyFont="1" applyFill="1" applyBorder="1" applyAlignment="1">
      <alignment horizontal="center"/>
    </xf>
    <xf numFmtId="0" fontId="51" fillId="10" borderId="43" xfId="0" applyFont="1" applyFill="1" applyBorder="1" applyAlignment="1">
      <alignment horizontal="center"/>
    </xf>
    <xf numFmtId="0" fontId="47" fillId="25" borderId="8" xfId="0" applyFont="1" applyFill="1" applyBorder="1" applyAlignment="1">
      <alignment horizontal="center"/>
    </xf>
    <xf numFmtId="0" fontId="47" fillId="25" borderId="1" xfId="0" applyFont="1" applyFill="1" applyBorder="1" applyAlignment="1">
      <alignment horizontal="center"/>
    </xf>
    <xf numFmtId="0" fontId="47" fillId="25" borderId="18" xfId="0" applyFont="1" applyFill="1" applyBorder="1" applyAlignment="1">
      <alignment horizontal="center"/>
    </xf>
    <xf numFmtId="164" fontId="51" fillId="25" borderId="1" xfId="0" applyNumberFormat="1" applyFont="1" applyFill="1" applyBorder="1" applyAlignment="1">
      <alignment horizontal="center"/>
    </xf>
    <xf numFmtId="0" fontId="51" fillId="25" borderId="1" xfId="0" applyFont="1" applyFill="1" applyBorder="1" applyAlignment="1">
      <alignment horizontal="center"/>
    </xf>
    <xf numFmtId="0" fontId="51" fillId="25" borderId="18" xfId="0" applyFont="1" applyFill="1" applyBorder="1" applyAlignment="1">
      <alignment horizontal="center"/>
    </xf>
    <xf numFmtId="0" fontId="47" fillId="25" borderId="5" xfId="0" applyFont="1" applyFill="1" applyBorder="1" applyAlignment="1">
      <alignment horizontal="center"/>
    </xf>
    <xf numFmtId="0" fontId="47" fillId="3" borderId="72" xfId="0" applyFont="1" applyFill="1" applyBorder="1" applyAlignment="1">
      <alignment horizontal="center"/>
    </xf>
    <xf numFmtId="0" fontId="47" fillId="3" borderId="18" xfId="0" applyFont="1" applyFill="1" applyBorder="1" applyAlignment="1">
      <alignment horizontal="center"/>
    </xf>
    <xf numFmtId="0" fontId="47" fillId="25" borderId="72" xfId="0" applyFont="1" applyFill="1" applyBorder="1" applyAlignment="1">
      <alignment horizontal="center"/>
    </xf>
    <xf numFmtId="164" fontId="51" fillId="25" borderId="5" xfId="0" applyNumberFormat="1" applyFont="1" applyFill="1" applyBorder="1" applyAlignment="1">
      <alignment horizontal="center"/>
    </xf>
    <xf numFmtId="164" fontId="51" fillId="25" borderId="72" xfId="0" applyNumberFormat="1" applyFont="1" applyFill="1" applyBorder="1" applyAlignment="1">
      <alignment horizontal="center"/>
    </xf>
    <xf numFmtId="164" fontId="51" fillId="25" borderId="18" xfId="0" applyNumberFormat="1" applyFont="1" applyFill="1" applyBorder="1" applyAlignment="1">
      <alignment horizontal="center"/>
    </xf>
    <xf numFmtId="164" fontId="51" fillId="3" borderId="18" xfId="0" applyNumberFormat="1" applyFont="1" applyFill="1" applyBorder="1" applyAlignment="1">
      <alignment horizontal="center"/>
    </xf>
    <xf numFmtId="164" fontId="51" fillId="3" borderId="19" xfId="0" applyNumberFormat="1" applyFont="1" applyFill="1" applyBorder="1" applyAlignment="1">
      <alignment horizontal="center"/>
    </xf>
    <xf numFmtId="0" fontId="47" fillId="3" borderId="5" xfId="0" applyFont="1" applyFill="1" applyBorder="1" applyAlignment="1">
      <alignment horizontal="center"/>
    </xf>
    <xf numFmtId="164" fontId="51" fillId="3" borderId="5" xfId="0" applyNumberFormat="1" applyFont="1" applyFill="1" applyBorder="1" applyAlignment="1">
      <alignment horizontal="center"/>
    </xf>
    <xf numFmtId="164" fontId="51" fillId="25" borderId="11" xfId="0" applyNumberFormat="1" applyFont="1" applyFill="1" applyBorder="1" applyAlignment="1">
      <alignment horizontal="center"/>
    </xf>
    <xf numFmtId="164" fontId="51" fillId="25" borderId="19" xfId="0" applyNumberFormat="1" applyFont="1" applyFill="1" applyBorder="1" applyAlignment="1">
      <alignment horizontal="center"/>
    </xf>
    <xf numFmtId="0" fontId="57" fillId="4" borderId="17" xfId="0" applyFont="1" applyFill="1" applyBorder="1" applyAlignment="1">
      <alignment horizontal="center"/>
    </xf>
    <xf numFmtId="0" fontId="51" fillId="25" borderId="8" xfId="0" applyFont="1" applyFill="1" applyBorder="1" applyAlignment="1">
      <alignment horizontal="center"/>
    </xf>
    <xf numFmtId="0" fontId="47" fillId="10" borderId="72" xfId="0" applyFont="1" applyFill="1" applyBorder="1" applyAlignment="1">
      <alignment horizontal="center"/>
    </xf>
    <xf numFmtId="164" fontId="47" fillId="3" borderId="16" xfId="0" applyNumberFormat="1" applyFont="1" applyFill="1" applyBorder="1" applyAlignment="1">
      <alignment horizontal="center"/>
    </xf>
    <xf numFmtId="0" fontId="47" fillId="10" borderId="16" xfId="0" applyFont="1" applyFill="1" applyBorder="1" applyAlignment="1">
      <alignment horizontal="center"/>
    </xf>
    <xf numFmtId="166" fontId="54" fillId="10" borderId="16" xfId="0" applyNumberFormat="1" applyFont="1" applyFill="1" applyBorder="1" applyAlignment="1">
      <alignment horizontal="center"/>
    </xf>
    <xf numFmtId="2" fontId="54" fillId="10" borderId="16" xfId="0" applyNumberFormat="1" applyFont="1" applyFill="1" applyBorder="1" applyAlignment="1">
      <alignment horizontal="center"/>
    </xf>
    <xf numFmtId="0" fontId="54" fillId="10" borderId="16" xfId="0" applyFont="1" applyFill="1" applyBorder="1" applyAlignment="1">
      <alignment horizontal="center"/>
    </xf>
    <xf numFmtId="1" fontId="54" fillId="10" borderId="16" xfId="0" applyNumberFormat="1" applyFont="1" applyFill="1" applyBorder="1" applyAlignment="1">
      <alignment horizontal="center"/>
    </xf>
    <xf numFmtId="0" fontId="47" fillId="10" borderId="39" xfId="0" applyFont="1" applyFill="1" applyBorder="1" applyAlignment="1">
      <alignment horizontal="center"/>
    </xf>
    <xf numFmtId="0" fontId="57" fillId="4" borderId="18" xfId="0" applyFont="1" applyFill="1" applyBorder="1" applyAlignment="1">
      <alignment horizontal="center"/>
    </xf>
    <xf numFmtId="0" fontId="47" fillId="2" borderId="71" xfId="0" applyFont="1" applyFill="1" applyBorder="1" applyAlignment="1">
      <alignment horizontal="left"/>
    </xf>
    <xf numFmtId="0" fontId="47" fillId="2" borderId="17" xfId="0" applyFont="1" applyFill="1" applyBorder="1" applyAlignment="1">
      <alignment horizontal="left"/>
    </xf>
    <xf numFmtId="0" fontId="47" fillId="2" borderId="17" xfId="0" applyFont="1" applyFill="1" applyBorder="1" applyAlignment="1">
      <alignment horizontal="left" vertical="center"/>
    </xf>
    <xf numFmtId="0" fontId="47" fillId="2" borderId="4" xfId="0" applyFont="1" applyFill="1" applyBorder="1" applyAlignment="1">
      <alignment horizontal="left"/>
    </xf>
    <xf numFmtId="0" fontId="47" fillId="2" borderId="10" xfId="0" applyFont="1" applyFill="1" applyBorder="1" applyAlignment="1">
      <alignment horizontal="left"/>
    </xf>
    <xf numFmtId="0" fontId="47" fillId="2" borderId="14" xfId="0" applyFont="1" applyFill="1" applyBorder="1" applyAlignment="1">
      <alignment horizontal="left"/>
    </xf>
    <xf numFmtId="0" fontId="47" fillId="2" borderId="7" xfId="0" applyFont="1" applyFill="1" applyBorder="1" applyAlignment="1">
      <alignment horizontal="left"/>
    </xf>
    <xf numFmtId="0" fontId="47" fillId="2" borderId="14" xfId="0" applyFont="1" applyFill="1" applyBorder="1" applyAlignment="1">
      <alignment horizontal="left" vertical="center"/>
    </xf>
    <xf numFmtId="0" fontId="47" fillId="2" borderId="72" xfId="0" applyFont="1" applyFill="1" applyBorder="1" applyAlignment="1">
      <alignment horizontal="center"/>
    </xf>
    <xf numFmtId="0" fontId="47" fillId="2" borderId="18" xfId="0" applyFont="1" applyFill="1" applyBorder="1" applyAlignment="1">
      <alignment horizontal="center"/>
    </xf>
    <xf numFmtId="0" fontId="47" fillId="2" borderId="1" xfId="0" applyFont="1" applyFill="1" applyBorder="1" applyAlignment="1">
      <alignment horizontal="center"/>
    </xf>
    <xf numFmtId="0" fontId="47" fillId="2" borderId="5" xfId="0" applyFont="1" applyFill="1" applyBorder="1" applyAlignment="1">
      <alignment horizontal="center"/>
    </xf>
    <xf numFmtId="0" fontId="54" fillId="2" borderId="5" xfId="0" applyFont="1" applyFill="1" applyBorder="1" applyAlignment="1">
      <alignment horizontal="center" vertical="center"/>
    </xf>
    <xf numFmtId="0" fontId="54" fillId="2" borderId="72" xfId="0" applyFont="1" applyFill="1" applyBorder="1" applyAlignment="1">
      <alignment horizontal="center" vertical="center"/>
    </xf>
    <xf numFmtId="0" fontId="54" fillId="2" borderId="18" xfId="0" applyFont="1" applyFill="1" applyBorder="1" applyAlignment="1">
      <alignment horizontal="center" vertical="center"/>
    </xf>
    <xf numFmtId="0" fontId="47" fillId="2" borderId="13" xfId="0" applyFont="1" applyFill="1" applyBorder="1" applyAlignment="1">
      <alignment horizontal="center" vertical="center"/>
    </xf>
    <xf numFmtId="0" fontId="47" fillId="2" borderId="8" xfId="0" applyFont="1" applyFill="1" applyBorder="1" applyAlignment="1">
      <alignment horizontal="center"/>
    </xf>
    <xf numFmtId="164" fontId="51" fillId="2" borderId="1" xfId="0" applyNumberFormat="1" applyFont="1" applyFill="1" applyBorder="1" applyAlignment="1">
      <alignment horizontal="center"/>
    </xf>
    <xf numFmtId="0" fontId="51" fillId="2" borderId="1" xfId="0" applyFont="1" applyFill="1" applyBorder="1" applyAlignment="1">
      <alignment horizontal="center"/>
    </xf>
    <xf numFmtId="164" fontId="51" fillId="2" borderId="11" xfId="0" applyNumberFormat="1" applyFont="1" applyFill="1" applyBorder="1" applyAlignment="1">
      <alignment horizontal="center"/>
    </xf>
    <xf numFmtId="164" fontId="51" fillId="2" borderId="8" xfId="0" applyNumberFormat="1" applyFont="1" applyFill="1" applyBorder="1" applyAlignment="1">
      <alignment horizontal="center"/>
    </xf>
    <xf numFmtId="164" fontId="51" fillId="2" borderId="9" xfId="0" applyNumberFormat="1" applyFont="1" applyFill="1" applyBorder="1" applyAlignment="1">
      <alignment horizontal="center"/>
    </xf>
    <xf numFmtId="164" fontId="51" fillId="2" borderId="72" xfId="0" applyNumberFormat="1" applyFont="1" applyFill="1" applyBorder="1" applyAlignment="1">
      <alignment horizontal="center"/>
    </xf>
    <xf numFmtId="164" fontId="51" fillId="2" borderId="12" xfId="0" applyNumberFormat="1" applyFont="1" applyFill="1" applyBorder="1" applyAlignment="1">
      <alignment horizontal="center"/>
    </xf>
    <xf numFmtId="164" fontId="51" fillId="2" borderId="18" xfId="0" applyNumberFormat="1" applyFont="1" applyFill="1" applyBorder="1" applyAlignment="1">
      <alignment horizontal="center"/>
    </xf>
    <xf numFmtId="0" fontId="51" fillId="2" borderId="12" xfId="0" applyFont="1" applyFill="1" applyBorder="1" applyAlignment="1">
      <alignment horizontal="center"/>
    </xf>
    <xf numFmtId="0" fontId="51" fillId="2" borderId="72" xfId="0" applyFont="1" applyFill="1" applyBorder="1" applyAlignment="1">
      <alignment horizontal="center"/>
    </xf>
    <xf numFmtId="164" fontId="47" fillId="2" borderId="72" xfId="0" applyNumberFormat="1" applyFont="1" applyFill="1" applyBorder="1" applyAlignment="1">
      <alignment horizontal="center"/>
    </xf>
    <xf numFmtId="164" fontId="47" fillId="2" borderId="76" xfId="0" applyNumberFormat="1" applyFont="1" applyFill="1" applyBorder="1" applyAlignment="1">
      <alignment horizontal="center"/>
    </xf>
    <xf numFmtId="0" fontId="51" fillId="2" borderId="18" xfId="0" applyFont="1" applyFill="1" applyBorder="1" applyAlignment="1">
      <alignment horizontal="center"/>
    </xf>
    <xf numFmtId="164" fontId="51" fillId="2" borderId="19" xfId="0" applyNumberFormat="1" applyFont="1" applyFill="1" applyBorder="1" applyAlignment="1">
      <alignment horizontal="center"/>
    </xf>
    <xf numFmtId="0" fontId="47" fillId="2" borderId="38" xfId="0" applyFont="1" applyFill="1" applyBorder="1" applyAlignment="1">
      <alignment horizontal="center"/>
    </xf>
    <xf numFmtId="164" fontId="47" fillId="2" borderId="16" xfId="0" applyNumberFormat="1" applyFont="1" applyFill="1" applyBorder="1" applyAlignment="1">
      <alignment horizontal="center"/>
    </xf>
    <xf numFmtId="164" fontId="51" fillId="2" borderId="76" xfId="0" applyNumberFormat="1" applyFont="1" applyFill="1" applyBorder="1" applyAlignment="1">
      <alignment horizontal="center"/>
    </xf>
    <xf numFmtId="0" fontId="47" fillId="2" borderId="7" xfId="0" applyFont="1" applyFill="1" applyBorder="1" applyAlignment="1">
      <alignment horizontal="left" vertical="top"/>
    </xf>
    <xf numFmtId="0" fontId="54" fillId="2" borderId="17" xfId="0" applyFont="1" applyFill="1" applyBorder="1" applyAlignment="1">
      <alignment horizontal="left" vertical="top"/>
    </xf>
    <xf numFmtId="164" fontId="47" fillId="25" borderId="76" xfId="0" applyNumberFormat="1" applyFont="1" applyFill="1" applyBorder="1" applyAlignment="1">
      <alignment horizontal="center"/>
    </xf>
    <xf numFmtId="164" fontId="47" fillId="25" borderId="11" xfId="0" applyNumberFormat="1" applyFont="1" applyFill="1" applyBorder="1" applyAlignment="1">
      <alignment horizontal="center"/>
    </xf>
    <xf numFmtId="164" fontId="47" fillId="25" borderId="19" xfId="0" applyNumberFormat="1" applyFont="1" applyFill="1" applyBorder="1" applyAlignment="1">
      <alignment horizontal="center"/>
    </xf>
    <xf numFmtId="0" fontId="54" fillId="25" borderId="8" xfId="0" applyFont="1" applyFill="1" applyBorder="1" applyAlignment="1">
      <alignment horizontal="center"/>
    </xf>
    <xf numFmtId="0" fontId="54" fillId="25" borderId="1" xfId="0" applyFont="1" applyFill="1" applyBorder="1" applyAlignment="1">
      <alignment horizontal="center"/>
    </xf>
    <xf numFmtId="0" fontId="49" fillId="2" borderId="18" xfId="0" applyFont="1" applyFill="1" applyBorder="1" applyAlignment="1">
      <alignment horizontal="center"/>
    </xf>
    <xf numFmtId="0" fontId="46" fillId="2" borderId="0" xfId="0" applyFont="1" applyFill="1" applyAlignment="1">
      <alignment horizontal="center"/>
    </xf>
    <xf numFmtId="0" fontId="47" fillId="2" borderId="0" xfId="0" applyFont="1" applyFill="1" applyAlignment="1">
      <alignment horizontal="left" vertical="center"/>
    </xf>
    <xf numFmtId="0" fontId="48" fillId="2" borderId="0" xfId="0" applyFont="1" applyFill="1" applyAlignment="1">
      <alignment horizontal="left" vertical="center"/>
    </xf>
    <xf numFmtId="0" fontId="47" fillId="2" borderId="0" xfId="0" applyFont="1" applyFill="1"/>
    <xf numFmtId="0" fontId="47" fillId="2" borderId="0" xfId="0" applyFont="1" applyFill="1" applyAlignment="1">
      <alignment horizontal="left" indent="7"/>
    </xf>
    <xf numFmtId="0" fontId="47" fillId="2" borderId="0" xfId="0" applyFont="1" applyFill="1" applyAlignment="1">
      <alignment horizontal="left"/>
    </xf>
    <xf numFmtId="14" fontId="48" fillId="2" borderId="0" xfId="0" applyNumberFormat="1" applyFont="1" applyFill="1" applyAlignment="1">
      <alignment horizontal="left" vertical="center"/>
    </xf>
    <xf numFmtId="170" fontId="47" fillId="2" borderId="0" xfId="0" applyNumberFormat="1" applyFont="1" applyFill="1" applyAlignment="1">
      <alignment horizontal="left"/>
    </xf>
    <xf numFmtId="14" fontId="47" fillId="2" borderId="0" xfId="0" applyNumberFormat="1" applyFont="1" applyFill="1" applyAlignment="1">
      <alignment horizontal="left"/>
    </xf>
    <xf numFmtId="0" fontId="47" fillId="2" borderId="35" xfId="0" applyFont="1" applyFill="1" applyBorder="1"/>
    <xf numFmtId="0" fontId="47" fillId="2" borderId="52" xfId="0" applyFont="1" applyFill="1" applyBorder="1"/>
    <xf numFmtId="0" fontId="49" fillId="2" borderId="0" xfId="0" applyFont="1" applyFill="1" applyAlignment="1">
      <alignment horizontal="center"/>
    </xf>
    <xf numFmtId="0" fontId="56" fillId="2" borderId="0" xfId="0" applyFont="1" applyFill="1" applyAlignment="1">
      <alignment horizontal="center"/>
    </xf>
    <xf numFmtId="164" fontId="51" fillId="25" borderId="72" xfId="0" applyNumberFormat="1" applyFont="1" applyFill="1" applyBorder="1"/>
    <xf numFmtId="164" fontId="51" fillId="25" borderId="1" xfId="0" applyNumberFormat="1" applyFont="1" applyFill="1" applyBorder="1"/>
    <xf numFmtId="164" fontId="51" fillId="25" borderId="18" xfId="0" applyNumberFormat="1" applyFont="1" applyFill="1" applyBorder="1"/>
    <xf numFmtId="164" fontId="47" fillId="10" borderId="72" xfId="0" applyNumberFormat="1" applyFont="1" applyFill="1" applyBorder="1" applyAlignment="1">
      <alignment horizontal="center"/>
    </xf>
    <xf numFmtId="164" fontId="51" fillId="10" borderId="18" xfId="0" applyNumberFormat="1" applyFont="1" applyFill="1" applyBorder="1" applyAlignment="1">
      <alignment horizontal="center"/>
    </xf>
    <xf numFmtId="164" fontId="51" fillId="10" borderId="72" xfId="0" applyNumberFormat="1" applyFont="1" applyFill="1" applyBorder="1" applyAlignment="1">
      <alignment horizontal="center"/>
    </xf>
    <xf numFmtId="164" fontId="51" fillId="10" borderId="72" xfId="0" applyNumberFormat="1" applyFont="1" applyFill="1" applyBorder="1"/>
    <xf numFmtId="164" fontId="51" fillId="10" borderId="1" xfId="0" applyNumberFormat="1" applyFont="1" applyFill="1" applyBorder="1"/>
    <xf numFmtId="164" fontId="51" fillId="10" borderId="18" xfId="0" applyNumberFormat="1" applyFont="1" applyFill="1" applyBorder="1"/>
    <xf numFmtId="0" fontId="47" fillId="5" borderId="10" xfId="0" applyFont="1" applyFill="1" applyBorder="1" applyAlignment="1">
      <alignment horizontal="left"/>
    </xf>
    <xf numFmtId="0" fontId="47" fillId="5" borderId="1" xfId="0" applyFont="1" applyFill="1" applyBorder="1" applyAlignment="1">
      <alignment horizontal="center"/>
    </xf>
    <xf numFmtId="1" fontId="51" fillId="10" borderId="21" xfId="0" applyNumberFormat="1" applyFont="1" applyFill="1" applyBorder="1" applyAlignment="1">
      <alignment horizontal="center"/>
    </xf>
    <xf numFmtId="1" fontId="51" fillId="10" borderId="13" xfId="0" applyNumberFormat="1" applyFont="1" applyFill="1" applyBorder="1" applyAlignment="1">
      <alignment horizontal="center"/>
    </xf>
    <xf numFmtId="1" fontId="51" fillId="10" borderId="1" xfId="0" applyNumberFormat="1" applyFont="1" applyFill="1" applyBorder="1" applyAlignment="1">
      <alignment horizontal="center"/>
    </xf>
    <xf numFmtId="164" fontId="51" fillId="10" borderId="11" xfId="0" applyNumberFormat="1" applyFont="1" applyFill="1" applyBorder="1" applyAlignment="1">
      <alignment horizontal="center"/>
    </xf>
    <xf numFmtId="0" fontId="47" fillId="5" borderId="15" xfId="0" applyFont="1" applyFill="1" applyBorder="1" applyAlignment="1">
      <alignment horizontal="left"/>
    </xf>
    <xf numFmtId="0" fontId="47" fillId="5" borderId="13" xfId="0" applyFont="1" applyFill="1" applyBorder="1" applyAlignment="1">
      <alignment horizontal="center"/>
    </xf>
    <xf numFmtId="164" fontId="51" fillId="5" borderId="13" xfId="0" applyNumberFormat="1" applyFont="1" applyFill="1" applyBorder="1" applyAlignment="1">
      <alignment horizontal="center"/>
    </xf>
    <xf numFmtId="164" fontId="51" fillId="5" borderId="1" xfId="0" applyNumberFormat="1" applyFont="1" applyFill="1" applyBorder="1" applyAlignment="1">
      <alignment horizontal="center"/>
    </xf>
    <xf numFmtId="0" fontId="47" fillId="5" borderId="90" xfId="0" applyFont="1" applyFill="1" applyBorder="1" applyAlignment="1">
      <alignment horizontal="left"/>
    </xf>
    <xf numFmtId="0" fontId="47" fillId="5" borderId="21" xfId="0" applyFont="1" applyFill="1" applyBorder="1" applyAlignment="1">
      <alignment horizontal="center"/>
    </xf>
    <xf numFmtId="164" fontId="51" fillId="5" borderId="21" xfId="0" applyNumberFormat="1" applyFont="1" applyFill="1" applyBorder="1" applyAlignment="1">
      <alignment horizontal="center"/>
    </xf>
    <xf numFmtId="164" fontId="51" fillId="10" borderId="43" xfId="0" applyNumberFormat="1" applyFont="1" applyFill="1" applyBorder="1" applyAlignment="1">
      <alignment horizontal="center"/>
    </xf>
    <xf numFmtId="164" fontId="51" fillId="25" borderId="8" xfId="0" applyNumberFormat="1" applyFont="1" applyFill="1" applyBorder="1" applyAlignment="1">
      <alignment horizontal="center"/>
    </xf>
    <xf numFmtId="0" fontId="57" fillId="4" borderId="89" xfId="0" applyFont="1" applyFill="1" applyBorder="1" applyAlignment="1">
      <alignment horizontal="center" vertical="center"/>
    </xf>
    <xf numFmtId="0" fontId="49" fillId="25" borderId="18" xfId="0" applyFont="1" applyFill="1" applyBorder="1" applyAlignment="1">
      <alignment horizontal="center"/>
    </xf>
    <xf numFmtId="0" fontId="51" fillId="2" borderId="11" xfId="0" applyFont="1" applyFill="1" applyBorder="1" applyAlignment="1">
      <alignment horizontal="center"/>
    </xf>
    <xf numFmtId="0" fontId="47" fillId="2" borderId="1" xfId="0" applyFont="1" applyFill="1" applyBorder="1" applyAlignment="1">
      <alignment horizontal="center" vertical="center"/>
    </xf>
    <xf numFmtId="164" fontId="51" fillId="22" borderId="18" xfId="0" applyNumberFormat="1" applyFont="1" applyFill="1" applyBorder="1" applyAlignment="1">
      <alignment horizontal="center"/>
    </xf>
    <xf numFmtId="164" fontId="51" fillId="22" borderId="19" xfId="0" applyNumberFormat="1" applyFont="1" applyFill="1" applyBorder="1" applyAlignment="1">
      <alignment horizontal="center"/>
    </xf>
    <xf numFmtId="0" fontId="47" fillId="2" borderId="12" xfId="0" applyFont="1" applyFill="1" applyBorder="1" applyAlignment="1">
      <alignment horizontal="center"/>
    </xf>
    <xf numFmtId="166" fontId="51" fillId="2" borderId="72" xfId="0" applyNumberFormat="1" applyFont="1" applyFill="1" applyBorder="1" applyAlignment="1">
      <alignment horizontal="center"/>
    </xf>
    <xf numFmtId="165" fontId="51" fillId="2" borderId="72" xfId="0" applyNumberFormat="1" applyFont="1" applyFill="1" applyBorder="1" applyAlignment="1">
      <alignment horizontal="center"/>
    </xf>
    <xf numFmtId="0" fontId="51" fillId="2" borderId="76" xfId="0" applyFont="1" applyFill="1" applyBorder="1" applyAlignment="1">
      <alignment horizontal="center"/>
    </xf>
    <xf numFmtId="2" fontId="51" fillId="2" borderId="1" xfId="0" applyNumberFormat="1" applyFont="1" applyFill="1" applyBorder="1" applyAlignment="1">
      <alignment horizontal="center"/>
    </xf>
    <xf numFmtId="166" fontId="4" fillId="10" borderId="16" xfId="2" applyNumberFormat="1" applyFont="1" applyFill="1" applyBorder="1" applyAlignment="1">
      <alignment horizontal="center"/>
    </xf>
    <xf numFmtId="0" fontId="0" fillId="0" borderId="92" xfId="0" applyBorder="1"/>
    <xf numFmtId="0" fontId="1" fillId="0" borderId="50" xfId="0" applyFont="1" applyBorder="1" applyAlignment="1">
      <alignment horizontal="center"/>
    </xf>
    <xf numFmtId="166" fontId="4" fillId="2" borderId="16" xfId="2" applyNumberFormat="1" applyFont="1" applyFill="1" applyBorder="1" applyAlignment="1">
      <alignment horizontal="center"/>
    </xf>
    <xf numFmtId="166" fontId="0" fillId="0" borderId="0" xfId="0" applyNumberFormat="1"/>
    <xf numFmtId="167" fontId="0" fillId="0" borderId="0" xfId="0" applyNumberFormat="1"/>
    <xf numFmtId="0" fontId="1" fillId="0" borderId="68" xfId="0" applyFont="1" applyBorder="1"/>
    <xf numFmtId="0" fontId="1" fillId="3" borderId="12" xfId="0" applyFont="1" applyFill="1" applyBorder="1"/>
    <xf numFmtId="165" fontId="0" fillId="0" borderId="8" xfId="0" applyNumberFormat="1" applyBorder="1"/>
    <xf numFmtId="167" fontId="0" fillId="0" borderId="8" xfId="0" applyNumberFormat="1" applyBorder="1"/>
    <xf numFmtId="167" fontId="0" fillId="0" borderId="91" xfId="0" applyNumberFormat="1" applyBorder="1"/>
    <xf numFmtId="165" fontId="0" fillId="0" borderId="68" xfId="0" applyNumberFormat="1" applyBorder="1" applyAlignment="1">
      <alignment horizontal="center" vertical="center"/>
    </xf>
    <xf numFmtId="168" fontId="0" fillId="0" borderId="60" xfId="0" applyNumberFormat="1" applyBorder="1"/>
    <xf numFmtId="0" fontId="36" fillId="0" borderId="0" xfId="0" applyFont="1"/>
    <xf numFmtId="9" fontId="36" fillId="0" borderId="0" xfId="0" applyNumberFormat="1" applyFont="1"/>
    <xf numFmtId="164" fontId="0" fillId="2" borderId="11" xfId="0" applyNumberFormat="1" applyFill="1" applyBorder="1"/>
    <xf numFmtId="171" fontId="0" fillId="0" borderId="1" xfId="4" applyNumberFormat="1" applyFont="1" applyBorder="1"/>
    <xf numFmtId="2" fontId="0" fillId="0" borderId="15" xfId="0" applyNumberFormat="1" applyBorder="1"/>
    <xf numFmtId="2" fontId="0" fillId="0" borderId="27" xfId="0" applyNumberFormat="1" applyBorder="1" applyAlignment="1">
      <alignment horizontal="right"/>
    </xf>
    <xf numFmtId="2" fontId="0" fillId="0" borderId="15" xfId="0" applyNumberFormat="1" applyBorder="1" applyAlignment="1">
      <alignment horizontal="right"/>
    </xf>
    <xf numFmtId="2" fontId="0" fillId="2" borderId="27" xfId="0" applyNumberFormat="1" applyFill="1" applyBorder="1"/>
    <xf numFmtId="164" fontId="0" fillId="0" borderId="32" xfId="0" applyNumberFormat="1" applyBorder="1"/>
    <xf numFmtId="164" fontId="0" fillId="0" borderId="67" xfId="0" applyNumberFormat="1" applyBorder="1"/>
    <xf numFmtId="164" fontId="0" fillId="0" borderId="80" xfId="0" applyNumberFormat="1" applyBorder="1"/>
    <xf numFmtId="0" fontId="0" fillId="0" borderId="0" xfId="0" applyAlignment="1">
      <alignment horizontal="left"/>
    </xf>
    <xf numFmtId="0" fontId="1" fillId="8" borderId="0" xfId="0" applyFont="1" applyFill="1"/>
    <xf numFmtId="0" fontId="0" fillId="8" borderId="1" xfId="0" applyFill="1" applyBorder="1"/>
    <xf numFmtId="2" fontId="35" fillId="17" borderId="60" xfId="0" applyNumberFormat="1" applyFont="1" applyFill="1" applyBorder="1" applyAlignment="1">
      <alignment horizontal="center" vertical="center"/>
    </xf>
    <xf numFmtId="2" fontId="35" fillId="17" borderId="1" xfId="0" applyNumberFormat="1" applyFont="1" applyFill="1" applyBorder="1" applyAlignment="1">
      <alignment horizontal="center" vertical="center"/>
    </xf>
    <xf numFmtId="164" fontId="0" fillId="17" borderId="1" xfId="0" applyNumberFormat="1" applyFill="1" applyBorder="1"/>
    <xf numFmtId="2" fontId="0" fillId="17" borderId="1" xfId="0" applyNumberFormat="1" applyFill="1" applyBorder="1"/>
    <xf numFmtId="0" fontId="51" fillId="2" borderId="43" xfId="0" applyFont="1" applyFill="1" applyBorder="1" applyAlignment="1">
      <alignment horizontal="center"/>
    </xf>
    <xf numFmtId="164" fontId="51" fillId="25" borderId="9" xfId="0" applyNumberFormat="1" applyFont="1" applyFill="1" applyBorder="1" applyAlignment="1">
      <alignment horizontal="center"/>
    </xf>
    <xf numFmtId="164" fontId="51" fillId="2" borderId="71" xfId="0" applyNumberFormat="1" applyFont="1" applyFill="1" applyBorder="1" applyAlignment="1">
      <alignment horizontal="center"/>
    </xf>
    <xf numFmtId="164" fontId="51" fillId="2" borderId="10" xfId="0" applyNumberFormat="1" applyFont="1" applyFill="1" applyBorder="1" applyAlignment="1">
      <alignment horizontal="center"/>
    </xf>
    <xf numFmtId="164" fontId="51" fillId="2" borderId="14" xfId="0" applyNumberFormat="1" applyFont="1" applyFill="1" applyBorder="1" applyAlignment="1">
      <alignment horizontal="center"/>
    </xf>
    <xf numFmtId="164" fontId="51" fillId="2" borderId="17" xfId="0" applyNumberFormat="1" applyFont="1" applyFill="1" applyBorder="1" applyAlignment="1">
      <alignment horizontal="center"/>
    </xf>
    <xf numFmtId="0" fontId="51" fillId="2" borderId="19" xfId="0" applyFont="1" applyFill="1" applyBorder="1" applyAlignment="1">
      <alignment horizontal="center"/>
    </xf>
    <xf numFmtId="2" fontId="47" fillId="0" borderId="0" xfId="0" applyNumberFormat="1" applyFont="1" applyAlignment="1">
      <alignment horizontal="center" vertical="center"/>
    </xf>
    <xf numFmtId="0" fontId="47" fillId="0" borderId="4" xfId="0" applyFont="1" applyBorder="1" applyAlignment="1">
      <alignment horizontal="center"/>
    </xf>
    <xf numFmtId="0" fontId="47" fillId="0" borderId="5" xfId="0" applyFont="1" applyBorder="1" applyAlignment="1">
      <alignment horizontal="center"/>
    </xf>
    <xf numFmtId="0" fontId="47" fillId="0" borderId="6" xfId="0" applyFont="1" applyBorder="1" applyAlignment="1">
      <alignment horizontal="center"/>
    </xf>
    <xf numFmtId="0" fontId="51" fillId="2" borderId="44" xfId="0" applyFont="1" applyFill="1" applyBorder="1" applyAlignment="1">
      <alignment horizontal="center"/>
    </xf>
    <xf numFmtId="164" fontId="51" fillId="2" borderId="13" xfId="0" applyNumberFormat="1" applyFont="1" applyFill="1" applyBorder="1" applyAlignment="1">
      <alignment horizontal="center"/>
    </xf>
    <xf numFmtId="166" fontId="51" fillId="2" borderId="1" xfId="0" applyNumberFormat="1" applyFont="1" applyFill="1" applyBorder="1" applyAlignment="1">
      <alignment horizontal="center"/>
    </xf>
    <xf numFmtId="164" fontId="58" fillId="2" borderId="21" xfId="0" applyNumberFormat="1" applyFont="1" applyFill="1" applyBorder="1" applyAlignment="1">
      <alignment horizontal="center"/>
    </xf>
    <xf numFmtId="0" fontId="54" fillId="2" borderId="0" xfId="0" applyFont="1" applyFill="1" applyAlignment="1">
      <alignment horizontal="center" wrapText="1"/>
    </xf>
    <xf numFmtId="0" fontId="58" fillId="2" borderId="89" xfId="0" applyFont="1" applyFill="1" applyBorder="1" applyAlignment="1">
      <alignment horizontal="center"/>
    </xf>
    <xf numFmtId="164" fontId="51" fillId="17" borderId="11" xfId="0" applyNumberFormat="1" applyFont="1" applyFill="1" applyBorder="1" applyAlignment="1">
      <alignment horizontal="center"/>
    </xf>
    <xf numFmtId="164" fontId="51" fillId="17" borderId="19" xfId="0" applyNumberFormat="1" applyFont="1" applyFill="1" applyBorder="1" applyAlignment="1">
      <alignment horizontal="center"/>
    </xf>
    <xf numFmtId="166" fontId="47" fillId="2" borderId="0" xfId="0" applyNumberFormat="1" applyFont="1" applyFill="1"/>
    <xf numFmtId="166" fontId="47" fillId="2" borderId="0" xfId="0" applyNumberFormat="1" applyFont="1" applyFill="1" applyAlignment="1">
      <alignment horizontal="center"/>
    </xf>
    <xf numFmtId="0" fontId="47" fillId="2" borderId="0" xfId="0" applyFont="1" applyFill="1" applyAlignment="1">
      <alignment horizontal="left" indent="1"/>
    </xf>
    <xf numFmtId="164" fontId="51" fillId="11" borderId="1" xfId="0" applyNumberFormat="1" applyFont="1" applyFill="1" applyBorder="1" applyAlignment="1">
      <alignment horizontal="center"/>
    </xf>
    <xf numFmtId="164" fontId="51" fillId="11" borderId="10" xfId="0" applyNumberFormat="1" applyFont="1" applyFill="1" applyBorder="1" applyAlignment="1">
      <alignment horizontal="center"/>
    </xf>
    <xf numFmtId="0" fontId="47" fillId="17" borderId="0" xfId="0" applyFont="1" applyFill="1"/>
    <xf numFmtId="0" fontId="23" fillId="17" borderId="1" xfId="2" applyFont="1" applyFill="1" applyBorder="1" applyAlignment="1">
      <alignment horizontal="center" vertical="center"/>
    </xf>
    <xf numFmtId="0" fontId="15" fillId="17" borderId="1" xfId="2" applyFont="1" applyFill="1" applyBorder="1" applyAlignment="1">
      <alignment horizontal="center" vertical="center"/>
    </xf>
    <xf numFmtId="0" fontId="4" fillId="17" borderId="1" xfId="2" applyFont="1" applyFill="1" applyBorder="1" applyAlignment="1">
      <alignment horizontal="center" vertical="center"/>
    </xf>
    <xf numFmtId="164" fontId="0" fillId="0" borderId="1" xfId="0" applyNumberFormat="1" applyBorder="1"/>
    <xf numFmtId="1" fontId="0" fillId="17" borderId="1" xfId="0" applyNumberFormat="1" applyFill="1" applyBorder="1"/>
    <xf numFmtId="0" fontId="0" fillId="11" borderId="1" xfId="0" applyFill="1" applyBorder="1"/>
    <xf numFmtId="0" fontId="4" fillId="25" borderId="38" xfId="2" applyFont="1" applyFill="1" applyBorder="1" applyAlignment="1">
      <alignment horizontal="center"/>
    </xf>
    <xf numFmtId="166" fontId="4" fillId="25" borderId="16" xfId="2" applyNumberFormat="1" applyFont="1" applyFill="1" applyBorder="1" applyAlignment="1">
      <alignment horizontal="center"/>
    </xf>
    <xf numFmtId="0" fontId="4" fillId="25" borderId="10" xfId="0" applyFont="1" applyFill="1" applyBorder="1" applyAlignment="1">
      <alignment horizontal="center"/>
    </xf>
    <xf numFmtId="0" fontId="4" fillId="25" borderId="16" xfId="2" applyFont="1" applyFill="1" applyBorder="1" applyAlignment="1">
      <alignment horizontal="center"/>
    </xf>
    <xf numFmtId="0" fontId="9" fillId="25" borderId="16" xfId="2" applyFont="1" applyFill="1" applyBorder="1" applyAlignment="1">
      <alignment horizontal="center"/>
    </xf>
    <xf numFmtId="164" fontId="4" fillId="25" borderId="16" xfId="2" applyNumberFormat="1" applyFont="1" applyFill="1" applyBorder="1" applyAlignment="1">
      <alignment horizontal="center"/>
    </xf>
    <xf numFmtId="166" fontId="9" fillId="25" borderId="10" xfId="0" applyNumberFormat="1" applyFont="1" applyFill="1" applyBorder="1" applyAlignment="1">
      <alignment horizontal="center"/>
    </xf>
    <xf numFmtId="1" fontId="4" fillId="25" borderId="16" xfId="2" applyNumberFormat="1" applyFont="1" applyFill="1" applyBorder="1" applyAlignment="1">
      <alignment horizontal="center"/>
    </xf>
    <xf numFmtId="165" fontId="4" fillId="25" borderId="16" xfId="2" applyNumberFormat="1" applyFont="1" applyFill="1" applyBorder="1" applyAlignment="1">
      <alignment horizontal="center"/>
    </xf>
    <xf numFmtId="2" fontId="19" fillId="25" borderId="16" xfId="2" applyNumberFormat="1" applyFont="1" applyFill="1" applyBorder="1" applyAlignment="1">
      <alignment horizontal="center"/>
    </xf>
    <xf numFmtId="166" fontId="19" fillId="25" borderId="16" xfId="2" applyNumberFormat="1" applyFont="1" applyFill="1" applyBorder="1" applyAlignment="1">
      <alignment horizontal="center"/>
    </xf>
    <xf numFmtId="165" fontId="19" fillId="25" borderId="16" xfId="2" applyNumberFormat="1" applyFont="1" applyFill="1" applyBorder="1" applyAlignment="1">
      <alignment horizontal="center"/>
    </xf>
    <xf numFmtId="0" fontId="9" fillId="25" borderId="10" xfId="0" applyFont="1" applyFill="1" applyBorder="1" applyAlignment="1">
      <alignment horizontal="center"/>
    </xf>
    <xf numFmtId="164" fontId="9" fillId="25" borderId="16" xfId="2" applyNumberFormat="1" applyFont="1" applyFill="1" applyBorder="1" applyAlignment="1">
      <alignment horizontal="center"/>
    </xf>
    <xf numFmtId="0" fontId="45" fillId="25" borderId="10" xfId="0" applyFont="1" applyFill="1" applyBorder="1" applyAlignment="1">
      <alignment horizontal="center"/>
    </xf>
    <xf numFmtId="0" fontId="6" fillId="25" borderId="16" xfId="2" applyFont="1" applyFill="1" applyBorder="1" applyAlignment="1">
      <alignment horizontal="center"/>
    </xf>
    <xf numFmtId="0" fontId="5" fillId="25" borderId="16" xfId="2" applyFont="1" applyFill="1" applyBorder="1" applyAlignment="1">
      <alignment horizontal="center"/>
    </xf>
    <xf numFmtId="2" fontId="9" fillId="25" borderId="16" xfId="2" applyNumberFormat="1" applyFont="1" applyFill="1" applyBorder="1" applyAlignment="1">
      <alignment horizontal="center"/>
    </xf>
    <xf numFmtId="0" fontId="9" fillId="25" borderId="14" xfId="0" applyFont="1" applyFill="1" applyBorder="1" applyAlignment="1">
      <alignment horizontal="center"/>
    </xf>
    <xf numFmtId="2" fontId="9" fillId="25" borderId="47" xfId="2" applyNumberFormat="1" applyFont="1" applyFill="1" applyBorder="1" applyAlignment="1">
      <alignment horizontal="center"/>
    </xf>
    <xf numFmtId="0" fontId="9" fillId="25" borderId="74" xfId="2" applyFont="1" applyFill="1" applyBorder="1" applyAlignment="1">
      <alignment horizontal="center"/>
    </xf>
    <xf numFmtId="0" fontId="9" fillId="25" borderId="39" xfId="2" applyFont="1" applyFill="1" applyBorder="1" applyAlignment="1">
      <alignment horizontal="center"/>
    </xf>
    <xf numFmtId="0" fontId="4" fillId="25" borderId="0" xfId="2" applyFont="1" applyFill="1" applyAlignment="1">
      <alignment horizontal="center"/>
    </xf>
    <xf numFmtId="0" fontId="7" fillId="25" borderId="5" xfId="2" applyFont="1" applyFill="1" applyBorder="1" applyAlignment="1">
      <alignment horizontal="center" vertical="center"/>
    </xf>
    <xf numFmtId="0" fontId="4" fillId="25" borderId="8" xfId="2" applyFont="1" applyFill="1" applyBorder="1" applyAlignment="1">
      <alignment horizontal="center"/>
    </xf>
    <xf numFmtId="0" fontId="4" fillId="25" borderId="1" xfId="2" applyFont="1" applyFill="1" applyBorder="1" applyAlignment="1">
      <alignment horizontal="center"/>
    </xf>
    <xf numFmtId="0" fontId="4" fillId="25" borderId="12" xfId="2" applyFont="1" applyFill="1" applyBorder="1" applyAlignment="1">
      <alignment horizontal="center"/>
    </xf>
    <xf numFmtId="0" fontId="4" fillId="25" borderId="50" xfId="2" applyFont="1" applyFill="1" applyBorder="1" applyAlignment="1">
      <alignment horizontal="center"/>
    </xf>
    <xf numFmtId="0" fontId="4" fillId="25" borderId="18" xfId="2" applyFont="1" applyFill="1" applyBorder="1" applyAlignment="1">
      <alignment horizontal="center"/>
    </xf>
    <xf numFmtId="165" fontId="9" fillId="2" borderId="16" xfId="2" applyNumberFormat="1" applyFont="1" applyFill="1" applyBorder="1" applyAlignment="1">
      <alignment horizontal="center"/>
    </xf>
    <xf numFmtId="0" fontId="9" fillId="0" borderId="16" xfId="2" quotePrefix="1" applyFont="1" applyBorder="1" applyAlignment="1">
      <alignment horizontal="center"/>
    </xf>
    <xf numFmtId="166" fontId="4" fillId="0" borderId="16" xfId="2" quotePrefix="1" applyNumberFormat="1" applyFont="1" applyBorder="1" applyAlignment="1">
      <alignment horizontal="center"/>
    </xf>
    <xf numFmtId="0" fontId="34" fillId="0" borderId="54" xfId="0" applyFont="1" applyBorder="1" applyAlignment="1">
      <alignment horizontal="center"/>
    </xf>
    <xf numFmtId="2" fontId="4" fillId="0" borderId="16" xfId="2" applyNumberFormat="1" applyFont="1" applyBorder="1" applyAlignment="1">
      <alignment horizontal="center"/>
    </xf>
    <xf numFmtId="0" fontId="9" fillId="2" borderId="16" xfId="2" quotePrefix="1" applyFont="1" applyFill="1" applyBorder="1" applyAlignment="1">
      <alignment horizontal="center"/>
    </xf>
    <xf numFmtId="0" fontId="9" fillId="2" borderId="74" xfId="2" quotePrefix="1" applyFont="1" applyFill="1" applyBorder="1" applyAlignment="1">
      <alignment horizontal="center"/>
    </xf>
    <xf numFmtId="0" fontId="9" fillId="2" borderId="39" xfId="2" quotePrefix="1" applyFont="1" applyFill="1" applyBorder="1" applyAlignment="1">
      <alignment horizontal="center"/>
    </xf>
    <xf numFmtId="0" fontId="7" fillId="25" borderId="31" xfId="2" applyFont="1" applyFill="1" applyBorder="1" applyAlignment="1">
      <alignment horizontal="center" vertical="center"/>
    </xf>
    <xf numFmtId="0" fontId="4" fillId="25" borderId="26" xfId="2" applyFont="1" applyFill="1" applyBorder="1" applyAlignment="1">
      <alignment horizontal="center"/>
    </xf>
    <xf numFmtId="0" fontId="4" fillId="25" borderId="28" xfId="2" applyFont="1" applyFill="1" applyBorder="1" applyAlignment="1">
      <alignment horizontal="center"/>
    </xf>
    <xf numFmtId="0" fontId="4" fillId="25" borderId="25" xfId="2" applyFont="1" applyFill="1" applyBorder="1" applyAlignment="1">
      <alignment horizontal="center"/>
    </xf>
    <xf numFmtId="0" fontId="4" fillId="25" borderId="51" xfId="2" applyFont="1" applyFill="1" applyBorder="1" applyAlignment="1">
      <alignment horizontal="center"/>
    </xf>
    <xf numFmtId="0" fontId="4" fillId="25" borderId="37" xfId="2" applyFont="1" applyFill="1" applyBorder="1" applyAlignment="1">
      <alignment horizontal="center"/>
    </xf>
    <xf numFmtId="2" fontId="4" fillId="2" borderId="7" xfId="2" applyNumberFormat="1" applyFont="1" applyFill="1" applyBorder="1" applyAlignment="1">
      <alignment horizontal="center"/>
    </xf>
    <xf numFmtId="0" fontId="4" fillId="2" borderId="9" xfId="2" applyFont="1" applyFill="1" applyBorder="1" applyAlignment="1">
      <alignment horizontal="center"/>
    </xf>
    <xf numFmtId="2" fontId="4" fillId="0" borderId="10" xfId="2" applyNumberFormat="1" applyFont="1" applyBorder="1" applyAlignment="1">
      <alignment horizontal="center"/>
    </xf>
    <xf numFmtId="2" fontId="4" fillId="0" borderId="7" xfId="2" applyNumberFormat="1" applyFont="1" applyBorder="1" applyAlignment="1">
      <alignment horizontal="center"/>
    </xf>
    <xf numFmtId="0" fontId="4" fillId="0" borderId="9" xfId="2" applyFont="1" applyBorder="1" applyAlignment="1">
      <alignment horizontal="center"/>
    </xf>
    <xf numFmtId="2" fontId="4" fillId="0" borderId="14" xfId="2" applyNumberFormat="1" applyFont="1" applyBorder="1" applyAlignment="1">
      <alignment horizontal="center"/>
    </xf>
    <xf numFmtId="0" fontId="4" fillId="0" borderId="43" xfId="2" applyFont="1" applyBorder="1" applyAlignment="1">
      <alignment horizontal="center"/>
    </xf>
    <xf numFmtId="2" fontId="4" fillId="0" borderId="49" xfId="2" applyNumberFormat="1" applyFont="1" applyBorder="1" applyAlignment="1">
      <alignment horizontal="center"/>
    </xf>
    <xf numFmtId="0" fontId="4" fillId="0" borderId="94" xfId="2" applyFont="1" applyBorder="1" applyAlignment="1">
      <alignment horizontal="center"/>
    </xf>
    <xf numFmtId="2" fontId="4" fillId="0" borderId="17" xfId="2" applyNumberFormat="1" applyFont="1" applyBorder="1" applyAlignment="1">
      <alignment horizontal="center"/>
    </xf>
    <xf numFmtId="0" fontId="4" fillId="0" borderId="19" xfId="2" applyFont="1" applyBorder="1" applyAlignment="1">
      <alignment horizontal="center"/>
    </xf>
    <xf numFmtId="0" fontId="4" fillId="2" borderId="7" xfId="2" applyFont="1" applyFill="1" applyBorder="1" applyAlignment="1">
      <alignment horizontal="center"/>
    </xf>
    <xf numFmtId="2" fontId="4" fillId="2" borderId="9" xfId="2" applyNumberFormat="1" applyFont="1" applyFill="1" applyBorder="1" applyAlignment="1">
      <alignment horizontal="center"/>
    </xf>
    <xf numFmtId="0" fontId="4" fillId="0" borderId="10" xfId="2" applyFont="1" applyBorder="1" applyAlignment="1">
      <alignment horizontal="center"/>
    </xf>
    <xf numFmtId="2" fontId="4" fillId="0" borderId="11" xfId="2" applyNumberFormat="1" applyFont="1" applyBorder="1" applyAlignment="1">
      <alignment horizontal="center"/>
    </xf>
    <xf numFmtId="0" fontId="4" fillId="0" borderId="7" xfId="2" applyFont="1" applyBorder="1" applyAlignment="1">
      <alignment horizontal="center"/>
    </xf>
    <xf numFmtId="2" fontId="4" fillId="0" borderId="9" xfId="2" applyNumberFormat="1" applyFont="1" applyBorder="1" applyAlignment="1">
      <alignment horizontal="center"/>
    </xf>
    <xf numFmtId="0" fontId="4" fillId="0" borderId="14" xfId="2" applyFont="1" applyBorder="1" applyAlignment="1">
      <alignment horizontal="center"/>
    </xf>
    <xf numFmtId="2" fontId="4" fillId="0" borderId="43" xfId="2" applyNumberFormat="1" applyFont="1" applyBorder="1" applyAlignment="1">
      <alignment horizontal="center"/>
    </xf>
    <xf numFmtId="2" fontId="4" fillId="0" borderId="94" xfId="2" applyNumberFormat="1" applyFont="1" applyBorder="1" applyAlignment="1">
      <alignment horizontal="center"/>
    </xf>
    <xf numFmtId="2" fontId="4" fillId="0" borderId="19" xfId="2" applyNumberFormat="1" applyFont="1" applyBorder="1" applyAlignment="1">
      <alignment horizontal="center"/>
    </xf>
    <xf numFmtId="0" fontId="4" fillId="21" borderId="0" xfId="2" applyFont="1" applyFill="1" applyAlignment="1">
      <alignment horizontal="center" vertical="center"/>
    </xf>
    <xf numFmtId="0" fontId="4" fillId="21" borderId="0" xfId="2" applyFont="1" applyFill="1" applyAlignment="1">
      <alignment horizontal="center"/>
    </xf>
    <xf numFmtId="0" fontId="5" fillId="13" borderId="0" xfId="2" applyFont="1" applyFill="1" applyAlignment="1">
      <alignment vertical="center"/>
    </xf>
    <xf numFmtId="0" fontId="23" fillId="0" borderId="0" xfId="2" applyFont="1" applyAlignment="1">
      <alignment vertical="center"/>
    </xf>
    <xf numFmtId="2" fontId="9" fillId="2" borderId="40" xfId="2" applyNumberFormat="1" applyFont="1" applyFill="1" applyBorder="1" applyAlignment="1">
      <alignment horizontal="center"/>
    </xf>
    <xf numFmtId="2" fontId="9" fillId="2" borderId="11" xfId="2" applyNumberFormat="1" applyFont="1" applyFill="1" applyBorder="1" applyAlignment="1">
      <alignment horizontal="center"/>
    </xf>
    <xf numFmtId="0" fontId="4" fillId="2" borderId="16" xfId="2" applyFont="1" applyFill="1" applyBorder="1"/>
    <xf numFmtId="2" fontId="9" fillId="2" borderId="16" xfId="2" applyNumberFormat="1" applyFont="1" applyFill="1" applyBorder="1" applyAlignment="1">
      <alignment horizontal="center"/>
    </xf>
    <xf numFmtId="2" fontId="9" fillId="2" borderId="28" xfId="2" applyNumberFormat="1" applyFont="1" applyFill="1" applyBorder="1" applyAlignment="1">
      <alignment horizontal="center"/>
    </xf>
    <xf numFmtId="0" fontId="4" fillId="10" borderId="47" xfId="2" applyFont="1" applyFill="1" applyBorder="1"/>
    <xf numFmtId="0" fontId="4" fillId="0" borderId="35" xfId="2" applyFont="1" applyBorder="1"/>
    <xf numFmtId="164" fontId="35" fillId="0" borderId="91" xfId="0" applyNumberFormat="1" applyFont="1" applyBorder="1" applyAlignment="1">
      <alignment horizontal="center"/>
    </xf>
    <xf numFmtId="164" fontId="35" fillId="0" borderId="66" xfId="0" applyNumberFormat="1" applyFont="1" applyBorder="1" applyAlignment="1">
      <alignment horizontal="center"/>
    </xf>
    <xf numFmtId="164" fontId="0" fillId="0" borderId="84" xfId="0" applyNumberFormat="1" applyBorder="1" applyAlignment="1">
      <alignment horizontal="center"/>
    </xf>
    <xf numFmtId="0" fontId="1" fillId="0" borderId="95" xfId="0" applyFont="1" applyBorder="1" applyAlignment="1">
      <alignment horizontal="center"/>
    </xf>
    <xf numFmtId="0" fontId="0" fillId="0" borderId="96" xfId="0" applyBorder="1"/>
    <xf numFmtId="0" fontId="0" fillId="0" borderId="91" xfId="0" applyBorder="1" applyAlignment="1">
      <alignment horizontal="center" vertical="center"/>
    </xf>
    <xf numFmtId="0" fontId="0" fillId="0" borderId="66" xfId="0" applyBorder="1"/>
    <xf numFmtId="0" fontId="0" fillId="0" borderId="84" xfId="0" applyBorder="1" applyAlignment="1">
      <alignment horizontal="center" vertical="center"/>
    </xf>
    <xf numFmtId="0" fontId="0" fillId="0" borderId="95" xfId="0" applyBorder="1"/>
    <xf numFmtId="0" fontId="0" fillId="0" borderId="95" xfId="0" applyBorder="1" applyAlignment="1">
      <alignment horizontal="center" vertical="center"/>
    </xf>
    <xf numFmtId="2" fontId="0" fillId="0" borderId="91" xfId="0" applyNumberFormat="1" applyBorder="1" applyAlignment="1">
      <alignment horizontal="center" vertical="center"/>
    </xf>
    <xf numFmtId="2" fontId="0" fillId="0" borderId="95" xfId="0" applyNumberFormat="1" applyBorder="1" applyAlignment="1">
      <alignment horizontal="center" vertical="center"/>
    </xf>
    <xf numFmtId="0" fontId="1" fillId="21" borderId="66" xfId="0" applyFont="1" applyFill="1" applyBorder="1" applyAlignment="1">
      <alignment horizontal="center"/>
    </xf>
    <xf numFmtId="0" fontId="1" fillId="0" borderId="66" xfId="0" applyFont="1" applyBorder="1" applyAlignment="1">
      <alignment horizontal="center"/>
    </xf>
    <xf numFmtId="166" fontId="35" fillId="0" borderId="66" xfId="0" applyNumberFormat="1" applyFont="1" applyBorder="1" applyAlignment="1">
      <alignment horizontal="center"/>
    </xf>
    <xf numFmtId="2" fontId="34" fillId="0" borderId="66" xfId="0" applyNumberFormat="1" applyFont="1" applyBorder="1" applyAlignment="1">
      <alignment horizontal="center"/>
    </xf>
    <xf numFmtId="164" fontId="35" fillId="0" borderId="84" xfId="0" applyNumberFormat="1" applyFont="1" applyBorder="1"/>
    <xf numFmtId="0" fontId="35" fillId="0" borderId="95" xfId="0" applyFont="1" applyBorder="1"/>
    <xf numFmtId="2" fontId="1" fillId="0" borderId="84" xfId="0" applyNumberFormat="1" applyFont="1" applyBorder="1" applyAlignment="1">
      <alignment horizontal="center" vertical="center"/>
    </xf>
    <xf numFmtId="167" fontId="0" fillId="0" borderId="66" xfId="0" applyNumberFormat="1" applyBorder="1"/>
    <xf numFmtId="0" fontId="0" fillId="8" borderId="66" xfId="0" applyFill="1" applyBorder="1"/>
    <xf numFmtId="0" fontId="0" fillId="7" borderId="66" xfId="0" applyFill="1" applyBorder="1"/>
    <xf numFmtId="166" fontId="0" fillId="0" borderId="91" xfId="0" applyNumberFormat="1" applyBorder="1" applyAlignment="1">
      <alignment horizontal="center" vertical="center"/>
    </xf>
    <xf numFmtId="166" fontId="1" fillId="0" borderId="66" xfId="0" applyNumberFormat="1" applyFont="1" applyBorder="1" applyAlignment="1">
      <alignment horizontal="center" vertical="center"/>
    </xf>
    <xf numFmtId="0" fontId="0" fillId="0" borderId="84" xfId="0" applyBorder="1"/>
    <xf numFmtId="166" fontId="0" fillId="0" borderId="92" xfId="0" applyNumberFormat="1" applyBorder="1" applyAlignment="1">
      <alignment horizontal="center" vertical="center"/>
    </xf>
    <xf numFmtId="166" fontId="0" fillId="0" borderId="96" xfId="0" applyNumberFormat="1" applyBorder="1" applyAlignment="1">
      <alignment horizontal="center" vertical="center"/>
    </xf>
    <xf numFmtId="166" fontId="0" fillId="0" borderId="84" xfId="0" applyNumberFormat="1" applyBorder="1" applyAlignment="1">
      <alignment horizontal="center" vertical="center"/>
    </xf>
    <xf numFmtId="0" fontId="0" fillId="0" borderId="91" xfId="0" applyBorder="1"/>
    <xf numFmtId="0" fontId="1" fillId="0" borderId="66" xfId="0" applyFont="1" applyBorder="1" applyAlignment="1">
      <alignment horizontal="center" vertical="center"/>
    </xf>
    <xf numFmtId="0" fontId="35" fillId="0" borderId="66" xfId="0" applyFont="1" applyBorder="1"/>
    <xf numFmtId="2" fontId="0" fillId="7" borderId="66" xfId="0" applyNumberFormat="1" applyFill="1" applyBorder="1"/>
    <xf numFmtId="0" fontId="0" fillId="0" borderId="97" xfId="0" applyBorder="1"/>
    <xf numFmtId="2" fontId="0" fillId="7" borderId="66" xfId="0" applyNumberFormat="1" applyFill="1" applyBorder="1" applyAlignment="1">
      <alignment horizontal="center"/>
    </xf>
    <xf numFmtId="2" fontId="0" fillId="0" borderId="96" xfId="0" applyNumberFormat="1" applyBorder="1" applyAlignment="1">
      <alignment horizontal="center" vertical="center"/>
    </xf>
    <xf numFmtId="164" fontId="0" fillId="0" borderId="91" xfId="0" applyNumberFormat="1" applyBorder="1" applyAlignment="1">
      <alignment horizontal="center"/>
    </xf>
    <xf numFmtId="164" fontId="0" fillId="7" borderId="66" xfId="0" applyNumberFormat="1" applyFill="1" applyBorder="1" applyAlignment="1">
      <alignment horizontal="center"/>
    </xf>
    <xf numFmtId="2" fontId="0" fillId="0" borderId="96" xfId="0" applyNumberFormat="1" applyBorder="1" applyAlignment="1">
      <alignment horizontal="center"/>
    </xf>
    <xf numFmtId="0" fontId="0" fillId="7" borderId="66" xfId="0" applyFill="1" applyBorder="1" applyAlignment="1">
      <alignment horizontal="center" vertical="center"/>
    </xf>
    <xf numFmtId="164" fontId="0" fillId="0" borderId="66" xfId="0" applyNumberFormat="1" applyBorder="1" applyAlignment="1">
      <alignment horizontal="center" vertical="center"/>
    </xf>
    <xf numFmtId="166" fontId="0" fillId="0" borderId="1" xfId="0" applyNumberFormat="1" applyBorder="1" applyAlignment="1">
      <alignment vertical="center"/>
    </xf>
    <xf numFmtId="165" fontId="0" fillId="0" borderId="3" xfId="0" applyNumberFormat="1" applyBorder="1" applyAlignment="1">
      <alignment horizontal="center" vertical="center"/>
    </xf>
    <xf numFmtId="0" fontId="1" fillId="0" borderId="57" xfId="0" applyFont="1" applyBorder="1" applyAlignment="1">
      <alignment horizontal="right"/>
    </xf>
    <xf numFmtId="0" fontId="34" fillId="0" borderId="8" xfId="0" applyFont="1" applyBorder="1" applyAlignment="1">
      <alignment horizontal="center"/>
    </xf>
    <xf numFmtId="0" fontId="1" fillId="0" borderId="67" xfId="0" applyFont="1" applyBorder="1" applyAlignment="1">
      <alignment horizontal="right"/>
    </xf>
    <xf numFmtId="0" fontId="1" fillId="0" borderId="84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92" xfId="0" applyFont="1" applyBorder="1" applyAlignment="1">
      <alignment horizontal="center"/>
    </xf>
    <xf numFmtId="0" fontId="1" fillId="0" borderId="54" xfId="0" applyFont="1" applyBorder="1" applyAlignment="1">
      <alignment horizontal="left" vertical="center"/>
    </xf>
    <xf numFmtId="0" fontId="0" fillId="0" borderId="96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164" fontId="0" fillId="0" borderId="58" xfId="0" applyNumberFormat="1" applyBorder="1" applyAlignment="1">
      <alignment horizontal="center" vertical="center"/>
    </xf>
    <xf numFmtId="166" fontId="0" fillId="0" borderId="58" xfId="0" applyNumberFormat="1" applyBorder="1"/>
    <xf numFmtId="0" fontId="0" fillId="2" borderId="13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6" fontId="0" fillId="0" borderId="13" xfId="0" applyNumberFormat="1" applyBorder="1" applyAlignment="1">
      <alignment horizontal="center" vertical="center"/>
    </xf>
    <xf numFmtId="0" fontId="1" fillId="21" borderId="98" xfId="0" applyFont="1" applyFill="1" applyBorder="1"/>
    <xf numFmtId="0" fontId="1" fillId="21" borderId="91" xfId="0" applyFont="1" applyFill="1" applyBorder="1" applyAlignment="1">
      <alignment horizontal="center"/>
    </xf>
    <xf numFmtId="0" fontId="1" fillId="21" borderId="8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166" fontId="1" fillId="0" borderId="8" xfId="0" applyNumberFormat="1" applyFont="1" applyBorder="1" applyAlignment="1">
      <alignment horizontal="center" vertical="center"/>
    </xf>
    <xf numFmtId="0" fontId="1" fillId="0" borderId="99" xfId="0" applyFont="1" applyBorder="1"/>
    <xf numFmtId="0" fontId="1" fillId="3" borderId="54" xfId="0" applyFont="1" applyFill="1" applyBorder="1" applyAlignment="1">
      <alignment horizontal="center"/>
    </xf>
    <xf numFmtId="166" fontId="1" fillId="0" borderId="12" xfId="0" applyNumberFormat="1" applyFont="1" applyBorder="1" applyAlignment="1">
      <alignment horizontal="center" vertical="center"/>
    </xf>
    <xf numFmtId="2" fontId="35" fillId="0" borderId="8" xfId="0" applyNumberFormat="1" applyFont="1" applyBorder="1" applyAlignment="1">
      <alignment horizontal="center" vertical="center"/>
    </xf>
    <xf numFmtId="0" fontId="35" fillId="0" borderId="8" xfId="0" applyFont="1" applyBorder="1" applyAlignment="1">
      <alignment horizontal="center" vertical="center"/>
    </xf>
    <xf numFmtId="0" fontId="34" fillId="0" borderId="12" xfId="0" applyFont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2" fontId="35" fillId="0" borderId="91" xfId="0" applyNumberFormat="1" applyFont="1" applyBorder="1" applyAlignment="1">
      <alignment horizontal="center"/>
    </xf>
    <xf numFmtId="2" fontId="35" fillId="0" borderId="8" xfId="0" applyNumberFormat="1" applyFont="1" applyBorder="1" applyAlignment="1">
      <alignment horizontal="center"/>
    </xf>
    <xf numFmtId="2" fontId="35" fillId="0" borderId="8" xfId="0" applyNumberFormat="1" applyFont="1" applyBorder="1"/>
    <xf numFmtId="2" fontId="35" fillId="3" borderId="8" xfId="0" applyNumberFormat="1" applyFont="1" applyFill="1" applyBorder="1"/>
    <xf numFmtId="165" fontId="35" fillId="0" borderId="8" xfId="0" applyNumberFormat="1" applyFont="1" applyBorder="1" applyAlignment="1">
      <alignment horizontal="center" vertical="center"/>
    </xf>
    <xf numFmtId="0" fontId="35" fillId="3" borderId="8" xfId="0" applyFont="1" applyFill="1" applyBorder="1"/>
    <xf numFmtId="165" fontId="35" fillId="0" borderId="8" xfId="0" applyNumberFormat="1" applyFont="1" applyBorder="1" applyAlignment="1">
      <alignment horizontal="center"/>
    </xf>
    <xf numFmtId="0" fontId="35" fillId="0" borderId="8" xfId="0" applyFont="1" applyBorder="1" applyAlignment="1">
      <alignment horizontal="right"/>
    </xf>
    <xf numFmtId="2" fontId="35" fillId="3" borderId="8" xfId="0" applyNumberFormat="1" applyFont="1" applyFill="1" applyBorder="1" applyAlignment="1">
      <alignment horizontal="center" vertical="center"/>
    </xf>
    <xf numFmtId="0" fontId="0" fillId="21" borderId="100" xfId="0" applyFill="1" applyBorder="1"/>
    <xf numFmtId="0" fontId="0" fillId="21" borderId="101" xfId="0" applyFill="1" applyBorder="1" applyAlignment="1">
      <alignment horizontal="center" vertical="center"/>
    </xf>
    <xf numFmtId="0" fontId="0" fillId="3" borderId="101" xfId="0" applyFill="1" applyBorder="1"/>
    <xf numFmtId="0" fontId="0" fillId="13" borderId="101" xfId="0" applyFill="1" applyBorder="1"/>
    <xf numFmtId="0" fontId="0" fillId="13" borderId="101" xfId="0" applyFill="1" applyBorder="1" applyAlignment="1">
      <alignment horizontal="center" vertical="center"/>
    </xf>
    <xf numFmtId="0" fontId="0" fillId="13" borderId="102" xfId="0" applyFill="1" applyBorder="1"/>
    <xf numFmtId="0" fontId="0" fillId="3" borderId="103" xfId="0" applyFill="1" applyBorder="1"/>
    <xf numFmtId="0" fontId="0" fillId="13" borderId="104" xfId="0" applyFill="1" applyBorder="1" applyAlignment="1">
      <alignment horizontal="right"/>
    </xf>
    <xf numFmtId="0" fontId="0" fillId="13" borderId="105" xfId="0" applyFill="1" applyBorder="1" applyAlignment="1">
      <alignment horizontal="center" vertical="center"/>
    </xf>
    <xf numFmtId="0" fontId="0" fillId="13" borderId="101" xfId="0" applyFill="1" applyBorder="1" applyAlignment="1">
      <alignment vertical="center"/>
    </xf>
    <xf numFmtId="0" fontId="0" fillId="13" borderId="102" xfId="0" applyFill="1" applyBorder="1" applyAlignment="1">
      <alignment horizontal="center" vertical="center"/>
    </xf>
    <xf numFmtId="0" fontId="1" fillId="3" borderId="106" xfId="0" applyFont="1" applyFill="1" applyBorder="1" applyAlignment="1">
      <alignment horizontal="center" vertical="center"/>
    </xf>
    <xf numFmtId="2" fontId="0" fillId="13" borderId="105" xfId="0" applyNumberFormat="1" applyFill="1" applyBorder="1" applyAlignment="1">
      <alignment horizontal="center" vertical="center"/>
    </xf>
    <xf numFmtId="2" fontId="36" fillId="13" borderId="101" xfId="0" applyNumberFormat="1" applyFont="1" applyFill="1" applyBorder="1" applyAlignment="1">
      <alignment horizontal="center" vertical="center"/>
    </xf>
    <xf numFmtId="164" fontId="36" fillId="13" borderId="101" xfId="0" applyNumberFormat="1" applyFont="1" applyFill="1" applyBorder="1" applyAlignment="1">
      <alignment horizontal="center" vertical="center"/>
    </xf>
    <xf numFmtId="2" fontId="35" fillId="13" borderId="101" xfId="0" applyNumberFormat="1" applyFont="1" applyFill="1" applyBorder="1" applyAlignment="1">
      <alignment horizontal="center"/>
    </xf>
    <xf numFmtId="165" fontId="35" fillId="13" borderId="101" xfId="0" applyNumberFormat="1" applyFont="1" applyFill="1" applyBorder="1" applyAlignment="1">
      <alignment horizontal="center"/>
    </xf>
    <xf numFmtId="2" fontId="35" fillId="0" borderId="107" xfId="0" applyNumberFormat="1" applyFont="1" applyBorder="1" applyAlignment="1">
      <alignment horizontal="center"/>
    </xf>
    <xf numFmtId="2" fontId="35" fillId="0" borderId="108" xfId="0" applyNumberFormat="1" applyFont="1" applyBorder="1" applyAlignment="1">
      <alignment horizontal="center"/>
    </xf>
    <xf numFmtId="164" fontId="35" fillId="0" borderId="108" xfId="0" applyNumberFormat="1" applyFont="1" applyBorder="1" applyAlignment="1">
      <alignment horizontal="center"/>
    </xf>
    <xf numFmtId="2" fontId="35" fillId="0" borderId="108" xfId="0" applyNumberFormat="1" applyFont="1" applyBorder="1"/>
    <xf numFmtId="2" fontId="35" fillId="3" borderId="108" xfId="0" applyNumberFormat="1" applyFont="1" applyFill="1" applyBorder="1"/>
    <xf numFmtId="164" fontId="35" fillId="0" borderId="108" xfId="0" applyNumberFormat="1" applyFont="1" applyBorder="1" applyAlignment="1">
      <alignment horizontal="center" vertical="center"/>
    </xf>
    <xf numFmtId="2" fontId="35" fillId="0" borderId="108" xfId="0" applyNumberFormat="1" applyFont="1" applyBorder="1" applyAlignment="1">
      <alignment horizontal="center" vertical="center"/>
    </xf>
    <xf numFmtId="0" fontId="35" fillId="3" borderId="108" xfId="0" applyFont="1" applyFill="1" applyBorder="1"/>
    <xf numFmtId="2" fontId="35" fillId="0" borderId="109" xfId="0" applyNumberFormat="1" applyFont="1" applyBorder="1" applyAlignment="1">
      <alignment horizontal="center"/>
    </xf>
    <xf numFmtId="0" fontId="35" fillId="3" borderId="110" xfId="0" applyFont="1" applyFill="1" applyBorder="1"/>
    <xf numFmtId="0" fontId="35" fillId="0" borderId="111" xfId="0" applyFont="1" applyBorder="1" applyAlignment="1">
      <alignment horizontal="right"/>
    </xf>
    <xf numFmtId="2" fontId="35" fillId="0" borderId="112" xfId="0" applyNumberFormat="1" applyFont="1" applyBorder="1" applyAlignment="1">
      <alignment horizontal="center" vertical="center"/>
    </xf>
    <xf numFmtId="2" fontId="35" fillId="0" borderId="109" xfId="0" applyNumberFormat="1" applyFont="1" applyBorder="1" applyAlignment="1">
      <alignment horizontal="center" vertical="center"/>
    </xf>
    <xf numFmtId="2" fontId="35" fillId="3" borderId="113" xfId="0" applyNumberFormat="1" applyFont="1" applyFill="1" applyBorder="1" applyAlignment="1">
      <alignment horizontal="center" vertical="center"/>
    </xf>
    <xf numFmtId="0" fontId="0" fillId="0" borderId="108" xfId="0" applyBorder="1"/>
    <xf numFmtId="0" fontId="0" fillId="0" borderId="109" xfId="0" applyBorder="1"/>
    <xf numFmtId="0" fontId="1" fillId="21" borderId="114" xfId="0" applyFont="1" applyFill="1" applyBorder="1"/>
    <xf numFmtId="0" fontId="1" fillId="21" borderId="115" xfId="0" applyFont="1" applyFill="1" applyBorder="1"/>
    <xf numFmtId="0" fontId="1" fillId="21" borderId="116" xfId="0" applyFont="1" applyFill="1" applyBorder="1"/>
    <xf numFmtId="0" fontId="1" fillId="0" borderId="117" xfId="0" applyFont="1" applyBorder="1"/>
    <xf numFmtId="0" fontId="1" fillId="0" borderId="118" xfId="0" applyFont="1" applyBorder="1"/>
    <xf numFmtId="0" fontId="1" fillId="0" borderId="119" xfId="0" applyFont="1" applyBorder="1"/>
    <xf numFmtId="0" fontId="0" fillId="21" borderId="101" xfId="0" applyFill="1" applyBorder="1"/>
    <xf numFmtId="0" fontId="0" fillId="21" borderId="1" xfId="0" applyFill="1" applyBorder="1"/>
    <xf numFmtId="0" fontId="0" fillId="21" borderId="8" xfId="0" applyFill="1" applyBorder="1"/>
    <xf numFmtId="2" fontId="35" fillId="0" borderId="3" xfId="0" applyNumberFormat="1" applyFont="1" applyBorder="1" applyAlignment="1">
      <alignment horizontal="center"/>
    </xf>
    <xf numFmtId="0" fontId="1" fillId="0" borderId="59" xfId="0" applyFont="1" applyBorder="1"/>
    <xf numFmtId="166" fontId="0" fillId="0" borderId="54" xfId="0" applyNumberFormat="1" applyBorder="1" applyAlignment="1">
      <alignment horizontal="center" vertical="center"/>
    </xf>
    <xf numFmtId="0" fontId="0" fillId="8" borderId="1" xfId="0" applyFill="1" applyBorder="1" applyAlignment="1">
      <alignment horizontal="right"/>
    </xf>
    <xf numFmtId="0" fontId="1" fillId="8" borderId="1" xfId="0" applyFont="1" applyFill="1" applyBorder="1"/>
    <xf numFmtId="0" fontId="0" fillId="8" borderId="0" xfId="0" applyFill="1"/>
    <xf numFmtId="0" fontId="0" fillId="7" borderId="0" xfId="0" applyFill="1"/>
    <xf numFmtId="2" fontId="0" fillId="0" borderId="3" xfId="0" applyNumberFormat="1" applyBorder="1" applyAlignment="1">
      <alignment horizontal="center"/>
    </xf>
    <xf numFmtId="0" fontId="0" fillId="0" borderId="120" xfId="0" applyBorder="1"/>
    <xf numFmtId="0" fontId="0" fillId="0" borderId="121" xfId="0" applyBorder="1"/>
    <xf numFmtId="0" fontId="1" fillId="0" borderId="121" xfId="0" applyFont="1" applyBorder="1"/>
    <xf numFmtId="166" fontId="0" fillId="0" borderId="121" xfId="0" applyNumberFormat="1" applyBorder="1" applyAlignment="1">
      <alignment horizontal="center" vertical="center"/>
    </xf>
    <xf numFmtId="166" fontId="0" fillId="3" borderId="121" xfId="0" applyNumberFormat="1" applyFill="1" applyBorder="1" applyAlignment="1">
      <alignment horizontal="center" vertical="center"/>
    </xf>
    <xf numFmtId="0" fontId="0" fillId="3" borderId="121" xfId="0" applyFill="1" applyBorder="1"/>
    <xf numFmtId="0" fontId="0" fillId="0" borderId="121" xfId="0" applyBorder="1" applyAlignment="1">
      <alignment horizontal="right"/>
    </xf>
    <xf numFmtId="0" fontId="0" fillId="0" borderId="122" xfId="0" applyBorder="1"/>
    <xf numFmtId="0" fontId="1" fillId="7" borderId="122" xfId="0" applyFont="1" applyFill="1" applyBorder="1"/>
    <xf numFmtId="166" fontId="0" fillId="7" borderId="122" xfId="0" applyNumberFormat="1" applyFill="1" applyBorder="1" applyAlignment="1">
      <alignment horizontal="center" vertical="center"/>
    </xf>
    <xf numFmtId="166" fontId="0" fillId="0" borderId="122" xfId="0" applyNumberFormat="1" applyBorder="1" applyAlignment="1">
      <alignment horizontal="center" vertical="center"/>
    </xf>
    <xf numFmtId="166" fontId="0" fillId="3" borderId="122" xfId="0" applyNumberFormat="1" applyFill="1" applyBorder="1" applyAlignment="1">
      <alignment horizontal="center" vertical="center"/>
    </xf>
    <xf numFmtId="0" fontId="0" fillId="3" borderId="122" xfId="0" applyFill="1" applyBorder="1"/>
    <xf numFmtId="0" fontId="0" fillId="0" borderId="122" xfId="0" applyBorder="1" applyAlignment="1">
      <alignment horizontal="right"/>
    </xf>
    <xf numFmtId="0" fontId="1" fillId="0" borderId="122" xfId="0" applyFont="1" applyBorder="1"/>
    <xf numFmtId="1" fontId="0" fillId="0" borderId="8" xfId="0" applyNumberFormat="1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2" fontId="0" fillId="0" borderId="58" xfId="0" applyNumberFormat="1" applyBorder="1"/>
    <xf numFmtId="167" fontId="1" fillId="17" borderId="84" xfId="0" applyNumberFormat="1" applyFont="1" applyFill="1" applyBorder="1"/>
    <xf numFmtId="0" fontId="0" fillId="0" borderId="124" xfId="0" applyBorder="1"/>
    <xf numFmtId="0" fontId="0" fillId="3" borderId="124" xfId="0" applyFill="1" applyBorder="1"/>
    <xf numFmtId="0" fontId="1" fillId="0" borderId="124" xfId="0" applyFont="1" applyBorder="1"/>
    <xf numFmtId="0" fontId="1" fillId="3" borderId="124" xfId="0" applyFont="1" applyFill="1" applyBorder="1"/>
    <xf numFmtId="16" fontId="0" fillId="3" borderId="124" xfId="0" applyNumberFormat="1" applyFill="1" applyBorder="1"/>
    <xf numFmtId="0" fontId="1" fillId="0" borderId="124" xfId="0" applyFont="1" applyBorder="1" applyAlignment="1">
      <alignment horizontal="right"/>
    </xf>
    <xf numFmtId="0" fontId="34" fillId="0" borderId="124" xfId="0" applyFont="1" applyBorder="1"/>
    <xf numFmtId="0" fontId="34" fillId="0" borderId="124" xfId="0" applyFont="1" applyBorder="1" applyAlignment="1">
      <alignment horizontal="center"/>
    </xf>
    <xf numFmtId="164" fontId="35" fillId="0" borderId="61" xfId="0" applyNumberFormat="1" applyFont="1" applyBorder="1" applyAlignment="1">
      <alignment horizontal="center"/>
    </xf>
    <xf numFmtId="164" fontId="35" fillId="0" borderId="60" xfId="0" applyNumberFormat="1" applyFont="1" applyBorder="1" applyAlignment="1">
      <alignment horizontal="center"/>
    </xf>
    <xf numFmtId="164" fontId="0" fillId="0" borderId="68" xfId="0" applyNumberForma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1" fillId="0" borderId="93" xfId="0" applyFont="1" applyBorder="1" applyAlignment="1">
      <alignment horizontal="center"/>
    </xf>
    <xf numFmtId="0" fontId="0" fillId="0" borderId="69" xfId="0" applyBorder="1"/>
    <xf numFmtId="0" fontId="0" fillId="0" borderId="61" xfId="0" applyBorder="1" applyAlignment="1">
      <alignment vertical="center"/>
    </xf>
    <xf numFmtId="0" fontId="0" fillId="0" borderId="60" xfId="0" applyBorder="1" applyAlignment="1">
      <alignment vertical="center"/>
    </xf>
    <xf numFmtId="0" fontId="0" fillId="0" borderId="68" xfId="0" applyBorder="1" applyAlignment="1">
      <alignment vertical="center"/>
    </xf>
    <xf numFmtId="0" fontId="0" fillId="0" borderId="55" xfId="0" applyBorder="1"/>
    <xf numFmtId="0" fontId="0" fillId="0" borderId="61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2" fontId="0" fillId="0" borderId="55" xfId="0" applyNumberFormat="1" applyBorder="1" applyAlignment="1">
      <alignment horizontal="center" vertical="center"/>
    </xf>
    <xf numFmtId="2" fontId="0" fillId="0" borderId="69" xfId="0" applyNumberFormat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1" fillId="21" borderId="61" xfId="0" applyFont="1" applyFill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1" fillId="21" borderId="60" xfId="0" applyFont="1" applyFill="1" applyBorder="1" applyAlignment="1">
      <alignment horizontal="center"/>
    </xf>
    <xf numFmtId="0" fontId="1" fillId="0" borderId="68" xfId="0" applyFont="1" applyBorder="1" applyAlignment="1">
      <alignment horizontal="center"/>
    </xf>
    <xf numFmtId="0" fontId="0" fillId="21" borderId="103" xfId="0" applyFill="1" applyBorder="1" applyAlignment="1">
      <alignment horizontal="center" vertical="center"/>
    </xf>
    <xf numFmtId="2" fontId="35" fillId="0" borderId="110" xfId="0" applyNumberFormat="1" applyFont="1" applyBorder="1" applyAlignment="1">
      <alignment horizontal="center"/>
    </xf>
    <xf numFmtId="2" fontId="35" fillId="0" borderId="61" xfId="0" applyNumberFormat="1" applyFont="1" applyBorder="1" applyAlignment="1">
      <alignment horizontal="center"/>
    </xf>
    <xf numFmtId="2" fontId="34" fillId="0" borderId="60" xfId="0" applyNumberFormat="1" applyFont="1" applyBorder="1" applyAlignment="1">
      <alignment horizontal="center"/>
    </xf>
    <xf numFmtId="2" fontId="35" fillId="0" borderId="60" xfId="0" applyNumberFormat="1" applyFont="1" applyBorder="1" applyAlignment="1">
      <alignment horizontal="center" vertical="center"/>
    </xf>
    <xf numFmtId="0" fontId="35" fillId="0" borderId="60" xfId="0" applyFont="1" applyBorder="1" applyAlignment="1">
      <alignment horizontal="center" vertical="center"/>
    </xf>
    <xf numFmtId="164" fontId="35" fillId="0" borderId="60" xfId="0" applyNumberFormat="1" applyFont="1" applyBorder="1"/>
    <xf numFmtId="164" fontId="35" fillId="0" borderId="68" xfId="0" applyNumberFormat="1" applyFont="1" applyBorder="1"/>
    <xf numFmtId="2" fontId="35" fillId="0" borderId="55" xfId="0" applyNumberFormat="1" applyFont="1" applyBorder="1"/>
    <xf numFmtId="2" fontId="1" fillId="0" borderId="68" xfId="0" applyNumberFormat="1" applyFont="1" applyBorder="1" applyAlignment="1">
      <alignment horizontal="center" vertical="center"/>
    </xf>
    <xf numFmtId="165" fontId="0" fillId="0" borderId="61" xfId="0" applyNumberFormat="1" applyBorder="1"/>
    <xf numFmtId="0" fontId="0" fillId="8" borderId="60" xfId="0" applyFill="1" applyBorder="1"/>
    <xf numFmtId="0" fontId="0" fillId="7" borderId="60" xfId="0" applyFill="1" applyBorder="1"/>
    <xf numFmtId="166" fontId="0" fillId="0" borderId="61" xfId="0" applyNumberFormat="1" applyBorder="1" applyAlignment="1">
      <alignment horizontal="center" vertical="center"/>
    </xf>
    <xf numFmtId="166" fontId="0" fillId="0" borderId="60" xfId="0" applyNumberFormat="1" applyBorder="1" applyAlignment="1">
      <alignment horizontal="center" vertical="center"/>
    </xf>
    <xf numFmtId="166" fontId="1" fillId="0" borderId="60" xfId="0" applyNumberFormat="1" applyFont="1" applyBorder="1" applyAlignment="1">
      <alignment horizontal="center" vertical="center"/>
    </xf>
    <xf numFmtId="0" fontId="0" fillId="0" borderId="68" xfId="0" applyBorder="1"/>
    <xf numFmtId="166" fontId="0" fillId="0" borderId="93" xfId="0" applyNumberFormat="1" applyBorder="1" applyAlignment="1">
      <alignment horizontal="center" vertical="center"/>
    </xf>
    <xf numFmtId="166" fontId="0" fillId="0" borderId="69" xfId="0" applyNumberFormat="1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166" fontId="0" fillId="0" borderId="68" xfId="0" applyNumberFormat="1" applyBorder="1" applyAlignment="1">
      <alignment horizontal="center" vertical="center"/>
    </xf>
    <xf numFmtId="166" fontId="0" fillId="0" borderId="125" xfId="0" applyNumberFormat="1" applyBorder="1" applyAlignment="1">
      <alignment horizontal="center" vertical="center"/>
    </xf>
    <xf numFmtId="166" fontId="0" fillId="0" borderId="126" xfId="0" applyNumberFormat="1" applyBorder="1" applyAlignment="1">
      <alignment horizontal="center" vertical="center"/>
    </xf>
    <xf numFmtId="0" fontId="35" fillId="0" borderId="60" xfId="0" applyFont="1" applyBorder="1"/>
    <xf numFmtId="0" fontId="0" fillId="0" borderId="93" xfId="0" applyBorder="1"/>
    <xf numFmtId="2" fontId="0" fillId="0" borderId="60" xfId="0" applyNumberFormat="1" applyBorder="1" applyAlignment="1">
      <alignment horizontal="center"/>
    </xf>
    <xf numFmtId="165" fontId="0" fillId="0" borderId="60" xfId="0" applyNumberFormat="1" applyBorder="1" applyAlignment="1">
      <alignment horizontal="center" vertical="center"/>
    </xf>
    <xf numFmtId="164" fontId="0" fillId="0" borderId="60" xfId="0" applyNumberFormat="1" applyBorder="1" applyAlignment="1">
      <alignment horizontal="center" vertical="center"/>
    </xf>
    <xf numFmtId="0" fontId="0" fillId="0" borderId="127" xfId="0" applyBorder="1"/>
    <xf numFmtId="2" fontId="0" fillId="0" borderId="60" xfId="0" applyNumberFormat="1" applyBorder="1" applyAlignment="1">
      <alignment horizontal="right"/>
    </xf>
    <xf numFmtId="0" fontId="40" fillId="0" borderId="63" xfId="0" applyFont="1" applyBorder="1"/>
    <xf numFmtId="164" fontId="35" fillId="0" borderId="62" xfId="0" applyNumberFormat="1" applyFont="1" applyBorder="1" applyAlignment="1">
      <alignment horizontal="center"/>
    </xf>
    <xf numFmtId="164" fontId="35" fillId="0" borderId="63" xfId="0" applyNumberFormat="1" applyFont="1" applyBorder="1" applyAlignment="1">
      <alignment horizontal="center"/>
    </xf>
    <xf numFmtId="164" fontId="0" fillId="0" borderId="128" xfId="0" applyNumberFormat="1" applyBorder="1" applyAlignment="1">
      <alignment horizontal="center"/>
    </xf>
    <xf numFmtId="0" fontId="1" fillId="0" borderId="130" xfId="0" applyFont="1" applyBorder="1" applyAlignment="1">
      <alignment horizontal="center"/>
    </xf>
    <xf numFmtId="0" fontId="1" fillId="0" borderId="131" xfId="0" applyFont="1" applyBorder="1" applyAlignment="1">
      <alignment horizontal="center"/>
    </xf>
    <xf numFmtId="0" fontId="0" fillId="0" borderId="132" xfId="0" applyBorder="1"/>
    <xf numFmtId="0" fontId="0" fillId="0" borderId="62" xfId="0" applyBorder="1" applyAlignment="1">
      <alignment horizontal="center" vertical="center"/>
    </xf>
    <xf numFmtId="0" fontId="0" fillId="0" borderId="63" xfId="0" applyBorder="1"/>
    <xf numFmtId="0" fontId="0" fillId="0" borderId="63" xfId="0" applyBorder="1" applyAlignment="1">
      <alignment horizontal="center" vertical="center"/>
    </xf>
    <xf numFmtId="0" fontId="0" fillId="0" borderId="128" xfId="0" applyBorder="1" applyAlignment="1">
      <alignment horizontal="center" vertical="center"/>
    </xf>
    <xf numFmtId="0" fontId="0" fillId="0" borderId="130" xfId="0" applyBorder="1"/>
    <xf numFmtId="0" fontId="0" fillId="0" borderId="130" xfId="0" applyBorder="1" applyAlignment="1">
      <alignment horizontal="center" vertical="center"/>
    </xf>
    <xf numFmtId="2" fontId="0" fillId="0" borderId="128" xfId="0" applyNumberFormat="1" applyBorder="1" applyAlignment="1">
      <alignment horizontal="center" vertical="center"/>
    </xf>
    <xf numFmtId="2" fontId="0" fillId="0" borderId="63" xfId="0" applyNumberFormat="1" applyBorder="1" applyAlignment="1">
      <alignment horizontal="center" vertical="center"/>
    </xf>
    <xf numFmtId="2" fontId="0" fillId="0" borderId="130" xfId="0" applyNumberFormat="1" applyBorder="1" applyAlignment="1">
      <alignment horizontal="center" vertical="center"/>
    </xf>
    <xf numFmtId="2" fontId="0" fillId="0" borderId="132" xfId="0" applyNumberFormat="1" applyBorder="1" applyAlignment="1">
      <alignment horizontal="center" vertical="center"/>
    </xf>
    <xf numFmtId="0" fontId="0" fillId="0" borderId="62" xfId="0" applyBorder="1"/>
    <xf numFmtId="0" fontId="0" fillId="0" borderId="132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1" fillId="21" borderId="62" xfId="0" applyFont="1" applyFill="1" applyBorder="1" applyAlignment="1">
      <alignment horizontal="center"/>
    </xf>
    <xf numFmtId="0" fontId="1" fillId="0" borderId="63" xfId="0" applyFont="1" applyBorder="1" applyAlignment="1">
      <alignment horizontal="center"/>
    </xf>
    <xf numFmtId="0" fontId="1" fillId="21" borderId="63" xfId="0" applyFont="1" applyFill="1" applyBorder="1" applyAlignment="1">
      <alignment horizontal="center"/>
    </xf>
    <xf numFmtId="0" fontId="1" fillId="0" borderId="128" xfId="0" applyFont="1" applyBorder="1" applyAlignment="1">
      <alignment horizontal="center"/>
    </xf>
    <xf numFmtId="0" fontId="0" fillId="21" borderId="133" xfId="0" applyFill="1" applyBorder="1" applyAlignment="1">
      <alignment horizontal="center" vertical="center"/>
    </xf>
    <xf numFmtId="164" fontId="35" fillId="0" borderId="134" xfId="0" applyNumberFormat="1" applyFont="1" applyBorder="1" applyAlignment="1">
      <alignment horizontal="center"/>
    </xf>
    <xf numFmtId="2" fontId="35" fillId="0" borderId="62" xfId="0" applyNumberFormat="1" applyFont="1" applyBorder="1" applyAlignment="1">
      <alignment horizontal="center"/>
    </xf>
    <xf numFmtId="2" fontId="35" fillId="0" borderId="63" xfId="0" applyNumberFormat="1" applyFont="1" applyBorder="1" applyAlignment="1">
      <alignment horizontal="center"/>
    </xf>
    <xf numFmtId="164" fontId="34" fillId="0" borderId="63" xfId="0" applyNumberFormat="1" applyFont="1" applyBorder="1" applyAlignment="1">
      <alignment horizontal="center"/>
    </xf>
    <xf numFmtId="2" fontId="35" fillId="0" borderId="63" xfId="0" applyNumberFormat="1" applyFont="1" applyBorder="1" applyAlignment="1">
      <alignment horizontal="center" vertical="center"/>
    </xf>
    <xf numFmtId="164" fontId="35" fillId="0" borderId="63" xfId="0" applyNumberFormat="1" applyFont="1" applyBorder="1"/>
    <xf numFmtId="164" fontId="35" fillId="0" borderId="128" xfId="0" applyNumberFormat="1" applyFont="1" applyBorder="1"/>
    <xf numFmtId="2" fontId="35" fillId="0" borderId="130" xfId="0" applyNumberFormat="1" applyFont="1" applyBorder="1"/>
    <xf numFmtId="2" fontId="1" fillId="0" borderId="128" xfId="0" applyNumberFormat="1" applyFont="1" applyBorder="1" applyAlignment="1">
      <alignment horizontal="center" vertical="center"/>
    </xf>
    <xf numFmtId="165" fontId="0" fillId="0" borderId="62" xfId="0" applyNumberFormat="1" applyBorder="1"/>
    <xf numFmtId="0" fontId="0" fillId="8" borderId="63" xfId="0" applyFill="1" applyBorder="1"/>
    <xf numFmtId="0" fontId="0" fillId="7" borderId="63" xfId="0" applyFill="1" applyBorder="1"/>
    <xf numFmtId="0" fontId="1" fillId="0" borderId="128" xfId="0" applyFont="1" applyBorder="1"/>
    <xf numFmtId="166" fontId="0" fillId="0" borderId="62" xfId="0" applyNumberFormat="1" applyBorder="1" applyAlignment="1">
      <alignment horizontal="center" vertical="center"/>
    </xf>
    <xf numFmtId="166" fontId="0" fillId="0" borderId="63" xfId="0" applyNumberFormat="1" applyBorder="1" applyAlignment="1">
      <alignment horizontal="center" vertical="center"/>
    </xf>
    <xf numFmtId="166" fontId="1" fillId="0" borderId="63" xfId="0" applyNumberFormat="1" applyFont="1" applyBorder="1" applyAlignment="1">
      <alignment horizontal="center" vertical="center"/>
    </xf>
    <xf numFmtId="0" fontId="0" fillId="0" borderId="128" xfId="0" applyBorder="1"/>
    <xf numFmtId="166" fontId="0" fillId="0" borderId="131" xfId="0" applyNumberFormat="1" applyBorder="1" applyAlignment="1">
      <alignment horizontal="center" vertical="center"/>
    </xf>
    <xf numFmtId="166" fontId="0" fillId="0" borderId="132" xfId="0" applyNumberFormat="1" applyBorder="1" applyAlignment="1">
      <alignment horizontal="center" vertical="center"/>
    </xf>
    <xf numFmtId="0" fontId="0" fillId="0" borderId="131" xfId="0" applyBorder="1" applyAlignment="1">
      <alignment horizontal="center" vertical="center"/>
    </xf>
    <xf numFmtId="166" fontId="0" fillId="0" borderId="128" xfId="0" applyNumberFormat="1" applyBorder="1" applyAlignment="1">
      <alignment horizontal="center" vertical="center"/>
    </xf>
    <xf numFmtId="166" fontId="0" fillId="0" borderId="135" xfId="0" applyNumberFormat="1" applyBorder="1" applyAlignment="1">
      <alignment horizontal="center" vertical="center"/>
    </xf>
    <xf numFmtId="166" fontId="0" fillId="0" borderId="136" xfId="0" applyNumberFormat="1" applyBorder="1" applyAlignment="1">
      <alignment horizontal="center" vertical="center"/>
    </xf>
    <xf numFmtId="0" fontId="0" fillId="0" borderId="63" xfId="0" applyBorder="1" applyAlignment="1">
      <alignment horizontal="center"/>
    </xf>
    <xf numFmtId="0" fontId="35" fillId="0" borderId="63" xfId="0" applyFont="1" applyBorder="1"/>
    <xf numFmtId="0" fontId="0" fillId="0" borderId="131" xfId="0" applyBorder="1"/>
    <xf numFmtId="164" fontId="0" fillId="0" borderId="63" xfId="0" applyNumberFormat="1" applyBorder="1"/>
    <xf numFmtId="2" fontId="0" fillId="0" borderId="63" xfId="0" applyNumberFormat="1" applyBorder="1" applyAlignment="1">
      <alignment horizontal="center"/>
    </xf>
    <xf numFmtId="2" fontId="1" fillId="0" borderId="63" xfId="0" applyNumberFormat="1" applyFont="1" applyBorder="1" applyAlignment="1">
      <alignment horizontal="center"/>
    </xf>
    <xf numFmtId="164" fontId="0" fillId="0" borderId="63" xfId="0" applyNumberFormat="1" applyBorder="1" applyAlignment="1">
      <alignment horizontal="center" vertical="center"/>
    </xf>
    <xf numFmtId="165" fontId="0" fillId="0" borderId="63" xfId="0" applyNumberFormat="1" applyBorder="1" applyAlignment="1">
      <alignment horizontal="center" vertical="center"/>
    </xf>
    <xf numFmtId="0" fontId="0" fillId="0" borderId="137" xfId="0" applyBorder="1"/>
    <xf numFmtId="2" fontId="0" fillId="0" borderId="63" xfId="0" applyNumberFormat="1" applyBorder="1"/>
    <xf numFmtId="1" fontId="0" fillId="0" borderId="63" xfId="0" applyNumberFormat="1" applyBorder="1" applyAlignment="1">
      <alignment horizontal="center" vertical="center"/>
    </xf>
    <xf numFmtId="2" fontId="0" fillId="0" borderId="63" xfId="0" applyNumberFormat="1" applyBorder="1" applyAlignment="1">
      <alignment horizontal="right"/>
    </xf>
    <xf numFmtId="0" fontId="39" fillId="2" borderId="84" xfId="0" applyFont="1" applyFill="1" applyBorder="1"/>
    <xf numFmtId="0" fontId="40" fillId="2" borderId="12" xfId="0" applyFont="1" applyFill="1" applyBorder="1"/>
    <xf numFmtId="0" fontId="40" fillId="0" borderId="12" xfId="0" applyFont="1" applyBorder="1"/>
    <xf numFmtId="0" fontId="40" fillId="0" borderId="128" xfId="0" applyFont="1" applyBorder="1"/>
    <xf numFmtId="0" fontId="39" fillId="0" borderId="68" xfId="0" applyFont="1" applyBorder="1"/>
    <xf numFmtId="0" fontId="42" fillId="0" borderId="12" xfId="0" applyFont="1" applyBorder="1"/>
    <xf numFmtId="0" fontId="1" fillId="0" borderId="138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39" xfId="0" applyFont="1" applyBorder="1" applyAlignment="1">
      <alignment horizontal="center" vertical="center"/>
    </xf>
    <xf numFmtId="0" fontId="1" fillId="0" borderId="140" xfId="0" applyFont="1" applyBorder="1" applyAlignment="1">
      <alignment horizontal="center" vertical="center"/>
    </xf>
    <xf numFmtId="0" fontId="1" fillId="0" borderId="21" xfId="0" applyFont="1" applyBorder="1"/>
    <xf numFmtId="0" fontId="1" fillId="3" borderId="21" xfId="0" applyFont="1" applyFill="1" applyBorder="1"/>
    <xf numFmtId="16" fontId="0" fillId="3" borderId="21" xfId="0" applyNumberFormat="1" applyFill="1" applyBorder="1"/>
    <xf numFmtId="0" fontId="34" fillId="0" borderId="21" xfId="0" applyFont="1" applyBorder="1" applyAlignment="1">
      <alignment horizontal="center" vertical="center"/>
    </xf>
    <xf numFmtId="0" fontId="1" fillId="0" borderId="21" xfId="0" applyFont="1" applyBorder="1" applyAlignment="1">
      <alignment horizontal="right"/>
    </xf>
    <xf numFmtId="0" fontId="1" fillId="0" borderId="89" xfId="0" applyFont="1" applyBorder="1" applyAlignment="1">
      <alignment horizontal="center" vertical="center"/>
    </xf>
    <xf numFmtId="16" fontId="0" fillId="0" borderId="141" xfId="0" applyNumberFormat="1" applyBorder="1"/>
    <xf numFmtId="16" fontId="0" fillId="0" borderId="142" xfId="0" applyNumberFormat="1" applyBorder="1"/>
    <xf numFmtId="16" fontId="0" fillId="0" borderId="143" xfId="0" applyNumberFormat="1" applyBorder="1"/>
    <xf numFmtId="16" fontId="0" fillId="0" borderId="144" xfId="0" applyNumberFormat="1" applyBorder="1"/>
    <xf numFmtId="0" fontId="0" fillId="0" borderId="142" xfId="0" applyBorder="1"/>
    <xf numFmtId="0" fontId="0" fillId="3" borderId="142" xfId="0" applyFill="1" applyBorder="1"/>
    <xf numFmtId="0" fontId="0" fillId="0" borderId="142" xfId="0" applyBorder="1" applyAlignment="1">
      <alignment horizontal="right"/>
    </xf>
    <xf numFmtId="16" fontId="0" fillId="0" borderId="145" xfId="0" applyNumberFormat="1" applyBorder="1"/>
    <xf numFmtId="16" fontId="0" fillId="0" borderId="146" xfId="0" applyNumberFormat="1" applyBorder="1"/>
    <xf numFmtId="16" fontId="0" fillId="0" borderId="147" xfId="0" applyNumberFormat="1" applyBorder="1"/>
    <xf numFmtId="16" fontId="0" fillId="0" borderId="148" xfId="0" applyNumberFormat="1" applyBorder="1"/>
    <xf numFmtId="16" fontId="0" fillId="3" borderId="146" xfId="0" applyNumberFormat="1" applyFill="1" applyBorder="1"/>
    <xf numFmtId="0" fontId="0" fillId="3" borderId="146" xfId="0" applyFill="1" applyBorder="1"/>
    <xf numFmtId="0" fontId="0" fillId="0" borderId="146" xfId="0" applyBorder="1"/>
    <xf numFmtId="0" fontId="0" fillId="0" borderId="146" xfId="0" applyBorder="1" applyAlignment="1">
      <alignment horizontal="right"/>
    </xf>
    <xf numFmtId="166" fontId="0" fillId="0" borderId="8" xfId="0" applyNumberFormat="1" applyBorder="1" applyAlignment="1">
      <alignment horizontal="center"/>
    </xf>
    <xf numFmtId="166" fontId="0" fillId="3" borderId="8" xfId="0" applyNumberFormat="1" applyFill="1" applyBorder="1" applyAlignment="1">
      <alignment horizontal="center"/>
    </xf>
    <xf numFmtId="166" fontId="0" fillId="3" borderId="1" xfId="0" applyNumberFormat="1" applyFill="1" applyBorder="1" applyAlignment="1">
      <alignment horizontal="center"/>
    </xf>
    <xf numFmtId="166" fontId="0" fillId="0" borderId="66" xfId="0" applyNumberFormat="1" applyBorder="1" applyAlignment="1">
      <alignment horizontal="center"/>
    </xf>
    <xf numFmtId="166" fontId="0" fillId="0" borderId="63" xfId="0" applyNumberFormat="1" applyBorder="1" applyAlignment="1">
      <alignment horizontal="center"/>
    </xf>
    <xf numFmtId="166" fontId="0" fillId="0" borderId="60" xfId="0" applyNumberFormat="1" applyBorder="1" applyAlignment="1">
      <alignment horizontal="center"/>
    </xf>
    <xf numFmtId="166" fontId="0" fillId="0" borderId="12" xfId="0" applyNumberFormat="1" applyBorder="1" applyAlignment="1">
      <alignment horizontal="center"/>
    </xf>
    <xf numFmtId="166" fontId="0" fillId="3" borderId="12" xfId="0" applyNumberFormat="1" applyFill="1" applyBorder="1" applyAlignment="1">
      <alignment horizontal="center"/>
    </xf>
    <xf numFmtId="2" fontId="0" fillId="3" borderId="12" xfId="0" applyNumberFormat="1" applyFill="1" applyBorder="1" applyAlignment="1">
      <alignment horizontal="center" vertical="center"/>
    </xf>
    <xf numFmtId="2" fontId="0" fillId="7" borderId="91" xfId="0" applyNumberFormat="1" applyFill="1" applyBorder="1" applyAlignment="1">
      <alignment horizontal="center"/>
    </xf>
    <xf numFmtId="2" fontId="0" fillId="7" borderId="8" xfId="0" applyNumberFormat="1" applyFill="1" applyBorder="1" applyAlignment="1">
      <alignment horizontal="center"/>
    </xf>
    <xf numFmtId="2" fontId="0" fillId="0" borderId="62" xfId="0" applyNumberFormat="1" applyBorder="1" applyAlignment="1">
      <alignment horizontal="center"/>
    </xf>
    <xf numFmtId="2" fontId="0" fillId="0" borderId="61" xfId="0" applyNumberFormat="1" applyBorder="1" applyAlignment="1">
      <alignment horizontal="center"/>
    </xf>
    <xf numFmtId="2" fontId="0" fillId="0" borderId="92" xfId="0" applyNumberForma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2" fontId="0" fillId="0" borderId="131" xfId="0" applyNumberFormat="1" applyBorder="1" applyAlignment="1">
      <alignment horizontal="center"/>
    </xf>
    <xf numFmtId="2" fontId="0" fillId="0" borderId="93" xfId="0" applyNumberFormat="1" applyBorder="1" applyAlignment="1">
      <alignment horizontal="center"/>
    </xf>
    <xf numFmtId="1" fontId="0" fillId="0" borderId="50" xfId="0" applyNumberFormat="1" applyBorder="1" applyAlignment="1">
      <alignment horizontal="center"/>
    </xf>
    <xf numFmtId="2" fontId="0" fillId="0" borderId="132" xfId="0" applyNumberFormat="1" applyBorder="1" applyAlignment="1">
      <alignment horizontal="center"/>
    </xf>
    <xf numFmtId="2" fontId="0" fillId="0" borderId="69" xfId="0" applyNumberFormat="1" applyBorder="1" applyAlignment="1">
      <alignment horizontal="center"/>
    </xf>
    <xf numFmtId="164" fontId="0" fillId="0" borderId="62" xfId="0" applyNumberFormat="1" applyBorder="1" applyAlignment="1">
      <alignment horizontal="center"/>
    </xf>
    <xf numFmtId="164" fontId="0" fillId="0" borderId="61" xfId="0" applyNumberFormat="1" applyBorder="1" applyAlignment="1">
      <alignment horizontal="center"/>
    </xf>
    <xf numFmtId="9" fontId="1" fillId="0" borderId="57" xfId="0" applyNumberFormat="1" applyFont="1" applyBorder="1" applyAlignment="1">
      <alignment wrapText="1"/>
    </xf>
    <xf numFmtId="0" fontId="1" fillId="0" borderId="57" xfId="0" applyFont="1" applyBorder="1" applyAlignment="1">
      <alignment wrapText="1"/>
    </xf>
    <xf numFmtId="0" fontId="34" fillId="27" borderId="0" xfId="0" applyFont="1" applyFill="1"/>
    <xf numFmtId="0" fontId="35" fillId="27" borderId="66" xfId="0" applyFont="1" applyFill="1" applyBorder="1"/>
    <xf numFmtId="2" fontId="35" fillId="27" borderId="1" xfId="0" applyNumberFormat="1" applyFont="1" applyFill="1" applyBorder="1"/>
    <xf numFmtId="164" fontId="35" fillId="27" borderId="1" xfId="0" applyNumberFormat="1" applyFont="1" applyFill="1" applyBorder="1"/>
    <xf numFmtId="164" fontId="35" fillId="27" borderId="63" xfId="0" applyNumberFormat="1" applyFont="1" applyFill="1" applyBorder="1"/>
    <xf numFmtId="164" fontId="35" fillId="27" borderId="60" xfId="0" applyNumberFormat="1" applyFont="1" applyFill="1" applyBorder="1"/>
    <xf numFmtId="0" fontId="31" fillId="27" borderId="1" xfId="0" applyFont="1" applyFill="1" applyBorder="1"/>
    <xf numFmtId="0" fontId="35" fillId="27" borderId="66" xfId="0" applyFont="1" applyFill="1" applyBorder="1" applyAlignment="1">
      <alignment horizontal="center" vertical="center"/>
    </xf>
    <xf numFmtId="2" fontId="35" fillId="27" borderId="1" xfId="0" applyNumberFormat="1" applyFont="1" applyFill="1" applyBorder="1" applyAlignment="1">
      <alignment horizontal="center" vertical="center"/>
    </xf>
    <xf numFmtId="164" fontId="35" fillId="27" borderId="1" xfId="0" applyNumberFormat="1" applyFont="1" applyFill="1" applyBorder="1" applyAlignment="1">
      <alignment horizontal="center" vertical="center"/>
    </xf>
    <xf numFmtId="164" fontId="35" fillId="27" borderId="63" xfId="0" applyNumberFormat="1" applyFont="1" applyFill="1" applyBorder="1" applyAlignment="1">
      <alignment horizontal="center" vertical="center"/>
    </xf>
    <xf numFmtId="2" fontId="35" fillId="27" borderId="60" xfId="0" applyNumberFormat="1" applyFont="1" applyFill="1" applyBorder="1" applyAlignment="1">
      <alignment horizontal="center" vertical="center"/>
    </xf>
    <xf numFmtId="2" fontId="35" fillId="17" borderId="66" xfId="0" applyNumberFormat="1" applyFont="1" applyFill="1" applyBorder="1" applyAlignment="1">
      <alignment horizontal="center" vertical="center"/>
    </xf>
    <xf numFmtId="2" fontId="35" fillId="17" borderId="63" xfId="0" applyNumberFormat="1" applyFont="1" applyFill="1" applyBorder="1" applyAlignment="1">
      <alignment horizontal="center" vertical="center"/>
    </xf>
    <xf numFmtId="2" fontId="31" fillId="17" borderId="1" xfId="0" applyNumberFormat="1" applyFont="1" applyFill="1" applyBorder="1"/>
    <xf numFmtId="0" fontId="34" fillId="24" borderId="0" xfId="0" applyFont="1" applyFill="1"/>
    <xf numFmtId="2" fontId="35" fillId="24" borderId="66" xfId="0" applyNumberFormat="1" applyFont="1" applyFill="1" applyBorder="1" applyAlignment="1">
      <alignment horizontal="center" vertical="center"/>
    </xf>
    <xf numFmtId="2" fontId="35" fillId="24" borderId="1" xfId="0" applyNumberFormat="1" applyFont="1" applyFill="1" applyBorder="1" applyAlignment="1">
      <alignment horizontal="center" vertical="center"/>
    </xf>
    <xf numFmtId="2" fontId="35" fillId="24" borderId="63" xfId="0" applyNumberFormat="1" applyFont="1" applyFill="1" applyBorder="1" applyAlignment="1">
      <alignment horizontal="center" vertical="center"/>
    </xf>
    <xf numFmtId="2" fontId="35" fillId="24" borderId="60" xfId="0" applyNumberFormat="1" applyFont="1" applyFill="1" applyBorder="1" applyAlignment="1">
      <alignment horizontal="center" vertical="center"/>
    </xf>
    <xf numFmtId="2" fontId="31" fillId="24" borderId="1" xfId="0" applyNumberFormat="1" applyFont="1" applyFill="1" applyBorder="1"/>
    <xf numFmtId="0" fontId="5" fillId="2" borderId="0" xfId="2" applyFont="1" applyFill="1" applyAlignment="1">
      <alignment horizontal="center"/>
    </xf>
    <xf numFmtId="0" fontId="5" fillId="2" borderId="52" xfId="2" applyFont="1" applyFill="1" applyBorder="1" applyAlignment="1">
      <alignment horizontal="center" vertical="center"/>
    </xf>
    <xf numFmtId="0" fontId="43" fillId="22" borderId="0" xfId="2" applyFont="1" applyFill="1" applyAlignment="1">
      <alignment horizontal="center"/>
    </xf>
    <xf numFmtId="0" fontId="43" fillId="2" borderId="150" xfId="2" applyFont="1" applyFill="1" applyBorder="1" applyAlignment="1">
      <alignment horizontal="center"/>
    </xf>
    <xf numFmtId="0" fontId="5" fillId="2" borderId="149" xfId="2" applyFont="1" applyFill="1" applyBorder="1" applyAlignment="1">
      <alignment horizontal="center" vertical="center"/>
    </xf>
    <xf numFmtId="0" fontId="5" fillId="2" borderId="150" xfId="2" applyFont="1" applyFill="1" applyBorder="1" applyAlignment="1">
      <alignment horizontal="center"/>
    </xf>
    <xf numFmtId="0" fontId="5" fillId="22" borderId="27" xfId="2" applyFont="1" applyFill="1" applyBorder="1" applyAlignment="1">
      <alignment horizontal="center" wrapText="1"/>
    </xf>
    <xf numFmtId="0" fontId="5" fillId="22" borderId="0" xfId="2" applyFont="1" applyFill="1" applyAlignment="1">
      <alignment horizontal="center" wrapText="1"/>
    </xf>
    <xf numFmtId="0" fontId="22" fillId="0" borderId="150" xfId="2" applyFont="1" applyBorder="1" applyAlignment="1">
      <alignment horizontal="center"/>
    </xf>
    <xf numFmtId="0" fontId="5" fillId="0" borderId="150" xfId="2" applyFont="1" applyBorder="1" applyAlignment="1">
      <alignment horizontal="center" wrapText="1"/>
    </xf>
    <xf numFmtId="0" fontId="5" fillId="0" borderId="149" xfId="2" applyFont="1" applyBorder="1" applyAlignment="1">
      <alignment horizontal="center"/>
    </xf>
    <xf numFmtId="0" fontId="43" fillId="0" borderId="150" xfId="2" applyFont="1" applyBorder="1" applyAlignment="1">
      <alignment horizontal="center" wrapText="1"/>
    </xf>
    <xf numFmtId="0" fontId="4" fillId="0" borderId="149" xfId="2" applyFont="1" applyBorder="1" applyAlignment="1">
      <alignment horizontal="center"/>
    </xf>
    <xf numFmtId="0" fontId="37" fillId="22" borderId="12" xfId="0" applyFont="1" applyFill="1" applyBorder="1"/>
    <xf numFmtId="0" fontId="35" fillId="22" borderId="12" xfId="0" applyFont="1" applyFill="1" applyBorder="1"/>
    <xf numFmtId="0" fontId="40" fillId="8" borderId="12" xfId="0" applyFont="1" applyFill="1" applyBorder="1"/>
    <xf numFmtId="0" fontId="42" fillId="0" borderId="63" xfId="0" applyFont="1" applyBorder="1"/>
    <xf numFmtId="0" fontId="41" fillId="2" borderId="84" xfId="0" applyFont="1" applyFill="1" applyBorder="1"/>
    <xf numFmtId="0" fontId="42" fillId="2" borderId="12" xfId="0" applyFont="1" applyFill="1" applyBorder="1"/>
    <xf numFmtId="0" fontId="42" fillId="0" borderId="128" xfId="0" applyFont="1" applyBorder="1"/>
    <xf numFmtId="0" fontId="41" fillId="0" borderId="68" xfId="0" applyFont="1" applyBorder="1"/>
    <xf numFmtId="0" fontId="42" fillId="8" borderId="12" xfId="0" applyFont="1" applyFill="1" applyBorder="1"/>
    <xf numFmtId="0" fontId="41" fillId="22" borderId="12" xfId="0" applyFont="1" applyFill="1" applyBorder="1"/>
    <xf numFmtId="0" fontId="42" fillId="22" borderId="12" xfId="0" applyFont="1" applyFill="1" applyBorder="1"/>
    <xf numFmtId="0" fontId="41" fillId="0" borderId="66" xfId="0" applyFont="1" applyBorder="1"/>
    <xf numFmtId="0" fontId="41" fillId="0" borderId="60" xfId="0" applyFont="1" applyBorder="1"/>
    <xf numFmtId="0" fontId="61" fillId="0" borderId="66" xfId="0" applyFont="1" applyBorder="1"/>
    <xf numFmtId="0" fontId="61" fillId="0" borderId="1" xfId="0" applyFont="1" applyBorder="1"/>
    <xf numFmtId="0" fontId="61" fillId="0" borderId="63" xfId="0" applyFont="1" applyBorder="1"/>
    <xf numFmtId="0" fontId="61" fillId="0" borderId="60" xfId="0" applyFont="1" applyBorder="1"/>
    <xf numFmtId="0" fontId="61" fillId="2" borderId="84" xfId="0" applyFont="1" applyFill="1" applyBorder="1"/>
    <xf numFmtId="0" fontId="61" fillId="2" borderId="12" xfId="0" applyFont="1" applyFill="1" applyBorder="1"/>
    <xf numFmtId="0" fontId="61" fillId="0" borderId="12" xfId="0" applyFont="1" applyBorder="1"/>
    <xf numFmtId="0" fontId="61" fillId="0" borderId="128" xfId="0" applyFont="1" applyBorder="1"/>
    <xf numFmtId="0" fontId="61" fillId="0" borderId="68" xfId="0" applyFont="1" applyBorder="1"/>
    <xf numFmtId="0" fontId="61" fillId="8" borderId="12" xfId="0" applyFont="1" applyFill="1" applyBorder="1"/>
    <xf numFmtId="0" fontId="61" fillId="22" borderId="12" xfId="0" applyFont="1" applyFill="1" applyBorder="1"/>
    <xf numFmtId="1" fontId="9" fillId="2" borderId="40" xfId="2" applyNumberFormat="1" applyFont="1" applyFill="1" applyBorder="1" applyAlignment="1">
      <alignment horizontal="center"/>
    </xf>
    <xf numFmtId="165" fontId="8" fillId="2" borderId="16" xfId="2" applyNumberFormat="1" applyFont="1" applyFill="1" applyBorder="1" applyAlignment="1">
      <alignment horizontal="center"/>
    </xf>
    <xf numFmtId="166" fontId="9" fillId="2" borderId="11" xfId="2" applyNumberFormat="1" applyFont="1" applyFill="1" applyBorder="1" applyAlignment="1">
      <alignment horizontal="center"/>
    </xf>
    <xf numFmtId="1" fontId="9" fillId="2" borderId="11" xfId="2" applyNumberFormat="1" applyFont="1" applyFill="1" applyBorder="1" applyAlignment="1">
      <alignment horizontal="center"/>
    </xf>
    <xf numFmtId="0" fontId="4" fillId="2" borderId="16" xfId="2" applyFont="1" applyFill="1" applyBorder="1" applyAlignment="1">
      <alignment horizontal="center" vertical="center"/>
    </xf>
    <xf numFmtId="0" fontId="39" fillId="0" borderId="60" xfId="0" applyFont="1" applyBorder="1"/>
    <xf numFmtId="0" fontId="39" fillId="0" borderId="148" xfId="0" applyFont="1" applyBorder="1"/>
    <xf numFmtId="164" fontId="35" fillId="27" borderId="60" xfId="0" applyNumberFormat="1" applyFont="1" applyFill="1" applyBorder="1" applyAlignment="1">
      <alignment horizontal="center" vertical="center"/>
    </xf>
    <xf numFmtId="2" fontId="35" fillId="27" borderId="60" xfId="0" applyNumberFormat="1" applyFont="1" applyFill="1" applyBorder="1"/>
    <xf numFmtId="1" fontId="0" fillId="0" borderId="61" xfId="0" applyNumberFormat="1" applyBorder="1" applyAlignment="1">
      <alignment horizontal="center" vertical="center"/>
    </xf>
    <xf numFmtId="1" fontId="0" fillId="0" borderId="68" xfId="0" applyNumberFormat="1" applyBorder="1" applyAlignment="1">
      <alignment horizontal="center" vertical="center"/>
    </xf>
    <xf numFmtId="0" fontId="40" fillId="22" borderId="128" xfId="0" applyFont="1" applyFill="1" applyBorder="1"/>
    <xf numFmtId="2" fontId="35" fillId="0" borderId="134" xfId="0" applyNumberFormat="1" applyFont="1" applyBorder="1" applyAlignment="1">
      <alignment horizontal="center"/>
    </xf>
    <xf numFmtId="0" fontId="35" fillId="0" borderId="63" xfId="0" applyFont="1" applyBorder="1" applyAlignment="1">
      <alignment horizontal="center" vertical="center"/>
    </xf>
    <xf numFmtId="2" fontId="35" fillId="27" borderId="63" xfId="0" applyNumberFormat="1" applyFont="1" applyFill="1" applyBorder="1"/>
    <xf numFmtId="168" fontId="0" fillId="0" borderId="63" xfId="0" applyNumberFormat="1" applyBorder="1"/>
    <xf numFmtId="1" fontId="0" fillId="0" borderId="62" xfId="0" applyNumberFormat="1" applyBorder="1" applyAlignment="1">
      <alignment horizontal="center" vertical="center"/>
    </xf>
    <xf numFmtId="1" fontId="0" fillId="0" borderId="128" xfId="0" applyNumberFormat="1" applyBorder="1" applyAlignment="1">
      <alignment horizontal="center" vertical="center"/>
    </xf>
    <xf numFmtId="164" fontId="0" fillId="0" borderId="63" xfId="0" applyNumberFormat="1" applyBorder="1" applyAlignment="1">
      <alignment horizontal="right"/>
    </xf>
    <xf numFmtId="0" fontId="39" fillId="28" borderId="68" xfId="0" applyFont="1" applyFill="1" applyBorder="1"/>
    <xf numFmtId="0" fontId="40" fillId="28" borderId="12" xfId="0" applyFont="1" applyFill="1" applyBorder="1"/>
    <xf numFmtId="0" fontId="59" fillId="0" borderId="60" xfId="0" applyFont="1" applyBorder="1"/>
    <xf numFmtId="0" fontId="59" fillId="0" borderId="148" xfId="0" applyFont="1" applyBorder="1"/>
    <xf numFmtId="0" fontId="0" fillId="0" borderId="144" xfId="0" applyBorder="1"/>
    <xf numFmtId="0" fontId="1" fillId="0" borderId="140" xfId="0" applyFont="1" applyBorder="1"/>
    <xf numFmtId="0" fontId="0" fillId="0" borderId="152" xfId="0" applyBorder="1"/>
    <xf numFmtId="166" fontId="0" fillId="0" borderId="61" xfId="0" applyNumberFormat="1" applyBorder="1" applyAlignment="1">
      <alignment horizontal="center"/>
    </xf>
    <xf numFmtId="0" fontId="0" fillId="0" borderId="64" xfId="0" applyBorder="1"/>
    <xf numFmtId="0" fontId="0" fillId="21" borderId="61" xfId="0" applyFill="1" applyBorder="1"/>
    <xf numFmtId="0" fontId="0" fillId="21" borderId="60" xfId="0" applyFill="1" applyBorder="1"/>
    <xf numFmtId="0" fontId="0" fillId="21" borderId="103" xfId="0" applyFill="1" applyBorder="1"/>
    <xf numFmtId="2" fontId="35" fillId="0" borderId="110" xfId="0" applyNumberFormat="1" applyFont="1" applyBorder="1"/>
    <xf numFmtId="2" fontId="35" fillId="0" borderId="61" xfId="0" applyNumberFormat="1" applyFont="1" applyBorder="1"/>
    <xf numFmtId="164" fontId="34" fillId="0" borderId="60" xfId="0" applyNumberFormat="1" applyFont="1" applyBorder="1" applyAlignment="1">
      <alignment horizontal="center"/>
    </xf>
    <xf numFmtId="2" fontId="31" fillId="24" borderId="60" xfId="0" applyNumberFormat="1" applyFont="1" applyFill="1" applyBorder="1"/>
    <xf numFmtId="2" fontId="31" fillId="17" borderId="60" xfId="0" applyNumberFormat="1" applyFont="1" applyFill="1" applyBorder="1"/>
    <xf numFmtId="2" fontId="31" fillId="0" borderId="60" xfId="0" applyNumberFormat="1" applyFont="1" applyBorder="1"/>
    <xf numFmtId="0" fontId="31" fillId="0" borderId="60" xfId="0" applyFont="1" applyBorder="1"/>
    <xf numFmtId="0" fontId="31" fillId="27" borderId="60" xfId="0" applyFont="1" applyFill="1" applyBorder="1"/>
    <xf numFmtId="0" fontId="31" fillId="0" borderId="68" xfId="0" applyFont="1" applyBorder="1"/>
    <xf numFmtId="0" fontId="31" fillId="0" borderId="55" xfId="0" applyFont="1" applyBorder="1"/>
    <xf numFmtId="0" fontId="0" fillId="0" borderId="143" xfId="0" applyBorder="1"/>
    <xf numFmtId="0" fontId="1" fillId="0" borderId="139" xfId="0" applyFont="1" applyBorder="1"/>
    <xf numFmtId="0" fontId="0" fillId="0" borderId="129" xfId="0" applyBorder="1"/>
    <xf numFmtId="166" fontId="0" fillId="0" borderId="62" xfId="0" applyNumberFormat="1" applyBorder="1" applyAlignment="1">
      <alignment horizontal="center"/>
    </xf>
    <xf numFmtId="0" fontId="0" fillId="0" borderId="65" xfId="0" applyBorder="1"/>
    <xf numFmtId="0" fontId="0" fillId="21" borderId="62" xfId="0" applyFill="1" applyBorder="1"/>
    <xf numFmtId="0" fontId="0" fillId="21" borderId="63" xfId="0" applyFill="1" applyBorder="1"/>
    <xf numFmtId="0" fontId="0" fillId="21" borderId="133" xfId="0" applyFill="1" applyBorder="1"/>
    <xf numFmtId="2" fontId="35" fillId="0" borderId="134" xfId="0" applyNumberFormat="1" applyFont="1" applyBorder="1"/>
    <xf numFmtId="2" fontId="35" fillId="0" borderId="62" xfId="0" applyNumberFormat="1" applyFont="1" applyBorder="1"/>
    <xf numFmtId="2" fontId="31" fillId="24" borderId="63" xfId="0" applyNumberFormat="1" applyFont="1" applyFill="1" applyBorder="1"/>
    <xf numFmtId="2" fontId="31" fillId="17" borderId="63" xfId="0" applyNumberFormat="1" applyFont="1" applyFill="1" applyBorder="1"/>
    <xf numFmtId="2" fontId="31" fillId="0" borderId="63" xfId="0" applyNumberFormat="1" applyFont="1" applyBorder="1"/>
    <xf numFmtId="0" fontId="31" fillId="0" borderId="63" xfId="0" applyFont="1" applyBorder="1"/>
    <xf numFmtId="0" fontId="31" fillId="27" borderId="63" xfId="0" applyFont="1" applyFill="1" applyBorder="1"/>
    <xf numFmtId="0" fontId="31" fillId="0" borderId="128" xfId="0" applyFont="1" applyBorder="1"/>
    <xf numFmtId="0" fontId="31" fillId="0" borderId="130" xfId="0" applyFont="1" applyBorder="1"/>
    <xf numFmtId="164" fontId="35" fillId="0" borderId="110" xfId="0" applyNumberFormat="1" applyFont="1" applyBorder="1" applyAlignment="1">
      <alignment horizontal="center"/>
    </xf>
    <xf numFmtId="0" fontId="1" fillId="0" borderId="55" xfId="0" applyFont="1" applyBorder="1" applyAlignment="1">
      <alignment horizontal="center" vertical="center"/>
    </xf>
    <xf numFmtId="0" fontId="1" fillId="0" borderId="93" xfId="0" applyFont="1" applyBorder="1" applyAlignment="1">
      <alignment horizontal="center" vertical="center"/>
    </xf>
    <xf numFmtId="166" fontId="0" fillId="7" borderId="60" xfId="0" applyNumberFormat="1" applyFill="1" applyBorder="1" applyAlignment="1">
      <alignment horizontal="center" vertical="center"/>
    </xf>
    <xf numFmtId="0" fontId="1" fillId="0" borderId="61" xfId="0" applyFont="1" applyBorder="1" applyAlignment="1">
      <alignment horizontal="center"/>
    </xf>
    <xf numFmtId="0" fontId="0" fillId="17" borderId="103" xfId="0" applyFill="1" applyBorder="1" applyAlignment="1">
      <alignment horizontal="center" vertical="center"/>
    </xf>
    <xf numFmtId="166" fontId="30" fillId="0" borderId="60" xfId="0" applyNumberFormat="1" applyFont="1" applyBorder="1" applyAlignment="1">
      <alignment horizontal="center"/>
    </xf>
    <xf numFmtId="165" fontId="31" fillId="0" borderId="60" xfId="0" applyNumberFormat="1" applyFont="1" applyBorder="1" applyAlignment="1">
      <alignment horizontal="center"/>
    </xf>
    <xf numFmtId="11" fontId="0" fillId="0" borderId="60" xfId="0" applyNumberFormat="1" applyBorder="1"/>
    <xf numFmtId="11" fontId="1" fillId="0" borderId="68" xfId="0" applyNumberFormat="1" applyFont="1" applyBorder="1"/>
    <xf numFmtId="166" fontId="0" fillId="7" borderId="126" xfId="0" applyNumberFormat="1" applyFill="1" applyBorder="1" applyAlignment="1">
      <alignment horizontal="center" vertical="center"/>
    </xf>
    <xf numFmtId="0" fontId="1" fillId="0" borderId="60" xfId="0" applyFont="1" applyBorder="1"/>
    <xf numFmtId="2" fontId="0" fillId="7" borderId="60" xfId="0" applyNumberFormat="1" applyFill="1" applyBorder="1"/>
    <xf numFmtId="0" fontId="1" fillId="0" borderId="130" xfId="0" applyFont="1" applyBorder="1" applyAlignment="1">
      <alignment horizontal="center" vertical="center"/>
    </xf>
    <xf numFmtId="0" fontId="1" fillId="0" borderId="131" xfId="0" applyFont="1" applyBorder="1" applyAlignment="1">
      <alignment horizontal="center" vertical="center"/>
    </xf>
    <xf numFmtId="166" fontId="0" fillId="7" borderId="63" xfId="0" applyNumberFormat="1" applyFill="1" applyBorder="1" applyAlignment="1">
      <alignment horizontal="center" vertical="center"/>
    </xf>
    <xf numFmtId="0" fontId="1" fillId="0" borderId="62" xfId="0" applyFont="1" applyBorder="1" applyAlignment="1">
      <alignment horizontal="center"/>
    </xf>
    <xf numFmtId="0" fontId="0" fillId="13" borderId="133" xfId="0" applyFill="1" applyBorder="1" applyAlignment="1">
      <alignment horizontal="center" vertical="center"/>
    </xf>
    <xf numFmtId="166" fontId="30" fillId="0" borderId="63" xfId="0" applyNumberFormat="1" applyFont="1" applyBorder="1" applyAlignment="1">
      <alignment horizontal="center"/>
    </xf>
    <xf numFmtId="165" fontId="31" fillId="0" borderId="63" xfId="0" applyNumberFormat="1" applyFont="1" applyBorder="1" applyAlignment="1">
      <alignment horizontal="center"/>
    </xf>
    <xf numFmtId="11" fontId="0" fillId="0" borderId="63" xfId="0" applyNumberFormat="1" applyBorder="1"/>
    <xf numFmtId="11" fontId="1" fillId="0" borderId="128" xfId="0" applyNumberFormat="1" applyFont="1" applyBorder="1"/>
    <xf numFmtId="166" fontId="0" fillId="7" borderId="136" xfId="0" applyNumberFormat="1" applyFill="1" applyBorder="1" applyAlignment="1">
      <alignment horizontal="center" vertical="center"/>
    </xf>
    <xf numFmtId="0" fontId="1" fillId="0" borderId="63" xfId="0" applyFont="1" applyBorder="1"/>
    <xf numFmtId="2" fontId="0" fillId="7" borderId="63" xfId="0" applyNumberFormat="1" applyFill="1" applyBorder="1"/>
    <xf numFmtId="164" fontId="0" fillId="0" borderId="69" xfId="0" applyNumberFormat="1" applyBorder="1" applyAlignment="1">
      <alignment horizontal="center" vertical="center"/>
    </xf>
    <xf numFmtId="0" fontId="0" fillId="13" borderId="103" xfId="0" applyFill="1" applyBorder="1" applyAlignment="1">
      <alignment horizontal="center" vertical="center"/>
    </xf>
    <xf numFmtId="2" fontId="30" fillId="0" borderId="60" xfId="0" applyNumberFormat="1" applyFont="1" applyBorder="1" applyAlignment="1">
      <alignment horizontal="center"/>
    </xf>
    <xf numFmtId="0" fontId="1" fillId="0" borderId="60" xfId="0" applyFont="1" applyBorder="1" applyAlignment="1">
      <alignment horizontal="right"/>
    </xf>
    <xf numFmtId="0" fontId="0" fillId="0" borderId="60" xfId="0" applyBorder="1" applyAlignment="1">
      <alignment horizontal="right"/>
    </xf>
    <xf numFmtId="0" fontId="1" fillId="0" borderId="68" xfId="0" applyFont="1" applyBorder="1" applyAlignment="1">
      <alignment horizontal="right"/>
    </xf>
    <xf numFmtId="0" fontId="1" fillId="0" borderId="93" xfId="0" applyFont="1" applyBorder="1" applyAlignment="1">
      <alignment horizontal="right"/>
    </xf>
    <xf numFmtId="0" fontId="1" fillId="7" borderId="60" xfId="0" applyFont="1" applyFill="1" applyBorder="1" applyAlignment="1">
      <alignment horizontal="right"/>
    </xf>
    <xf numFmtId="0" fontId="1" fillId="0" borderId="69" xfId="0" applyFont="1" applyBorder="1" applyAlignment="1">
      <alignment horizontal="right"/>
    </xf>
    <xf numFmtId="0" fontId="1" fillId="0" borderId="61" xfId="0" applyFont="1" applyBorder="1" applyAlignment="1">
      <alignment horizontal="right"/>
    </xf>
    <xf numFmtId="164" fontId="0" fillId="0" borderId="132" xfId="0" applyNumberFormat="1" applyBorder="1" applyAlignment="1">
      <alignment horizontal="center" vertical="center"/>
    </xf>
    <xf numFmtId="2" fontId="34" fillId="0" borderId="63" xfId="0" applyNumberFormat="1" applyFont="1" applyBorder="1" applyAlignment="1">
      <alignment horizontal="center"/>
    </xf>
    <xf numFmtId="0" fontId="1" fillId="0" borderId="63" xfId="0" applyFont="1" applyBorder="1" applyAlignment="1">
      <alignment horizontal="right"/>
    </xf>
    <xf numFmtId="0" fontId="0" fillId="0" borderId="63" xfId="0" applyBorder="1" applyAlignment="1">
      <alignment horizontal="right"/>
    </xf>
    <xf numFmtId="0" fontId="1" fillId="0" borderId="128" xfId="0" applyFont="1" applyBorder="1" applyAlignment="1">
      <alignment horizontal="right"/>
    </xf>
    <xf numFmtId="0" fontId="1" fillId="0" borderId="131" xfId="0" applyFont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0" borderId="132" xfId="0" applyFont="1" applyBorder="1" applyAlignment="1">
      <alignment horizontal="right"/>
    </xf>
    <xf numFmtId="0" fontId="1" fillId="0" borderId="62" xfId="0" applyFont="1" applyBorder="1" applyAlignment="1">
      <alignment horizontal="right"/>
    </xf>
    <xf numFmtId="0" fontId="0" fillId="0" borderId="148" xfId="0" applyBorder="1"/>
    <xf numFmtId="0" fontId="1" fillId="0" borderId="152" xfId="0" applyFont="1" applyBorder="1"/>
    <xf numFmtId="166" fontId="0" fillId="0" borderId="68" xfId="0" applyNumberFormat="1" applyBorder="1" applyAlignment="1">
      <alignment horizontal="center"/>
    </xf>
    <xf numFmtId="0" fontId="35" fillId="0" borderId="61" xfId="0" applyFont="1" applyBorder="1"/>
    <xf numFmtId="0" fontId="0" fillId="13" borderId="103" xfId="0" applyFill="1" applyBorder="1"/>
    <xf numFmtId="0" fontId="0" fillId="0" borderId="126" xfId="0" applyBorder="1"/>
    <xf numFmtId="0" fontId="0" fillId="0" borderId="147" xfId="0" applyBorder="1"/>
    <xf numFmtId="0" fontId="1" fillId="0" borderId="129" xfId="0" applyFont="1" applyBorder="1"/>
    <xf numFmtId="166" fontId="0" fillId="0" borderId="128" xfId="0" applyNumberFormat="1" applyBorder="1" applyAlignment="1">
      <alignment horizontal="center"/>
    </xf>
    <xf numFmtId="0" fontId="35" fillId="0" borderId="62" xfId="0" applyFont="1" applyBorder="1"/>
    <xf numFmtId="0" fontId="0" fillId="13" borderId="133" xfId="0" applyFill="1" applyBorder="1"/>
    <xf numFmtId="0" fontId="0" fillId="0" borderId="136" xfId="0" applyBorder="1"/>
    <xf numFmtId="0" fontId="41" fillId="0" borderId="1" xfId="0" applyFont="1" applyBorder="1"/>
    <xf numFmtId="0" fontId="63" fillId="0" borderId="1" xfId="0" applyFont="1" applyBorder="1"/>
    <xf numFmtId="0" fontId="63" fillId="0" borderId="63" xfId="0" applyFont="1" applyBorder="1"/>
    <xf numFmtId="0" fontId="62" fillId="0" borderId="60" xfId="0" applyFont="1" applyBorder="1"/>
    <xf numFmtId="0" fontId="62" fillId="2" borderId="84" xfId="0" applyFont="1" applyFill="1" applyBorder="1"/>
    <xf numFmtId="0" fontId="63" fillId="2" borderId="12" xfId="0" applyFont="1" applyFill="1" applyBorder="1"/>
    <xf numFmtId="0" fontId="63" fillId="0" borderId="12" xfId="0" applyFont="1" applyBorder="1"/>
    <xf numFmtId="0" fontId="63" fillId="0" borderId="128" xfId="0" applyFont="1" applyBorder="1"/>
    <xf numFmtId="0" fontId="62" fillId="0" borderId="68" xfId="0" applyFont="1" applyBorder="1"/>
    <xf numFmtId="0" fontId="63" fillId="8" borderId="12" xfId="0" applyFont="1" applyFill="1" applyBorder="1"/>
    <xf numFmtId="0" fontId="62" fillId="22" borderId="12" xfId="0" applyFont="1" applyFill="1" applyBorder="1"/>
    <xf numFmtId="0" fontId="63" fillId="22" borderId="12" xfId="0" applyFont="1" applyFill="1" applyBorder="1"/>
    <xf numFmtId="0" fontId="63" fillId="22" borderId="128" xfId="0" applyFont="1" applyFill="1" applyBorder="1"/>
    <xf numFmtId="0" fontId="62" fillId="0" borderId="148" xfId="0" applyFont="1" applyBorder="1"/>
    <xf numFmtId="0" fontId="42" fillId="22" borderId="128" xfId="0" applyFont="1" applyFill="1" applyBorder="1"/>
    <xf numFmtId="0" fontId="41" fillId="0" borderId="148" xfId="0" applyFont="1" applyBorder="1"/>
    <xf numFmtId="166" fontId="0" fillId="0" borderId="69" xfId="0" applyNumberFormat="1" applyBorder="1"/>
    <xf numFmtId="166" fontId="1" fillId="0" borderId="61" xfId="0" applyNumberFormat="1" applyFont="1" applyBorder="1" applyAlignment="1">
      <alignment horizontal="center" vertical="center"/>
    </xf>
    <xf numFmtId="166" fontId="1" fillId="0" borderId="68" xfId="0" applyNumberFormat="1" applyFont="1" applyBorder="1" applyAlignment="1">
      <alignment horizontal="center" vertical="center"/>
    </xf>
    <xf numFmtId="2" fontId="36" fillId="13" borderId="103" xfId="0" applyNumberFormat="1" applyFont="1" applyFill="1" applyBorder="1" applyAlignment="1">
      <alignment horizontal="center" vertical="center"/>
    </xf>
    <xf numFmtId="2" fontId="35" fillId="17" borderId="110" xfId="0" applyNumberFormat="1" applyFont="1" applyFill="1" applyBorder="1" applyAlignment="1">
      <alignment horizontal="center" vertical="center"/>
    </xf>
    <xf numFmtId="2" fontId="35" fillId="0" borderId="61" xfId="0" applyNumberFormat="1" applyFont="1" applyBorder="1" applyAlignment="1">
      <alignment horizontal="center" vertical="center"/>
    </xf>
    <xf numFmtId="0" fontId="30" fillId="0" borderId="60" xfId="0" applyFont="1" applyBorder="1" applyAlignment="1">
      <alignment horizontal="center" vertical="center"/>
    </xf>
    <xf numFmtId="0" fontId="1" fillId="0" borderId="125" xfId="0" applyFont="1" applyBorder="1"/>
    <xf numFmtId="0" fontId="1" fillId="0" borderId="126" xfId="0" applyFont="1" applyBorder="1"/>
    <xf numFmtId="165" fontId="0" fillId="0" borderId="60" xfId="0" applyNumberFormat="1" applyBorder="1" applyAlignment="1">
      <alignment horizontal="center"/>
    </xf>
    <xf numFmtId="165" fontId="0" fillId="0" borderId="60" xfId="0" applyNumberFormat="1" applyBorder="1"/>
    <xf numFmtId="165" fontId="0" fillId="0" borderId="93" xfId="0" applyNumberFormat="1" applyBorder="1" applyAlignment="1">
      <alignment horizontal="center" vertical="center"/>
    </xf>
    <xf numFmtId="165" fontId="0" fillId="7" borderId="60" xfId="0" applyNumberFormat="1" applyFill="1" applyBorder="1" applyAlignment="1">
      <alignment horizontal="center" vertical="center"/>
    </xf>
    <xf numFmtId="165" fontId="0" fillId="0" borderId="69" xfId="0" applyNumberFormat="1" applyBorder="1" applyAlignment="1">
      <alignment horizontal="center" vertical="center"/>
    </xf>
    <xf numFmtId="165" fontId="0" fillId="0" borderId="61" xfId="0" applyNumberFormat="1" applyBorder="1" applyAlignment="1">
      <alignment horizontal="center" vertical="center"/>
    </xf>
    <xf numFmtId="0" fontId="1" fillId="0" borderId="55" xfId="0" applyFont="1" applyBorder="1"/>
    <xf numFmtId="0" fontId="1" fillId="0" borderId="61" xfId="0" applyFont="1" applyBorder="1"/>
    <xf numFmtId="166" fontId="0" fillId="0" borderId="132" xfId="0" applyNumberFormat="1" applyBorder="1"/>
    <xf numFmtId="166" fontId="1" fillId="0" borderId="62" xfId="0" applyNumberFormat="1" applyFont="1" applyBorder="1" applyAlignment="1">
      <alignment horizontal="center" vertical="center"/>
    </xf>
    <xf numFmtId="166" fontId="1" fillId="0" borderId="128" xfId="0" applyNumberFormat="1" applyFont="1" applyBorder="1" applyAlignment="1">
      <alignment horizontal="center" vertical="center"/>
    </xf>
    <xf numFmtId="166" fontId="36" fillId="13" borderId="133" xfId="0" applyNumberFormat="1" applyFont="1" applyFill="1" applyBorder="1" applyAlignment="1">
      <alignment horizontal="center" vertical="center"/>
    </xf>
    <xf numFmtId="2" fontId="35" fillId="0" borderId="134" xfId="0" applyNumberFormat="1" applyFont="1" applyBorder="1" applyAlignment="1">
      <alignment horizontal="center" vertical="center"/>
    </xf>
    <xf numFmtId="2" fontId="35" fillId="0" borderId="62" xfId="0" applyNumberFormat="1" applyFont="1" applyBorder="1" applyAlignment="1">
      <alignment horizontal="center" vertical="center"/>
    </xf>
    <xf numFmtId="0" fontId="30" fillId="0" borderId="63" xfId="0" applyFont="1" applyBorder="1" applyAlignment="1">
      <alignment horizontal="center" vertical="center"/>
    </xf>
    <xf numFmtId="0" fontId="1" fillId="0" borderId="135" xfId="0" applyFont="1" applyBorder="1"/>
    <xf numFmtId="0" fontId="1" fillId="0" borderId="136" xfId="0" applyFont="1" applyBorder="1"/>
    <xf numFmtId="165" fontId="0" fillId="0" borderId="63" xfId="0" applyNumberFormat="1" applyBorder="1" applyAlignment="1">
      <alignment horizontal="center"/>
    </xf>
    <xf numFmtId="165" fontId="0" fillId="0" borderId="63" xfId="0" applyNumberFormat="1" applyBorder="1"/>
    <xf numFmtId="165" fontId="0" fillId="0" borderId="128" xfId="0" applyNumberFormat="1" applyBorder="1" applyAlignment="1">
      <alignment horizontal="center" vertical="center"/>
    </xf>
    <xf numFmtId="165" fontId="0" fillId="0" borderId="131" xfId="0" applyNumberFormat="1" applyBorder="1" applyAlignment="1">
      <alignment horizontal="center" vertical="center"/>
    </xf>
    <xf numFmtId="165" fontId="0" fillId="7" borderId="63" xfId="0" applyNumberFormat="1" applyFill="1" applyBorder="1" applyAlignment="1">
      <alignment horizontal="center" vertical="center"/>
    </xf>
    <xf numFmtId="165" fontId="0" fillId="0" borderId="132" xfId="0" applyNumberFormat="1" applyBorder="1" applyAlignment="1">
      <alignment horizontal="center" vertical="center"/>
    </xf>
    <xf numFmtId="165" fontId="0" fillId="0" borderId="62" xfId="0" applyNumberFormat="1" applyBorder="1" applyAlignment="1">
      <alignment horizontal="center" vertical="center"/>
    </xf>
    <xf numFmtId="0" fontId="61" fillId="0" borderId="148" xfId="0" applyFont="1" applyBorder="1"/>
    <xf numFmtId="0" fontId="34" fillId="0" borderId="140" xfId="0" applyFont="1" applyBorder="1" applyAlignment="1">
      <alignment horizontal="center" vertical="center"/>
    </xf>
    <xf numFmtId="2" fontId="35" fillId="0" borderId="110" xfId="0" applyNumberFormat="1" applyFont="1" applyBorder="1" applyAlignment="1">
      <alignment horizontal="center" vertical="center"/>
    </xf>
    <xf numFmtId="0" fontId="0" fillId="0" borderId="125" xfId="0" applyBorder="1"/>
    <xf numFmtId="0" fontId="61" fillId="22" borderId="128" xfId="0" applyFont="1" applyFill="1" applyBorder="1"/>
    <xf numFmtId="0" fontId="34" fillId="0" borderId="139" xfId="0" applyFont="1" applyBorder="1" applyAlignment="1">
      <alignment horizontal="center" vertical="center"/>
    </xf>
    <xf numFmtId="2" fontId="36" fillId="13" borderId="133" xfId="0" applyNumberFormat="1" applyFont="1" applyFill="1" applyBorder="1" applyAlignment="1">
      <alignment horizontal="center" vertical="center"/>
    </xf>
    <xf numFmtId="0" fontId="35" fillId="0" borderId="62" xfId="0" applyFont="1" applyBorder="1" applyAlignment="1">
      <alignment horizontal="center" vertical="center"/>
    </xf>
    <xf numFmtId="166" fontId="0" fillId="0" borderId="130" xfId="0" applyNumberFormat="1" applyBorder="1" applyAlignment="1">
      <alignment horizontal="center" vertical="center"/>
    </xf>
    <xf numFmtId="0" fontId="0" fillId="0" borderId="135" xfId="0" applyBorder="1"/>
    <xf numFmtId="0" fontId="0" fillId="0" borderId="110" xfId="0" applyBorder="1"/>
    <xf numFmtId="166" fontId="0" fillId="0" borderId="60" xfId="0" applyNumberFormat="1" applyBorder="1" applyAlignment="1">
      <alignment vertical="center"/>
    </xf>
    <xf numFmtId="0" fontId="0" fillId="0" borderId="134" xfId="0" applyBorder="1"/>
    <xf numFmtId="166" fontId="0" fillId="0" borderId="63" xfId="0" applyNumberFormat="1" applyBorder="1" applyAlignment="1">
      <alignment vertical="center"/>
    </xf>
    <xf numFmtId="0" fontId="34" fillId="0" borderId="152" xfId="0" applyFont="1" applyBorder="1" applyAlignment="1">
      <alignment horizontal="center"/>
    </xf>
    <xf numFmtId="165" fontId="30" fillId="0" borderId="60" xfId="0" applyNumberFormat="1" applyFont="1" applyBorder="1" applyAlignment="1">
      <alignment horizontal="center" vertical="center"/>
    </xf>
    <xf numFmtId="0" fontId="34" fillId="0" borderId="129" xfId="0" applyFont="1" applyBorder="1" applyAlignment="1">
      <alignment horizontal="center"/>
    </xf>
    <xf numFmtId="165" fontId="30" fillId="0" borderId="63" xfId="0" applyNumberFormat="1" applyFont="1" applyBorder="1" applyAlignment="1">
      <alignment horizontal="center" vertical="center"/>
    </xf>
    <xf numFmtId="166" fontId="0" fillId="0" borderId="63" xfId="0" applyNumberFormat="1" applyBorder="1"/>
    <xf numFmtId="0" fontId="1" fillId="0" borderId="62" xfId="0" applyFont="1" applyBorder="1"/>
    <xf numFmtId="164" fontId="0" fillId="0" borderId="61" xfId="0" applyNumberFormat="1" applyBorder="1" applyAlignment="1">
      <alignment horizontal="center" vertical="center"/>
    </xf>
    <xf numFmtId="0" fontId="35" fillId="21" borderId="68" xfId="0" applyFont="1" applyFill="1" applyBorder="1" applyAlignment="1">
      <alignment horizontal="center" vertical="center"/>
    </xf>
    <xf numFmtId="0" fontId="1" fillId="0" borderId="55" xfId="0" applyFont="1" applyBorder="1" applyAlignment="1">
      <alignment horizontal="left" vertical="center"/>
    </xf>
    <xf numFmtId="2" fontId="0" fillId="7" borderId="68" xfId="0" applyNumberFormat="1" applyFill="1" applyBorder="1" applyAlignment="1">
      <alignment horizontal="center" vertical="center"/>
    </xf>
    <xf numFmtId="2" fontId="0" fillId="0" borderId="55" xfId="0" applyNumberFormat="1" applyBorder="1" applyAlignment="1">
      <alignment horizontal="center"/>
    </xf>
    <xf numFmtId="165" fontId="31" fillId="0" borderId="60" xfId="0" applyNumberFormat="1" applyFont="1" applyBorder="1" applyAlignment="1">
      <alignment horizontal="center" vertical="center"/>
    </xf>
    <xf numFmtId="164" fontId="0" fillId="0" borderId="62" xfId="0" applyNumberFormat="1" applyBorder="1" applyAlignment="1">
      <alignment horizontal="center" vertical="center"/>
    </xf>
    <xf numFmtId="0" fontId="35" fillId="8" borderId="128" xfId="0" applyFont="1" applyFill="1" applyBorder="1" applyAlignment="1">
      <alignment horizontal="center" vertical="center"/>
    </xf>
    <xf numFmtId="2" fontId="0" fillId="7" borderId="63" xfId="0" applyNumberFormat="1" applyFill="1" applyBorder="1" applyAlignment="1">
      <alignment horizontal="center" vertical="center"/>
    </xf>
    <xf numFmtId="2" fontId="0" fillId="7" borderId="128" xfId="0" applyNumberFormat="1" applyFill="1" applyBorder="1" applyAlignment="1">
      <alignment horizontal="center" vertical="center"/>
    </xf>
    <xf numFmtId="2" fontId="0" fillId="0" borderId="130" xfId="0" applyNumberFormat="1" applyBorder="1" applyAlignment="1">
      <alignment horizontal="center"/>
    </xf>
    <xf numFmtId="164" fontId="35" fillId="0" borderId="134" xfId="0" applyNumberFormat="1" applyFont="1" applyBorder="1" applyAlignment="1">
      <alignment horizontal="center" vertical="center"/>
    </xf>
    <xf numFmtId="165" fontId="31" fillId="0" borderId="63" xfId="0" applyNumberFormat="1" applyFont="1" applyBorder="1" applyAlignment="1">
      <alignment horizontal="center" vertical="center"/>
    </xf>
    <xf numFmtId="164" fontId="0" fillId="7" borderId="63" xfId="0" applyNumberFormat="1" applyFill="1" applyBorder="1"/>
    <xf numFmtId="0" fontId="35" fillId="22" borderId="68" xfId="0" applyFont="1" applyFill="1" applyBorder="1" applyAlignment="1">
      <alignment horizontal="center" vertical="center"/>
    </xf>
    <xf numFmtId="165" fontId="35" fillId="0" borderId="61" xfId="0" applyNumberFormat="1" applyFont="1" applyBorder="1" applyAlignment="1">
      <alignment horizontal="center" vertical="center"/>
    </xf>
    <xf numFmtId="165" fontId="35" fillId="0" borderId="60" xfId="0" applyNumberFormat="1" applyFont="1" applyBorder="1" applyAlignment="1">
      <alignment horizontal="center" vertical="center"/>
    </xf>
    <xf numFmtId="2" fontId="30" fillId="0" borderId="60" xfId="0" applyNumberFormat="1" applyFont="1" applyBorder="1" applyAlignment="1">
      <alignment horizontal="center" vertical="center"/>
    </xf>
    <xf numFmtId="0" fontId="35" fillId="22" borderId="128" xfId="0" applyFont="1" applyFill="1" applyBorder="1" applyAlignment="1">
      <alignment horizontal="center" vertical="center"/>
    </xf>
    <xf numFmtId="165" fontId="35" fillId="0" borderId="62" xfId="0" applyNumberFormat="1" applyFont="1" applyBorder="1" applyAlignment="1">
      <alignment horizontal="center" vertical="center"/>
    </xf>
    <xf numFmtId="165" fontId="35" fillId="0" borderId="63" xfId="0" applyNumberFormat="1" applyFont="1" applyBorder="1" applyAlignment="1">
      <alignment horizontal="center" vertical="center"/>
    </xf>
    <xf numFmtId="2" fontId="30" fillId="0" borderId="63" xfId="0" applyNumberFormat="1" applyFont="1" applyBorder="1" applyAlignment="1">
      <alignment horizontal="center" vertical="center"/>
    </xf>
    <xf numFmtId="2" fontId="0" fillId="0" borderId="61" xfId="0" applyNumberFormat="1" applyBorder="1"/>
    <xf numFmtId="2" fontId="0" fillId="0" borderId="68" xfId="0" applyNumberFormat="1" applyBorder="1"/>
    <xf numFmtId="0" fontId="34" fillId="0" borderId="55" xfId="0" applyFont="1" applyBorder="1" applyAlignment="1">
      <alignment horizontal="center"/>
    </xf>
    <xf numFmtId="0" fontId="34" fillId="0" borderId="61" xfId="0" applyFont="1" applyBorder="1" applyAlignment="1">
      <alignment horizontal="center"/>
    </xf>
    <xf numFmtId="0" fontId="34" fillId="0" borderId="60" xfId="0" applyFont="1" applyBorder="1" applyAlignment="1">
      <alignment horizontal="center"/>
    </xf>
    <xf numFmtId="0" fontId="34" fillId="0" borderId="68" xfId="0" applyFont="1" applyBorder="1" applyAlignment="1">
      <alignment horizontal="center"/>
    </xf>
    <xf numFmtId="2" fontId="35" fillId="0" borderId="60" xfId="0" applyNumberFormat="1" applyFont="1" applyBorder="1"/>
    <xf numFmtId="0" fontId="30" fillId="0" borderId="60" xfId="0" applyFont="1" applyBorder="1"/>
    <xf numFmtId="2" fontId="0" fillId="0" borderId="62" xfId="0" applyNumberFormat="1" applyBorder="1"/>
    <xf numFmtId="2" fontId="0" fillId="0" borderId="128" xfId="0" applyNumberFormat="1" applyBorder="1"/>
    <xf numFmtId="0" fontId="34" fillId="0" borderId="130" xfId="0" applyFont="1" applyBorder="1" applyAlignment="1">
      <alignment horizontal="center"/>
    </xf>
    <xf numFmtId="0" fontId="34" fillId="0" borderId="62" xfId="0" applyFont="1" applyBorder="1" applyAlignment="1">
      <alignment horizontal="center"/>
    </xf>
    <xf numFmtId="0" fontId="34" fillId="0" borderId="63" xfId="0" applyFont="1" applyBorder="1" applyAlignment="1">
      <alignment horizontal="center"/>
    </xf>
    <xf numFmtId="0" fontId="34" fillId="0" borderId="128" xfId="0" applyFont="1" applyBorder="1" applyAlignment="1">
      <alignment horizontal="center"/>
    </xf>
    <xf numFmtId="2" fontId="35" fillId="0" borderId="63" xfId="0" applyNumberFormat="1" applyFont="1" applyBorder="1"/>
    <xf numFmtId="0" fontId="30" fillId="0" borderId="63" xfId="0" applyFont="1" applyBorder="1"/>
    <xf numFmtId="164" fontId="0" fillId="0" borderId="1" xfId="0" applyNumberFormat="1" applyBorder="1" applyAlignment="1">
      <alignment horizontal="center"/>
    </xf>
    <xf numFmtId="164" fontId="0" fillId="0" borderId="63" xfId="0" applyNumberFormat="1" applyBorder="1" applyAlignment="1">
      <alignment horizontal="center"/>
    </xf>
    <xf numFmtId="164" fontId="0" fillId="0" borderId="60" xfId="0" applyNumberFormat="1" applyBorder="1" applyAlignment="1">
      <alignment horizontal="center"/>
    </xf>
    <xf numFmtId="164" fontId="35" fillId="0" borderId="153" xfId="0" applyNumberFormat="1" applyFont="1" applyBorder="1" applyAlignment="1">
      <alignment horizontal="center"/>
    </xf>
    <xf numFmtId="164" fontId="35" fillId="0" borderId="151" xfId="0" applyNumberFormat="1" applyFont="1" applyBorder="1" applyAlignment="1">
      <alignment horizontal="center"/>
    </xf>
    <xf numFmtId="164" fontId="0" fillId="0" borderId="154" xfId="0" applyNumberFormat="1" applyBorder="1" applyAlignment="1">
      <alignment horizontal="center"/>
    </xf>
    <xf numFmtId="0" fontId="0" fillId="0" borderId="131" xfId="0" applyBorder="1" applyAlignment="1">
      <alignment vertical="center"/>
    </xf>
    <xf numFmtId="0" fontId="0" fillId="0" borderId="63" xfId="0" applyBorder="1" applyAlignment="1">
      <alignment vertical="center"/>
    </xf>
    <xf numFmtId="0" fontId="0" fillId="0" borderId="132" xfId="0" applyBorder="1" applyAlignment="1">
      <alignment vertical="center"/>
    </xf>
    <xf numFmtId="2" fontId="0" fillId="21" borderId="84" xfId="0" applyNumberFormat="1" applyFill="1" applyBorder="1" applyAlignment="1">
      <alignment horizontal="center" vertical="center"/>
    </xf>
    <xf numFmtId="0" fontId="1" fillId="0" borderId="48" xfId="0" applyFont="1" applyBorder="1" applyAlignment="1">
      <alignment horizontal="right"/>
    </xf>
    <xf numFmtId="9" fontId="1" fillId="0" borderId="48" xfId="0" applyNumberFormat="1" applyFont="1" applyBorder="1" applyAlignment="1">
      <alignment horizontal="right"/>
    </xf>
    <xf numFmtId="2" fontId="0" fillId="26" borderId="92" xfId="0" applyNumberFormat="1" applyFill="1" applyBorder="1" applyAlignment="1">
      <alignment horizontal="center" vertical="center"/>
    </xf>
    <xf numFmtId="2" fontId="0" fillId="26" borderId="50" xfId="0" applyNumberFormat="1" applyFill="1" applyBorder="1" applyAlignment="1">
      <alignment horizontal="center" vertical="center"/>
    </xf>
    <xf numFmtId="2" fontId="0" fillId="0" borderId="131" xfId="0" applyNumberFormat="1" applyBorder="1" applyAlignment="1">
      <alignment horizontal="center" vertical="center"/>
    </xf>
    <xf numFmtId="2" fontId="0" fillId="0" borderId="93" xfId="0" applyNumberFormat="1" applyBorder="1" applyAlignment="1">
      <alignment horizontal="center" vertical="center"/>
    </xf>
    <xf numFmtId="0" fontId="0" fillId="3" borderId="60" xfId="0" applyFill="1" applyBorder="1"/>
    <xf numFmtId="0" fontId="0" fillId="0" borderId="155" xfId="0" applyBorder="1"/>
    <xf numFmtId="0" fontId="0" fillId="0" borderId="156" xfId="0" applyBorder="1"/>
    <xf numFmtId="0" fontId="1" fillId="0" borderId="156" xfId="0" applyFont="1" applyBorder="1" applyAlignment="1">
      <alignment horizontal="right"/>
    </xf>
    <xf numFmtId="9" fontId="1" fillId="0" borderId="156" xfId="0" applyNumberFormat="1" applyFont="1" applyBorder="1" applyAlignment="1">
      <alignment horizontal="right"/>
    </xf>
    <xf numFmtId="2" fontId="0" fillId="26" borderId="157" xfId="0" applyNumberFormat="1" applyFill="1" applyBorder="1" applyAlignment="1">
      <alignment horizontal="center" vertical="center"/>
    </xf>
    <xf numFmtId="2" fontId="0" fillId="26" borderId="158" xfId="0" applyNumberFormat="1" applyFill="1" applyBorder="1" applyAlignment="1">
      <alignment horizontal="center" vertical="center"/>
    </xf>
    <xf numFmtId="2" fontId="0" fillId="0" borderId="159" xfId="0" applyNumberFormat="1" applyBorder="1" applyAlignment="1">
      <alignment horizontal="center" vertical="center"/>
    </xf>
    <xf numFmtId="2" fontId="0" fillId="0" borderId="160" xfId="0" applyNumberFormat="1" applyBorder="1" applyAlignment="1">
      <alignment horizontal="center" vertical="center"/>
    </xf>
    <xf numFmtId="2" fontId="0" fillId="0" borderId="158" xfId="0" applyNumberFormat="1" applyBorder="1" applyAlignment="1">
      <alignment horizontal="center" vertical="center"/>
    </xf>
    <xf numFmtId="2" fontId="0" fillId="0" borderId="161" xfId="0" applyNumberFormat="1" applyBorder="1" applyAlignment="1">
      <alignment horizontal="center" vertical="center"/>
    </xf>
    <xf numFmtId="0" fontId="0" fillId="0" borderId="162" xfId="0" applyBorder="1"/>
    <xf numFmtId="2" fontId="0" fillId="0" borderId="163" xfId="0" applyNumberFormat="1" applyBorder="1" applyAlignment="1">
      <alignment horizontal="center" vertical="center"/>
    </xf>
    <xf numFmtId="0" fontId="0" fillId="0" borderId="164" xfId="0" applyBorder="1"/>
    <xf numFmtId="0" fontId="0" fillId="0" borderId="165" xfId="0" applyBorder="1"/>
    <xf numFmtId="0" fontId="1" fillId="0" borderId="165" xfId="0" applyFont="1" applyBorder="1" applyAlignment="1">
      <alignment horizontal="right"/>
    </xf>
    <xf numFmtId="9" fontId="1" fillId="0" borderId="165" xfId="0" applyNumberFormat="1" applyFont="1" applyBorder="1" applyAlignment="1">
      <alignment horizontal="right"/>
    </xf>
    <xf numFmtId="2" fontId="0" fillId="0" borderId="166" xfId="0" applyNumberFormat="1" applyBorder="1" applyAlignment="1">
      <alignment horizontal="center" vertical="center"/>
    </xf>
    <xf numFmtId="2" fontId="0" fillId="0" borderId="167" xfId="0" applyNumberFormat="1" applyBorder="1" applyAlignment="1">
      <alignment horizontal="center" vertical="center"/>
    </xf>
    <xf numFmtId="2" fontId="0" fillId="0" borderId="168" xfId="0" applyNumberFormat="1" applyBorder="1" applyAlignment="1">
      <alignment horizontal="center" vertical="center"/>
    </xf>
    <xf numFmtId="2" fontId="0" fillId="0" borderId="169" xfId="0" applyNumberFormat="1" applyBorder="1" applyAlignment="1">
      <alignment horizontal="center" vertical="center"/>
    </xf>
    <xf numFmtId="2" fontId="0" fillId="0" borderId="170" xfId="0" applyNumberFormat="1" applyBorder="1" applyAlignment="1">
      <alignment horizontal="center" vertical="center"/>
    </xf>
    <xf numFmtId="0" fontId="33" fillId="7" borderId="0" xfId="0" applyFont="1" applyFill="1"/>
    <xf numFmtId="2" fontId="0" fillId="7" borderId="91" xfId="0" applyNumberFormat="1" applyFill="1" applyBorder="1" applyAlignment="1">
      <alignment horizontal="center" vertical="center"/>
    </xf>
    <xf numFmtId="2" fontId="0" fillId="7" borderId="8" xfId="0" applyNumberFormat="1" applyFill="1" applyBorder="1" applyAlignment="1">
      <alignment horizontal="center" vertical="center"/>
    </xf>
    <xf numFmtId="0" fontId="0" fillId="0" borderId="171" xfId="0" applyBorder="1"/>
    <xf numFmtId="0" fontId="1" fillId="0" borderId="171" xfId="0" applyFont="1" applyBorder="1" applyAlignment="1">
      <alignment horizontal="right"/>
    </xf>
    <xf numFmtId="9" fontId="1" fillId="0" borderId="171" xfId="0" applyNumberFormat="1" applyFont="1" applyBorder="1" applyAlignment="1">
      <alignment horizontal="right"/>
    </xf>
    <xf numFmtId="2" fontId="0" fillId="0" borderId="172" xfId="0" applyNumberFormat="1" applyBorder="1" applyAlignment="1">
      <alignment horizontal="center" vertical="center"/>
    </xf>
    <xf numFmtId="2" fontId="0" fillId="0" borderId="173" xfId="0" applyNumberFormat="1" applyBorder="1" applyAlignment="1">
      <alignment horizontal="center" vertical="center"/>
    </xf>
    <xf numFmtId="2" fontId="0" fillId="0" borderId="174" xfId="0" applyNumberFormat="1" applyBorder="1" applyAlignment="1">
      <alignment horizontal="center" vertical="center"/>
    </xf>
    <xf numFmtId="2" fontId="0" fillId="0" borderId="175" xfId="0" applyNumberFormat="1" applyBorder="1" applyAlignment="1">
      <alignment horizontal="center" vertical="center"/>
    </xf>
    <xf numFmtId="0" fontId="0" fillId="0" borderId="173" xfId="0" applyBorder="1"/>
    <xf numFmtId="0" fontId="0" fillId="0" borderId="174" xfId="0" applyBorder="1"/>
    <xf numFmtId="0" fontId="0" fillId="0" borderId="175" xfId="0" applyBorder="1"/>
    <xf numFmtId="166" fontId="0" fillId="0" borderId="153" xfId="0" applyNumberFormat="1" applyBorder="1" applyAlignment="1">
      <alignment horizontal="center" vertical="center"/>
    </xf>
    <xf numFmtId="166" fontId="0" fillId="0" borderId="151" xfId="0" applyNumberFormat="1" applyBorder="1" applyAlignment="1">
      <alignment horizontal="center" vertical="center"/>
    </xf>
    <xf numFmtId="2" fontId="0" fillId="0" borderId="153" xfId="0" applyNumberFormat="1" applyBorder="1" applyAlignment="1">
      <alignment horizontal="center" vertical="center"/>
    </xf>
    <xf numFmtId="0" fontId="4" fillId="6" borderId="0" xfId="2" applyFont="1" applyFill="1"/>
    <xf numFmtId="0" fontId="0" fillId="0" borderId="60" xfId="0" applyBorder="1" applyAlignment="1">
      <alignment horizontal="center"/>
    </xf>
    <xf numFmtId="0" fontId="0" fillId="0" borderId="62" xfId="0" applyBorder="1" applyAlignment="1">
      <alignment horizontal="center"/>
    </xf>
    <xf numFmtId="164" fontId="35" fillId="0" borderId="66" xfId="0" applyNumberFormat="1" applyFont="1" applyBorder="1" applyAlignment="1">
      <alignment horizontal="center" vertical="center"/>
    </xf>
    <xf numFmtId="164" fontId="35" fillId="0" borderId="1" xfId="0" applyNumberFormat="1" applyFont="1" applyBorder="1" applyAlignment="1">
      <alignment horizontal="center" vertical="center"/>
    </xf>
    <xf numFmtId="164" fontId="35" fillId="0" borderId="63" xfId="0" applyNumberFormat="1" applyFont="1" applyBorder="1" applyAlignment="1">
      <alignment horizontal="center" vertical="center"/>
    </xf>
    <xf numFmtId="164" fontId="35" fillId="0" borderId="60" xfId="0" applyNumberFormat="1" applyFont="1" applyBorder="1" applyAlignment="1">
      <alignment horizontal="center" vertical="center"/>
    </xf>
    <xf numFmtId="2" fontId="5" fillId="7" borderId="16" xfId="2" applyNumberFormat="1" applyFont="1" applyFill="1" applyBorder="1" applyAlignment="1">
      <alignment horizontal="center"/>
    </xf>
    <xf numFmtId="0" fontId="5" fillId="8" borderId="0" xfId="2" applyFont="1" applyFill="1" applyAlignment="1">
      <alignment horizontal="center"/>
    </xf>
    <xf numFmtId="0" fontId="4" fillId="0" borderId="46" xfId="2" applyFont="1" applyBorder="1" applyAlignment="1">
      <alignment horizontal="center"/>
    </xf>
    <xf numFmtId="0" fontId="9" fillId="2" borderId="46" xfId="2" applyFont="1" applyFill="1" applyBorder="1" applyAlignment="1">
      <alignment horizontal="center"/>
    </xf>
    <xf numFmtId="165" fontId="9" fillId="0" borderId="16" xfId="2" applyNumberFormat="1" applyFont="1" applyBorder="1" applyAlignment="1">
      <alignment horizontal="center"/>
    </xf>
    <xf numFmtId="164" fontId="9" fillId="0" borderId="46" xfId="2" applyNumberFormat="1" applyFont="1" applyBorder="1" applyAlignment="1">
      <alignment horizontal="center"/>
    </xf>
    <xf numFmtId="0" fontId="9" fillId="0" borderId="46" xfId="2" applyFont="1" applyBorder="1" applyAlignment="1">
      <alignment horizontal="center"/>
    </xf>
    <xf numFmtId="0" fontId="6" fillId="0" borderId="46" xfId="2" applyFont="1" applyBorder="1" applyAlignment="1">
      <alignment horizontal="center"/>
    </xf>
    <xf numFmtId="2" fontId="9" fillId="0" borderId="46" xfId="2" applyNumberFormat="1" applyFont="1" applyBorder="1" applyAlignment="1">
      <alignment horizontal="center"/>
    </xf>
    <xf numFmtId="2" fontId="9" fillId="0" borderId="176" xfId="2" applyNumberFormat="1" applyFont="1" applyBorder="1" applyAlignment="1">
      <alignment horizontal="center"/>
    </xf>
    <xf numFmtId="0" fontId="4" fillId="0" borderId="48" xfId="2" applyFont="1" applyBorder="1" applyAlignment="1">
      <alignment horizontal="center"/>
    </xf>
    <xf numFmtId="1" fontId="1" fillId="0" borderId="66" xfId="0" applyNumberFormat="1" applyFont="1" applyBorder="1" applyAlignment="1">
      <alignment horizontal="center"/>
    </xf>
    <xf numFmtId="1" fontId="1" fillId="0" borderId="84" xfId="0" applyNumberFormat="1" applyFont="1" applyBorder="1" applyAlignment="1">
      <alignment horizontal="center"/>
    </xf>
    <xf numFmtId="1" fontId="35" fillId="0" borderId="107" xfId="0" applyNumberFormat="1" applyFont="1" applyBorder="1" applyAlignment="1">
      <alignment horizontal="center"/>
    </xf>
    <xf numFmtId="0" fontId="1" fillId="17" borderId="59" xfId="0" applyFont="1" applyFill="1" applyBorder="1"/>
    <xf numFmtId="2" fontId="0" fillId="17" borderId="3" xfId="0" applyNumberFormat="1" applyFill="1" applyBorder="1" applyAlignment="1">
      <alignment horizontal="center"/>
    </xf>
    <xf numFmtId="0" fontId="40" fillId="17" borderId="28" xfId="0" applyFont="1" applyFill="1" applyBorder="1"/>
    <xf numFmtId="0" fontId="40" fillId="17" borderId="1" xfId="0" applyFont="1" applyFill="1" applyBorder="1"/>
    <xf numFmtId="0" fontId="0" fillId="3" borderId="28" xfId="0" applyFill="1" applyBorder="1"/>
    <xf numFmtId="0" fontId="34" fillId="0" borderId="177" xfId="0" applyFont="1" applyBorder="1"/>
    <xf numFmtId="0" fontId="1" fillId="0" borderId="177" xfId="0" applyFont="1" applyBorder="1"/>
    <xf numFmtId="0" fontId="64" fillId="0" borderId="1" xfId="0" applyFont="1" applyBorder="1"/>
    <xf numFmtId="0" fontId="65" fillId="0" borderId="1" xfId="0" applyFont="1" applyBorder="1"/>
    <xf numFmtId="0" fontId="65" fillId="0" borderId="28" xfId="0" applyFont="1" applyBorder="1"/>
    <xf numFmtId="0" fontId="66" fillId="0" borderId="1" xfId="0" applyFont="1" applyBorder="1"/>
    <xf numFmtId="0" fontId="68" fillId="0" borderId="1" xfId="0" applyFont="1" applyBorder="1"/>
    <xf numFmtId="0" fontId="68" fillId="0" borderId="28" xfId="0" applyFont="1" applyBorder="1"/>
    <xf numFmtId="0" fontId="34" fillId="0" borderId="1" xfId="0" applyFont="1" applyBorder="1"/>
    <xf numFmtId="0" fontId="42" fillId="0" borderId="28" xfId="0" applyFont="1" applyBorder="1"/>
    <xf numFmtId="0" fontId="41" fillId="0" borderId="177" xfId="0" applyFont="1" applyBorder="1"/>
    <xf numFmtId="0" fontId="69" fillId="0" borderId="177" xfId="0" applyFont="1" applyBorder="1"/>
    <xf numFmtId="0" fontId="70" fillId="0" borderId="1" xfId="0" applyFont="1" applyBorder="1"/>
    <xf numFmtId="0" fontId="39" fillId="2" borderId="177" xfId="0" applyFont="1" applyFill="1" applyBorder="1"/>
    <xf numFmtId="0" fontId="40" fillId="2" borderId="1" xfId="0" applyFont="1" applyFill="1" applyBorder="1"/>
    <xf numFmtId="0" fontId="39" fillId="0" borderId="177" xfId="0" applyFont="1" applyBorder="1"/>
    <xf numFmtId="0" fontId="37" fillId="0" borderId="177" xfId="0" applyFont="1" applyBorder="1"/>
    <xf numFmtId="0" fontId="64" fillId="0" borderId="177" xfId="0" applyFont="1" applyBorder="1"/>
    <xf numFmtId="0" fontId="67" fillId="0" borderId="1" xfId="0" applyFont="1" applyBorder="1"/>
    <xf numFmtId="0" fontId="67" fillId="0" borderId="177" xfId="0" applyFont="1" applyBorder="1"/>
    <xf numFmtId="16" fontId="0" fillId="0" borderId="177" xfId="0" applyNumberFormat="1" applyBorder="1"/>
    <xf numFmtId="16" fontId="0" fillId="0" borderId="1" xfId="0" applyNumberFormat="1" applyBorder="1"/>
    <xf numFmtId="16" fontId="0" fillId="17" borderId="28" xfId="0" applyNumberFormat="1" applyFill="1" applyBorder="1"/>
    <xf numFmtId="16" fontId="0" fillId="17" borderId="1" xfId="0" applyNumberFormat="1" applyFill="1" applyBorder="1"/>
    <xf numFmtId="0" fontId="0" fillId="0" borderId="177" xfId="0" applyBorder="1"/>
    <xf numFmtId="16" fontId="0" fillId="0" borderId="28" xfId="0" applyNumberFormat="1" applyBorder="1"/>
    <xf numFmtId="16" fontId="0" fillId="0" borderId="178" xfId="0" applyNumberFormat="1" applyBorder="1"/>
    <xf numFmtId="16" fontId="0" fillId="0" borderId="12" xfId="0" applyNumberFormat="1" applyBorder="1"/>
    <xf numFmtId="16" fontId="0" fillId="17" borderId="25" xfId="0" applyNumberFormat="1" applyFill="1" applyBorder="1"/>
    <xf numFmtId="16" fontId="0" fillId="17" borderId="12" xfId="0" applyNumberFormat="1" applyFill="1" applyBorder="1"/>
    <xf numFmtId="16" fontId="0" fillId="3" borderId="25" xfId="0" applyNumberFormat="1" applyFill="1" applyBorder="1"/>
    <xf numFmtId="16" fontId="0" fillId="0" borderId="25" xfId="0" applyNumberFormat="1" applyBorder="1"/>
    <xf numFmtId="16" fontId="0" fillId="3" borderId="12" xfId="0" applyNumberFormat="1" applyFill="1" applyBorder="1"/>
    <xf numFmtId="0" fontId="1" fillId="0" borderId="53" xfId="0" applyFont="1" applyBorder="1" applyAlignment="1">
      <alignment horizontal="right"/>
    </xf>
    <xf numFmtId="0" fontId="1" fillId="0" borderId="179" xfId="0" applyFont="1" applyBorder="1" applyAlignment="1">
      <alignment horizontal="center" vertical="center"/>
    </xf>
    <xf numFmtId="0" fontId="1" fillId="0" borderId="180" xfId="0" applyFont="1" applyBorder="1" applyAlignment="1">
      <alignment horizontal="center" vertical="center"/>
    </xf>
    <xf numFmtId="0" fontId="1" fillId="17" borderId="181" xfId="0" applyFont="1" applyFill="1" applyBorder="1" applyAlignment="1">
      <alignment horizontal="center" vertical="center"/>
    </xf>
    <xf numFmtId="0" fontId="1" fillId="0" borderId="182" xfId="0" applyFont="1" applyBorder="1" applyAlignment="1">
      <alignment horizontal="center" vertical="center"/>
    </xf>
    <xf numFmtId="0" fontId="1" fillId="17" borderId="54" xfId="0" applyFont="1" applyFill="1" applyBorder="1" applyAlignment="1">
      <alignment horizontal="center" vertical="center"/>
    </xf>
    <xf numFmtId="0" fontId="1" fillId="17" borderId="183" xfId="0" applyFont="1" applyFill="1" applyBorder="1" applyAlignment="1">
      <alignment horizontal="center" vertical="center"/>
    </xf>
    <xf numFmtId="0" fontId="1" fillId="0" borderId="54" xfId="0" applyFont="1" applyBorder="1"/>
    <xf numFmtId="0" fontId="1" fillId="3" borderId="183" xfId="0" applyFont="1" applyFill="1" applyBorder="1"/>
    <xf numFmtId="0" fontId="1" fillId="0" borderId="183" xfId="0" applyFont="1" applyBorder="1" applyAlignment="1">
      <alignment horizontal="center" vertical="center"/>
    </xf>
    <xf numFmtId="0" fontId="1" fillId="3" borderId="54" xfId="0" applyFont="1" applyFill="1" applyBorder="1"/>
    <xf numFmtId="16" fontId="0" fillId="3" borderId="54" xfId="0" applyNumberFormat="1" applyFill="1" applyBorder="1"/>
    <xf numFmtId="0" fontId="34" fillId="0" borderId="54" xfId="0" applyFont="1" applyBorder="1" applyAlignment="1">
      <alignment horizontal="center" vertical="center"/>
    </xf>
    <xf numFmtId="0" fontId="1" fillId="0" borderId="54" xfId="0" applyFont="1" applyBorder="1" applyAlignment="1">
      <alignment horizontal="right"/>
    </xf>
    <xf numFmtId="0" fontId="34" fillId="0" borderId="183" xfId="0" applyFont="1" applyBorder="1" applyAlignment="1">
      <alignment horizontal="center" vertical="center"/>
    </xf>
    <xf numFmtId="0" fontId="34" fillId="0" borderId="182" xfId="0" applyFont="1" applyBorder="1" applyAlignment="1">
      <alignment horizontal="center" vertical="center"/>
    </xf>
    <xf numFmtId="0" fontId="0" fillId="3" borderId="183" xfId="0" applyFill="1" applyBorder="1"/>
    <xf numFmtId="0" fontId="34" fillId="0" borderId="183" xfId="0" applyFont="1" applyBorder="1"/>
    <xf numFmtId="164" fontId="35" fillId="0" borderId="184" xfId="0" applyNumberFormat="1" applyFont="1" applyBorder="1" applyAlignment="1">
      <alignment horizontal="center"/>
    </xf>
    <xf numFmtId="164" fontId="35" fillId="0" borderId="177" xfId="0" applyNumberFormat="1" applyFont="1" applyBorder="1" applyAlignment="1">
      <alignment horizontal="center"/>
    </xf>
    <xf numFmtId="164" fontId="0" fillId="0" borderId="178" xfId="0" applyNumberFormat="1" applyBorder="1" applyAlignment="1">
      <alignment horizontal="center"/>
    </xf>
    <xf numFmtId="0" fontId="1" fillId="0" borderId="182" xfId="0" applyFont="1" applyBorder="1" applyAlignment="1">
      <alignment horizontal="center"/>
    </xf>
    <xf numFmtId="164" fontId="35" fillId="17" borderId="26" xfId="0" applyNumberFormat="1" applyFont="1" applyFill="1" applyBorder="1" applyAlignment="1">
      <alignment horizontal="center"/>
    </xf>
    <xf numFmtId="164" fontId="35" fillId="17" borderId="28" xfId="0" applyNumberFormat="1" applyFont="1" applyFill="1" applyBorder="1" applyAlignment="1">
      <alignment horizontal="center"/>
    </xf>
    <xf numFmtId="164" fontId="0" fillId="17" borderId="25" xfId="0" applyNumberFormat="1" applyFill="1" applyBorder="1" applyAlignment="1">
      <alignment horizontal="center"/>
    </xf>
    <xf numFmtId="0" fontId="1" fillId="17" borderId="183" xfId="0" applyFont="1" applyFill="1" applyBorder="1" applyAlignment="1">
      <alignment horizontal="center"/>
    </xf>
    <xf numFmtId="164" fontId="35" fillId="17" borderId="8" xfId="0" applyNumberFormat="1" applyFont="1" applyFill="1" applyBorder="1" applyAlignment="1">
      <alignment horizontal="center"/>
    </xf>
    <xf numFmtId="164" fontId="35" fillId="17" borderId="1" xfId="0" applyNumberFormat="1" applyFont="1" applyFill="1" applyBorder="1" applyAlignment="1">
      <alignment horizontal="center"/>
    </xf>
    <xf numFmtId="164" fontId="0" fillId="17" borderId="12" xfId="0" applyNumberFormat="1" applyFill="1" applyBorder="1" applyAlignment="1">
      <alignment horizontal="center"/>
    </xf>
    <xf numFmtId="0" fontId="1" fillId="17" borderId="54" xfId="0" applyFont="1" applyFill="1" applyBorder="1" applyAlignment="1">
      <alignment horizontal="center"/>
    </xf>
    <xf numFmtId="0" fontId="35" fillId="3" borderId="26" xfId="0" applyFont="1" applyFill="1" applyBorder="1"/>
    <xf numFmtId="0" fontId="35" fillId="0" borderId="184" xfId="0" applyFont="1" applyBorder="1"/>
    <xf numFmtId="0" fontId="35" fillId="0" borderId="177" xfId="0" applyFont="1" applyBorder="1"/>
    <xf numFmtId="0" fontId="0" fillId="0" borderId="178" xfId="0" applyBorder="1"/>
    <xf numFmtId="0" fontId="0" fillId="0" borderId="182" xfId="0" applyBorder="1" applyAlignment="1">
      <alignment horizontal="center" vertical="center"/>
    </xf>
    <xf numFmtId="0" fontId="35" fillId="0" borderId="26" xfId="0" applyFont="1" applyBorder="1"/>
    <xf numFmtId="0" fontId="35" fillId="0" borderId="28" xfId="0" applyFont="1" applyBorder="1"/>
    <xf numFmtId="0" fontId="0" fillId="0" borderId="183" xfId="0" applyBorder="1" applyAlignment="1">
      <alignment horizontal="center" vertical="center"/>
    </xf>
    <xf numFmtId="0" fontId="0" fillId="0" borderId="26" xfId="0" applyBorder="1"/>
    <xf numFmtId="0" fontId="0" fillId="0" borderId="184" xfId="0" applyBorder="1"/>
    <xf numFmtId="164" fontId="0" fillId="0" borderId="26" xfId="0" applyNumberFormat="1" applyBorder="1" applyAlignment="1">
      <alignment horizontal="center" vertical="center"/>
    </xf>
    <xf numFmtId="164" fontId="0" fillId="0" borderId="28" xfId="0" applyNumberFormat="1" applyBorder="1" applyAlignment="1">
      <alignment horizontal="center" vertical="center"/>
    </xf>
    <xf numFmtId="0" fontId="35" fillId="8" borderId="25" xfId="0" applyFont="1" applyFill="1" applyBorder="1" applyAlignment="1">
      <alignment horizontal="center" vertical="center"/>
    </xf>
    <xf numFmtId="164" fontId="0" fillId="0" borderId="184" xfId="0" applyNumberFormat="1" applyBorder="1" applyAlignment="1">
      <alignment horizontal="center" vertical="center"/>
    </xf>
    <xf numFmtId="164" fontId="0" fillId="0" borderId="177" xfId="0" applyNumberFormat="1" applyBorder="1" applyAlignment="1">
      <alignment horizontal="center" vertical="center"/>
    </xf>
    <xf numFmtId="0" fontId="35" fillId="21" borderId="178" xfId="0" applyFont="1" applyFill="1" applyBorder="1" applyAlignment="1">
      <alignment horizontal="center" vertical="center"/>
    </xf>
    <xf numFmtId="0" fontId="35" fillId="21" borderId="25" xfId="0" applyFont="1" applyFill="1" applyBorder="1" applyAlignment="1">
      <alignment horizontal="center" vertical="center"/>
    </xf>
    <xf numFmtId="0" fontId="35" fillId="22" borderId="178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84" xfId="0" applyBorder="1" applyAlignment="1">
      <alignment horizontal="center" vertical="center"/>
    </xf>
    <xf numFmtId="0" fontId="0" fillId="0" borderId="177" xfId="0" applyBorder="1" applyAlignment="1">
      <alignment horizontal="center" vertical="center"/>
    </xf>
    <xf numFmtId="0" fontId="0" fillId="0" borderId="178" xfId="0" applyBorder="1" applyAlignment="1">
      <alignment horizontal="center" vertical="center"/>
    </xf>
    <xf numFmtId="0" fontId="35" fillId="3" borderId="28" xfId="0" applyFont="1" applyFill="1" applyBorder="1"/>
    <xf numFmtId="0" fontId="0" fillId="3" borderId="25" xfId="0" applyFill="1" applyBorder="1"/>
    <xf numFmtId="0" fontId="0" fillId="0" borderId="183" xfId="0" applyBorder="1"/>
    <xf numFmtId="0" fontId="0" fillId="0" borderId="182" xfId="0" applyBorder="1"/>
    <xf numFmtId="0" fontId="1" fillId="0" borderId="184" xfId="0" applyFont="1" applyBorder="1" applyAlignment="1">
      <alignment horizontal="center"/>
    </xf>
    <xf numFmtId="0" fontId="1" fillId="17" borderId="26" xfId="0" applyFont="1" applyFill="1" applyBorder="1" applyAlignment="1">
      <alignment horizontal="center"/>
    </xf>
    <xf numFmtId="0" fontId="1" fillId="17" borderId="8" xfId="0" applyFont="1" applyFill="1" applyBorder="1" applyAlignment="1">
      <alignment horizontal="center"/>
    </xf>
    <xf numFmtId="0" fontId="0" fillId="3" borderId="26" xfId="0" applyFill="1" applyBorder="1"/>
    <xf numFmtId="0" fontId="1" fillId="0" borderId="8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184" xfId="0" applyFont="1" applyBorder="1" applyAlignment="1">
      <alignment horizontal="center" vertical="center"/>
    </xf>
    <xf numFmtId="0" fontId="0" fillId="0" borderId="185" xfId="0" applyBorder="1"/>
    <xf numFmtId="0" fontId="0" fillId="17" borderId="186" xfId="0" applyFill="1" applyBorder="1"/>
    <xf numFmtId="0" fontId="0" fillId="17" borderId="58" xfId="0" applyFill="1" applyBorder="1"/>
    <xf numFmtId="0" fontId="0" fillId="3" borderId="186" xfId="0" applyFill="1" applyBorder="1"/>
    <xf numFmtId="0" fontId="0" fillId="0" borderId="186" xfId="0" applyBorder="1"/>
    <xf numFmtId="0" fontId="0" fillId="17" borderId="26" xfId="0" applyFill="1" applyBorder="1" applyAlignment="1">
      <alignment horizontal="center" vertical="center"/>
    </xf>
    <xf numFmtId="0" fontId="0" fillId="0" borderId="184" xfId="0" applyBorder="1" applyAlignment="1">
      <alignment vertical="center"/>
    </xf>
    <xf numFmtId="0" fontId="0" fillId="17" borderId="8" xfId="0" applyFill="1" applyBorder="1" applyAlignment="1">
      <alignment vertical="center"/>
    </xf>
    <xf numFmtId="0" fontId="0" fillId="17" borderId="26" xfId="0" applyFill="1" applyBorder="1" applyAlignment="1">
      <alignment vertical="center"/>
    </xf>
    <xf numFmtId="0" fontId="0" fillId="17" borderId="8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2" fontId="0" fillId="0" borderId="184" xfId="0" applyNumberFormat="1" applyBorder="1" applyAlignment="1">
      <alignment horizontal="center" vertical="center"/>
    </xf>
    <xf numFmtId="0" fontId="0" fillId="17" borderId="28" xfId="0" applyFill="1" applyBorder="1"/>
    <xf numFmtId="0" fontId="0" fillId="17" borderId="1" xfId="0" applyFill="1" applyBorder="1"/>
    <xf numFmtId="0" fontId="0" fillId="17" borderId="1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2" fontId="0" fillId="7" borderId="28" xfId="0" applyNumberFormat="1" applyFill="1" applyBorder="1" applyAlignment="1">
      <alignment horizontal="center" vertical="center"/>
    </xf>
    <xf numFmtId="2" fontId="0" fillId="7" borderId="177" xfId="0" applyNumberFormat="1" applyFill="1" applyBorder="1" applyAlignment="1">
      <alignment horizontal="center" vertical="center"/>
    </xf>
    <xf numFmtId="2" fontId="0" fillId="0" borderId="177" xfId="0" applyNumberFormat="1" applyBorder="1" applyAlignment="1">
      <alignment horizontal="center" vertical="center"/>
    </xf>
    <xf numFmtId="0" fontId="0" fillId="17" borderId="28" xfId="0" applyFill="1" applyBorder="1" applyAlignment="1">
      <alignment horizontal="center" vertical="center"/>
    </xf>
    <xf numFmtId="0" fontId="0" fillId="0" borderId="177" xfId="0" applyBorder="1" applyAlignment="1">
      <alignment vertical="center"/>
    </xf>
    <xf numFmtId="0" fontId="0" fillId="17" borderId="1" xfId="0" applyFill="1" applyBorder="1" applyAlignment="1">
      <alignment vertical="center"/>
    </xf>
    <xf numFmtId="0" fontId="0" fillId="17" borderId="25" xfId="0" applyFill="1" applyBorder="1" applyAlignment="1">
      <alignment horizontal="center" vertical="center"/>
    </xf>
    <xf numFmtId="0" fontId="0" fillId="0" borderId="178" xfId="0" applyBorder="1" applyAlignment="1">
      <alignment vertical="center"/>
    </xf>
    <xf numFmtId="0" fontId="0" fillId="17" borderId="12" xfId="0" applyFill="1" applyBorder="1" applyAlignment="1">
      <alignment vertical="center"/>
    </xf>
    <xf numFmtId="0" fontId="0" fillId="17" borderId="25" xfId="0" applyFill="1" applyBorder="1" applyAlignment="1">
      <alignment vertical="center"/>
    </xf>
    <xf numFmtId="0" fontId="0" fillId="17" borderId="12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2" fontId="0" fillId="0" borderId="178" xfId="0" applyNumberFormat="1" applyBorder="1" applyAlignment="1">
      <alignment horizontal="center" vertical="center"/>
    </xf>
    <xf numFmtId="0" fontId="0" fillId="17" borderId="183" xfId="0" applyFill="1" applyBorder="1"/>
    <xf numFmtId="0" fontId="0" fillId="17" borderId="54" xfId="0" applyFill="1" applyBorder="1"/>
    <xf numFmtId="0" fontId="1" fillId="0" borderId="182" xfId="0" applyFont="1" applyBorder="1" applyAlignment="1">
      <alignment horizontal="left" vertical="center"/>
    </xf>
    <xf numFmtId="2" fontId="0" fillId="0" borderId="26" xfId="0" applyNumberFormat="1" applyBorder="1" applyAlignment="1">
      <alignment horizontal="center"/>
    </xf>
    <xf numFmtId="2" fontId="0" fillId="0" borderId="184" xfId="0" applyNumberFormat="1" applyBorder="1" applyAlignment="1">
      <alignment horizontal="center"/>
    </xf>
    <xf numFmtId="1" fontId="0" fillId="0" borderId="8" xfId="0" applyNumberFormat="1" applyBorder="1"/>
    <xf numFmtId="166" fontId="0" fillId="0" borderId="26" xfId="0" applyNumberFormat="1" applyBorder="1" applyAlignment="1">
      <alignment horizontal="center" vertical="center"/>
    </xf>
    <xf numFmtId="166" fontId="0" fillId="0" borderId="184" xfId="0" applyNumberFormat="1" applyBorder="1" applyAlignment="1">
      <alignment horizontal="center" vertical="center"/>
    </xf>
    <xf numFmtId="166" fontId="0" fillId="0" borderId="177" xfId="0" applyNumberFormat="1" applyBorder="1" applyAlignment="1">
      <alignment horizontal="center" vertical="center"/>
    </xf>
    <xf numFmtId="166" fontId="0" fillId="0" borderId="28" xfId="0" applyNumberFormat="1" applyBorder="1" applyAlignment="1">
      <alignment horizontal="center"/>
    </xf>
    <xf numFmtId="166" fontId="0" fillId="0" borderId="177" xfId="0" applyNumberFormat="1" applyBorder="1" applyAlignment="1">
      <alignment horizontal="center"/>
    </xf>
    <xf numFmtId="166" fontId="0" fillId="7" borderId="28" xfId="0" applyNumberFormat="1" applyFill="1" applyBorder="1" applyAlignment="1">
      <alignment horizontal="center" vertical="center"/>
    </xf>
    <xf numFmtId="166" fontId="0" fillId="7" borderId="177" xfId="0" applyNumberFormat="1" applyFill="1" applyBorder="1" applyAlignment="1">
      <alignment horizontal="center" vertical="center"/>
    </xf>
    <xf numFmtId="166" fontId="0" fillId="0" borderId="25" xfId="0" applyNumberFormat="1" applyBorder="1" applyAlignment="1">
      <alignment horizontal="center" vertical="center"/>
    </xf>
    <xf numFmtId="166" fontId="0" fillId="0" borderId="178" xfId="0" applyNumberFormat="1" applyBorder="1" applyAlignment="1">
      <alignment horizontal="center" vertical="center"/>
    </xf>
    <xf numFmtId="166" fontId="0" fillId="0" borderId="28" xfId="0" applyNumberFormat="1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177" xfId="0" applyBorder="1" applyAlignment="1">
      <alignment horizontal="center"/>
    </xf>
    <xf numFmtId="166" fontId="36" fillId="7" borderId="28" xfId="0" applyNumberFormat="1" applyFont="1" applyFill="1" applyBorder="1" applyAlignment="1">
      <alignment horizontal="center"/>
    </xf>
    <xf numFmtId="166" fontId="36" fillId="7" borderId="177" xfId="0" applyNumberFormat="1" applyFont="1" applyFill="1" applyBorder="1" applyAlignment="1">
      <alignment horizontal="center"/>
    </xf>
    <xf numFmtId="2" fontId="0" fillId="7" borderId="25" xfId="0" applyNumberFormat="1" applyFill="1" applyBorder="1" applyAlignment="1">
      <alignment horizontal="center" vertical="center"/>
    </xf>
    <xf numFmtId="2" fontId="0" fillId="7" borderId="178" xfId="0" applyNumberFormat="1" applyFill="1" applyBorder="1" applyAlignment="1">
      <alignment horizontal="center" vertical="center"/>
    </xf>
    <xf numFmtId="0" fontId="0" fillId="17" borderId="183" xfId="0" applyFill="1" applyBorder="1" applyAlignment="1">
      <alignment horizontal="center" vertical="center"/>
    </xf>
    <xf numFmtId="0" fontId="0" fillId="17" borderId="54" xfId="0" applyFill="1" applyBorder="1" applyAlignment="1">
      <alignment horizontal="center" vertical="center"/>
    </xf>
    <xf numFmtId="0" fontId="0" fillId="3" borderId="183" xfId="0" applyFill="1" applyBorder="1" applyAlignment="1">
      <alignment horizontal="center" vertical="center"/>
    </xf>
    <xf numFmtId="2" fontId="0" fillId="0" borderId="183" xfId="0" applyNumberFormat="1" applyBorder="1" applyAlignment="1">
      <alignment horizontal="center" vertical="center"/>
    </xf>
    <xf numFmtId="2" fontId="0" fillId="0" borderId="182" xfId="0" applyNumberFormat="1" applyBorder="1" applyAlignment="1">
      <alignment horizontal="center" vertical="center"/>
    </xf>
    <xf numFmtId="2" fontId="0" fillId="17" borderId="26" xfId="0" applyNumberFormat="1" applyFill="1" applyBorder="1" applyAlignment="1">
      <alignment horizontal="center" vertical="center"/>
    </xf>
    <xf numFmtId="2" fontId="0" fillId="17" borderId="8" xfId="0" applyNumberFormat="1" applyFill="1" applyBorder="1" applyAlignment="1">
      <alignment horizontal="center" vertical="center"/>
    </xf>
    <xf numFmtId="2" fontId="0" fillId="17" borderId="25" xfId="0" applyNumberFormat="1" applyFill="1" applyBorder="1" applyAlignment="1">
      <alignment horizontal="center" vertical="center"/>
    </xf>
    <xf numFmtId="2" fontId="0" fillId="17" borderId="12" xfId="0" applyNumberFormat="1" applyFill="1" applyBorder="1" applyAlignment="1">
      <alignment horizontal="center" vertical="center"/>
    </xf>
    <xf numFmtId="2" fontId="0" fillId="0" borderId="183" xfId="0" applyNumberFormat="1" applyBorder="1" applyAlignment="1">
      <alignment horizontal="center"/>
    </xf>
    <xf numFmtId="2" fontId="0" fillId="0" borderId="182" xfId="0" applyNumberFormat="1" applyBorder="1" applyAlignment="1">
      <alignment horizontal="center"/>
    </xf>
    <xf numFmtId="2" fontId="0" fillId="17" borderId="28" xfId="0" applyNumberFormat="1" applyFill="1" applyBorder="1" applyAlignment="1">
      <alignment horizontal="center" vertical="center"/>
    </xf>
    <xf numFmtId="2" fontId="0" fillId="0" borderId="184" xfId="0" applyNumberFormat="1" applyBorder="1"/>
    <xf numFmtId="2" fontId="0" fillId="0" borderId="26" xfId="0" applyNumberFormat="1" applyBorder="1"/>
    <xf numFmtId="2" fontId="0" fillId="17" borderId="1" xfId="0" applyNumberFormat="1" applyFill="1" applyBorder="1" applyAlignment="1">
      <alignment horizontal="center" vertical="center"/>
    </xf>
    <xf numFmtId="2" fontId="0" fillId="0" borderId="177" xfId="0" applyNumberFormat="1" applyBorder="1"/>
    <xf numFmtId="2" fontId="0" fillId="0" borderId="28" xfId="0" applyNumberFormat="1" applyBorder="1"/>
    <xf numFmtId="2" fontId="0" fillId="0" borderId="28" xfId="0" applyNumberFormat="1" applyBorder="1" applyAlignment="1">
      <alignment horizontal="center"/>
    </xf>
    <xf numFmtId="2" fontId="0" fillId="0" borderId="177" xfId="0" applyNumberFormat="1" applyBorder="1" applyAlignment="1">
      <alignment horizontal="center"/>
    </xf>
    <xf numFmtId="2" fontId="0" fillId="0" borderId="178" xfId="0" applyNumberFormat="1" applyBorder="1"/>
    <xf numFmtId="2" fontId="0" fillId="0" borderId="25" xfId="0" applyNumberFormat="1" applyBorder="1"/>
    <xf numFmtId="2" fontId="0" fillId="17" borderId="183" xfId="0" applyNumberFormat="1" applyFill="1" applyBorder="1" applyAlignment="1">
      <alignment horizontal="center" vertical="center"/>
    </xf>
    <xf numFmtId="2" fontId="0" fillId="17" borderId="54" xfId="0" applyNumberFormat="1" applyFill="1" applyBorder="1" applyAlignment="1">
      <alignment horizontal="center" vertical="center"/>
    </xf>
    <xf numFmtId="0" fontId="0" fillId="17" borderId="93" xfId="0" applyFill="1" applyBorder="1"/>
    <xf numFmtId="0" fontId="0" fillId="17" borderId="50" xfId="0" applyFill="1" applyBorder="1"/>
    <xf numFmtId="0" fontId="0" fillId="3" borderId="51" xfId="0" applyFill="1" applyBorder="1"/>
    <xf numFmtId="0" fontId="0" fillId="0" borderId="187" xfId="0" applyBorder="1"/>
    <xf numFmtId="0" fontId="0" fillId="0" borderId="51" xfId="0" applyBorder="1"/>
    <xf numFmtId="0" fontId="1" fillId="0" borderId="51" xfId="0" applyFont="1" applyBorder="1"/>
    <xf numFmtId="0" fontId="1" fillId="0" borderId="187" xfId="0" applyFont="1" applyBorder="1"/>
    <xf numFmtId="0" fontId="1" fillId="0" borderId="187" xfId="0" applyFont="1" applyBorder="1" applyAlignment="1">
      <alignment horizontal="center"/>
    </xf>
    <xf numFmtId="164" fontId="0" fillId="0" borderId="12" xfId="0" applyNumberForma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164" fontId="0" fillId="0" borderId="178" xfId="0" applyNumberFormat="1" applyBorder="1" applyAlignment="1">
      <alignment horizontal="center" vertical="center"/>
    </xf>
    <xf numFmtId="166" fontId="0" fillId="0" borderId="12" xfId="0" applyNumberFormat="1" applyBorder="1"/>
    <xf numFmtId="166" fontId="0" fillId="0" borderId="25" xfId="0" applyNumberFormat="1" applyBorder="1"/>
    <xf numFmtId="166" fontId="0" fillId="0" borderId="178" xfId="0" applyNumberFormat="1" applyBorder="1"/>
    <xf numFmtId="0" fontId="0" fillId="2" borderId="50" xfId="0" applyFill="1" applyBorder="1" applyAlignment="1">
      <alignment horizontal="center" vertical="center"/>
    </xf>
    <xf numFmtId="0" fontId="0" fillId="17" borderId="51" xfId="0" applyFill="1" applyBorder="1" applyAlignment="1">
      <alignment horizontal="center" vertical="center"/>
    </xf>
    <xf numFmtId="0" fontId="0" fillId="2" borderId="187" xfId="0" applyFill="1" applyBorder="1" applyAlignment="1">
      <alignment horizontal="center" vertical="center"/>
    </xf>
    <xf numFmtId="0" fontId="0" fillId="17" borderId="50" xfId="0" applyFill="1" applyBorder="1" applyAlignment="1">
      <alignment horizontal="center" vertical="center"/>
    </xf>
    <xf numFmtId="0" fontId="0" fillId="0" borderId="187" xfId="0" applyBorder="1" applyAlignment="1">
      <alignment horizontal="center" vertical="center"/>
    </xf>
    <xf numFmtId="166" fontId="0" fillId="0" borderId="51" xfId="0" applyNumberFormat="1" applyBorder="1" applyAlignment="1">
      <alignment horizontal="center" vertical="center"/>
    </xf>
    <xf numFmtId="0" fontId="1" fillId="0" borderId="56" xfId="0" applyFont="1" applyBorder="1"/>
    <xf numFmtId="0" fontId="1" fillId="21" borderId="177" xfId="0" applyFont="1" applyFill="1" applyBorder="1" applyAlignment="1">
      <alignment horizontal="center"/>
    </xf>
    <xf numFmtId="0" fontId="1" fillId="17" borderId="28" xfId="0" applyFont="1" applyFill="1" applyBorder="1" applyAlignment="1">
      <alignment horizontal="center"/>
    </xf>
    <xf numFmtId="0" fontId="1" fillId="0" borderId="177" xfId="0" applyFont="1" applyBorder="1" applyAlignment="1">
      <alignment horizontal="center"/>
    </xf>
    <xf numFmtId="0" fontId="1" fillId="17" borderId="1" xfId="0" applyFont="1" applyFill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34" fillId="0" borderId="177" xfId="0" applyFont="1" applyBorder="1" applyAlignment="1">
      <alignment horizontal="center"/>
    </xf>
    <xf numFmtId="166" fontId="1" fillId="0" borderId="28" xfId="0" applyNumberFormat="1" applyFont="1" applyBorder="1" applyAlignment="1">
      <alignment horizontal="center" vertical="center"/>
    </xf>
    <xf numFmtId="166" fontId="1" fillId="0" borderId="177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21" borderId="29" xfId="0" applyFont="1" applyFill="1" applyBorder="1"/>
    <xf numFmtId="0" fontId="1" fillId="21" borderId="35" xfId="0" applyFont="1" applyFill="1" applyBorder="1"/>
    <xf numFmtId="0" fontId="0" fillId="21" borderId="177" xfId="0" applyFill="1" applyBorder="1"/>
    <xf numFmtId="0" fontId="0" fillId="21" borderId="1" xfId="0" applyFill="1" applyBorder="1" applyAlignment="1">
      <alignment horizontal="center" vertical="center"/>
    </xf>
    <xf numFmtId="0" fontId="0" fillId="13" borderId="177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2" borderId="177" xfId="0" applyFill="1" applyBorder="1" applyAlignment="1">
      <alignment horizontal="center" vertical="center"/>
    </xf>
    <xf numFmtId="0" fontId="0" fillId="13" borderId="1" xfId="0" applyFill="1" applyBorder="1"/>
    <xf numFmtId="0" fontId="0" fillId="13" borderId="177" xfId="0" applyFill="1" applyBorder="1"/>
    <xf numFmtId="0" fontId="0" fillId="13" borderId="28" xfId="0" applyFill="1" applyBorder="1"/>
    <xf numFmtId="0" fontId="0" fillId="17" borderId="177" xfId="0" applyFill="1" applyBorder="1"/>
    <xf numFmtId="0" fontId="0" fillId="13" borderId="28" xfId="0" applyFill="1" applyBorder="1" applyAlignment="1">
      <alignment horizontal="center" vertical="center"/>
    </xf>
    <xf numFmtId="0" fontId="0" fillId="17" borderId="177" xfId="0" applyFill="1" applyBorder="1" applyAlignment="1">
      <alignment horizontal="center" vertical="center"/>
    </xf>
    <xf numFmtId="0" fontId="0" fillId="13" borderId="1" xfId="0" applyFill="1" applyBorder="1" applyAlignment="1">
      <alignment horizontal="right"/>
    </xf>
    <xf numFmtId="0" fontId="0" fillId="13" borderId="1" xfId="0" applyFill="1" applyBorder="1" applyAlignment="1">
      <alignment vertical="center"/>
    </xf>
    <xf numFmtId="0" fontId="0" fillId="13" borderId="28" xfId="0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2" fontId="0" fillId="13" borderId="1" xfId="0" applyNumberFormat="1" applyFill="1" applyBorder="1" applyAlignment="1">
      <alignment horizontal="center" vertical="center"/>
    </xf>
    <xf numFmtId="2" fontId="36" fillId="13" borderId="1" xfId="0" applyNumberFormat="1" applyFont="1" applyFill="1" applyBorder="1" applyAlignment="1">
      <alignment horizontal="center" vertical="center"/>
    </xf>
    <xf numFmtId="166" fontId="36" fillId="13" borderId="28" xfId="0" applyNumberFormat="1" applyFont="1" applyFill="1" applyBorder="1" applyAlignment="1">
      <alignment horizontal="center" vertical="center"/>
    </xf>
    <xf numFmtId="2" fontId="36" fillId="13" borderId="177" xfId="0" applyNumberFormat="1" applyFont="1" applyFill="1" applyBorder="1" applyAlignment="1">
      <alignment horizontal="center" vertical="center"/>
    </xf>
    <xf numFmtId="164" fontId="36" fillId="13" borderId="1" xfId="0" applyNumberFormat="1" applyFont="1" applyFill="1" applyBorder="1" applyAlignment="1">
      <alignment horizontal="center" vertical="center"/>
    </xf>
    <xf numFmtId="2" fontId="35" fillId="13" borderId="1" xfId="0" applyNumberFormat="1" applyFont="1" applyFill="1" applyBorder="1" applyAlignment="1">
      <alignment horizontal="center"/>
    </xf>
    <xf numFmtId="165" fontId="35" fillId="13" borderId="28" xfId="0" applyNumberFormat="1" applyFont="1" applyFill="1" applyBorder="1" applyAlignment="1">
      <alignment horizontal="center"/>
    </xf>
    <xf numFmtId="164" fontId="36" fillId="13" borderId="177" xfId="0" applyNumberFormat="1" applyFont="1" applyFill="1" applyBorder="1" applyAlignment="1">
      <alignment horizontal="center" vertical="center"/>
    </xf>
    <xf numFmtId="0" fontId="1" fillId="0" borderId="52" xfId="0" applyFont="1" applyBorder="1"/>
    <xf numFmtId="2" fontId="35" fillId="0" borderId="177" xfId="0" applyNumberFormat="1" applyFont="1" applyBorder="1" applyAlignment="1">
      <alignment horizontal="center"/>
    </xf>
    <xf numFmtId="2" fontId="35" fillId="17" borderId="177" xfId="0" applyNumberFormat="1" applyFont="1" applyFill="1" applyBorder="1" applyAlignment="1">
      <alignment horizontal="center"/>
    </xf>
    <xf numFmtId="2" fontId="35" fillId="17" borderId="1" xfId="0" applyNumberFormat="1" applyFont="1" applyFill="1" applyBorder="1" applyAlignment="1">
      <alignment horizontal="center"/>
    </xf>
    <xf numFmtId="2" fontId="35" fillId="17" borderId="28" xfId="0" applyNumberFormat="1" applyFont="1" applyFill="1" applyBorder="1" applyAlignment="1">
      <alignment horizontal="center"/>
    </xf>
    <xf numFmtId="2" fontId="35" fillId="3" borderId="28" xfId="0" applyNumberFormat="1" applyFont="1" applyFill="1" applyBorder="1"/>
    <xf numFmtId="2" fontId="35" fillId="0" borderId="177" xfId="0" applyNumberFormat="1" applyFont="1" applyBorder="1"/>
    <xf numFmtId="2" fontId="35" fillId="0" borderId="28" xfId="0" applyNumberFormat="1" applyFont="1" applyBorder="1"/>
    <xf numFmtId="164" fontId="35" fillId="0" borderId="28" xfId="0" applyNumberFormat="1" applyFont="1" applyBorder="1" applyAlignment="1">
      <alignment horizontal="center" vertical="center"/>
    </xf>
    <xf numFmtId="2" fontId="35" fillId="0" borderId="177" xfId="0" applyNumberFormat="1" applyFont="1" applyBorder="1" applyAlignment="1">
      <alignment horizontal="center" vertical="center"/>
    </xf>
    <xf numFmtId="2" fontId="35" fillId="0" borderId="28" xfId="0" applyNumberFormat="1" applyFont="1" applyBorder="1" applyAlignment="1">
      <alignment horizontal="center" vertical="center"/>
    </xf>
    <xf numFmtId="2" fontId="35" fillId="0" borderId="28" xfId="0" applyNumberFormat="1" applyFont="1" applyBorder="1" applyAlignment="1">
      <alignment horizontal="center"/>
    </xf>
    <xf numFmtId="2" fontId="35" fillId="17" borderId="177" xfId="0" applyNumberFormat="1" applyFont="1" applyFill="1" applyBorder="1" applyAlignment="1">
      <alignment horizontal="center" vertical="center"/>
    </xf>
    <xf numFmtId="165" fontId="35" fillId="0" borderId="28" xfId="0" applyNumberFormat="1" applyFont="1" applyBorder="1" applyAlignment="1">
      <alignment horizontal="center" vertical="center"/>
    </xf>
    <xf numFmtId="165" fontId="35" fillId="0" borderId="177" xfId="0" applyNumberFormat="1" applyFont="1" applyBorder="1" applyAlignment="1">
      <alignment horizontal="center" vertical="center"/>
    </xf>
    <xf numFmtId="0" fontId="35" fillId="0" borderId="28" xfId="0" applyFont="1" applyBorder="1" applyAlignment="1">
      <alignment horizontal="center" vertical="center"/>
    </xf>
    <xf numFmtId="0" fontId="35" fillId="0" borderId="177" xfId="0" applyFont="1" applyBorder="1" applyAlignment="1">
      <alignment horizontal="center" vertical="center"/>
    </xf>
    <xf numFmtId="2" fontId="35" fillId="17" borderId="60" xfId="0" applyNumberFormat="1" applyFont="1" applyFill="1" applyBorder="1" applyAlignment="1">
      <alignment horizontal="center"/>
    </xf>
    <xf numFmtId="2" fontId="35" fillId="0" borderId="66" xfId="0" applyNumberFormat="1" applyFont="1" applyBorder="1" applyAlignment="1">
      <alignment horizontal="center"/>
    </xf>
    <xf numFmtId="166" fontId="35" fillId="0" borderId="177" xfId="0" applyNumberFormat="1" applyFont="1" applyBorder="1" applyAlignment="1">
      <alignment horizontal="center"/>
    </xf>
    <xf numFmtId="2" fontId="34" fillId="0" borderId="177" xfId="0" applyNumberFormat="1" applyFont="1" applyBorder="1" applyAlignment="1">
      <alignment horizontal="center"/>
    </xf>
    <xf numFmtId="164" fontId="34" fillId="17" borderId="28" xfId="0" applyNumberFormat="1" applyFont="1" applyFill="1" applyBorder="1" applyAlignment="1">
      <alignment horizontal="center"/>
    </xf>
    <xf numFmtId="2" fontId="34" fillId="17" borderId="1" xfId="0" applyNumberFormat="1" applyFont="1" applyFill="1" applyBorder="1" applyAlignment="1">
      <alignment horizontal="center"/>
    </xf>
    <xf numFmtId="2" fontId="34" fillId="17" borderId="28" xfId="0" applyNumberFormat="1" applyFont="1" applyFill="1" applyBorder="1" applyAlignment="1">
      <alignment horizontal="center"/>
    </xf>
    <xf numFmtId="164" fontId="34" fillId="0" borderId="177" xfId="0" applyNumberFormat="1" applyFont="1" applyBorder="1" applyAlignment="1">
      <alignment horizontal="center"/>
    </xf>
    <xf numFmtId="164" fontId="34" fillId="17" borderId="1" xfId="0" applyNumberFormat="1" applyFont="1" applyFill="1" applyBorder="1" applyAlignment="1">
      <alignment horizontal="center"/>
    </xf>
    <xf numFmtId="0" fontId="30" fillId="3" borderId="28" xfId="0" applyFont="1" applyFill="1" applyBorder="1"/>
    <xf numFmtId="0" fontId="30" fillId="0" borderId="177" xfId="0" applyFont="1" applyBorder="1"/>
    <xf numFmtId="0" fontId="30" fillId="0" borderId="28" xfId="0" applyFont="1" applyBorder="1"/>
    <xf numFmtId="165" fontId="31" fillId="0" borderId="28" xfId="0" applyNumberFormat="1" applyFont="1" applyBorder="1" applyAlignment="1">
      <alignment horizontal="center" vertical="center"/>
    </xf>
    <xf numFmtId="165" fontId="31" fillId="0" borderId="177" xfId="0" applyNumberFormat="1" applyFont="1" applyBorder="1" applyAlignment="1">
      <alignment horizontal="center" vertical="center"/>
    </xf>
    <xf numFmtId="2" fontId="30" fillId="0" borderId="28" xfId="0" applyNumberFormat="1" applyFont="1" applyBorder="1" applyAlignment="1">
      <alignment horizontal="center" vertical="center"/>
    </xf>
    <xf numFmtId="2" fontId="30" fillId="0" borderId="177" xfId="0" applyNumberFormat="1" applyFont="1" applyBorder="1" applyAlignment="1">
      <alignment horizontal="center" vertical="center"/>
    </xf>
    <xf numFmtId="166" fontId="30" fillId="0" borderId="28" xfId="0" applyNumberFormat="1" applyFont="1" applyBorder="1" applyAlignment="1">
      <alignment horizontal="center"/>
    </xf>
    <xf numFmtId="166" fontId="30" fillId="0" borderId="177" xfId="0" applyNumberFormat="1" applyFont="1" applyBorder="1" applyAlignment="1">
      <alignment horizontal="center"/>
    </xf>
    <xf numFmtId="0" fontId="35" fillId="0" borderId="0" xfId="0" applyFont="1"/>
    <xf numFmtId="2" fontId="30" fillId="0" borderId="28" xfId="0" applyNumberFormat="1" applyFont="1" applyBorder="1" applyAlignment="1">
      <alignment horizontal="center"/>
    </xf>
    <xf numFmtId="2" fontId="30" fillId="0" borderId="177" xfId="0" applyNumberFormat="1" applyFont="1" applyBorder="1" applyAlignment="1">
      <alignment horizontal="center"/>
    </xf>
    <xf numFmtId="165" fontId="30" fillId="0" borderId="28" xfId="0" applyNumberFormat="1" applyFont="1" applyBorder="1" applyAlignment="1">
      <alignment horizontal="center" vertical="center"/>
    </xf>
    <xf numFmtId="165" fontId="30" fillId="0" borderId="177" xfId="0" applyNumberFormat="1" applyFont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0" fontId="30" fillId="0" borderId="177" xfId="0" applyFont="1" applyBorder="1" applyAlignment="1">
      <alignment horizontal="center" vertical="center"/>
    </xf>
    <xf numFmtId="2" fontId="35" fillId="17" borderId="28" xfId="0" applyNumberFormat="1" applyFont="1" applyFill="1" applyBorder="1" applyAlignment="1">
      <alignment horizontal="center" vertical="center"/>
    </xf>
    <xf numFmtId="2" fontId="31" fillId="3" borderId="28" xfId="0" applyNumberFormat="1" applyFont="1" applyFill="1" applyBorder="1"/>
    <xf numFmtId="2" fontId="31" fillId="0" borderId="177" xfId="0" applyNumberFormat="1" applyFont="1" applyBorder="1"/>
    <xf numFmtId="2" fontId="31" fillId="0" borderId="28" xfId="0" applyNumberFormat="1" applyFont="1" applyBorder="1"/>
    <xf numFmtId="0" fontId="31" fillId="0" borderId="28" xfId="0" applyFont="1" applyBorder="1"/>
    <xf numFmtId="0" fontId="31" fillId="0" borderId="177" xfId="0" applyFont="1" applyBorder="1"/>
    <xf numFmtId="165" fontId="31" fillId="0" borderId="28" xfId="0" applyNumberFormat="1" applyFont="1" applyBorder="1" applyAlignment="1">
      <alignment horizontal="center"/>
    </xf>
    <xf numFmtId="165" fontId="31" fillId="0" borderId="177" xfId="0" applyNumberFormat="1" applyFont="1" applyBorder="1" applyAlignment="1">
      <alignment horizontal="center"/>
    </xf>
    <xf numFmtId="2" fontId="35" fillId="17" borderId="3" xfId="0" applyNumberFormat="1" applyFont="1" applyFill="1" applyBorder="1" applyAlignment="1">
      <alignment horizontal="center" vertical="center"/>
    </xf>
    <xf numFmtId="0" fontId="35" fillId="17" borderId="1" xfId="0" applyFont="1" applyFill="1" applyBorder="1" applyAlignment="1">
      <alignment horizontal="center" vertical="center"/>
    </xf>
    <xf numFmtId="0" fontId="35" fillId="17" borderId="28" xfId="0" applyFont="1" applyFill="1" applyBorder="1" applyAlignment="1">
      <alignment horizontal="center" vertical="center"/>
    </xf>
    <xf numFmtId="0" fontId="31" fillId="3" borderId="28" xfId="0" applyFont="1" applyFill="1" applyBorder="1"/>
    <xf numFmtId="0" fontId="34" fillId="21" borderId="0" xfId="0" applyFont="1" applyFill="1"/>
    <xf numFmtId="0" fontId="35" fillId="21" borderId="177" xfId="0" applyFont="1" applyFill="1" applyBorder="1" applyAlignment="1">
      <alignment horizontal="center" vertical="center"/>
    </xf>
    <xf numFmtId="2" fontId="35" fillId="21" borderId="1" xfId="0" applyNumberFormat="1" applyFont="1" applyFill="1" applyBorder="1" applyAlignment="1">
      <alignment horizontal="center" vertical="center"/>
    </xf>
    <xf numFmtId="164" fontId="35" fillId="21" borderId="1" xfId="0" applyNumberFormat="1" applyFont="1" applyFill="1" applyBorder="1" applyAlignment="1">
      <alignment horizontal="center" vertical="center"/>
    </xf>
    <xf numFmtId="164" fontId="35" fillId="17" borderId="28" xfId="0" applyNumberFormat="1" applyFont="1" applyFill="1" applyBorder="1" applyAlignment="1">
      <alignment horizontal="center" vertical="center"/>
    </xf>
    <xf numFmtId="2" fontId="35" fillId="21" borderId="177" xfId="0" applyNumberFormat="1" applyFont="1" applyFill="1" applyBorder="1" applyAlignment="1">
      <alignment horizontal="center" vertical="center"/>
    </xf>
    <xf numFmtId="164" fontId="35" fillId="17" borderId="1" xfId="0" applyNumberFormat="1" applyFont="1" applyFill="1" applyBorder="1" applyAlignment="1">
      <alignment horizontal="center" vertical="center"/>
    </xf>
    <xf numFmtId="164" fontId="35" fillId="0" borderId="177" xfId="0" applyNumberFormat="1" applyFont="1" applyBorder="1"/>
    <xf numFmtId="164" fontId="35" fillId="17" borderId="1" xfId="0" applyNumberFormat="1" applyFont="1" applyFill="1" applyBorder="1"/>
    <xf numFmtId="0" fontId="35" fillId="21" borderId="177" xfId="0" applyFont="1" applyFill="1" applyBorder="1"/>
    <xf numFmtId="2" fontId="35" fillId="21" borderId="1" xfId="0" applyNumberFormat="1" applyFont="1" applyFill="1" applyBorder="1"/>
    <xf numFmtId="164" fontId="35" fillId="21" borderId="1" xfId="0" applyNumberFormat="1" applyFont="1" applyFill="1" applyBorder="1"/>
    <xf numFmtId="164" fontId="35" fillId="17" borderId="28" xfId="0" applyNumberFormat="1" applyFont="1" applyFill="1" applyBorder="1"/>
    <xf numFmtId="164" fontId="35" fillId="21" borderId="177" xfId="0" applyNumberFormat="1" applyFont="1" applyFill="1" applyBorder="1"/>
    <xf numFmtId="2" fontId="35" fillId="17" borderId="1" xfId="0" applyNumberFormat="1" applyFont="1" applyFill="1" applyBorder="1"/>
    <xf numFmtId="164" fontId="35" fillId="0" borderId="178" xfId="0" applyNumberFormat="1" applyFont="1" applyBorder="1"/>
    <xf numFmtId="164" fontId="35" fillId="17" borderId="25" xfId="0" applyNumberFormat="1" applyFont="1" applyFill="1" applyBorder="1"/>
    <xf numFmtId="164" fontId="35" fillId="17" borderId="12" xfId="0" applyNumberFormat="1" applyFont="1" applyFill="1" applyBorder="1"/>
    <xf numFmtId="0" fontId="31" fillId="3" borderId="25" xfId="0" applyFont="1" applyFill="1" applyBorder="1"/>
    <xf numFmtId="0" fontId="31" fillId="0" borderId="178" xfId="0" applyFont="1" applyBorder="1"/>
    <xf numFmtId="0" fontId="31" fillId="0" borderId="25" xfId="0" applyFont="1" applyBorder="1"/>
    <xf numFmtId="0" fontId="35" fillId="0" borderId="182" xfId="0" applyFont="1" applyBorder="1"/>
    <xf numFmtId="2" fontId="35" fillId="17" borderId="183" xfId="0" applyNumberFormat="1" applyFont="1" applyFill="1" applyBorder="1"/>
    <xf numFmtId="2" fontId="35" fillId="0" borderId="182" xfId="0" applyNumberFormat="1" applyFont="1" applyBorder="1"/>
    <xf numFmtId="2" fontId="35" fillId="17" borderId="54" xfId="0" applyNumberFormat="1" applyFont="1" applyFill="1" applyBorder="1"/>
    <xf numFmtId="0" fontId="31" fillId="3" borderId="183" xfId="0" applyFont="1" applyFill="1" applyBorder="1"/>
    <xf numFmtId="0" fontId="31" fillId="0" borderId="182" xfId="0" applyFont="1" applyBorder="1"/>
    <xf numFmtId="0" fontId="31" fillId="0" borderId="183" xfId="0" applyFont="1" applyBorder="1"/>
    <xf numFmtId="2" fontId="0" fillId="3" borderId="26" xfId="0" applyNumberFormat="1" applyFill="1" applyBorder="1" applyAlignment="1">
      <alignment horizontal="center" vertical="center"/>
    </xf>
    <xf numFmtId="2" fontId="0" fillId="3" borderId="28" xfId="0" applyNumberFormat="1" applyFill="1" applyBorder="1" applyAlignment="1">
      <alignment horizontal="center" vertical="center"/>
    </xf>
    <xf numFmtId="2" fontId="1" fillId="0" borderId="178" xfId="0" applyNumberFormat="1" applyFont="1" applyBorder="1" applyAlignment="1">
      <alignment horizontal="center" vertical="center"/>
    </xf>
    <xf numFmtId="2" fontId="1" fillId="17" borderId="25" xfId="0" applyNumberFormat="1" applyFont="1" applyFill="1" applyBorder="1" applyAlignment="1">
      <alignment horizontal="center" vertical="center"/>
    </xf>
    <xf numFmtId="2" fontId="1" fillId="17" borderId="12" xfId="0" applyNumberFormat="1" applyFont="1" applyFill="1" applyBorder="1" applyAlignment="1">
      <alignment horizontal="center" vertical="center"/>
    </xf>
    <xf numFmtId="2" fontId="1" fillId="3" borderId="25" xfId="0" applyNumberFormat="1" applyFont="1" applyFill="1" applyBorder="1" applyAlignment="1">
      <alignment horizontal="center" vertical="center"/>
    </xf>
    <xf numFmtId="2" fontId="1" fillId="0" borderId="25" xfId="0" applyNumberFormat="1" applyFont="1" applyBorder="1" applyAlignment="1">
      <alignment horizontal="center" vertical="center"/>
    </xf>
    <xf numFmtId="0" fontId="1" fillId="0" borderId="188" xfId="0" applyFont="1" applyBorder="1"/>
    <xf numFmtId="0" fontId="0" fillId="0" borderId="189" xfId="0" applyBorder="1"/>
    <xf numFmtId="0" fontId="0" fillId="0" borderId="190" xfId="0" applyBorder="1"/>
    <xf numFmtId="0" fontId="0" fillId="17" borderId="191" xfId="0" applyFill="1" applyBorder="1"/>
    <xf numFmtId="0" fontId="0" fillId="17" borderId="190" xfId="0" applyFill="1" applyBorder="1"/>
    <xf numFmtId="0" fontId="0" fillId="17" borderId="192" xfId="0" applyFill="1" applyBorder="1"/>
    <xf numFmtId="0" fontId="0" fillId="3" borderId="192" xfId="0" applyFill="1" applyBorder="1"/>
    <xf numFmtId="0" fontId="0" fillId="0" borderId="192" xfId="0" applyBorder="1"/>
    <xf numFmtId="0" fontId="0" fillId="3" borderId="190" xfId="0" applyFill="1" applyBorder="1"/>
    <xf numFmtId="0" fontId="0" fillId="0" borderId="190" xfId="0" applyBorder="1" applyAlignment="1">
      <alignment horizontal="right"/>
    </xf>
    <xf numFmtId="166" fontId="0" fillId="0" borderId="189" xfId="0" applyNumberFormat="1" applyBorder="1" applyAlignment="1">
      <alignment horizontal="center" vertical="center"/>
    </xf>
    <xf numFmtId="166" fontId="0" fillId="0" borderId="190" xfId="0" applyNumberFormat="1" applyBorder="1" applyAlignment="1">
      <alignment horizontal="center" vertical="center"/>
    </xf>
    <xf numFmtId="0" fontId="0" fillId="0" borderId="188" xfId="0" applyBorder="1"/>
    <xf numFmtId="165" fontId="0" fillId="17" borderId="9" xfId="0" applyNumberFormat="1" applyFill="1" applyBorder="1"/>
    <xf numFmtId="168" fontId="0" fillId="0" borderId="61" xfId="0" applyNumberFormat="1" applyBorder="1"/>
    <xf numFmtId="168" fontId="0" fillId="0" borderId="8" xfId="0" applyNumberFormat="1" applyBorder="1"/>
    <xf numFmtId="168" fontId="0" fillId="17" borderId="8" xfId="0" applyNumberFormat="1" applyFill="1" applyBorder="1"/>
    <xf numFmtId="168" fontId="0" fillId="17" borderId="26" xfId="0" applyNumberFormat="1" applyFill="1" applyBorder="1"/>
    <xf numFmtId="168" fontId="0" fillId="0" borderId="184" xfId="0" applyNumberFormat="1" applyBorder="1"/>
    <xf numFmtId="167" fontId="0" fillId="0" borderId="177" xfId="0" applyNumberFormat="1" applyBorder="1"/>
    <xf numFmtId="0" fontId="0" fillId="17" borderId="9" xfId="0" applyFill="1" applyBorder="1"/>
    <xf numFmtId="168" fontId="0" fillId="17" borderId="1" xfId="0" applyNumberFormat="1" applyFill="1" applyBorder="1"/>
    <xf numFmtId="168" fontId="0" fillId="17" borderId="28" xfId="0" applyNumberFormat="1" applyFill="1" applyBorder="1"/>
    <xf numFmtId="168" fontId="0" fillId="0" borderId="177" xfId="0" applyNumberFormat="1" applyBorder="1"/>
    <xf numFmtId="0" fontId="0" fillId="8" borderId="177" xfId="0" applyFill="1" applyBorder="1"/>
    <xf numFmtId="0" fontId="0" fillId="8" borderId="28" xfId="0" applyFill="1" applyBorder="1"/>
    <xf numFmtId="11" fontId="0" fillId="3" borderId="28" xfId="0" applyNumberFormat="1" applyFill="1" applyBorder="1"/>
    <xf numFmtId="11" fontId="0" fillId="0" borderId="177" xfId="0" applyNumberFormat="1" applyBorder="1"/>
    <xf numFmtId="11" fontId="0" fillId="0" borderId="28" xfId="0" applyNumberFormat="1" applyBorder="1"/>
    <xf numFmtId="168" fontId="0" fillId="0" borderId="28" xfId="0" applyNumberFormat="1" applyBorder="1"/>
    <xf numFmtId="0" fontId="0" fillId="7" borderId="177" xfId="0" applyFill="1" applyBorder="1"/>
    <xf numFmtId="0" fontId="0" fillId="7" borderId="28" xfId="0" applyFill="1" applyBorder="1"/>
    <xf numFmtId="167" fontId="1" fillId="17" borderId="185" xfId="0" applyNumberFormat="1" applyFont="1" applyFill="1" applyBorder="1"/>
    <xf numFmtId="0" fontId="1" fillId="17" borderId="68" xfId="0" applyFont="1" applyFill="1" applyBorder="1"/>
    <xf numFmtId="0" fontId="1" fillId="0" borderId="185" xfId="0" applyFont="1" applyBorder="1"/>
    <xf numFmtId="0" fontId="1" fillId="0" borderId="69" xfId="0" applyFont="1" applyBorder="1"/>
    <xf numFmtId="0" fontId="1" fillId="17" borderId="69" xfId="0" applyFont="1" applyFill="1" applyBorder="1"/>
    <xf numFmtId="0" fontId="1" fillId="17" borderId="58" xfId="0" applyFont="1" applyFill="1" applyBorder="1"/>
    <xf numFmtId="0" fontId="1" fillId="3" borderId="25" xfId="0" applyFont="1" applyFill="1" applyBorder="1"/>
    <xf numFmtId="0" fontId="1" fillId="0" borderId="178" xfId="0" applyFont="1" applyBorder="1"/>
    <xf numFmtId="0" fontId="1" fillId="0" borderId="25" xfId="0" applyFont="1" applyBorder="1"/>
    <xf numFmtId="11" fontId="1" fillId="0" borderId="25" xfId="0" applyNumberFormat="1" applyFont="1" applyBorder="1"/>
    <xf numFmtId="11" fontId="1" fillId="0" borderId="178" xfId="0" applyNumberFormat="1" applyFont="1" applyBorder="1"/>
    <xf numFmtId="166" fontId="0" fillId="17" borderId="26" xfId="0" applyNumberFormat="1" applyFill="1" applyBorder="1" applyAlignment="1">
      <alignment horizontal="center" vertical="center"/>
    </xf>
    <xf numFmtId="166" fontId="0" fillId="17" borderId="8" xfId="0" applyNumberFormat="1" applyFill="1" applyBorder="1" applyAlignment="1">
      <alignment horizontal="center" vertical="center"/>
    </xf>
    <xf numFmtId="166" fontId="0" fillId="3" borderId="26" xfId="0" applyNumberFormat="1" applyFill="1" applyBorder="1" applyAlignment="1">
      <alignment horizontal="center" vertical="center"/>
    </xf>
    <xf numFmtId="166" fontId="0" fillId="17" borderId="28" xfId="0" applyNumberFormat="1" applyFill="1" applyBorder="1" applyAlignment="1">
      <alignment horizontal="center" vertical="center"/>
    </xf>
    <xf numFmtId="166" fontId="0" fillId="17" borderId="1" xfId="0" applyNumberFormat="1" applyFill="1" applyBorder="1" applyAlignment="1">
      <alignment horizontal="center" vertical="center"/>
    </xf>
    <xf numFmtId="166" fontId="0" fillId="3" borderId="28" xfId="0" applyNumberFormat="1" applyFill="1" applyBorder="1" applyAlignment="1">
      <alignment horizontal="center" vertical="center"/>
    </xf>
    <xf numFmtId="166" fontId="1" fillId="17" borderId="28" xfId="0" applyNumberFormat="1" applyFont="1" applyFill="1" applyBorder="1" applyAlignment="1">
      <alignment horizontal="center" vertical="center"/>
    </xf>
    <xf numFmtId="166" fontId="1" fillId="17" borderId="1" xfId="0" applyNumberFormat="1" applyFont="1" applyFill="1" applyBorder="1" applyAlignment="1">
      <alignment horizontal="center" vertical="center"/>
    </xf>
    <xf numFmtId="166" fontId="1" fillId="3" borderId="28" xfId="0" applyNumberFormat="1" applyFont="1" applyFill="1" applyBorder="1" applyAlignment="1">
      <alignment horizontal="center" vertical="center"/>
    </xf>
    <xf numFmtId="0" fontId="0" fillId="17" borderId="25" xfId="0" applyFill="1" applyBorder="1"/>
    <xf numFmtId="0" fontId="0" fillId="17" borderId="12" xfId="0" applyFill="1" applyBorder="1"/>
    <xf numFmtId="166" fontId="0" fillId="0" borderId="187" xfId="0" applyNumberFormat="1" applyBorder="1" applyAlignment="1">
      <alignment horizontal="center" vertical="center"/>
    </xf>
    <xf numFmtId="166" fontId="0" fillId="17" borderId="51" xfId="0" applyNumberFormat="1" applyFill="1" applyBorder="1" applyAlignment="1">
      <alignment horizontal="center" vertical="center"/>
    </xf>
    <xf numFmtId="166" fontId="0" fillId="17" borderId="50" xfId="0" applyNumberFormat="1" applyFill="1" applyBorder="1" applyAlignment="1">
      <alignment horizontal="center" vertical="center"/>
    </xf>
    <xf numFmtId="166" fontId="0" fillId="3" borderId="51" xfId="0" applyNumberFormat="1" applyFill="1" applyBorder="1" applyAlignment="1">
      <alignment horizontal="center" vertical="center"/>
    </xf>
    <xf numFmtId="166" fontId="0" fillId="0" borderId="185" xfId="0" applyNumberFormat="1" applyBorder="1" applyAlignment="1">
      <alignment horizontal="center" vertical="center"/>
    </xf>
    <xf numFmtId="166" fontId="0" fillId="17" borderId="186" xfId="0" applyNumberFormat="1" applyFill="1" applyBorder="1" applyAlignment="1">
      <alignment horizontal="center" vertical="center"/>
    </xf>
    <xf numFmtId="166" fontId="0" fillId="17" borderId="58" xfId="0" applyNumberFormat="1" applyFill="1" applyBorder="1" applyAlignment="1">
      <alignment horizontal="center" vertical="center"/>
    </xf>
    <xf numFmtId="166" fontId="0" fillId="3" borderId="186" xfId="0" applyNumberFormat="1" applyFill="1" applyBorder="1" applyAlignment="1">
      <alignment horizontal="center" vertical="center"/>
    </xf>
    <xf numFmtId="166" fontId="0" fillId="0" borderId="186" xfId="0" applyNumberFormat="1" applyBorder="1" applyAlignment="1">
      <alignment horizontal="center" vertical="center"/>
    </xf>
    <xf numFmtId="164" fontId="0" fillId="0" borderId="50" xfId="0" applyNumberFormat="1" applyBorder="1" applyAlignment="1">
      <alignment horizontal="center" vertical="center"/>
    </xf>
    <xf numFmtId="1" fontId="0" fillId="0" borderId="187" xfId="0" applyNumberFormat="1" applyBorder="1" applyAlignment="1">
      <alignment horizontal="center" vertical="center"/>
    </xf>
    <xf numFmtId="1" fontId="0" fillId="0" borderId="50" xfId="0" applyNumberFormat="1" applyBorder="1" applyAlignment="1">
      <alignment horizontal="center" vertical="center"/>
    </xf>
    <xf numFmtId="1" fontId="0" fillId="17" borderId="50" xfId="0" applyNumberFormat="1" applyFill="1" applyBorder="1" applyAlignment="1">
      <alignment horizontal="center" vertical="center"/>
    </xf>
    <xf numFmtId="2" fontId="0" fillId="0" borderId="51" xfId="0" applyNumberFormat="1" applyBorder="1" applyAlignment="1">
      <alignment horizontal="center" vertical="center"/>
    </xf>
    <xf numFmtId="2" fontId="0" fillId="0" borderId="187" xfId="0" applyNumberFormat="1" applyBorder="1" applyAlignment="1">
      <alignment horizontal="center" vertical="center"/>
    </xf>
    <xf numFmtId="166" fontId="0" fillId="17" borderId="25" xfId="0" applyNumberFormat="1" applyFill="1" applyBorder="1" applyAlignment="1">
      <alignment horizontal="center" vertical="center"/>
    </xf>
    <xf numFmtId="166" fontId="0" fillId="17" borderId="12" xfId="0" applyNumberFormat="1" applyFill="1" applyBorder="1" applyAlignment="1">
      <alignment horizontal="center" vertical="center"/>
    </xf>
    <xf numFmtId="1" fontId="0" fillId="0" borderId="178" xfId="0" applyNumberFormat="1" applyBorder="1" applyAlignment="1">
      <alignment horizontal="center" vertical="center"/>
    </xf>
    <xf numFmtId="1" fontId="0" fillId="17" borderId="12" xfId="0" applyNumberFormat="1" applyFill="1" applyBorder="1" applyAlignment="1">
      <alignment horizontal="center" vertical="center"/>
    </xf>
    <xf numFmtId="166" fontId="0" fillId="3" borderId="25" xfId="0" applyNumberFormat="1" applyFill="1" applyBorder="1" applyAlignment="1">
      <alignment horizontal="center" vertical="center"/>
    </xf>
    <xf numFmtId="166" fontId="0" fillId="7" borderId="185" xfId="0" applyNumberFormat="1" applyFill="1" applyBorder="1" applyAlignment="1">
      <alignment horizontal="center" vertical="center"/>
    </xf>
    <xf numFmtId="166" fontId="0" fillId="7" borderId="58" xfId="0" applyNumberFormat="1" applyFill="1" applyBorder="1" applyAlignment="1">
      <alignment horizontal="center" vertical="center"/>
    </xf>
    <xf numFmtId="166" fontId="0" fillId="7" borderId="186" xfId="0" applyNumberFormat="1" applyFill="1" applyBorder="1" applyAlignment="1">
      <alignment horizontal="center" vertical="center"/>
    </xf>
    <xf numFmtId="0" fontId="1" fillId="0" borderId="186" xfId="0" applyFont="1" applyBorder="1"/>
    <xf numFmtId="0" fontId="0" fillId="17" borderId="26" xfId="0" applyFill="1" applyBorder="1"/>
    <xf numFmtId="0" fontId="0" fillId="17" borderId="8" xfId="0" applyFill="1" applyBorder="1"/>
    <xf numFmtId="0" fontId="1" fillId="0" borderId="184" xfId="0" applyFont="1" applyBorder="1"/>
    <xf numFmtId="0" fontId="1" fillId="0" borderId="177" xfId="0" applyFont="1" applyBorder="1" applyAlignment="1">
      <alignment horizontal="right"/>
    </xf>
    <xf numFmtId="165" fontId="0" fillId="0" borderId="28" xfId="0" applyNumberFormat="1" applyBorder="1" applyAlignment="1">
      <alignment horizontal="center" vertical="center"/>
    </xf>
    <xf numFmtId="165" fontId="0" fillId="0" borderId="177" xfId="0" applyNumberFormat="1" applyBorder="1" applyAlignment="1">
      <alignment horizontal="center" vertical="center"/>
    </xf>
    <xf numFmtId="0" fontId="1" fillId="0" borderId="177" xfId="0" applyFont="1" applyBorder="1" applyAlignment="1">
      <alignment horizontal="center" vertical="center"/>
    </xf>
    <xf numFmtId="0" fontId="0" fillId="17" borderId="28" xfId="0" applyFill="1" applyBorder="1" applyAlignment="1">
      <alignment horizontal="center"/>
    </xf>
    <xf numFmtId="0" fontId="1" fillId="0" borderId="178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0" fillId="17" borderId="25" xfId="0" applyFill="1" applyBorder="1" applyAlignment="1">
      <alignment horizontal="center"/>
    </xf>
    <xf numFmtId="0" fontId="1" fillId="0" borderId="178" xfId="0" applyFont="1" applyBorder="1" applyAlignment="1">
      <alignment horizontal="center"/>
    </xf>
    <xf numFmtId="0" fontId="1" fillId="0" borderId="178" xfId="0" applyFont="1" applyBorder="1" applyAlignment="1">
      <alignment horizontal="right"/>
    </xf>
    <xf numFmtId="165" fontId="0" fillId="3" borderId="12" xfId="0" applyNumberFormat="1" applyFill="1" applyBorder="1" applyAlignment="1">
      <alignment horizontal="center" vertical="center"/>
    </xf>
    <xf numFmtId="165" fontId="0" fillId="0" borderId="25" xfId="0" applyNumberFormat="1" applyBorder="1" applyAlignment="1">
      <alignment horizontal="center" vertical="center"/>
    </xf>
    <xf numFmtId="165" fontId="0" fillId="0" borderId="178" xfId="0" applyNumberFormat="1" applyBorder="1" applyAlignment="1">
      <alignment horizontal="center" vertical="center"/>
    </xf>
    <xf numFmtId="0" fontId="1" fillId="0" borderId="187" xfId="0" applyFont="1" applyBorder="1" applyAlignment="1">
      <alignment horizontal="center" vertical="center"/>
    </xf>
    <xf numFmtId="0" fontId="0" fillId="0" borderId="50" xfId="0" applyBorder="1" applyAlignment="1">
      <alignment horizontal="center"/>
    </xf>
    <xf numFmtId="0" fontId="0" fillId="17" borderId="51" xfId="0" applyFill="1" applyBorder="1" applyAlignment="1">
      <alignment horizontal="center"/>
    </xf>
    <xf numFmtId="0" fontId="0" fillId="17" borderId="51" xfId="0" applyFill="1" applyBorder="1"/>
    <xf numFmtId="0" fontId="1" fillId="0" borderId="187" xfId="0" applyFont="1" applyBorder="1" applyAlignment="1">
      <alignment horizontal="right"/>
    </xf>
    <xf numFmtId="0" fontId="1" fillId="0" borderId="185" xfId="0" applyFont="1" applyBorder="1" applyAlignment="1">
      <alignment horizontal="center" vertical="center"/>
    </xf>
    <xf numFmtId="0" fontId="0" fillId="0" borderId="58" xfId="0" applyBorder="1" applyAlignment="1">
      <alignment horizontal="center"/>
    </xf>
    <xf numFmtId="0" fontId="1" fillId="0" borderId="58" xfId="0" applyFont="1" applyBorder="1" applyAlignment="1">
      <alignment horizontal="center" vertical="center"/>
    </xf>
    <xf numFmtId="0" fontId="0" fillId="17" borderId="186" xfId="0" applyFill="1" applyBorder="1" applyAlignment="1">
      <alignment horizontal="center"/>
    </xf>
    <xf numFmtId="0" fontId="1" fillId="0" borderId="185" xfId="0" applyFont="1" applyBorder="1" applyAlignment="1">
      <alignment horizontal="center"/>
    </xf>
    <xf numFmtId="0" fontId="0" fillId="0" borderId="185" xfId="0" applyBorder="1" applyAlignment="1">
      <alignment horizontal="right"/>
    </xf>
    <xf numFmtId="0" fontId="35" fillId="17" borderId="8" xfId="0" applyFont="1" applyFill="1" applyBorder="1"/>
    <xf numFmtId="0" fontId="35" fillId="17" borderId="26" xfId="0" applyFont="1" applyFill="1" applyBorder="1"/>
    <xf numFmtId="166" fontId="0" fillId="0" borderId="8" xfId="0" applyNumberFormat="1" applyBorder="1" applyAlignment="1">
      <alignment vertical="center"/>
    </xf>
    <xf numFmtId="0" fontId="35" fillId="17" borderId="28" xfId="0" applyFont="1" applyFill="1" applyBorder="1"/>
    <xf numFmtId="0" fontId="35" fillId="17" borderId="1" xfId="0" applyFont="1" applyFill="1" applyBorder="1"/>
    <xf numFmtId="165" fontId="0" fillId="0" borderId="28" xfId="0" applyNumberFormat="1" applyBorder="1" applyAlignment="1">
      <alignment horizontal="center"/>
    </xf>
    <xf numFmtId="165" fontId="0" fillId="0" borderId="177" xfId="0" applyNumberFormat="1" applyBorder="1" applyAlignment="1">
      <alignment horizontal="center"/>
    </xf>
    <xf numFmtId="166" fontId="0" fillId="0" borderId="28" xfId="0" applyNumberFormat="1" applyBorder="1"/>
    <xf numFmtId="166" fontId="0" fillId="0" borderId="177" xfId="0" applyNumberFormat="1" applyBorder="1"/>
    <xf numFmtId="165" fontId="0" fillId="0" borderId="28" xfId="0" applyNumberFormat="1" applyBorder="1"/>
    <xf numFmtId="165" fontId="0" fillId="0" borderId="177" xfId="0" applyNumberFormat="1" applyBorder="1"/>
    <xf numFmtId="165" fontId="0" fillId="0" borderId="51" xfId="0" applyNumberFormat="1" applyBorder="1" applyAlignment="1">
      <alignment horizontal="center" vertical="center"/>
    </xf>
    <xf numFmtId="165" fontId="0" fillId="0" borderId="187" xfId="0" applyNumberFormat="1" applyBorder="1" applyAlignment="1">
      <alignment horizontal="center" vertical="center"/>
    </xf>
    <xf numFmtId="2" fontId="0" fillId="7" borderId="177" xfId="0" applyNumberFormat="1" applyFill="1" applyBorder="1"/>
    <xf numFmtId="164" fontId="0" fillId="17" borderId="28" xfId="0" applyNumberFormat="1" applyFill="1" applyBorder="1"/>
    <xf numFmtId="2" fontId="0" fillId="17" borderId="28" xfId="0" applyNumberFormat="1" applyFill="1" applyBorder="1"/>
    <xf numFmtId="2" fontId="0" fillId="3" borderId="28" xfId="0" applyNumberFormat="1" applyFill="1" applyBorder="1"/>
    <xf numFmtId="2" fontId="0" fillId="7" borderId="28" xfId="0" applyNumberFormat="1" applyFill="1" applyBorder="1"/>
    <xf numFmtId="164" fontId="0" fillId="7" borderId="28" xfId="0" applyNumberFormat="1" applyFill="1" applyBorder="1"/>
    <xf numFmtId="2" fontId="35" fillId="7" borderId="177" xfId="0" applyNumberFormat="1" applyFont="1" applyFill="1" applyBorder="1" applyAlignment="1">
      <alignment horizontal="center" vertical="center"/>
    </xf>
    <xf numFmtId="0" fontId="1" fillId="7" borderId="177" xfId="0" applyFont="1" applyFill="1" applyBorder="1" applyAlignment="1">
      <alignment horizontal="right"/>
    </xf>
    <xf numFmtId="165" fontId="0" fillId="7" borderId="28" xfId="0" applyNumberFormat="1" applyFill="1" applyBorder="1" applyAlignment="1">
      <alignment horizontal="center" vertical="center"/>
    </xf>
    <xf numFmtId="165" fontId="0" fillId="7" borderId="177" xfId="0" applyNumberFormat="1" applyFill="1" applyBorder="1" applyAlignment="1">
      <alignment horizontal="center" vertical="center"/>
    </xf>
    <xf numFmtId="2" fontId="0" fillId="17" borderId="3" xfId="0" applyNumberFormat="1" applyFill="1" applyBorder="1" applyAlignment="1">
      <alignment horizontal="center" vertical="center"/>
    </xf>
    <xf numFmtId="0" fontId="1" fillId="0" borderId="185" xfId="0" applyFont="1" applyBorder="1" applyAlignment="1">
      <alignment horizontal="right"/>
    </xf>
    <xf numFmtId="165" fontId="0" fillId="0" borderId="186" xfId="0" applyNumberFormat="1" applyBorder="1" applyAlignment="1">
      <alignment horizontal="center" vertical="center"/>
    </xf>
    <xf numFmtId="165" fontId="0" fillId="0" borderId="185" xfId="0" applyNumberFormat="1" applyBorder="1" applyAlignment="1">
      <alignment horizontal="center" vertical="center"/>
    </xf>
    <xf numFmtId="0" fontId="0" fillId="11" borderId="8" xfId="0" applyFill="1" applyBorder="1"/>
    <xf numFmtId="0" fontId="1" fillId="0" borderId="184" xfId="0" applyFont="1" applyBorder="1" applyAlignment="1">
      <alignment horizontal="right"/>
    </xf>
    <xf numFmtId="165" fontId="0" fillId="0" borderId="26" xfId="0" applyNumberFormat="1" applyBorder="1" applyAlignment="1">
      <alignment horizontal="center" vertical="center"/>
    </xf>
    <xf numFmtId="165" fontId="0" fillId="0" borderId="184" xfId="0" applyNumberFormat="1" applyBorder="1" applyAlignment="1">
      <alignment horizontal="center" vertical="center"/>
    </xf>
    <xf numFmtId="2" fontId="0" fillId="17" borderId="28" xfId="0" applyNumberFormat="1" applyFill="1" applyBorder="1" applyAlignment="1">
      <alignment horizontal="center"/>
    </xf>
    <xf numFmtId="2" fontId="0" fillId="17" borderId="1" xfId="0" applyNumberFormat="1" applyFill="1" applyBorder="1" applyAlignment="1">
      <alignment horizontal="center"/>
    </xf>
    <xf numFmtId="2" fontId="1" fillId="0" borderId="177" xfId="0" applyNumberFormat="1" applyFont="1" applyBorder="1" applyAlignment="1">
      <alignment horizontal="center"/>
    </xf>
    <xf numFmtId="2" fontId="1" fillId="17" borderId="28" xfId="0" applyNumberFormat="1" applyFont="1" applyFill="1" applyBorder="1" applyAlignment="1">
      <alignment horizontal="center"/>
    </xf>
    <xf numFmtId="2" fontId="1" fillId="17" borderId="1" xfId="0" applyNumberFormat="1" applyFont="1" applyFill="1" applyBorder="1" applyAlignment="1">
      <alignment horizontal="center"/>
    </xf>
    <xf numFmtId="2" fontId="1" fillId="17" borderId="60" xfId="0" applyNumberFormat="1" applyFont="1" applyFill="1" applyBorder="1" applyAlignment="1">
      <alignment horizontal="center"/>
    </xf>
    <xf numFmtId="2" fontId="0" fillId="7" borderId="177" xfId="0" applyNumberFormat="1" applyFill="1" applyBorder="1" applyAlignment="1">
      <alignment horizontal="center"/>
    </xf>
    <xf numFmtId="2" fontId="0" fillId="0" borderId="185" xfId="0" applyNumberFormat="1" applyBorder="1" applyAlignment="1">
      <alignment horizontal="center" vertical="center"/>
    </xf>
    <xf numFmtId="2" fontId="0" fillId="17" borderId="186" xfId="0" applyNumberFormat="1" applyFill="1" applyBorder="1" applyAlignment="1">
      <alignment horizontal="center" vertical="center"/>
    </xf>
    <xf numFmtId="2" fontId="0" fillId="17" borderId="58" xfId="0" applyNumberFormat="1" applyFill="1" applyBorder="1" applyAlignment="1">
      <alignment horizontal="center" vertical="center"/>
    </xf>
    <xf numFmtId="2" fontId="0" fillId="17" borderId="51" xfId="0" applyNumberFormat="1" applyFill="1" applyBorder="1" applyAlignment="1">
      <alignment horizontal="center" vertical="center"/>
    </xf>
    <xf numFmtId="2" fontId="0" fillId="17" borderId="50" xfId="0" applyNumberFormat="1" applyFill="1" applyBorder="1" applyAlignment="1">
      <alignment horizontal="center" vertical="center"/>
    </xf>
    <xf numFmtId="2" fontId="0" fillId="17" borderId="177" xfId="0" applyNumberFormat="1" applyFill="1" applyBorder="1" applyAlignment="1">
      <alignment horizontal="center" vertical="center"/>
    </xf>
    <xf numFmtId="164" fontId="0" fillId="17" borderId="28" xfId="0" applyNumberFormat="1" applyFill="1" applyBorder="1" applyAlignment="1">
      <alignment horizontal="center" vertical="center"/>
    </xf>
    <xf numFmtId="164" fontId="0" fillId="17" borderId="1" xfId="0" applyNumberFormat="1" applyFill="1" applyBorder="1" applyAlignment="1">
      <alignment horizontal="center" vertical="center"/>
    </xf>
    <xf numFmtId="2" fontId="0" fillId="21" borderId="178" xfId="0" applyNumberFormat="1" applyFill="1" applyBorder="1" applyAlignment="1">
      <alignment horizontal="center" vertical="center"/>
    </xf>
    <xf numFmtId="2" fontId="0" fillId="17" borderId="12" xfId="0" applyNumberFormat="1" applyFill="1" applyBorder="1"/>
    <xf numFmtId="0" fontId="1" fillId="0" borderId="22" xfId="0" applyFont="1" applyBorder="1" applyAlignment="1">
      <alignment horizontal="right"/>
    </xf>
    <xf numFmtId="9" fontId="1" fillId="0" borderId="22" xfId="0" applyNumberFormat="1" applyFont="1" applyBorder="1" applyAlignment="1">
      <alignment horizontal="right"/>
    </xf>
    <xf numFmtId="2" fontId="0" fillId="17" borderId="22" xfId="0" applyNumberFormat="1" applyFill="1" applyBorder="1" applyAlignment="1">
      <alignment horizontal="center" vertical="center"/>
    </xf>
    <xf numFmtId="2" fontId="0" fillId="17" borderId="60" xfId="0" applyNumberFormat="1" applyFill="1" applyBorder="1" applyAlignment="1">
      <alignment horizontal="center" vertical="center"/>
    </xf>
    <xf numFmtId="2" fontId="0" fillId="17" borderId="68" xfId="0" applyNumberFormat="1" applyFill="1" applyBorder="1" applyAlignment="1">
      <alignment horizontal="center" vertical="center"/>
    </xf>
    <xf numFmtId="0" fontId="33" fillId="7" borderId="22" xfId="0" applyFont="1" applyFill="1" applyBorder="1"/>
    <xf numFmtId="165" fontId="0" fillId="17" borderId="68" xfId="0" applyNumberFormat="1" applyFill="1" applyBorder="1" applyAlignment="1">
      <alignment horizontal="center" vertical="center"/>
    </xf>
    <xf numFmtId="2" fontId="0" fillId="17" borderId="50" xfId="0" applyNumberFormat="1" applyFill="1" applyBorder="1"/>
    <xf numFmtId="2" fontId="0" fillId="17" borderId="26" xfId="0" applyNumberFormat="1" applyFill="1" applyBorder="1" applyAlignment="1">
      <alignment horizontal="center"/>
    </xf>
    <xf numFmtId="2" fontId="0" fillId="17" borderId="8" xfId="0" applyNumberFormat="1" applyFill="1" applyBorder="1" applyAlignment="1">
      <alignment horizontal="center"/>
    </xf>
    <xf numFmtId="164" fontId="0" fillId="0" borderId="184" xfId="0" applyNumberFormat="1" applyBorder="1" applyAlignment="1">
      <alignment horizontal="center"/>
    </xf>
    <xf numFmtId="164" fontId="0" fillId="17" borderId="26" xfId="0" applyNumberFormat="1" applyFill="1" applyBorder="1" applyAlignment="1">
      <alignment horizontal="center"/>
    </xf>
    <xf numFmtId="164" fontId="0" fillId="17" borderId="8" xfId="0" applyNumberFormat="1" applyFill="1" applyBorder="1" applyAlignment="1">
      <alignment horizontal="center"/>
    </xf>
    <xf numFmtId="164" fontId="0" fillId="17" borderId="8" xfId="0" applyNumberFormat="1" applyFill="1" applyBorder="1"/>
    <xf numFmtId="164" fontId="0" fillId="7" borderId="177" xfId="0" applyNumberFormat="1" applyFill="1" applyBorder="1" applyAlignment="1">
      <alignment horizontal="center"/>
    </xf>
    <xf numFmtId="164" fontId="0" fillId="7" borderId="177" xfId="0" applyNumberFormat="1" applyFill="1" applyBorder="1" applyAlignment="1">
      <alignment horizontal="center" vertical="center"/>
    </xf>
    <xf numFmtId="9" fontId="1" fillId="0" borderId="48" xfId="0" applyNumberFormat="1" applyFont="1" applyBorder="1" applyAlignment="1">
      <alignment wrapText="1"/>
    </xf>
    <xf numFmtId="0" fontId="0" fillId="7" borderId="185" xfId="0" applyFill="1" applyBorder="1" applyAlignment="1">
      <alignment horizontal="center" vertical="center"/>
    </xf>
    <xf numFmtId="2" fontId="0" fillId="7" borderId="58" xfId="0" applyNumberFormat="1" applyFill="1" applyBorder="1" applyAlignment="1">
      <alignment horizontal="center" vertical="center"/>
    </xf>
    <xf numFmtId="2" fontId="0" fillId="7" borderId="185" xfId="0" applyNumberFormat="1" applyFill="1" applyBorder="1" applyAlignment="1">
      <alignment horizontal="center" vertical="center"/>
    </xf>
    <xf numFmtId="0" fontId="0" fillId="0" borderId="193" xfId="0" applyBorder="1"/>
    <xf numFmtId="2" fontId="0" fillId="0" borderId="13" xfId="0" applyNumberFormat="1" applyBorder="1" applyAlignment="1">
      <alignment horizontal="center" vertical="center"/>
    </xf>
    <xf numFmtId="2" fontId="0" fillId="17" borderId="194" xfId="0" applyNumberFormat="1" applyFill="1" applyBorder="1" applyAlignment="1">
      <alignment horizontal="center" vertical="center"/>
    </xf>
    <xf numFmtId="2" fontId="0" fillId="0" borderId="64" xfId="0" applyNumberFormat="1" applyBorder="1" applyAlignment="1">
      <alignment horizontal="center" vertical="center"/>
    </xf>
    <xf numFmtId="2" fontId="0" fillId="17" borderId="13" xfId="0" applyNumberFormat="1" applyFill="1" applyBorder="1" applyAlignment="1">
      <alignment horizontal="center" vertical="center"/>
    </xf>
    <xf numFmtId="0" fontId="0" fillId="3" borderId="27" xfId="0" applyFill="1" applyBorder="1"/>
    <xf numFmtId="0" fontId="0" fillId="0" borderId="27" xfId="0" applyBorder="1"/>
    <xf numFmtId="2" fontId="0" fillId="17" borderId="65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2" fontId="0" fillId="7" borderId="185" xfId="0" applyNumberFormat="1" applyFill="1" applyBorder="1" applyAlignment="1">
      <alignment horizontal="center"/>
    </xf>
    <xf numFmtId="2" fontId="0" fillId="7" borderId="58" xfId="0" applyNumberFormat="1" applyFill="1" applyBorder="1" applyAlignment="1">
      <alignment horizontal="center"/>
    </xf>
    <xf numFmtId="2" fontId="0" fillId="17" borderId="186" xfId="0" applyNumberFormat="1" applyFill="1" applyBorder="1" applyAlignment="1">
      <alignment horizontal="center"/>
    </xf>
    <xf numFmtId="2" fontId="0" fillId="17" borderId="58" xfId="0" applyNumberFormat="1" applyFill="1" applyBorder="1" applyAlignment="1">
      <alignment horizontal="center"/>
    </xf>
    <xf numFmtId="2" fontId="0" fillId="17" borderId="60" xfId="0" applyNumberFormat="1" applyFill="1" applyBorder="1" applyAlignment="1">
      <alignment horizontal="center"/>
    </xf>
    <xf numFmtId="2" fontId="0" fillId="0" borderId="185" xfId="0" applyNumberFormat="1" applyBorder="1" applyAlignment="1">
      <alignment horizontal="center"/>
    </xf>
    <xf numFmtId="2" fontId="0" fillId="17" borderId="27" xfId="0" applyNumberFormat="1" applyFill="1" applyBorder="1" applyAlignment="1">
      <alignment horizontal="center"/>
    </xf>
    <xf numFmtId="2" fontId="0" fillId="17" borderId="62" xfId="0" applyNumberFormat="1" applyFill="1" applyBorder="1" applyAlignment="1">
      <alignment horizontal="center" vertical="center"/>
    </xf>
    <xf numFmtId="0" fontId="0" fillId="7" borderId="177" xfId="0" applyFill="1" applyBorder="1" applyAlignment="1">
      <alignment horizontal="center" vertical="center"/>
    </xf>
    <xf numFmtId="1" fontId="0" fillId="17" borderId="28" xfId="0" applyNumberFormat="1" applyFill="1" applyBorder="1" applyAlignment="1">
      <alignment horizontal="center" vertical="center"/>
    </xf>
    <xf numFmtId="1" fontId="0" fillId="17" borderId="1" xfId="0" applyNumberFormat="1" applyFill="1" applyBorder="1" applyAlignment="1">
      <alignment horizontal="center" vertical="center"/>
    </xf>
    <xf numFmtId="166" fontId="0" fillId="17" borderId="60" xfId="0" applyNumberFormat="1" applyFill="1" applyBorder="1" applyAlignment="1">
      <alignment horizontal="center" vertical="center"/>
    </xf>
    <xf numFmtId="0" fontId="0" fillId="17" borderId="3" xfId="0" applyFill="1" applyBorder="1" applyAlignment="1">
      <alignment horizontal="center" vertical="center"/>
    </xf>
    <xf numFmtId="166" fontId="0" fillId="17" borderId="3" xfId="0" applyNumberFormat="1" applyFill="1" applyBorder="1" applyAlignment="1">
      <alignment horizontal="center" vertical="center"/>
    </xf>
    <xf numFmtId="0" fontId="0" fillId="17" borderId="60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right"/>
    </xf>
    <xf numFmtId="2" fontId="0" fillId="17" borderId="28" xfId="0" applyNumberFormat="1" applyFill="1" applyBorder="1" applyAlignment="1">
      <alignment horizontal="right"/>
    </xf>
    <xf numFmtId="2" fontId="0" fillId="0" borderId="177" xfId="0" applyNumberFormat="1" applyBorder="1" applyAlignment="1">
      <alignment horizontal="right"/>
    </xf>
    <xf numFmtId="2" fontId="0" fillId="17" borderId="1" xfId="0" applyNumberFormat="1" applyFill="1" applyBorder="1" applyAlignment="1">
      <alignment horizontal="right"/>
    </xf>
    <xf numFmtId="166" fontId="0" fillId="0" borderId="91" xfId="0" applyNumberFormat="1" applyBorder="1" applyAlignment="1">
      <alignment horizontal="center"/>
    </xf>
    <xf numFmtId="0" fontId="4" fillId="2" borderId="1" xfId="2" applyFont="1" applyFill="1" applyBorder="1" applyAlignment="1">
      <alignment horizontal="center"/>
    </xf>
    <xf numFmtId="2" fontId="4" fillId="2" borderId="50" xfId="2" applyNumberFormat="1" applyFont="1" applyFill="1" applyBorder="1" applyAlignment="1">
      <alignment horizontal="center"/>
    </xf>
    <xf numFmtId="164" fontId="8" fillId="25" borderId="16" xfId="2" applyNumberFormat="1" applyFont="1" applyFill="1" applyBorder="1" applyAlignment="1">
      <alignment horizontal="center"/>
    </xf>
    <xf numFmtId="0" fontId="1" fillId="17" borderId="48" xfId="0" applyFont="1" applyFill="1" applyBorder="1"/>
    <xf numFmtId="2" fontId="0" fillId="17" borderId="63" xfId="0" applyNumberFormat="1" applyFill="1" applyBorder="1" applyAlignment="1">
      <alignment horizontal="center" vertical="center"/>
    </xf>
    <xf numFmtId="2" fontId="0" fillId="17" borderId="63" xfId="0" applyNumberFormat="1" applyFill="1" applyBorder="1" applyAlignment="1">
      <alignment horizontal="center"/>
    </xf>
    <xf numFmtId="2" fontId="1" fillId="23" borderId="66" xfId="0" applyNumberFormat="1" applyFont="1" applyFill="1" applyBorder="1" applyAlignment="1">
      <alignment horizontal="center"/>
    </xf>
    <xf numFmtId="2" fontId="1" fillId="23" borderId="1" xfId="0" applyNumberFormat="1" applyFont="1" applyFill="1" applyBorder="1" applyAlignment="1">
      <alignment horizontal="center"/>
    </xf>
    <xf numFmtId="2" fontId="1" fillId="23" borderId="63" xfId="0" applyNumberFormat="1" applyFont="1" applyFill="1" applyBorder="1" applyAlignment="1">
      <alignment horizontal="center"/>
    </xf>
    <xf numFmtId="0" fontId="1" fillId="13" borderId="57" xfId="0" applyFont="1" applyFill="1" applyBorder="1"/>
    <xf numFmtId="2" fontId="0" fillId="13" borderId="66" xfId="0" applyNumberFormat="1" applyFill="1" applyBorder="1" applyAlignment="1">
      <alignment horizontal="center" vertical="center"/>
    </xf>
    <xf numFmtId="2" fontId="0" fillId="13" borderId="63" xfId="0" applyNumberFormat="1" applyFill="1" applyBorder="1" applyAlignment="1">
      <alignment horizontal="center" vertical="center"/>
    </xf>
    <xf numFmtId="9" fontId="1" fillId="13" borderId="57" xfId="0" applyNumberFormat="1" applyFont="1" applyFill="1" applyBorder="1" applyAlignment="1">
      <alignment wrapText="1"/>
    </xf>
    <xf numFmtId="2" fontId="0" fillId="13" borderId="58" xfId="0" applyNumberFormat="1" applyFill="1" applyBorder="1" applyAlignment="1">
      <alignment horizontal="center" vertical="center"/>
    </xf>
    <xf numFmtId="9" fontId="33" fillId="0" borderId="196" xfId="0" applyNumberFormat="1" applyFont="1" applyBorder="1"/>
    <xf numFmtId="0" fontId="1" fillId="0" borderId="197" xfId="0" applyFont="1" applyBorder="1"/>
    <xf numFmtId="0" fontId="1" fillId="0" borderId="196" xfId="0" applyFont="1" applyBorder="1"/>
    <xf numFmtId="0" fontId="1" fillId="0" borderId="195" xfId="0" applyFont="1" applyBorder="1"/>
    <xf numFmtId="0" fontId="9" fillId="25" borderId="40" xfId="2" applyFont="1" applyFill="1" applyBorder="1" applyAlignment="1">
      <alignment horizontal="center"/>
    </xf>
    <xf numFmtId="164" fontId="9" fillId="25" borderId="40" xfId="2" applyNumberFormat="1" applyFont="1" applyFill="1" applyBorder="1" applyAlignment="1">
      <alignment horizontal="center"/>
    </xf>
    <xf numFmtId="0" fontId="9" fillId="25" borderId="11" xfId="2" applyFont="1" applyFill="1" applyBorder="1" applyAlignment="1">
      <alignment horizontal="center"/>
    </xf>
    <xf numFmtId="164" fontId="9" fillId="25" borderId="11" xfId="2" applyNumberFormat="1" applyFont="1" applyFill="1" applyBorder="1" applyAlignment="1">
      <alignment horizontal="center"/>
    </xf>
    <xf numFmtId="0" fontId="1" fillId="0" borderId="63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9" fillId="25" borderId="28" xfId="2" applyFont="1" applyFill="1" applyBorder="1" applyAlignment="1">
      <alignment horizontal="center"/>
    </xf>
    <xf numFmtId="0" fontId="4" fillId="25" borderId="16" xfId="2" applyFont="1" applyFill="1" applyBorder="1"/>
    <xf numFmtId="164" fontId="9" fillId="25" borderId="28" xfId="2" applyNumberFormat="1" applyFont="1" applyFill="1" applyBorder="1" applyAlignment="1">
      <alignment horizontal="center"/>
    </xf>
    <xf numFmtId="0" fontId="1" fillId="0" borderId="68" xfId="0" applyFont="1" applyBorder="1" applyAlignment="1">
      <alignment horizontal="center" vertical="center"/>
    </xf>
    <xf numFmtId="0" fontId="0" fillId="0" borderId="62" xfId="0" applyBorder="1" applyAlignment="1">
      <alignment vertical="center"/>
    </xf>
    <xf numFmtId="0" fontId="0" fillId="0" borderId="128" xfId="0" applyBorder="1" applyAlignment="1">
      <alignment vertical="center"/>
    </xf>
    <xf numFmtId="0" fontId="1" fillId="21" borderId="131" xfId="0" applyFont="1" applyFill="1" applyBorder="1" applyAlignment="1">
      <alignment horizontal="center"/>
    </xf>
    <xf numFmtId="0" fontId="1" fillId="0" borderId="128" xfId="0" applyFont="1" applyBorder="1" applyAlignment="1">
      <alignment horizontal="center" vertical="center"/>
    </xf>
    <xf numFmtId="2" fontId="35" fillId="0" borderId="133" xfId="0" applyNumberFormat="1" applyFont="1" applyBorder="1" applyAlignment="1">
      <alignment horizontal="center"/>
    </xf>
    <xf numFmtId="164" fontId="35" fillId="0" borderId="132" xfId="0" applyNumberFormat="1" applyFont="1" applyBorder="1"/>
    <xf numFmtId="2" fontId="1" fillId="0" borderId="132" xfId="0" applyNumberFormat="1" applyFont="1" applyBorder="1" applyAlignment="1">
      <alignment horizontal="center" vertical="center"/>
    </xf>
    <xf numFmtId="0" fontId="0" fillId="0" borderId="198" xfId="0" applyBorder="1"/>
    <xf numFmtId="2" fontId="0" fillId="0" borderId="198" xfId="0" applyNumberFormat="1" applyBorder="1" applyAlignment="1">
      <alignment horizontal="center" vertical="center"/>
    </xf>
    <xf numFmtId="16" fontId="1" fillId="0" borderId="60" xfId="0" applyNumberFormat="1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16" fontId="71" fillId="0" borderId="60" xfId="0" applyNumberFormat="1" applyFont="1" applyBorder="1" applyAlignment="1">
      <alignment horizontal="center"/>
    </xf>
    <xf numFmtId="16" fontId="71" fillId="0" borderId="1" xfId="0" applyNumberFormat="1" applyFont="1" applyBorder="1" applyAlignment="1">
      <alignment horizontal="center"/>
    </xf>
    <xf numFmtId="14" fontId="72" fillId="0" borderId="1" xfId="0" applyNumberFormat="1" applyFont="1" applyBorder="1" applyAlignment="1">
      <alignment horizontal="center" vertical="center"/>
    </xf>
    <xf numFmtId="14" fontId="72" fillId="0" borderId="60" xfId="0" applyNumberFormat="1" applyFont="1" applyBorder="1" applyAlignment="1">
      <alignment horizontal="center" vertical="center"/>
    </xf>
    <xf numFmtId="16" fontId="0" fillId="0" borderId="64" xfId="0" applyNumberFormat="1" applyBorder="1" applyAlignment="1">
      <alignment horizontal="center" vertical="center"/>
    </xf>
    <xf numFmtId="2" fontId="1" fillId="27" borderId="60" xfId="0" applyNumberFormat="1" applyFont="1" applyFill="1" applyBorder="1" applyAlignment="1">
      <alignment horizontal="center"/>
    </xf>
    <xf numFmtId="2" fontId="1" fillId="27" borderId="1" xfId="0" applyNumberFormat="1" applyFont="1" applyFill="1" applyBorder="1" applyAlignment="1">
      <alignment horizontal="center"/>
    </xf>
    <xf numFmtId="2" fontId="1" fillId="27" borderId="63" xfId="0" applyNumberFormat="1" applyFont="1" applyFill="1" applyBorder="1" applyAlignment="1">
      <alignment horizontal="center"/>
    </xf>
    <xf numFmtId="164" fontId="4" fillId="0" borderId="0" xfId="2" applyNumberFormat="1" applyFont="1"/>
    <xf numFmtId="2" fontId="37" fillId="0" borderId="0" xfId="0" applyNumberFormat="1" applyFont="1"/>
    <xf numFmtId="169" fontId="0" fillId="0" borderId="79" xfId="0" applyNumberFormat="1" applyBorder="1"/>
    <xf numFmtId="0" fontId="60" fillId="8" borderId="0" xfId="0" applyFont="1" applyFill="1"/>
    <xf numFmtId="1" fontId="60" fillId="8" borderId="0" xfId="0" applyNumberFormat="1" applyFont="1" applyFill="1"/>
    <xf numFmtId="169" fontId="0" fillId="0" borderId="6" xfId="0" applyNumberFormat="1" applyBorder="1"/>
    <xf numFmtId="2" fontId="60" fillId="0" borderId="128" xfId="0" applyNumberFormat="1" applyFont="1" applyBorder="1" applyAlignment="1">
      <alignment horizontal="center" vertical="center"/>
    </xf>
    <xf numFmtId="2" fontId="60" fillId="0" borderId="168" xfId="0" applyNumberFormat="1" applyFont="1" applyBorder="1" applyAlignment="1">
      <alignment horizontal="center" vertical="center"/>
    </xf>
    <xf numFmtId="2" fontId="60" fillId="0" borderId="174" xfId="0" applyNumberFormat="1" applyFont="1" applyBorder="1" applyAlignment="1">
      <alignment horizontal="center" vertical="center"/>
    </xf>
    <xf numFmtId="0" fontId="0" fillId="13" borderId="96" xfId="0" applyFill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" fontId="0" fillId="0" borderId="182" xfId="0" applyNumberFormat="1" applyBorder="1" applyAlignment="1">
      <alignment horizontal="center" vertical="center"/>
    </xf>
    <xf numFmtId="16" fontId="0" fillId="0" borderId="55" xfId="0" applyNumberFormat="1" applyBorder="1" applyAlignment="1">
      <alignment horizontal="center" vertical="center"/>
    </xf>
    <xf numFmtId="16" fontId="0" fillId="0" borderId="199" xfId="0" applyNumberFormat="1" applyBorder="1" applyAlignment="1">
      <alignment horizontal="center" vertical="center"/>
    </xf>
    <xf numFmtId="2" fontId="1" fillId="27" borderId="28" xfId="0" applyNumberFormat="1" applyFont="1" applyFill="1" applyBorder="1" applyAlignment="1">
      <alignment horizontal="center"/>
    </xf>
    <xf numFmtId="9" fontId="73" fillId="0" borderId="0" xfId="0" applyNumberFormat="1" applyFont="1" applyAlignment="1">
      <alignment horizontal="right"/>
    </xf>
    <xf numFmtId="9" fontId="74" fillId="0" borderId="0" xfId="0" applyNumberFormat="1" applyFont="1" applyAlignment="1">
      <alignment horizontal="right"/>
    </xf>
    <xf numFmtId="2" fontId="1" fillId="27" borderId="177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165" fontId="35" fillId="0" borderId="60" xfId="0" quotePrefix="1" applyNumberFormat="1" applyFont="1" applyBorder="1" applyAlignment="1">
      <alignment horizontal="center" vertical="center"/>
    </xf>
    <xf numFmtId="0" fontId="33" fillId="0" borderId="0" xfId="0" applyFont="1"/>
    <xf numFmtId="0" fontId="33" fillId="0" borderId="196" xfId="0" applyFont="1" applyBorder="1"/>
    <xf numFmtId="2" fontId="0" fillId="0" borderId="2" xfId="0" applyNumberFormat="1" applyBorder="1" applyAlignment="1">
      <alignment horizontal="center" vertical="center"/>
    </xf>
    <xf numFmtId="0" fontId="1" fillId="19" borderId="0" xfId="0" applyFont="1" applyFill="1"/>
    <xf numFmtId="2" fontId="1" fillId="19" borderId="0" xfId="0" applyNumberFormat="1" applyFont="1" applyFill="1"/>
    <xf numFmtId="2" fontId="0" fillId="19" borderId="66" xfId="0" applyNumberFormat="1" applyFill="1" applyBorder="1" applyAlignment="1">
      <alignment horizontal="center"/>
    </xf>
    <xf numFmtId="2" fontId="0" fillId="19" borderId="1" xfId="0" applyNumberFormat="1" applyFill="1" applyBorder="1" applyAlignment="1">
      <alignment horizontal="center"/>
    </xf>
    <xf numFmtId="2" fontId="0" fillId="19" borderId="63" xfId="0" applyNumberFormat="1" applyFill="1" applyBorder="1" applyAlignment="1">
      <alignment horizontal="center"/>
    </xf>
    <xf numFmtId="2" fontId="0" fillId="19" borderId="60" xfId="0" applyNumberFormat="1" applyFill="1" applyBorder="1" applyAlignment="1">
      <alignment horizontal="center"/>
    </xf>
    <xf numFmtId="0" fontId="0" fillId="19" borderId="1" xfId="0" applyFill="1" applyBorder="1"/>
    <xf numFmtId="0" fontId="0" fillId="19" borderId="63" xfId="0" applyFill="1" applyBorder="1"/>
    <xf numFmtId="0" fontId="0" fillId="19" borderId="60" xfId="0" applyFill="1" applyBorder="1"/>
    <xf numFmtId="2" fontId="0" fillId="19" borderId="1" xfId="0" applyNumberFormat="1" applyFill="1" applyBorder="1"/>
    <xf numFmtId="0" fontId="1" fillId="19" borderId="1" xfId="0" applyFont="1" applyFill="1" applyBorder="1" applyAlignment="1">
      <alignment horizontal="right"/>
    </xf>
    <xf numFmtId="0" fontId="1" fillId="19" borderId="63" xfId="0" applyFont="1" applyFill="1" applyBorder="1" applyAlignment="1">
      <alignment horizontal="right"/>
    </xf>
    <xf numFmtId="0" fontId="1" fillId="19" borderId="60" xfId="0" applyFont="1" applyFill="1" applyBorder="1" applyAlignment="1">
      <alignment horizontal="right"/>
    </xf>
    <xf numFmtId="0" fontId="0" fillId="19" borderId="1" xfId="0" applyFill="1" applyBorder="1" applyAlignment="1">
      <alignment horizontal="right"/>
    </xf>
    <xf numFmtId="165" fontId="0" fillId="19" borderId="1" xfId="0" applyNumberFormat="1" applyFill="1" applyBorder="1" applyAlignment="1">
      <alignment horizontal="center" vertical="center"/>
    </xf>
    <xf numFmtId="165" fontId="0" fillId="19" borderId="63" xfId="0" applyNumberFormat="1" applyFill="1" applyBorder="1" applyAlignment="1">
      <alignment horizontal="center" vertical="center"/>
    </xf>
    <xf numFmtId="165" fontId="0" fillId="19" borderId="60" xfId="0" applyNumberFormat="1" applyFill="1" applyBorder="1" applyAlignment="1">
      <alignment horizontal="center" vertical="center"/>
    </xf>
    <xf numFmtId="0" fontId="1" fillId="19" borderId="1" xfId="0" applyFont="1" applyFill="1" applyBorder="1"/>
    <xf numFmtId="0" fontId="0" fillId="19" borderId="0" xfId="0" applyFill="1"/>
    <xf numFmtId="0" fontId="33" fillId="19" borderId="0" xfId="0" applyFont="1" applyFill="1"/>
    <xf numFmtId="0" fontId="33" fillId="19" borderId="196" xfId="0" applyFont="1" applyFill="1" applyBorder="1"/>
    <xf numFmtId="2" fontId="0" fillId="19" borderId="2" xfId="0" applyNumberFormat="1" applyFill="1" applyBorder="1" applyAlignment="1">
      <alignment horizontal="center" vertical="center"/>
    </xf>
    <xf numFmtId="2" fontId="0" fillId="19" borderId="62" xfId="0" applyNumberFormat="1" applyFill="1" applyBorder="1" applyAlignment="1">
      <alignment horizontal="center" vertical="center"/>
    </xf>
    <xf numFmtId="2" fontId="0" fillId="19" borderId="61" xfId="0" applyNumberFormat="1" applyFill="1" applyBorder="1" applyAlignment="1">
      <alignment horizontal="center" vertical="center"/>
    </xf>
    <xf numFmtId="2" fontId="0" fillId="19" borderId="8" xfId="0" applyNumberFormat="1" applyFill="1" applyBorder="1" applyAlignment="1">
      <alignment horizontal="center" vertical="center"/>
    </xf>
    <xf numFmtId="0" fontId="0" fillId="19" borderId="8" xfId="0" applyFill="1" applyBorder="1"/>
    <xf numFmtId="0" fontId="0" fillId="19" borderId="62" xfId="0" applyFill="1" applyBorder="1"/>
    <xf numFmtId="0" fontId="0" fillId="19" borderId="61" xfId="0" applyFill="1" applyBorder="1"/>
    <xf numFmtId="0" fontId="0" fillId="29" borderId="0" xfId="0" applyFill="1"/>
    <xf numFmtId="0" fontId="1" fillId="29" borderId="0" xfId="0" applyFont="1" applyFill="1"/>
    <xf numFmtId="2" fontId="0" fillId="29" borderId="66" xfId="0" applyNumberFormat="1" applyFill="1" applyBorder="1" applyAlignment="1">
      <alignment horizontal="center"/>
    </xf>
    <xf numFmtId="2" fontId="0" fillId="29" borderId="1" xfId="0" applyNumberFormat="1" applyFill="1" applyBorder="1" applyAlignment="1">
      <alignment horizontal="center"/>
    </xf>
    <xf numFmtId="2" fontId="0" fillId="29" borderId="63" xfId="0" applyNumberFormat="1" applyFill="1" applyBorder="1" applyAlignment="1">
      <alignment horizontal="center"/>
    </xf>
    <xf numFmtId="2" fontId="0" fillId="29" borderId="60" xfId="0" applyNumberFormat="1" applyFill="1" applyBorder="1" applyAlignment="1">
      <alignment horizontal="center"/>
    </xf>
    <xf numFmtId="0" fontId="0" fillId="29" borderId="1" xfId="0" applyFill="1" applyBorder="1"/>
    <xf numFmtId="0" fontId="0" fillId="29" borderId="63" xfId="0" applyFill="1" applyBorder="1"/>
    <xf numFmtId="0" fontId="0" fillId="29" borderId="60" xfId="0" applyFill="1" applyBorder="1"/>
    <xf numFmtId="2" fontId="0" fillId="29" borderId="1" xfId="0" applyNumberFormat="1" applyFill="1" applyBorder="1"/>
    <xf numFmtId="0" fontId="1" fillId="29" borderId="1" xfId="0" applyFont="1" applyFill="1" applyBorder="1" applyAlignment="1">
      <alignment horizontal="right"/>
    </xf>
    <xf numFmtId="0" fontId="1" fillId="29" borderId="63" xfId="0" applyFont="1" applyFill="1" applyBorder="1" applyAlignment="1">
      <alignment horizontal="right"/>
    </xf>
    <xf numFmtId="0" fontId="1" fillId="29" borderId="60" xfId="0" applyFont="1" applyFill="1" applyBorder="1" applyAlignment="1">
      <alignment horizontal="right"/>
    </xf>
    <xf numFmtId="0" fontId="0" fillId="29" borderId="1" xfId="0" applyFill="1" applyBorder="1" applyAlignment="1">
      <alignment horizontal="right"/>
    </xf>
    <xf numFmtId="165" fontId="0" fillId="29" borderId="1" xfId="0" applyNumberFormat="1" applyFill="1" applyBorder="1" applyAlignment="1">
      <alignment horizontal="center" vertical="center"/>
    </xf>
    <xf numFmtId="165" fontId="0" fillId="29" borderId="63" xfId="0" applyNumberFormat="1" applyFill="1" applyBorder="1" applyAlignment="1">
      <alignment horizontal="center" vertical="center"/>
    </xf>
    <xf numFmtId="165" fontId="0" fillId="29" borderId="60" xfId="0" applyNumberFormat="1" applyFill="1" applyBorder="1" applyAlignment="1">
      <alignment horizontal="center" vertical="center"/>
    </xf>
    <xf numFmtId="0" fontId="1" fillId="29" borderId="1" xfId="0" applyFont="1" applyFill="1" applyBorder="1"/>
    <xf numFmtId="2" fontId="0" fillId="19" borderId="66" xfId="0" applyNumberFormat="1" applyFill="1" applyBorder="1" applyAlignment="1">
      <alignment horizontal="center" vertical="center"/>
    </xf>
    <xf numFmtId="2" fontId="0" fillId="19" borderId="1" xfId="0" applyNumberFormat="1" applyFill="1" applyBorder="1" applyAlignment="1">
      <alignment horizontal="center" vertical="center"/>
    </xf>
    <xf numFmtId="2" fontId="0" fillId="19" borderId="63" xfId="0" applyNumberFormat="1" applyFill="1" applyBorder="1" applyAlignment="1">
      <alignment horizontal="center" vertical="center"/>
    </xf>
    <xf numFmtId="2" fontId="0" fillId="19" borderId="60" xfId="0" applyNumberFormat="1" applyFill="1" applyBorder="1" applyAlignment="1">
      <alignment horizontal="center" vertical="center"/>
    </xf>
    <xf numFmtId="0" fontId="33" fillId="29" borderId="0" xfId="0" applyFont="1" applyFill="1"/>
    <xf numFmtId="0" fontId="33" fillId="29" borderId="196" xfId="0" applyFont="1" applyFill="1" applyBorder="1"/>
    <xf numFmtId="2" fontId="0" fillId="29" borderId="2" xfId="0" applyNumberFormat="1" applyFill="1" applyBorder="1" applyAlignment="1">
      <alignment horizontal="center" vertical="center"/>
    </xf>
    <xf numFmtId="2" fontId="0" fillId="29" borderId="62" xfId="0" applyNumberFormat="1" applyFill="1" applyBorder="1" applyAlignment="1">
      <alignment horizontal="center" vertical="center"/>
    </xf>
    <xf numFmtId="2" fontId="0" fillId="29" borderId="61" xfId="0" applyNumberFormat="1" applyFill="1" applyBorder="1" applyAlignment="1">
      <alignment horizontal="center" vertical="center"/>
    </xf>
    <xf numFmtId="2" fontId="0" fillId="29" borderId="8" xfId="0" applyNumberFormat="1" applyFill="1" applyBorder="1" applyAlignment="1">
      <alignment horizontal="center" vertical="center"/>
    </xf>
    <xf numFmtId="0" fontId="0" fillId="29" borderId="8" xfId="0" applyFill="1" applyBorder="1"/>
    <xf numFmtId="0" fontId="0" fillId="29" borderId="62" xfId="0" applyFill="1" applyBorder="1"/>
    <xf numFmtId="0" fontId="0" fillId="29" borderId="61" xfId="0" applyFill="1" applyBorder="1"/>
    <xf numFmtId="0" fontId="1" fillId="29" borderId="0" xfId="0" applyFont="1" applyFill="1" applyAlignment="1">
      <alignment wrapText="1"/>
    </xf>
    <xf numFmtId="164" fontId="0" fillId="29" borderId="66" xfId="0" applyNumberFormat="1" applyFill="1" applyBorder="1" applyAlignment="1">
      <alignment horizontal="center"/>
    </xf>
    <xf numFmtId="164" fontId="0" fillId="29" borderId="1" xfId="0" applyNumberFormat="1" applyFill="1" applyBorder="1" applyAlignment="1">
      <alignment horizontal="center" vertical="center"/>
    </xf>
    <xf numFmtId="164" fontId="0" fillId="29" borderId="63" xfId="0" applyNumberFormat="1" applyFill="1" applyBorder="1" applyAlignment="1">
      <alignment horizontal="center" vertical="center"/>
    </xf>
    <xf numFmtId="164" fontId="0" fillId="29" borderId="60" xfId="0" applyNumberFormat="1" applyFill="1" applyBorder="1" applyAlignment="1">
      <alignment horizontal="center" vertical="center"/>
    </xf>
    <xf numFmtId="164" fontId="0" fillId="29" borderId="1" xfId="0" applyNumberFormat="1" applyFill="1" applyBorder="1"/>
    <xf numFmtId="0" fontId="1" fillId="19" borderId="0" xfId="0" applyFont="1" applyFill="1" applyAlignment="1">
      <alignment wrapText="1"/>
    </xf>
    <xf numFmtId="164" fontId="0" fillId="19" borderId="66" xfId="0" applyNumberFormat="1" applyFill="1" applyBorder="1" applyAlignment="1">
      <alignment horizontal="center"/>
    </xf>
    <xf numFmtId="164" fontId="0" fillId="19" borderId="1" xfId="0" applyNumberFormat="1" applyFill="1" applyBorder="1" applyAlignment="1">
      <alignment horizontal="center" vertical="center"/>
    </xf>
    <xf numFmtId="164" fontId="0" fillId="19" borderId="63" xfId="0" applyNumberFormat="1" applyFill="1" applyBorder="1" applyAlignment="1">
      <alignment horizontal="center" vertical="center"/>
    </xf>
    <xf numFmtId="164" fontId="0" fillId="19" borderId="60" xfId="0" applyNumberFormat="1" applyFill="1" applyBorder="1" applyAlignment="1">
      <alignment horizontal="center" vertical="center"/>
    </xf>
    <xf numFmtId="164" fontId="0" fillId="19" borderId="1" xfId="0" applyNumberFormat="1" applyFill="1" applyBorder="1"/>
    <xf numFmtId="0" fontId="0" fillId="29" borderId="66" xfId="0" applyFill="1" applyBorder="1"/>
    <xf numFmtId="0" fontId="0" fillId="29" borderId="1" xfId="0" applyFill="1" applyBorder="1" applyAlignment="1">
      <alignment horizontal="center" vertical="center"/>
    </xf>
    <xf numFmtId="0" fontId="0" fillId="29" borderId="63" xfId="0" applyFill="1" applyBorder="1" applyAlignment="1">
      <alignment horizontal="center" vertical="center"/>
    </xf>
    <xf numFmtId="0" fontId="0" fillId="29" borderId="60" xfId="0" applyFill="1" applyBorder="1" applyAlignment="1">
      <alignment horizontal="center" vertical="center"/>
    </xf>
    <xf numFmtId="0" fontId="0" fillId="19" borderId="66" xfId="0" applyFill="1" applyBorder="1"/>
    <xf numFmtId="0" fontId="0" fillId="19" borderId="1" xfId="0" applyFill="1" applyBorder="1" applyAlignment="1">
      <alignment horizontal="center" vertical="center"/>
    </xf>
    <xf numFmtId="0" fontId="0" fillId="19" borderId="63" xfId="0" applyFill="1" applyBorder="1" applyAlignment="1">
      <alignment horizontal="center" vertical="center"/>
    </xf>
    <xf numFmtId="0" fontId="0" fillId="19" borderId="60" xfId="0" applyFill="1" applyBorder="1" applyAlignment="1">
      <alignment horizontal="center" vertical="center"/>
    </xf>
    <xf numFmtId="2" fontId="0" fillId="29" borderId="66" xfId="0" applyNumberFormat="1" applyFill="1" applyBorder="1" applyAlignment="1">
      <alignment horizontal="center" vertical="center"/>
    </xf>
    <xf numFmtId="2" fontId="0" fillId="29" borderId="1" xfId="0" applyNumberFormat="1" applyFill="1" applyBorder="1" applyAlignment="1">
      <alignment horizontal="center" vertical="center"/>
    </xf>
    <xf numFmtId="2" fontId="0" fillId="29" borderId="63" xfId="0" applyNumberFormat="1" applyFill="1" applyBorder="1" applyAlignment="1">
      <alignment horizontal="center" vertical="center"/>
    </xf>
    <xf numFmtId="2" fontId="0" fillId="29" borderId="60" xfId="0" applyNumberFormat="1" applyFill="1" applyBorder="1" applyAlignment="1">
      <alignment horizontal="center" vertical="center"/>
    </xf>
    <xf numFmtId="0" fontId="0" fillId="19" borderId="60" xfId="0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0" fillId="19" borderId="63" xfId="0" applyFill="1" applyBorder="1" applyAlignment="1">
      <alignment horizontal="center"/>
    </xf>
    <xf numFmtId="0" fontId="0" fillId="19" borderId="3" xfId="0" applyFill="1" applyBorder="1" applyAlignment="1">
      <alignment horizontal="center" vertical="center"/>
    </xf>
    <xf numFmtId="0" fontId="0" fillId="29" borderId="60" xfId="0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29" borderId="63" xfId="0" applyFill="1" applyBorder="1" applyAlignment="1">
      <alignment horizontal="center"/>
    </xf>
    <xf numFmtId="0" fontId="0" fillId="29" borderId="3" xfId="0" applyFill="1" applyBorder="1" applyAlignment="1">
      <alignment horizontal="center" vertical="center"/>
    </xf>
    <xf numFmtId="0" fontId="0" fillId="29" borderId="84" xfId="0" applyFill="1" applyBorder="1" applyAlignment="1">
      <alignment horizontal="center" vertical="center"/>
    </xf>
    <xf numFmtId="0" fontId="0" fillId="29" borderId="12" xfId="0" applyFill="1" applyBorder="1" applyAlignment="1">
      <alignment horizontal="center" vertical="center"/>
    </xf>
    <xf numFmtId="0" fontId="0" fillId="29" borderId="128" xfId="0" applyFill="1" applyBorder="1" applyAlignment="1">
      <alignment horizontal="center" vertical="center"/>
    </xf>
    <xf numFmtId="0" fontId="0" fillId="29" borderId="68" xfId="0" applyFill="1" applyBorder="1" applyAlignment="1">
      <alignment horizontal="center" vertical="center"/>
    </xf>
    <xf numFmtId="0" fontId="0" fillId="29" borderId="22" xfId="0" applyFill="1" applyBorder="1" applyAlignment="1">
      <alignment horizontal="center" vertical="center"/>
    </xf>
    <xf numFmtId="2" fontId="0" fillId="29" borderId="12" xfId="0" applyNumberFormat="1" applyFill="1" applyBorder="1" applyAlignment="1">
      <alignment horizontal="center" vertical="center"/>
    </xf>
    <xf numFmtId="2" fontId="0" fillId="29" borderId="128" xfId="0" applyNumberFormat="1" applyFill="1" applyBorder="1" applyAlignment="1">
      <alignment horizontal="center" vertical="center"/>
    </xf>
    <xf numFmtId="2" fontId="0" fillId="29" borderId="68" xfId="0" applyNumberFormat="1" applyFill="1" applyBorder="1" applyAlignment="1">
      <alignment horizontal="center" vertical="center"/>
    </xf>
    <xf numFmtId="0" fontId="0" fillId="29" borderId="12" xfId="0" applyFill="1" applyBorder="1"/>
    <xf numFmtId="0" fontId="0" fillId="29" borderId="128" xfId="0" applyFill="1" applyBorder="1"/>
    <xf numFmtId="0" fontId="0" fillId="29" borderId="68" xfId="0" applyFill="1" applyBorder="1"/>
    <xf numFmtId="0" fontId="0" fillId="29" borderId="12" xfId="0" applyFill="1" applyBorder="1" applyAlignment="1">
      <alignment horizontal="right"/>
    </xf>
    <xf numFmtId="0" fontId="0" fillId="19" borderId="84" xfId="0" applyFill="1" applyBorder="1" applyAlignment="1">
      <alignment horizontal="center" vertical="center"/>
    </xf>
    <xf numFmtId="0" fontId="0" fillId="19" borderId="12" xfId="0" applyFill="1" applyBorder="1" applyAlignment="1">
      <alignment horizontal="center" vertical="center"/>
    </xf>
    <xf numFmtId="0" fontId="0" fillId="19" borderId="128" xfId="0" applyFill="1" applyBorder="1" applyAlignment="1">
      <alignment horizontal="center" vertical="center"/>
    </xf>
    <xf numFmtId="0" fontId="0" fillId="19" borderId="68" xfId="0" applyFill="1" applyBorder="1" applyAlignment="1">
      <alignment horizontal="center" vertical="center"/>
    </xf>
    <xf numFmtId="0" fontId="0" fillId="19" borderId="22" xfId="0" applyFill="1" applyBorder="1" applyAlignment="1">
      <alignment horizontal="center" vertical="center"/>
    </xf>
    <xf numFmtId="2" fontId="0" fillId="19" borderId="12" xfId="0" applyNumberFormat="1" applyFill="1" applyBorder="1" applyAlignment="1">
      <alignment horizontal="center" vertical="center"/>
    </xf>
    <xf numFmtId="2" fontId="0" fillId="19" borderId="128" xfId="0" applyNumberFormat="1" applyFill="1" applyBorder="1" applyAlignment="1">
      <alignment horizontal="center" vertical="center"/>
    </xf>
    <xf numFmtId="2" fontId="0" fillId="19" borderId="68" xfId="0" applyNumberFormat="1" applyFill="1" applyBorder="1" applyAlignment="1">
      <alignment horizontal="center" vertical="center"/>
    </xf>
    <xf numFmtId="0" fontId="0" fillId="19" borderId="12" xfId="0" applyFill="1" applyBorder="1"/>
    <xf numFmtId="0" fontId="0" fillId="19" borderId="128" xfId="0" applyFill="1" applyBorder="1"/>
    <xf numFmtId="0" fontId="0" fillId="19" borderId="68" xfId="0" applyFill="1" applyBorder="1"/>
    <xf numFmtId="0" fontId="0" fillId="19" borderId="12" xfId="0" applyFill="1" applyBorder="1" applyAlignment="1">
      <alignment horizontal="right"/>
    </xf>
    <xf numFmtId="166" fontId="0" fillId="29" borderId="66" xfId="0" applyNumberFormat="1" applyFill="1" applyBorder="1" applyAlignment="1">
      <alignment horizontal="center" vertical="center"/>
    </xf>
    <xf numFmtId="166" fontId="0" fillId="29" borderId="1" xfId="0" applyNumberFormat="1" applyFill="1" applyBorder="1" applyAlignment="1">
      <alignment horizontal="center" vertical="center"/>
    </xf>
    <xf numFmtId="166" fontId="0" fillId="29" borderId="63" xfId="0" applyNumberFormat="1" applyFill="1" applyBorder="1" applyAlignment="1">
      <alignment horizontal="center" vertical="center"/>
    </xf>
    <xf numFmtId="166" fontId="0" fillId="29" borderId="60" xfId="0" applyNumberFormat="1" applyFill="1" applyBorder="1" applyAlignment="1">
      <alignment horizontal="center" vertical="center"/>
    </xf>
    <xf numFmtId="166" fontId="0" fillId="29" borderId="60" xfId="0" applyNumberFormat="1" applyFill="1" applyBorder="1" applyAlignment="1">
      <alignment horizontal="center"/>
    </xf>
    <xf numFmtId="166" fontId="0" fillId="29" borderId="151" xfId="0" applyNumberFormat="1" applyFill="1" applyBorder="1" applyAlignment="1">
      <alignment horizontal="center"/>
    </xf>
    <xf numFmtId="166" fontId="0" fillId="29" borderId="1" xfId="0" applyNumberFormat="1" applyFill="1" applyBorder="1" applyAlignment="1">
      <alignment horizontal="center"/>
    </xf>
    <xf numFmtId="166" fontId="0" fillId="29" borderId="63" xfId="0" applyNumberFormat="1" applyFill="1" applyBorder="1" applyAlignment="1">
      <alignment horizontal="center"/>
    </xf>
    <xf numFmtId="166" fontId="0" fillId="19" borderId="66" xfId="0" applyNumberFormat="1" applyFill="1" applyBorder="1" applyAlignment="1">
      <alignment horizontal="center" vertical="center"/>
    </xf>
    <xf numFmtId="166" fontId="0" fillId="19" borderId="1" xfId="0" applyNumberFormat="1" applyFill="1" applyBorder="1" applyAlignment="1">
      <alignment horizontal="center" vertical="center"/>
    </xf>
    <xf numFmtId="166" fontId="0" fillId="19" borderId="63" xfId="0" applyNumberFormat="1" applyFill="1" applyBorder="1" applyAlignment="1">
      <alignment horizontal="center" vertical="center"/>
    </xf>
    <xf numFmtId="166" fontId="0" fillId="19" borderId="60" xfId="0" applyNumberFormat="1" applyFill="1" applyBorder="1" applyAlignment="1">
      <alignment horizontal="center" vertical="center"/>
    </xf>
    <xf numFmtId="166" fontId="0" fillId="19" borderId="60" xfId="0" applyNumberFormat="1" applyFill="1" applyBorder="1" applyAlignment="1">
      <alignment horizontal="center"/>
    </xf>
    <xf numFmtId="166" fontId="0" fillId="19" borderId="151" xfId="0" applyNumberFormat="1" applyFill="1" applyBorder="1" applyAlignment="1">
      <alignment horizontal="center"/>
    </xf>
    <xf numFmtId="166" fontId="0" fillId="19" borderId="1" xfId="0" applyNumberFormat="1" applyFill="1" applyBorder="1" applyAlignment="1">
      <alignment horizontal="center"/>
    </xf>
    <xf numFmtId="166" fontId="0" fillId="19" borderId="63" xfId="0" applyNumberFormat="1" applyFill="1" applyBorder="1" applyAlignment="1">
      <alignment horizontal="center"/>
    </xf>
    <xf numFmtId="0" fontId="0" fillId="29" borderId="48" xfId="0" applyFill="1" applyBorder="1"/>
    <xf numFmtId="0" fontId="1" fillId="29" borderId="48" xfId="0" applyFont="1" applyFill="1" applyBorder="1"/>
    <xf numFmtId="0" fontId="1" fillId="29" borderId="200" xfId="0" applyFont="1" applyFill="1" applyBorder="1" applyAlignment="1">
      <alignment horizontal="center"/>
    </xf>
    <xf numFmtId="0" fontId="1" fillId="29" borderId="180" xfId="0" applyFont="1" applyFill="1" applyBorder="1" applyAlignment="1">
      <alignment horizontal="center"/>
    </xf>
    <xf numFmtId="0" fontId="1" fillId="29" borderId="194" xfId="0" applyFont="1" applyFill="1" applyBorder="1" applyAlignment="1">
      <alignment horizontal="center"/>
    </xf>
    <xf numFmtId="0" fontId="1" fillId="29" borderId="201" xfId="0" applyFont="1" applyFill="1" applyBorder="1" applyAlignment="1">
      <alignment horizontal="center"/>
    </xf>
    <xf numFmtId="0" fontId="1" fillId="29" borderId="180" xfId="0" applyFont="1" applyFill="1" applyBorder="1" applyAlignment="1">
      <alignment horizontal="center" vertical="center"/>
    </xf>
    <xf numFmtId="0" fontId="1" fillId="29" borderId="194" xfId="0" applyFont="1" applyFill="1" applyBorder="1" applyAlignment="1">
      <alignment horizontal="center" vertical="center"/>
    </xf>
    <xf numFmtId="0" fontId="1" fillId="29" borderId="201" xfId="0" applyFont="1" applyFill="1" applyBorder="1" applyAlignment="1">
      <alignment horizontal="center" vertical="center"/>
    </xf>
    <xf numFmtId="0" fontId="0" fillId="29" borderId="13" xfId="0" applyFill="1" applyBorder="1"/>
    <xf numFmtId="0" fontId="0" fillId="29" borderId="13" xfId="0" applyFill="1" applyBorder="1" applyAlignment="1">
      <alignment horizontal="right"/>
    </xf>
    <xf numFmtId="0" fontId="0" fillId="29" borderId="65" xfId="0" applyFill="1" applyBorder="1"/>
    <xf numFmtId="0" fontId="0" fillId="29" borderId="64" xfId="0" applyFill="1" applyBorder="1"/>
    <xf numFmtId="0" fontId="0" fillId="19" borderId="48" xfId="0" applyFill="1" applyBorder="1"/>
    <xf numFmtId="0" fontId="1" fillId="19" borderId="48" xfId="0" applyFont="1" applyFill="1" applyBorder="1"/>
    <xf numFmtId="0" fontId="1" fillId="19" borderId="50" xfId="0" applyFont="1" applyFill="1" applyBorder="1" applyAlignment="1">
      <alignment horizontal="center"/>
    </xf>
    <xf numFmtId="0" fontId="1" fillId="19" borderId="131" xfId="0" applyFont="1" applyFill="1" applyBorder="1" applyAlignment="1">
      <alignment horizontal="center"/>
    </xf>
    <xf numFmtId="0" fontId="1" fillId="19" borderId="93" xfId="0" applyFont="1" applyFill="1" applyBorder="1" applyAlignment="1">
      <alignment horizontal="center"/>
    </xf>
    <xf numFmtId="0" fontId="0" fillId="19" borderId="50" xfId="0" applyFill="1" applyBorder="1"/>
    <xf numFmtId="0" fontId="0" fillId="19" borderId="131" xfId="0" applyFill="1" applyBorder="1"/>
    <xf numFmtId="0" fontId="0" fillId="19" borderId="93" xfId="0" applyFill="1" applyBorder="1"/>
    <xf numFmtId="0" fontId="1" fillId="19" borderId="50" xfId="0" applyFont="1" applyFill="1" applyBorder="1" applyAlignment="1">
      <alignment horizontal="center" vertical="center"/>
    </xf>
    <xf numFmtId="0" fontId="1" fillId="19" borderId="131" xfId="0" applyFont="1" applyFill="1" applyBorder="1" applyAlignment="1">
      <alignment horizontal="center" vertical="center"/>
    </xf>
    <xf numFmtId="0" fontId="1" fillId="19" borderId="93" xfId="0" applyFont="1" applyFill="1" applyBorder="1" applyAlignment="1">
      <alignment horizontal="center" vertical="center"/>
    </xf>
    <xf numFmtId="0" fontId="0" fillId="19" borderId="50" xfId="0" applyFill="1" applyBorder="1" applyAlignment="1">
      <alignment horizontal="center" vertical="center"/>
    </xf>
    <xf numFmtId="166" fontId="0" fillId="29" borderId="66" xfId="0" applyNumberFormat="1" applyFill="1" applyBorder="1" applyAlignment="1">
      <alignment horizontal="center"/>
    </xf>
    <xf numFmtId="166" fontId="36" fillId="29" borderId="1" xfId="0" applyNumberFormat="1" applyFont="1" applyFill="1" applyBorder="1" applyAlignment="1">
      <alignment horizontal="center"/>
    </xf>
    <xf numFmtId="166" fontId="36" fillId="29" borderId="63" xfId="0" applyNumberFormat="1" applyFont="1" applyFill="1" applyBorder="1" applyAlignment="1">
      <alignment horizontal="center"/>
    </xf>
    <xf numFmtId="166" fontId="36" fillId="29" borderId="60" xfId="0" applyNumberFormat="1" applyFont="1" applyFill="1" applyBorder="1" applyAlignment="1">
      <alignment horizontal="center"/>
    </xf>
    <xf numFmtId="166" fontId="0" fillId="19" borderId="66" xfId="0" applyNumberFormat="1" applyFill="1" applyBorder="1" applyAlignment="1">
      <alignment horizontal="center"/>
    </xf>
    <xf numFmtId="166" fontId="36" fillId="19" borderId="1" xfId="0" applyNumberFormat="1" applyFont="1" applyFill="1" applyBorder="1" applyAlignment="1">
      <alignment horizontal="center"/>
    </xf>
    <xf numFmtId="166" fontId="36" fillId="19" borderId="63" xfId="0" applyNumberFormat="1" applyFont="1" applyFill="1" applyBorder="1" applyAlignment="1">
      <alignment horizontal="center"/>
    </xf>
    <xf numFmtId="166" fontId="36" fillId="19" borderId="60" xfId="0" applyNumberFormat="1" applyFont="1" applyFill="1" applyBorder="1" applyAlignment="1">
      <alignment horizontal="center"/>
    </xf>
    <xf numFmtId="2" fontId="0" fillId="29" borderId="97" xfId="0" applyNumberFormat="1" applyFill="1" applyBorder="1" applyAlignment="1">
      <alignment horizontal="center" vertical="center"/>
    </xf>
    <xf numFmtId="2" fontId="0" fillId="29" borderId="13" xfId="0" applyNumberFormat="1" applyFill="1" applyBorder="1" applyAlignment="1">
      <alignment horizontal="center" vertical="center"/>
    </xf>
    <xf numFmtId="2" fontId="0" fillId="29" borderId="65" xfId="0" applyNumberFormat="1" applyFill="1" applyBorder="1" applyAlignment="1">
      <alignment horizontal="center" vertical="center"/>
    </xf>
    <xf numFmtId="2" fontId="0" fillId="29" borderId="64" xfId="0" applyNumberFormat="1" applyFill="1" applyBorder="1" applyAlignment="1">
      <alignment horizontal="center" vertical="center"/>
    </xf>
    <xf numFmtId="2" fontId="0" fillId="29" borderId="129" xfId="0" applyNumberFormat="1" applyFill="1" applyBorder="1" applyAlignment="1">
      <alignment horizontal="center" vertical="center"/>
    </xf>
    <xf numFmtId="0" fontId="0" fillId="29" borderId="13" xfId="0" applyFill="1" applyBorder="1" applyAlignment="1">
      <alignment horizontal="center" vertical="center"/>
    </xf>
    <xf numFmtId="0" fontId="0" fillId="29" borderId="65" xfId="0" applyFill="1" applyBorder="1" applyAlignment="1">
      <alignment horizontal="center" vertical="center"/>
    </xf>
    <xf numFmtId="0" fontId="0" fillId="29" borderId="64" xfId="0" applyFill="1" applyBorder="1" applyAlignment="1">
      <alignment horizontal="center" vertical="center"/>
    </xf>
    <xf numFmtId="0" fontId="0" fillId="19" borderId="53" xfId="0" applyFill="1" applyBorder="1"/>
    <xf numFmtId="0" fontId="1" fillId="19" borderId="53" xfId="0" applyFont="1" applyFill="1" applyBorder="1"/>
    <xf numFmtId="0" fontId="0" fillId="19" borderId="95" xfId="0" applyFill="1" applyBorder="1"/>
    <xf numFmtId="0" fontId="0" fillId="19" borderId="54" xfId="0" applyFill="1" applyBorder="1"/>
    <xf numFmtId="0" fontId="0" fillId="19" borderId="130" xfId="0" applyFill="1" applyBorder="1"/>
    <xf numFmtId="0" fontId="0" fillId="19" borderId="55" xfId="0" applyFill="1" applyBorder="1"/>
    <xf numFmtId="2" fontId="0" fillId="19" borderId="54" xfId="0" applyNumberFormat="1" applyFill="1" applyBorder="1" applyAlignment="1">
      <alignment horizontal="center"/>
    </xf>
    <xf numFmtId="2" fontId="0" fillId="19" borderId="130" xfId="0" applyNumberFormat="1" applyFill="1" applyBorder="1" applyAlignment="1">
      <alignment horizontal="center"/>
    </xf>
    <xf numFmtId="2" fontId="0" fillId="19" borderId="55" xfId="0" applyNumberFormat="1" applyFill="1" applyBorder="1" applyAlignment="1">
      <alignment horizontal="center"/>
    </xf>
    <xf numFmtId="0" fontId="0" fillId="19" borderId="54" xfId="0" applyFill="1" applyBorder="1" applyAlignment="1">
      <alignment horizontal="right"/>
    </xf>
    <xf numFmtId="9" fontId="1" fillId="29" borderId="0" xfId="0" applyNumberFormat="1" applyFont="1" applyFill="1" applyAlignment="1">
      <alignment wrapText="1"/>
    </xf>
    <xf numFmtId="0" fontId="0" fillId="29" borderId="66" xfId="0" applyFill="1" applyBorder="1" applyAlignment="1">
      <alignment horizontal="center" vertical="center"/>
    </xf>
    <xf numFmtId="9" fontId="1" fillId="19" borderId="0" xfId="0" applyNumberFormat="1" applyFont="1" applyFill="1" applyAlignment="1">
      <alignment wrapText="1"/>
    </xf>
    <xf numFmtId="2" fontId="0" fillId="29" borderId="0" xfId="0" applyNumberFormat="1" applyFill="1" applyAlignment="1">
      <alignment horizontal="center" vertical="center"/>
    </xf>
    <xf numFmtId="166" fontId="0" fillId="29" borderId="64" xfId="0" applyNumberFormat="1" applyFill="1" applyBorder="1" applyAlignment="1">
      <alignment horizontal="center" vertical="center"/>
    </xf>
    <xf numFmtId="166" fontId="0" fillId="29" borderId="13" xfId="0" applyNumberFormat="1" applyFill="1" applyBorder="1" applyAlignment="1">
      <alignment horizontal="center" vertical="center"/>
    </xf>
    <xf numFmtId="166" fontId="0" fillId="29" borderId="13" xfId="0" applyNumberFormat="1" applyFill="1" applyBorder="1" applyAlignment="1">
      <alignment horizontal="center"/>
    </xf>
    <xf numFmtId="166" fontId="0" fillId="29" borderId="65" xfId="0" applyNumberFormat="1" applyFill="1" applyBorder="1" applyAlignment="1">
      <alignment horizontal="center"/>
    </xf>
    <xf numFmtId="166" fontId="0" fillId="29" borderId="64" xfId="0" applyNumberFormat="1" applyFill="1" applyBorder="1" applyAlignment="1">
      <alignment horizontal="center"/>
    </xf>
    <xf numFmtId="0" fontId="0" fillId="19" borderId="95" xfId="0" applyFill="1" applyBorder="1" applyAlignment="1">
      <alignment horizontal="center" vertical="center"/>
    </xf>
    <xf numFmtId="0" fontId="0" fillId="19" borderId="54" xfId="0" applyFill="1" applyBorder="1" applyAlignment="1">
      <alignment horizontal="center" vertical="center"/>
    </xf>
    <xf numFmtId="0" fontId="0" fillId="19" borderId="130" xfId="0" applyFill="1" applyBorder="1" applyAlignment="1">
      <alignment horizontal="center" vertical="center"/>
    </xf>
    <xf numFmtId="0" fontId="0" fillId="19" borderId="55" xfId="0" applyFill="1" applyBorder="1" applyAlignment="1">
      <alignment horizontal="center" vertical="center"/>
    </xf>
    <xf numFmtId="2" fontId="0" fillId="19" borderId="54" xfId="0" applyNumberFormat="1" applyFill="1" applyBorder="1" applyAlignment="1">
      <alignment horizontal="center" vertical="center"/>
    </xf>
    <xf numFmtId="2" fontId="0" fillId="19" borderId="130" xfId="0" applyNumberFormat="1" applyFill="1" applyBorder="1" applyAlignment="1">
      <alignment horizontal="center" vertical="center"/>
    </xf>
    <xf numFmtId="2" fontId="0" fillId="19" borderId="55" xfId="0" applyNumberFormat="1" applyFill="1" applyBorder="1" applyAlignment="1">
      <alignment horizontal="center" vertical="center"/>
    </xf>
    <xf numFmtId="0" fontId="0" fillId="29" borderId="8" xfId="0" applyFill="1" applyBorder="1" applyAlignment="1">
      <alignment horizontal="right"/>
    </xf>
    <xf numFmtId="0" fontId="1" fillId="29" borderId="61" xfId="0" applyFont="1" applyFill="1" applyBorder="1"/>
    <xf numFmtId="0" fontId="0" fillId="19" borderId="8" xfId="0" applyFill="1" applyBorder="1" applyAlignment="1">
      <alignment horizontal="right"/>
    </xf>
    <xf numFmtId="0" fontId="1" fillId="19" borderId="61" xfId="0" applyFont="1" applyFill="1" applyBorder="1"/>
    <xf numFmtId="0" fontId="60" fillId="0" borderId="28" xfId="0" applyFont="1" applyBorder="1"/>
    <xf numFmtId="0" fontId="60" fillId="0" borderId="3" xfId="0" applyFont="1" applyBorder="1"/>
    <xf numFmtId="0" fontId="60" fillId="0" borderId="151" xfId="0" applyFont="1" applyBorder="1"/>
    <xf numFmtId="0" fontId="37" fillId="0" borderId="3" xfId="0" applyFont="1" applyBorder="1"/>
    <xf numFmtId="0" fontId="37" fillId="0" borderId="151" xfId="0" applyFont="1" applyBorder="1"/>
    <xf numFmtId="0" fontId="37" fillId="0" borderId="68" xfId="0" applyFont="1" applyBorder="1"/>
    <xf numFmtId="0" fontId="35" fillId="0" borderId="12" xfId="0" applyFont="1" applyBorder="1"/>
    <xf numFmtId="0" fontId="37" fillId="0" borderId="12" xfId="0" applyFont="1" applyBorder="1"/>
    <xf numFmtId="0" fontId="41" fillId="0" borderId="12" xfId="0" applyFont="1" applyBorder="1"/>
    <xf numFmtId="0" fontId="26" fillId="0" borderId="27" xfId="2" applyFont="1" applyBorder="1" applyAlignment="1">
      <alignment horizontal="left"/>
    </xf>
    <xf numFmtId="0" fontId="4" fillId="0" borderId="64" xfId="2" applyFont="1" applyBorder="1" applyAlignment="1">
      <alignment horizontal="center"/>
    </xf>
    <xf numFmtId="0" fontId="43" fillId="0" borderId="64" xfId="2" applyFont="1" applyBorder="1" applyAlignment="1">
      <alignment horizontal="center" wrapText="1"/>
    </xf>
    <xf numFmtId="0" fontId="4" fillId="0" borderId="140" xfId="2" applyFont="1" applyBorder="1" applyAlignment="1">
      <alignment horizontal="center"/>
    </xf>
    <xf numFmtId="0" fontId="43" fillId="0" borderId="0" xfId="2" applyFont="1" applyAlignment="1">
      <alignment horizontal="center"/>
    </xf>
    <xf numFmtId="0" fontId="1" fillId="0" borderId="200" xfId="0" applyFont="1" applyBorder="1" applyAlignment="1">
      <alignment horizontal="center"/>
    </xf>
    <xf numFmtId="0" fontId="1" fillId="0" borderId="180" xfId="0" applyFont="1" applyBorder="1" applyAlignment="1">
      <alignment horizontal="center"/>
    </xf>
    <xf numFmtId="0" fontId="1" fillId="0" borderId="194" xfId="0" applyFont="1" applyBorder="1" applyAlignment="1">
      <alignment horizontal="center"/>
    </xf>
    <xf numFmtId="0" fontId="1" fillId="0" borderId="201" xfId="0" applyFont="1" applyBorder="1" applyAlignment="1">
      <alignment horizontal="center"/>
    </xf>
    <xf numFmtId="0" fontId="1" fillId="0" borderId="194" xfId="0" applyFont="1" applyBorder="1" applyAlignment="1">
      <alignment horizontal="center" vertical="center"/>
    </xf>
    <xf numFmtId="0" fontId="1" fillId="0" borderId="201" xfId="0" applyFont="1" applyBorder="1" applyAlignment="1">
      <alignment horizontal="center" vertical="center"/>
    </xf>
    <xf numFmtId="0" fontId="0" fillId="3" borderId="180" xfId="0" applyFill="1" applyBorder="1"/>
    <xf numFmtId="2" fontId="0" fillId="3" borderId="13" xfId="0" applyNumberForma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80" xfId="0" applyFill="1" applyBorder="1" applyAlignment="1">
      <alignment horizontal="center" vertical="center"/>
    </xf>
    <xf numFmtId="166" fontId="0" fillId="3" borderId="13" xfId="0" applyNumberFormat="1" applyFill="1" applyBorder="1" applyAlignment="1">
      <alignment horizontal="center"/>
    </xf>
    <xf numFmtId="167" fontId="1" fillId="0" borderId="84" xfId="0" applyNumberFormat="1" applyFont="1" applyBorder="1"/>
    <xf numFmtId="0" fontId="1" fillId="0" borderId="92" xfId="0" applyFont="1" applyBorder="1"/>
    <xf numFmtId="165" fontId="1" fillId="0" borderId="50" xfId="0" applyNumberFormat="1" applyFont="1" applyBorder="1" applyAlignment="1">
      <alignment horizontal="left" vertical="center"/>
    </xf>
    <xf numFmtId="1" fontId="4" fillId="2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0" fontId="9" fillId="2" borderId="1" xfId="5" applyFont="1" applyFill="1" applyBorder="1" applyAlignment="1">
      <alignment horizontal="center"/>
    </xf>
    <xf numFmtId="1" fontId="4" fillId="0" borderId="1" xfId="5" applyNumberFormat="1" applyFont="1" applyBorder="1" applyAlignment="1">
      <alignment horizontal="center"/>
    </xf>
    <xf numFmtId="0" fontId="9" fillId="0" borderId="1" xfId="5" applyFont="1" applyBorder="1" applyAlignment="1">
      <alignment horizontal="center"/>
    </xf>
    <xf numFmtId="164" fontId="5" fillId="0" borderId="1" xfId="5" applyNumberFormat="1" applyFont="1" applyBorder="1" applyAlignment="1">
      <alignment horizontal="center"/>
    </xf>
    <xf numFmtId="164" fontId="0" fillId="0" borderId="3" xfId="0" applyNumberFormat="1" applyBorder="1" applyAlignment="1">
      <alignment horizontal="center" vertical="center"/>
    </xf>
    <xf numFmtId="0" fontId="1" fillId="30" borderId="0" xfId="0" applyFont="1" applyFill="1"/>
    <xf numFmtId="2" fontId="0" fillId="30" borderId="84" xfId="0" applyNumberFormat="1" applyFill="1" applyBorder="1" applyAlignment="1">
      <alignment horizontal="center" vertical="center"/>
    </xf>
    <xf numFmtId="2" fontId="0" fillId="30" borderId="12" xfId="0" applyNumberFormat="1" applyFill="1" applyBorder="1" applyAlignment="1">
      <alignment horizontal="center" vertical="center"/>
    </xf>
    <xf numFmtId="2" fontId="0" fillId="30" borderId="128" xfId="0" applyNumberFormat="1" applyFill="1" applyBorder="1" applyAlignment="1">
      <alignment horizontal="center" vertical="center"/>
    </xf>
    <xf numFmtId="2" fontId="0" fillId="30" borderId="68" xfId="0" applyNumberFormat="1" applyFill="1" applyBorder="1" applyAlignment="1">
      <alignment horizontal="center" vertical="center"/>
    </xf>
    <xf numFmtId="2" fontId="0" fillId="30" borderId="132" xfId="0" applyNumberFormat="1" applyFill="1" applyBorder="1" applyAlignment="1">
      <alignment horizontal="center" vertical="center"/>
    </xf>
    <xf numFmtId="2" fontId="0" fillId="13" borderId="8" xfId="0" applyNumberFormat="1" applyFill="1" applyBorder="1" applyAlignment="1">
      <alignment horizontal="center" vertical="center"/>
    </xf>
    <xf numFmtId="2" fontId="0" fillId="0" borderId="203" xfId="0" applyNumberFormat="1" applyBorder="1" applyAlignment="1">
      <alignment horizontal="center" vertical="center"/>
    </xf>
    <xf numFmtId="2" fontId="0" fillId="0" borderId="207" xfId="0" applyNumberFormat="1" applyBorder="1" applyAlignment="1">
      <alignment horizontal="center"/>
    </xf>
    <xf numFmtId="2" fontId="0" fillId="0" borderId="151" xfId="0" applyNumberFormat="1" applyBorder="1" applyAlignment="1">
      <alignment horizontal="center" vertical="center"/>
    </xf>
    <xf numFmtId="2" fontId="0" fillId="29" borderId="153" xfId="0" applyNumberFormat="1" applyFill="1" applyBorder="1" applyAlignment="1">
      <alignment horizontal="center" vertical="center"/>
    </xf>
    <xf numFmtId="2" fontId="0" fillId="19" borderId="153" xfId="0" applyNumberFormat="1" applyFill="1" applyBorder="1" applyAlignment="1">
      <alignment horizontal="center" vertical="center"/>
    </xf>
    <xf numFmtId="2" fontId="0" fillId="7" borderId="13" xfId="0" applyNumberFormat="1" applyFill="1" applyBorder="1" applyAlignment="1">
      <alignment horizontal="center" vertical="center"/>
    </xf>
    <xf numFmtId="2" fontId="0" fillId="0" borderId="208" xfId="0" applyNumberFormat="1" applyBorder="1" applyAlignment="1">
      <alignment horizontal="center" vertical="center"/>
    </xf>
    <xf numFmtId="2" fontId="0" fillId="29" borderId="208" xfId="0" applyNumberFormat="1" applyFill="1" applyBorder="1" applyAlignment="1">
      <alignment horizontal="center" vertical="center"/>
    </xf>
    <xf numFmtId="2" fontId="0" fillId="19" borderId="208" xfId="0" applyNumberFormat="1" applyFill="1" applyBorder="1" applyAlignment="1">
      <alignment horizontal="center" vertical="center"/>
    </xf>
    <xf numFmtId="2" fontId="0" fillId="19" borderId="13" xfId="0" applyNumberFormat="1" applyFill="1" applyBorder="1" applyAlignment="1">
      <alignment horizontal="center" vertical="center"/>
    </xf>
    <xf numFmtId="0" fontId="0" fillId="19" borderId="13" xfId="0" applyFill="1" applyBorder="1"/>
    <xf numFmtId="2" fontId="0" fillId="13" borderId="124" xfId="0" applyNumberFormat="1" applyFill="1" applyBorder="1" applyAlignment="1">
      <alignment horizontal="center" vertical="center"/>
    </xf>
    <xf numFmtId="2" fontId="0" fillId="0" borderId="124" xfId="0" applyNumberFormat="1" applyBorder="1" applyAlignment="1">
      <alignment horizontal="center" vertical="center"/>
    </xf>
    <xf numFmtId="164" fontId="0" fillId="0" borderId="208" xfId="0" applyNumberFormat="1" applyBorder="1" applyAlignment="1">
      <alignment horizontal="center" vertical="center"/>
    </xf>
    <xf numFmtId="15" fontId="71" fillId="0" borderId="204" xfId="0" applyNumberFormat="1" applyFont="1" applyBorder="1" applyAlignment="1">
      <alignment horizontal="center"/>
    </xf>
    <xf numFmtId="15" fontId="71" fillId="17" borderId="142" xfId="0" applyNumberFormat="1" applyFont="1" applyFill="1" applyBorder="1" applyAlignment="1">
      <alignment horizontal="center"/>
    </xf>
    <xf numFmtId="15" fontId="71" fillId="0" borderId="142" xfId="0" applyNumberFormat="1" applyFont="1" applyBorder="1" applyAlignment="1">
      <alignment horizontal="center"/>
    </xf>
    <xf numFmtId="15" fontId="71" fillId="0" borderId="143" xfId="0" applyNumberFormat="1" applyFont="1" applyBorder="1" applyAlignment="1">
      <alignment horizontal="center"/>
    </xf>
    <xf numFmtId="15" fontId="71" fillId="0" borderId="144" xfId="0" applyNumberFormat="1" applyFont="1" applyBorder="1" applyAlignment="1">
      <alignment horizontal="center"/>
    </xf>
    <xf numFmtId="15" fontId="71" fillId="0" borderId="202" xfId="0" applyNumberFormat="1" applyFont="1" applyBorder="1" applyAlignment="1">
      <alignment horizontal="center"/>
    </xf>
    <xf numFmtId="15" fontId="71" fillId="0" borderId="205" xfId="0" applyNumberFormat="1" applyFont="1" applyBorder="1" applyAlignment="1">
      <alignment horizontal="center"/>
    </xf>
    <xf numFmtId="15" fontId="71" fillId="0" borderId="146" xfId="0" applyNumberFormat="1" applyFont="1" applyBorder="1" applyAlignment="1">
      <alignment horizontal="center"/>
    </xf>
    <xf numFmtId="15" fontId="71" fillId="0" borderId="147" xfId="0" applyNumberFormat="1" applyFont="1" applyBorder="1" applyAlignment="1">
      <alignment horizontal="center"/>
    </xf>
    <xf numFmtId="15" fontId="71" fillId="0" borderId="148" xfId="0" applyNumberFormat="1" applyFont="1" applyBorder="1" applyAlignment="1">
      <alignment horizontal="center"/>
    </xf>
    <xf numFmtId="15" fontId="71" fillId="0" borderId="206" xfId="0" applyNumberFormat="1" applyFont="1" applyBorder="1" applyAlignment="1">
      <alignment horizontal="center"/>
    </xf>
    <xf numFmtId="15" fontId="76" fillId="0" borderId="97" xfId="0" applyNumberFormat="1" applyFont="1" applyBorder="1"/>
    <xf numFmtId="15" fontId="76" fillId="0" borderId="13" xfId="0" applyNumberFormat="1" applyFont="1" applyBorder="1"/>
    <xf numFmtId="15" fontId="76" fillId="2" borderId="13" xfId="0" applyNumberFormat="1" applyFont="1" applyFill="1" applyBorder="1" applyAlignment="1">
      <alignment horizontal="center" vertical="center"/>
    </xf>
    <xf numFmtId="15" fontId="76" fillId="0" borderId="65" xfId="0" applyNumberFormat="1" applyFont="1" applyBorder="1" applyAlignment="1">
      <alignment horizontal="center" vertical="center"/>
    </xf>
    <xf numFmtId="15" fontId="76" fillId="0" borderId="64" xfId="0" applyNumberFormat="1" applyFont="1" applyBorder="1" applyAlignment="1">
      <alignment horizontal="center" vertical="center"/>
    </xf>
    <xf numFmtId="15" fontId="76" fillId="0" borderId="0" xfId="0" applyNumberFormat="1" applyFont="1" applyAlignment="1">
      <alignment horizontal="center" vertical="center"/>
    </xf>
    <xf numFmtId="15" fontId="76" fillId="0" borderId="182" xfId="0" applyNumberFormat="1" applyFont="1" applyBorder="1" applyAlignment="1">
      <alignment horizontal="center" vertical="center"/>
    </xf>
    <xf numFmtId="15" fontId="76" fillId="0" borderId="55" xfId="0" applyNumberFormat="1" applyFont="1" applyBorder="1" applyAlignment="1">
      <alignment horizontal="center" vertical="center"/>
    </xf>
    <xf numFmtId="15" fontId="76" fillId="0" borderId="199" xfId="0" applyNumberFormat="1" applyFont="1" applyBorder="1" applyAlignment="1">
      <alignment horizontal="center" vertical="center"/>
    </xf>
    <xf numFmtId="0" fontId="1" fillId="17" borderId="21" xfId="0" applyFont="1" applyFill="1" applyBorder="1" applyAlignment="1">
      <alignment horizontal="center" vertical="center"/>
    </xf>
    <xf numFmtId="0" fontId="0" fillId="29" borderId="180" xfId="0" applyFill="1" applyBorder="1"/>
    <xf numFmtId="0" fontId="0" fillId="29" borderId="180" xfId="0" applyFill="1" applyBorder="1" applyAlignment="1">
      <alignment horizontal="center" vertical="center"/>
    </xf>
    <xf numFmtId="0" fontId="0" fillId="21" borderId="100" xfId="0" applyFill="1" applyBorder="1" applyAlignment="1">
      <alignment horizontal="center"/>
    </xf>
    <xf numFmtId="0" fontId="9" fillId="31" borderId="1" xfId="5" applyFont="1" applyFill="1" applyBorder="1" applyAlignment="1">
      <alignment horizontal="center"/>
    </xf>
    <xf numFmtId="2" fontId="9" fillId="31" borderId="16" xfId="2" applyNumberFormat="1" applyFont="1" applyFill="1" applyBorder="1" applyAlignment="1">
      <alignment horizontal="center"/>
    </xf>
    <xf numFmtId="0" fontId="9" fillId="31" borderId="16" xfId="2" applyFont="1" applyFill="1" applyBorder="1" applyAlignment="1">
      <alignment horizontal="center"/>
    </xf>
    <xf numFmtId="2" fontId="9" fillId="31" borderId="47" xfId="2" applyNumberFormat="1" applyFont="1" applyFill="1" applyBorder="1" applyAlignment="1">
      <alignment horizontal="center"/>
    </xf>
    <xf numFmtId="172" fontId="5" fillId="0" borderId="45" xfId="2" applyNumberFormat="1" applyFont="1" applyBorder="1" applyAlignment="1">
      <alignment horizontal="center" vertical="center"/>
    </xf>
    <xf numFmtId="172" fontId="5" fillId="0" borderId="0" xfId="2" applyNumberFormat="1" applyFont="1" applyAlignment="1">
      <alignment horizontal="center" vertical="center"/>
    </xf>
    <xf numFmtId="172" fontId="5" fillId="2" borderId="0" xfId="2" applyNumberFormat="1" applyFont="1" applyFill="1" applyAlignment="1">
      <alignment horizontal="center" vertical="center"/>
    </xf>
    <xf numFmtId="172" fontId="5" fillId="2" borderId="45" xfId="2" applyNumberFormat="1" applyFont="1" applyFill="1" applyBorder="1" applyAlignment="1">
      <alignment horizontal="center" vertical="center"/>
    </xf>
    <xf numFmtId="172" fontId="5" fillId="0" borderId="0" xfId="2" applyNumberFormat="1" applyFont="1" applyAlignment="1">
      <alignment horizontal="center"/>
    </xf>
    <xf numFmtId="172" fontId="5" fillId="2" borderId="52" xfId="2" applyNumberFormat="1" applyFont="1" applyFill="1" applyBorder="1" applyAlignment="1">
      <alignment horizontal="center" vertical="center"/>
    </xf>
    <xf numFmtId="172" fontId="5" fillId="2" borderId="149" xfId="2" applyNumberFormat="1" applyFont="1" applyFill="1" applyBorder="1" applyAlignment="1">
      <alignment horizontal="center" vertical="center"/>
    </xf>
    <xf numFmtId="0" fontId="77" fillId="32" borderId="209" xfId="0" applyFont="1" applyFill="1" applyBorder="1" applyAlignment="1">
      <alignment vertical="center" wrapText="1"/>
    </xf>
    <xf numFmtId="0" fontId="77" fillId="32" borderId="210" xfId="0" applyFont="1" applyFill="1" applyBorder="1" applyAlignment="1">
      <alignment vertical="center" wrapText="1"/>
    </xf>
    <xf numFmtId="0" fontId="77" fillId="33" borderId="209" xfId="0" applyFont="1" applyFill="1" applyBorder="1" applyAlignment="1">
      <alignment vertical="center" wrapText="1"/>
    </xf>
    <xf numFmtId="0" fontId="77" fillId="33" borderId="210" xfId="0" applyFont="1" applyFill="1" applyBorder="1" applyAlignment="1">
      <alignment vertical="center" wrapText="1"/>
    </xf>
    <xf numFmtId="10" fontId="77" fillId="32" borderId="210" xfId="0" applyNumberFormat="1" applyFont="1" applyFill="1" applyBorder="1" applyAlignment="1">
      <alignment vertical="center" wrapText="1"/>
    </xf>
    <xf numFmtId="0" fontId="79" fillId="0" borderId="29" xfId="0" applyFont="1" applyBorder="1" applyAlignment="1">
      <alignment horizontal="center" vertical="center" wrapText="1"/>
    </xf>
    <xf numFmtId="0" fontId="80" fillId="0" borderId="211" xfId="0" applyFont="1" applyBorder="1" applyAlignment="1">
      <alignment horizontal="center" vertical="center"/>
    </xf>
    <xf numFmtId="0" fontId="80" fillId="0" borderId="32" xfId="0" applyFont="1" applyBorder="1" applyAlignment="1">
      <alignment horizontal="center" vertical="center"/>
    </xf>
    <xf numFmtId="0" fontId="80" fillId="0" borderId="80" xfId="0" applyFont="1" applyBorder="1" applyAlignment="1">
      <alignment horizontal="center" vertical="center"/>
    </xf>
    <xf numFmtId="1" fontId="4" fillId="2" borderId="1" xfId="5" applyNumberFormat="1" applyFont="1" applyFill="1" applyBorder="1" applyAlignment="1">
      <alignment horizontal="center"/>
    </xf>
    <xf numFmtId="0" fontId="0" fillId="34" borderId="0" xfId="0" applyFill="1"/>
    <xf numFmtId="2" fontId="0" fillId="2" borderId="0" xfId="0" applyNumberFormat="1" applyFill="1" applyAlignment="1">
      <alignment horizontal="center"/>
    </xf>
    <xf numFmtId="22" fontId="5" fillId="0" borderId="0" xfId="2" applyNumberFormat="1" applyFont="1" applyAlignment="1">
      <alignment horizontal="center"/>
    </xf>
    <xf numFmtId="2" fontId="4" fillId="0" borderId="0" xfId="2" applyNumberFormat="1" applyFont="1"/>
    <xf numFmtId="164" fontId="1" fillId="19" borderId="92" xfId="0" applyNumberFormat="1" applyFont="1" applyFill="1" applyBorder="1" applyAlignment="1">
      <alignment horizontal="center"/>
    </xf>
    <xf numFmtId="164" fontId="1" fillId="19" borderId="50" xfId="0" applyNumberFormat="1" applyFont="1" applyFill="1" applyBorder="1" applyAlignment="1">
      <alignment horizontal="center"/>
    </xf>
    <xf numFmtId="164" fontId="1" fillId="19" borderId="131" xfId="0" applyNumberFormat="1" applyFont="1" applyFill="1" applyBorder="1" applyAlignment="1">
      <alignment horizontal="center"/>
    </xf>
    <xf numFmtId="164" fontId="1" fillId="19" borderId="93" xfId="0" applyNumberFormat="1" applyFont="1" applyFill="1" applyBorder="1" applyAlignment="1">
      <alignment horizontal="center"/>
    </xf>
    <xf numFmtId="164" fontId="0" fillId="0" borderId="96" xfId="0" applyNumberFormat="1" applyBorder="1" applyAlignment="1">
      <alignment horizontal="center"/>
    </xf>
    <xf numFmtId="164" fontId="0" fillId="0" borderId="58" xfId="0" applyNumberFormat="1" applyBorder="1" applyAlignment="1">
      <alignment horizontal="center"/>
    </xf>
    <xf numFmtId="164" fontId="0" fillId="0" borderId="132" xfId="0" applyNumberFormat="1" applyBorder="1" applyAlignment="1">
      <alignment horizontal="center"/>
    </xf>
    <xf numFmtId="164" fontId="1" fillId="0" borderId="180" xfId="0" applyNumberFormat="1" applyFont="1" applyBorder="1" applyAlignment="1">
      <alignment horizontal="center" vertical="center"/>
    </xf>
    <xf numFmtId="164" fontId="1" fillId="19" borderId="50" xfId="0" applyNumberFormat="1" applyFont="1" applyFill="1" applyBorder="1" applyAlignment="1">
      <alignment horizontal="center" vertical="center"/>
    </xf>
    <xf numFmtId="164" fontId="1" fillId="19" borderId="131" xfId="0" applyNumberFormat="1" applyFont="1" applyFill="1" applyBorder="1" applyAlignment="1">
      <alignment horizontal="center" vertical="center"/>
    </xf>
    <xf numFmtId="164" fontId="1" fillId="19" borderId="93" xfId="0" applyNumberFormat="1" applyFont="1" applyFill="1" applyBorder="1" applyAlignment="1">
      <alignment horizontal="center" vertical="center"/>
    </xf>
    <xf numFmtId="164" fontId="1" fillId="29" borderId="180" xfId="0" applyNumberFormat="1" applyFont="1" applyFill="1" applyBorder="1" applyAlignment="1">
      <alignment horizontal="center" vertical="center"/>
    </xf>
    <xf numFmtId="164" fontId="1" fillId="29" borderId="194" xfId="0" applyNumberFormat="1" applyFont="1" applyFill="1" applyBorder="1" applyAlignment="1">
      <alignment horizontal="center" vertical="center"/>
    </xf>
    <xf numFmtId="2" fontId="4" fillId="0" borderId="0" xfId="2" applyNumberFormat="1" applyFont="1" applyAlignment="1">
      <alignment horizontal="center"/>
    </xf>
    <xf numFmtId="166" fontId="35" fillId="24" borderId="66" xfId="0" applyNumberFormat="1" applyFont="1" applyFill="1" applyBorder="1" applyAlignment="1">
      <alignment horizontal="center" vertical="center"/>
    </xf>
    <xf numFmtId="166" fontId="35" fillId="24" borderId="1" xfId="0" applyNumberFormat="1" applyFont="1" applyFill="1" applyBorder="1" applyAlignment="1">
      <alignment horizontal="center" vertical="center"/>
    </xf>
    <xf numFmtId="166" fontId="35" fillId="24" borderId="63" xfId="0" applyNumberFormat="1" applyFont="1" applyFill="1" applyBorder="1" applyAlignment="1">
      <alignment horizontal="center" vertical="center"/>
    </xf>
    <xf numFmtId="20" fontId="5" fillId="0" borderId="0" xfId="2" applyNumberFormat="1" applyFont="1" applyAlignment="1">
      <alignment horizontal="center"/>
    </xf>
    <xf numFmtId="20" fontId="4" fillId="0" borderId="0" xfId="2" applyNumberFormat="1" applyFont="1"/>
    <xf numFmtId="164" fontId="4" fillId="0" borderId="0" xfId="2" applyNumberFormat="1" applyFont="1" applyAlignment="1">
      <alignment horizontal="left"/>
    </xf>
    <xf numFmtId="2" fontId="4" fillId="0" borderId="0" xfId="2" applyNumberFormat="1" applyFont="1" applyAlignment="1">
      <alignment horizontal="left"/>
    </xf>
    <xf numFmtId="14" fontId="5" fillId="0" borderId="0" xfId="2" applyNumberFormat="1" applyFont="1" applyAlignment="1">
      <alignment horizontal="center"/>
    </xf>
    <xf numFmtId="14" fontId="5" fillId="2" borderId="0" xfId="2" applyNumberFormat="1" applyFont="1" applyFill="1" applyAlignment="1">
      <alignment horizontal="center" vertical="center"/>
    </xf>
    <xf numFmtId="14" fontId="5" fillId="2" borderId="45" xfId="2" applyNumberFormat="1" applyFont="1" applyFill="1" applyBorder="1" applyAlignment="1">
      <alignment horizontal="center" vertical="center"/>
    </xf>
    <xf numFmtId="164" fontId="35" fillId="0" borderId="3" xfId="0" applyNumberFormat="1" applyFont="1" applyBorder="1" applyAlignment="1">
      <alignment horizontal="center"/>
    </xf>
    <xf numFmtId="164" fontId="0" fillId="0" borderId="22" xfId="0" applyNumberFormat="1" applyBorder="1" applyAlignment="1">
      <alignment horizontal="center"/>
    </xf>
    <xf numFmtId="0" fontId="6" fillId="10" borderId="16" xfId="2" applyFont="1" applyFill="1" applyBorder="1" applyAlignment="1">
      <alignment horizontal="center"/>
    </xf>
    <xf numFmtId="0" fontId="9" fillId="0" borderId="74" xfId="2" applyFont="1" applyBorder="1" applyAlignment="1">
      <alignment horizontal="center"/>
    </xf>
    <xf numFmtId="2" fontId="0" fillId="7" borderId="3" xfId="0" applyNumberFormat="1" applyFill="1" applyBorder="1" applyAlignment="1">
      <alignment horizontal="center" vertical="center"/>
    </xf>
    <xf numFmtId="0" fontId="23" fillId="0" borderId="45" xfId="2" applyFont="1" applyBorder="1" applyAlignment="1">
      <alignment horizontal="center"/>
    </xf>
    <xf numFmtId="0" fontId="23" fillId="0" borderId="0" xfId="2" applyFont="1" applyAlignment="1">
      <alignment horizontal="center"/>
    </xf>
    <xf numFmtId="2" fontId="0" fillId="13" borderId="103" xfId="0" applyNumberFormat="1" applyFill="1" applyBorder="1" applyAlignment="1">
      <alignment horizontal="center" vertical="center"/>
    </xf>
    <xf numFmtId="0" fontId="5" fillId="0" borderId="0" xfId="2" applyFont="1"/>
    <xf numFmtId="0" fontId="81" fillId="0" borderId="0" xfId="2" applyFont="1"/>
    <xf numFmtId="0" fontId="7" fillId="4" borderId="0" xfId="2" applyFont="1" applyFill="1" applyAlignment="1">
      <alignment horizontal="center" vertical="center"/>
    </xf>
    <xf numFmtId="2" fontId="9" fillId="9" borderId="0" xfId="2" applyNumberFormat="1" applyFont="1" applyFill="1" applyAlignment="1">
      <alignment horizontal="center"/>
    </xf>
    <xf numFmtId="2" fontId="9" fillId="2" borderId="0" xfId="2" applyNumberFormat="1" applyFont="1" applyFill="1" applyAlignment="1">
      <alignment horizontal="center"/>
    </xf>
    <xf numFmtId="0" fontId="4" fillId="10" borderId="0" xfId="2" applyFont="1" applyFill="1" applyAlignment="1">
      <alignment horizontal="center"/>
    </xf>
    <xf numFmtId="0" fontId="9" fillId="10" borderId="0" xfId="2" applyFont="1" applyFill="1" applyAlignment="1">
      <alignment horizontal="center"/>
    </xf>
    <xf numFmtId="0" fontId="6" fillId="10" borderId="0" xfId="2" applyFont="1" applyFill="1" applyAlignment="1">
      <alignment horizontal="center"/>
    </xf>
    <xf numFmtId="2" fontId="9" fillId="0" borderId="0" xfId="2" applyNumberFormat="1" applyFont="1" applyAlignment="1">
      <alignment horizontal="center"/>
    </xf>
    <xf numFmtId="1" fontId="9" fillId="0" borderId="0" xfId="2" applyNumberFormat="1" applyFont="1" applyAlignment="1">
      <alignment horizontal="center"/>
    </xf>
    <xf numFmtId="165" fontId="8" fillId="0" borderId="0" xfId="2" applyNumberFormat="1" applyFont="1" applyAlignment="1">
      <alignment horizontal="center"/>
    </xf>
    <xf numFmtId="2" fontId="19" fillId="6" borderId="0" xfId="2" applyNumberFormat="1" applyFont="1" applyFill="1" applyAlignment="1">
      <alignment horizontal="center"/>
    </xf>
    <xf numFmtId="166" fontId="19" fillId="6" borderId="0" xfId="2" applyNumberFormat="1" applyFont="1" applyFill="1" applyAlignment="1">
      <alignment horizontal="center"/>
    </xf>
    <xf numFmtId="165" fontId="19" fillId="0" borderId="0" xfId="2" applyNumberFormat="1" applyFont="1" applyAlignment="1">
      <alignment horizontal="center"/>
    </xf>
    <xf numFmtId="164" fontId="13" fillId="6" borderId="0" xfId="2" applyNumberFormat="1" applyFont="1" applyFill="1" applyAlignment="1">
      <alignment horizontal="center"/>
    </xf>
    <xf numFmtId="164" fontId="9" fillId="0" borderId="0" xfId="2" applyNumberFormat="1" applyFont="1" applyAlignment="1">
      <alignment horizontal="center"/>
    </xf>
    <xf numFmtId="164" fontId="6" fillId="0" borderId="0" xfId="2" applyNumberFormat="1" applyFont="1" applyAlignment="1">
      <alignment horizontal="center"/>
    </xf>
    <xf numFmtId="0" fontId="6" fillId="11" borderId="0" xfId="2" applyFont="1" applyFill="1" applyAlignment="1">
      <alignment horizontal="center"/>
    </xf>
    <xf numFmtId="164" fontId="5" fillId="7" borderId="0" xfId="2" applyNumberFormat="1" applyFont="1" applyFill="1" applyAlignment="1">
      <alignment horizontal="center"/>
    </xf>
    <xf numFmtId="0" fontId="5" fillId="11" borderId="0" xfId="2" applyFont="1" applyFill="1" applyAlignment="1">
      <alignment horizontal="center"/>
    </xf>
    <xf numFmtId="0" fontId="45" fillId="0" borderId="0" xfId="2" applyFont="1"/>
    <xf numFmtId="0" fontId="82" fillId="0" borderId="0" xfId="2" applyFont="1"/>
    <xf numFmtId="2" fontId="5" fillId="7" borderId="40" xfId="2" applyNumberFormat="1" applyFont="1" applyFill="1" applyBorder="1" applyAlignment="1">
      <alignment horizontal="center"/>
    </xf>
    <xf numFmtId="164" fontId="4" fillId="0" borderId="0" xfId="2" applyNumberFormat="1" applyFont="1" applyAlignment="1">
      <alignment horizontal="right"/>
    </xf>
    <xf numFmtId="164" fontId="82" fillId="0" borderId="0" xfId="2" applyNumberFormat="1" applyFont="1" applyAlignment="1">
      <alignment horizontal="left"/>
    </xf>
    <xf numFmtId="166" fontId="5" fillId="7" borderId="40" xfId="2" applyNumberFormat="1" applyFont="1" applyFill="1" applyBorder="1" applyAlignment="1">
      <alignment horizontal="center"/>
    </xf>
    <xf numFmtId="16" fontId="4" fillId="0" borderId="0" xfId="2" quotePrefix="1" applyNumberFormat="1" applyFont="1" applyAlignment="1">
      <alignment horizontal="center"/>
    </xf>
    <xf numFmtId="20" fontId="4" fillId="0" borderId="0" xfId="2" quotePrefix="1" applyNumberFormat="1" applyFont="1" applyAlignment="1">
      <alignment horizontal="center"/>
    </xf>
    <xf numFmtId="16" fontId="5" fillId="0" borderId="0" xfId="2" quotePrefix="1" applyNumberFormat="1" applyFont="1" applyAlignment="1">
      <alignment horizontal="center"/>
    </xf>
    <xf numFmtId="0" fontId="0" fillId="0" borderId="151" xfId="0" applyBorder="1"/>
    <xf numFmtId="166" fontId="4" fillId="0" borderId="0" xfId="2" applyNumberFormat="1" applyFont="1"/>
    <xf numFmtId="1" fontId="1" fillId="0" borderId="1" xfId="0" applyNumberFormat="1" applyFont="1" applyBorder="1" applyAlignment="1">
      <alignment horizontal="center"/>
    </xf>
    <xf numFmtId="1" fontId="1" fillId="19" borderId="1" xfId="0" applyNumberFormat="1" applyFont="1" applyFill="1" applyBorder="1" applyAlignment="1">
      <alignment horizontal="center"/>
    </xf>
    <xf numFmtId="1" fontId="1" fillId="29" borderId="1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2" fontId="0" fillId="0" borderId="59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9" xfId="0" applyBorder="1" applyAlignment="1">
      <alignment horizontal="center" vertical="center"/>
    </xf>
    <xf numFmtId="2" fontId="0" fillId="17" borderId="91" xfId="0" applyNumberFormat="1" applyFill="1" applyBorder="1" applyAlignment="1">
      <alignment horizontal="center"/>
    </xf>
    <xf numFmtId="2" fontId="0" fillId="17" borderId="62" xfId="0" applyNumberFormat="1" applyFill="1" applyBorder="1" applyAlignment="1">
      <alignment horizontal="center"/>
    </xf>
    <xf numFmtId="0" fontId="2" fillId="0" borderId="0" xfId="2" applyFont="1" applyAlignment="1">
      <alignment horizontal="center"/>
    </xf>
    <xf numFmtId="0" fontId="11" fillId="0" borderId="12" xfId="2" applyFont="1" applyBorder="1" applyAlignment="1">
      <alignment horizontal="center" vertical="center"/>
    </xf>
    <xf numFmtId="0" fontId="11" fillId="0" borderId="13" xfId="2" applyFont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0" fontId="9" fillId="0" borderId="25" xfId="2" applyFont="1" applyBorder="1" applyAlignment="1">
      <alignment horizontal="center" vertical="center"/>
    </xf>
    <xf numFmtId="0" fontId="9" fillId="0" borderId="27" xfId="2" applyFont="1" applyBorder="1" applyAlignment="1">
      <alignment horizontal="center" vertical="center"/>
    </xf>
    <xf numFmtId="0" fontId="9" fillId="0" borderId="26" xfId="2" applyFont="1" applyBorder="1" applyAlignment="1">
      <alignment horizontal="center" vertical="center"/>
    </xf>
    <xf numFmtId="0" fontId="8" fillId="0" borderId="10" xfId="2" applyFont="1" applyBorder="1" applyAlignment="1">
      <alignment horizontal="left" vertical="center"/>
    </xf>
    <xf numFmtId="0" fontId="11" fillId="0" borderId="1" xfId="2" applyFont="1" applyBorder="1" applyAlignment="1">
      <alignment horizontal="center" vertical="center"/>
    </xf>
    <xf numFmtId="0" fontId="26" fillId="7" borderId="0" xfId="2" applyFont="1" applyFill="1" applyAlignment="1">
      <alignment horizontal="center"/>
    </xf>
    <xf numFmtId="0" fontId="8" fillId="0" borderId="14" xfId="2" applyFont="1" applyBorder="1" applyAlignment="1">
      <alignment horizontal="left" vertical="center"/>
    </xf>
    <xf numFmtId="0" fontId="8" fillId="0" borderId="15" xfId="2" applyFont="1" applyBorder="1" applyAlignment="1">
      <alignment horizontal="left" vertical="center"/>
    </xf>
    <xf numFmtId="0" fontId="8" fillId="0" borderId="7" xfId="2" applyFont="1" applyBorder="1" applyAlignment="1">
      <alignment horizontal="left" vertical="center"/>
    </xf>
    <xf numFmtId="0" fontId="11" fillId="5" borderId="12" xfId="2" applyFont="1" applyFill="1" applyBorder="1" applyAlignment="1">
      <alignment horizontal="center" vertical="center" wrapText="1"/>
    </xf>
    <xf numFmtId="0" fontId="11" fillId="5" borderId="13" xfId="2" applyFont="1" applyFill="1" applyBorder="1" applyAlignment="1">
      <alignment horizontal="center" vertical="center" wrapText="1"/>
    </xf>
    <xf numFmtId="0" fontId="22" fillId="6" borderId="0" xfId="2" applyFont="1" applyFill="1" applyAlignment="1">
      <alignment horizontal="left"/>
    </xf>
    <xf numFmtId="0" fontId="11" fillId="7" borderId="12" xfId="2" applyFont="1" applyFill="1" applyBorder="1" applyAlignment="1">
      <alignment horizontal="center" vertical="center" wrapText="1"/>
    </xf>
    <xf numFmtId="0" fontId="11" fillId="7" borderId="13" xfId="2" applyFont="1" applyFill="1" applyBorder="1" applyAlignment="1">
      <alignment horizontal="center" vertical="center"/>
    </xf>
    <xf numFmtId="0" fontId="11" fillId="7" borderId="8" xfId="2" applyFont="1" applyFill="1" applyBorder="1" applyAlignment="1">
      <alignment horizontal="center" vertical="center"/>
    </xf>
    <xf numFmtId="0" fontId="9" fillId="7" borderId="43" xfId="2" applyFont="1" applyFill="1" applyBorder="1" applyAlignment="1">
      <alignment horizontal="center" vertical="center"/>
    </xf>
    <xf numFmtId="0" fontId="9" fillId="7" borderId="44" xfId="2" applyFont="1" applyFill="1" applyBorder="1" applyAlignment="1">
      <alignment horizontal="center" vertical="center"/>
    </xf>
    <xf numFmtId="0" fontId="9" fillId="7" borderId="9" xfId="2" applyFont="1" applyFill="1" applyBorder="1" applyAlignment="1">
      <alignment horizontal="center" vertical="center"/>
    </xf>
    <xf numFmtId="0" fontId="9" fillId="0" borderId="28" xfId="2" applyFont="1" applyBorder="1" applyAlignment="1">
      <alignment horizontal="center" vertical="center"/>
    </xf>
    <xf numFmtId="0" fontId="11" fillId="0" borderId="12" xfId="2" applyFont="1" applyBorder="1" applyAlignment="1">
      <alignment horizontal="center" vertical="center" wrapText="1"/>
    </xf>
    <xf numFmtId="0" fontId="4" fillId="0" borderId="25" xfId="2" applyFont="1" applyBorder="1" applyAlignment="1">
      <alignment horizontal="center" vertical="center"/>
    </xf>
    <xf numFmtId="0" fontId="4" fillId="0" borderId="27" xfId="2" applyFont="1" applyBorder="1" applyAlignment="1">
      <alignment horizontal="center" vertical="center"/>
    </xf>
    <xf numFmtId="0" fontId="4" fillId="0" borderId="26" xfId="2" applyFont="1" applyBorder="1" applyAlignment="1">
      <alignment horizontal="center" vertical="center"/>
    </xf>
    <xf numFmtId="0" fontId="11" fillId="5" borderId="13" xfId="2" applyFont="1" applyFill="1" applyBorder="1" applyAlignment="1">
      <alignment horizontal="center" vertical="center"/>
    </xf>
    <xf numFmtId="0" fontId="11" fillId="5" borderId="8" xfId="2" applyFont="1" applyFill="1" applyBorder="1" applyAlignment="1">
      <alignment horizontal="center" vertical="center"/>
    </xf>
    <xf numFmtId="0" fontId="5" fillId="13" borderId="0" xfId="2" applyFont="1" applyFill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5" fillId="5" borderId="20" xfId="2" applyFont="1" applyFill="1" applyBorder="1" applyAlignment="1">
      <alignment horizontal="center" vertical="center"/>
    </xf>
    <xf numFmtId="0" fontId="5" fillId="5" borderId="13" xfId="2" applyFont="1" applyFill="1" applyBorder="1" applyAlignment="1">
      <alignment horizontal="center" vertical="center"/>
    </xf>
    <xf numFmtId="0" fontId="5" fillId="5" borderId="21" xfId="2" applyFont="1" applyFill="1" applyBorder="1" applyAlignment="1">
      <alignment horizontal="center" vertical="center"/>
    </xf>
    <xf numFmtId="0" fontId="4" fillId="0" borderId="20" xfId="2" applyFont="1" applyBorder="1" applyAlignment="1">
      <alignment horizontal="center" vertical="center"/>
    </xf>
    <xf numFmtId="0" fontId="4" fillId="0" borderId="13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54" xfId="0" applyFont="1" applyBorder="1" applyAlignment="1">
      <alignment horizontal="center"/>
    </xf>
    <xf numFmtId="0" fontId="1" fillId="0" borderId="130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166" fontId="1" fillId="0" borderId="54" xfId="0" applyNumberFormat="1" applyFont="1" applyBorder="1" applyAlignment="1">
      <alignment horizontal="center" vertical="center"/>
    </xf>
    <xf numFmtId="0" fontId="34" fillId="0" borderId="54" xfId="0" applyFont="1" applyBorder="1" applyAlignment="1">
      <alignment horizontal="center"/>
    </xf>
    <xf numFmtId="0" fontId="1" fillId="0" borderId="124" xfId="0" applyFont="1" applyBorder="1" applyAlignment="1">
      <alignment horizontal="center"/>
    </xf>
    <xf numFmtId="0" fontId="34" fillId="0" borderId="124" xfId="0" applyFont="1" applyBorder="1" applyAlignment="1">
      <alignment horizontal="center"/>
    </xf>
    <xf numFmtId="0" fontId="39" fillId="2" borderId="66" xfId="0" applyFont="1" applyFill="1" applyBorder="1" applyAlignment="1">
      <alignment horizontal="left"/>
    </xf>
    <xf numFmtId="0" fontId="39" fillId="2" borderId="60" xfId="0" applyFont="1" applyFill="1" applyBorder="1" applyAlignment="1">
      <alignment horizontal="left"/>
    </xf>
    <xf numFmtId="0" fontId="39" fillId="0" borderId="1" xfId="0" applyFont="1" applyBorder="1" applyAlignment="1">
      <alignment horizontal="left"/>
    </xf>
    <xf numFmtId="0" fontId="1" fillId="0" borderId="123" xfId="0" applyFont="1" applyBorder="1" applyAlignment="1">
      <alignment horizontal="center"/>
    </xf>
    <xf numFmtId="0" fontId="1" fillId="0" borderId="129" xfId="0" applyFont="1" applyBorder="1" applyAlignment="1">
      <alignment horizontal="center"/>
    </xf>
    <xf numFmtId="0" fontId="1" fillId="0" borderId="152" xfId="0" applyFont="1" applyBorder="1" applyAlignment="1">
      <alignment horizontal="center"/>
    </xf>
    <xf numFmtId="0" fontId="60" fillId="0" borderId="28" xfId="0" applyFont="1" applyBorder="1" applyAlignment="1">
      <alignment horizontal="center"/>
    </xf>
    <xf numFmtId="0" fontId="60" fillId="0" borderId="3" xfId="0" applyFont="1" applyBorder="1" applyAlignment="1">
      <alignment horizontal="center"/>
    </xf>
    <xf numFmtId="0" fontId="60" fillId="0" borderId="60" xfId="0" applyFont="1" applyBorder="1" applyAlignment="1">
      <alignment horizontal="center"/>
    </xf>
    <xf numFmtId="0" fontId="37" fillId="0" borderId="28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61" fillId="0" borderId="1" xfId="0" applyFont="1" applyBorder="1" applyAlignment="1">
      <alignment horizontal="left"/>
    </xf>
    <xf numFmtId="0" fontId="62" fillId="2" borderId="66" xfId="0" applyFont="1" applyFill="1" applyBorder="1" applyAlignment="1">
      <alignment horizontal="left"/>
    </xf>
    <xf numFmtId="0" fontId="62" fillId="2" borderId="60" xfId="0" applyFont="1" applyFill="1" applyBorder="1" applyAlignment="1">
      <alignment horizontal="left"/>
    </xf>
    <xf numFmtId="0" fontId="62" fillId="0" borderId="1" xfId="0" applyFont="1" applyBorder="1" applyAlignment="1">
      <alignment horizontal="left"/>
    </xf>
    <xf numFmtId="0" fontId="61" fillId="2" borderId="66" xfId="0" applyFont="1" applyFill="1" applyBorder="1" applyAlignment="1">
      <alignment horizontal="left"/>
    </xf>
    <xf numFmtId="0" fontId="61" fillId="2" borderId="60" xfId="0" applyFont="1" applyFill="1" applyBorder="1" applyAlignment="1">
      <alignment horizontal="left"/>
    </xf>
    <xf numFmtId="0" fontId="62" fillId="0" borderId="28" xfId="0" applyFont="1" applyBorder="1" applyAlignment="1">
      <alignment horizontal="center"/>
    </xf>
    <xf numFmtId="0" fontId="62" fillId="0" borderId="3" xfId="0" applyFont="1" applyBorder="1" applyAlignment="1">
      <alignment horizontal="center"/>
    </xf>
    <xf numFmtId="0" fontId="62" fillId="0" borderId="60" xfId="0" applyFont="1" applyBorder="1" applyAlignment="1">
      <alignment horizontal="center"/>
    </xf>
    <xf numFmtId="0" fontId="61" fillId="0" borderId="28" xfId="0" applyFont="1" applyBorder="1" applyAlignment="1">
      <alignment horizontal="center"/>
    </xf>
    <xf numFmtId="0" fontId="61" fillId="0" borderId="3" xfId="0" applyFont="1" applyBorder="1" applyAlignment="1">
      <alignment horizontal="center"/>
    </xf>
    <xf numFmtId="0" fontId="61" fillId="0" borderId="60" xfId="0" applyFont="1" applyBorder="1" applyAlignment="1">
      <alignment horizontal="center"/>
    </xf>
    <xf numFmtId="0" fontId="41" fillId="2" borderId="66" xfId="0" applyFont="1" applyFill="1" applyBorder="1" applyAlignment="1">
      <alignment horizontal="left"/>
    </xf>
    <xf numFmtId="0" fontId="41" fillId="2" borderId="60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1" fillId="0" borderId="28" xfId="0" applyFont="1" applyBorder="1" applyAlignment="1">
      <alignment horizontal="center"/>
    </xf>
    <xf numFmtId="0" fontId="41" fillId="0" borderId="3" xfId="0" applyFont="1" applyBorder="1" applyAlignment="1">
      <alignment horizontal="center"/>
    </xf>
    <xf numFmtId="0" fontId="41" fillId="0" borderId="60" xfId="0" applyFont="1" applyBorder="1" applyAlignment="1">
      <alignment horizontal="center"/>
    </xf>
    <xf numFmtId="166" fontId="0" fillId="0" borderId="8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6" fontId="1" fillId="0" borderId="1" xfId="0" applyNumberFormat="1" applyFont="1" applyBorder="1" applyAlignment="1">
      <alignment horizontal="center" vertical="center"/>
    </xf>
    <xf numFmtId="0" fontId="1" fillId="0" borderId="50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67" fillId="0" borderId="28" xfId="0" applyFont="1" applyBorder="1" applyAlignment="1">
      <alignment horizontal="left"/>
    </xf>
    <xf numFmtId="0" fontId="67" fillId="0" borderId="60" xfId="0" applyFont="1" applyBorder="1" applyAlignment="1">
      <alignment horizontal="left"/>
    </xf>
    <xf numFmtId="0" fontId="69" fillId="0" borderId="28" xfId="0" applyFont="1" applyBorder="1" applyAlignment="1">
      <alignment horizontal="left"/>
    </xf>
    <xf numFmtId="0" fontId="69" fillId="0" borderId="60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2" borderId="55" xfId="0" applyFont="1" applyFill="1" applyBorder="1" applyAlignment="1">
      <alignment horizontal="center"/>
    </xf>
    <xf numFmtId="0" fontId="1" fillId="2" borderId="54" xfId="0" applyFont="1" applyFill="1" applyBorder="1" applyAlignment="1">
      <alignment horizontal="center"/>
    </xf>
    <xf numFmtId="0" fontId="39" fillId="0" borderId="66" xfId="0" applyFont="1" applyBorder="1" applyAlignment="1">
      <alignment horizontal="left"/>
    </xf>
    <xf numFmtId="0" fontId="39" fillId="0" borderId="60" xfId="0" applyFont="1" applyBorder="1" applyAlignment="1">
      <alignment horizontal="left"/>
    </xf>
    <xf numFmtId="0" fontId="37" fillId="0" borderId="66" xfId="0" applyFont="1" applyBorder="1" applyAlignment="1">
      <alignment horizontal="left"/>
    </xf>
    <xf numFmtId="0" fontId="37" fillId="0" borderId="60" xfId="0" applyFont="1" applyBorder="1" applyAlignment="1">
      <alignment horizontal="left"/>
    </xf>
    <xf numFmtId="0" fontId="64" fillId="0" borderId="66" xfId="0" applyFont="1" applyBorder="1" applyAlignment="1">
      <alignment horizontal="left"/>
    </xf>
    <xf numFmtId="0" fontId="64" fillId="0" borderId="60" xfId="0" applyFont="1" applyBorder="1" applyAlignment="1">
      <alignment horizontal="left"/>
    </xf>
    <xf numFmtId="0" fontId="64" fillId="0" borderId="28" xfId="0" applyFont="1" applyBorder="1" applyAlignment="1">
      <alignment horizontal="left"/>
    </xf>
    <xf numFmtId="0" fontId="22" fillId="6" borderId="0" xfId="2" applyFont="1" applyFill="1" applyAlignment="1">
      <alignment horizontal="center"/>
    </xf>
    <xf numFmtId="0" fontId="46" fillId="2" borderId="0" xfId="0" applyFont="1" applyFill="1" applyAlignment="1">
      <alignment horizontal="center"/>
    </xf>
    <xf numFmtId="0" fontId="49" fillId="5" borderId="87" xfId="0" applyFont="1" applyFill="1" applyBorder="1" applyAlignment="1">
      <alignment horizontal="center"/>
    </xf>
    <xf numFmtId="0" fontId="49" fillId="5" borderId="75" xfId="0" applyFont="1" applyFill="1" applyBorder="1" applyAlignment="1">
      <alignment horizontal="center"/>
    </xf>
    <xf numFmtId="164" fontId="57" fillId="4" borderId="88" xfId="0" applyNumberFormat="1" applyFont="1" applyFill="1" applyBorder="1" applyAlignment="1">
      <alignment horizontal="center"/>
    </xf>
    <xf numFmtId="164" fontId="57" fillId="4" borderId="41" xfId="0" applyNumberFormat="1" applyFont="1" applyFill="1" applyBorder="1" applyAlignment="1">
      <alignment horizontal="center"/>
    </xf>
    <xf numFmtId="0" fontId="47" fillId="2" borderId="71" xfId="0" applyFont="1" applyFill="1" applyBorder="1" applyAlignment="1">
      <alignment horizontal="left" vertical="center"/>
    </xf>
    <xf numFmtId="0" fontId="47" fillId="2" borderId="10" xfId="0" applyFont="1" applyFill="1" applyBorder="1" applyAlignment="1">
      <alignment horizontal="left" vertical="center"/>
    </xf>
    <xf numFmtId="0" fontId="47" fillId="2" borderId="72" xfId="0" applyFont="1" applyFill="1" applyBorder="1" applyAlignment="1">
      <alignment horizontal="center" vertical="center"/>
    </xf>
    <xf numFmtId="0" fontId="47" fillId="2" borderId="1" xfId="0" applyFont="1" applyFill="1" applyBorder="1" applyAlignment="1">
      <alignment horizontal="center" vertical="center"/>
    </xf>
    <xf numFmtId="0" fontId="47" fillId="2" borderId="17" xfId="0" applyFont="1" applyFill="1" applyBorder="1" applyAlignment="1">
      <alignment horizontal="left" vertical="center"/>
    </xf>
    <xf numFmtId="0" fontId="56" fillId="24" borderId="71" xfId="0" applyFont="1" applyFill="1" applyBorder="1" applyAlignment="1">
      <alignment horizontal="center"/>
    </xf>
    <xf numFmtId="0" fontId="56" fillId="24" borderId="72" xfId="0" applyFont="1" applyFill="1" applyBorder="1" applyAlignment="1">
      <alignment horizontal="center"/>
    </xf>
    <xf numFmtId="0" fontId="47" fillId="2" borderId="23" xfId="0" applyFont="1" applyFill="1" applyBorder="1" applyAlignment="1">
      <alignment horizontal="left" vertical="center"/>
    </xf>
    <xf numFmtId="0" fontId="47" fillId="2" borderId="90" xfId="0" applyFont="1" applyFill="1" applyBorder="1" applyAlignment="1">
      <alignment horizontal="left" vertical="center"/>
    </xf>
    <xf numFmtId="0" fontId="47" fillId="2" borderId="18" xfId="0" applyFont="1" applyFill="1" applyBorder="1" applyAlignment="1">
      <alignment horizontal="center" vertical="center"/>
    </xf>
    <xf numFmtId="0" fontId="47" fillId="2" borderId="20" xfId="0" applyFont="1" applyFill="1" applyBorder="1" applyAlignment="1">
      <alignment horizontal="center" vertical="center"/>
    </xf>
    <xf numFmtId="0" fontId="47" fillId="2" borderId="8" xfId="0" applyFont="1" applyFill="1" applyBorder="1" applyAlignment="1">
      <alignment horizontal="center" vertical="center"/>
    </xf>
    <xf numFmtId="0" fontId="47" fillId="25" borderId="72" xfId="0" applyFont="1" applyFill="1" applyBorder="1" applyAlignment="1">
      <alignment horizontal="center" vertical="center"/>
    </xf>
    <xf numFmtId="0" fontId="47" fillId="25" borderId="18" xfId="0" applyFont="1" applyFill="1" applyBorder="1" applyAlignment="1">
      <alignment horizontal="center" vertical="center"/>
    </xf>
    <xf numFmtId="0" fontId="47" fillId="5" borderId="20" xfId="0" applyFont="1" applyFill="1" applyBorder="1" applyAlignment="1">
      <alignment horizontal="center" vertical="center"/>
    </xf>
    <xf numFmtId="0" fontId="47" fillId="5" borderId="13" xfId="0" applyFont="1" applyFill="1" applyBorder="1" applyAlignment="1">
      <alignment horizontal="center" vertical="center"/>
    </xf>
    <xf numFmtId="0" fontId="47" fillId="5" borderId="21" xfId="0" applyFont="1" applyFill="1" applyBorder="1" applyAlignment="1">
      <alignment horizontal="center" vertical="center"/>
    </xf>
    <xf numFmtId="0" fontId="47" fillId="2" borderId="13" xfId="0" applyFont="1" applyFill="1" applyBorder="1" applyAlignment="1">
      <alignment horizontal="center" vertical="center"/>
    </xf>
    <xf numFmtId="0" fontId="47" fillId="2" borderId="21" xfId="0" applyFont="1" applyFill="1" applyBorder="1" applyAlignment="1">
      <alignment horizontal="center" vertical="center"/>
    </xf>
    <xf numFmtId="0" fontId="47" fillId="25" borderId="8" xfId="0" applyFont="1" applyFill="1" applyBorder="1" applyAlignment="1">
      <alignment horizontal="center" vertical="center" wrapText="1"/>
    </xf>
    <xf numFmtId="0" fontId="47" fillId="25" borderId="1" xfId="0" applyFont="1" applyFill="1" applyBorder="1" applyAlignment="1">
      <alignment horizontal="center" vertical="center"/>
    </xf>
    <xf numFmtId="0" fontId="47" fillId="25" borderId="12" xfId="0" applyFont="1" applyFill="1" applyBorder="1" applyAlignment="1">
      <alignment horizontal="center" vertical="center"/>
    </xf>
    <xf numFmtId="0" fontId="47" fillId="2" borderId="12" xfId="0" applyFont="1" applyFill="1" applyBorder="1" applyAlignment="1">
      <alignment horizontal="center" vertical="center"/>
    </xf>
    <xf numFmtId="0" fontId="47" fillId="25" borderId="20" xfId="0" applyFont="1" applyFill="1" applyBorder="1" applyAlignment="1">
      <alignment horizontal="center" vertical="center" wrapText="1"/>
    </xf>
    <xf numFmtId="0" fontId="47" fillId="25" borderId="13" xfId="0" applyFont="1" applyFill="1" applyBorder="1" applyAlignment="1">
      <alignment horizontal="center" vertical="center" wrapText="1"/>
    </xf>
    <xf numFmtId="0" fontId="47" fillId="25" borderId="2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67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77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32" xfId="0" applyBorder="1" applyAlignment="1">
      <alignment horizontal="center"/>
    </xf>
    <xf numFmtId="0" fontId="1" fillId="0" borderId="0" xfId="0" applyFont="1" applyAlignment="1">
      <alignment horizontal="center"/>
    </xf>
    <xf numFmtId="0" fontId="23" fillId="0" borderId="0" xfId="2" applyFont="1" applyAlignment="1">
      <alignment horizontal="center" vertical="center"/>
    </xf>
    <xf numFmtId="164" fontId="51" fillId="25" borderId="72" xfId="0" applyNumberFormat="1" applyFont="1" applyFill="1" applyBorder="1" applyAlignment="1">
      <alignment horizontal="center"/>
    </xf>
    <xf numFmtId="164" fontId="51" fillId="25" borderId="1" xfId="0" applyNumberFormat="1" applyFont="1" applyFill="1" applyBorder="1" applyAlignment="1">
      <alignment horizontal="center"/>
    </xf>
    <xf numFmtId="164" fontId="51" fillId="25" borderId="18" xfId="0" applyNumberFormat="1" applyFont="1" applyFill="1" applyBorder="1" applyAlignment="1">
      <alignment horizontal="center"/>
    </xf>
  </cellXfs>
  <cellStyles count="6">
    <cellStyle name="Comma" xfId="4" builtinId="3"/>
    <cellStyle name="Normal" xfId="0" builtinId="0"/>
    <cellStyle name="Normal 2" xfId="2" xr:uid="{D517E60C-4C17-4E66-9FA5-EA08CA629E08}"/>
    <cellStyle name="Normal 2 2" xfId="5" xr:uid="{E69EAA37-3CA2-4995-B581-54791C21AE70}"/>
    <cellStyle name="Normal 3" xfId="1" xr:uid="{D8E85A78-EDBD-48AD-9C93-4B088D8D4018}"/>
    <cellStyle name="Normal 9 13" xfId="3" xr:uid="{46EC1CF9-A551-4434-AAE6-AAA68393E9AF}"/>
  </cellStyles>
  <dxfs count="0"/>
  <tableStyles count="0" defaultTableStyle="TableStyleMedium2" defaultPivotStyle="PivotStyleLight16"/>
  <colors>
    <mruColors>
      <color rgb="FFFF5050"/>
      <color rgb="FF3333FF"/>
      <color rgb="FFFFFFCC"/>
      <color rgb="FF00FF00"/>
      <color rgb="FF2D0D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47" Type="http://schemas.microsoft.com/office/2017/06/relationships/rdRichValue" Target="richData/rdrichvalue.xml"/><Relationship Id="rId50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52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48" Type="http://schemas.microsoft.com/office/2017/06/relationships/rdRichValueStructure" Target="richData/rdrichvaluestructure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eetMetadata" Target="metadata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3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9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1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3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5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6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8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9.xml"/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1.xml"/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3.xml"/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5.xml"/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6.xml"/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9.xml"/></Relationships>
</file>

<file path=xl/charts/_rels/chart4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0.xml"/><Relationship Id="rId1" Type="http://schemas.openxmlformats.org/officeDocument/2006/relationships/image" Target="../media/image4.png"/></Relationships>
</file>

<file path=xl/charts/_rels/chart46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1.xml"/><Relationship Id="rId1" Type="http://schemas.openxmlformats.org/officeDocument/2006/relationships/image" Target="../media/image4.png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8.xml"/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9.xml"/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0.xml"/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1.xml"/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7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3.xml"/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7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5.xml"/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8.xml"/><Relationship Id="rId1" Type="http://schemas.openxmlformats.org/officeDocument/2006/relationships/image" Target="../media/image4.png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Cracking Conversion</a:t>
            </a:r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395888192836469E-2"/>
          <c:y val="0.16147651993425718"/>
          <c:w val="0.68738926103085418"/>
          <c:h val="0.66985331683037952"/>
        </c:manualLayout>
      </c:layout>
      <c:scatterChart>
        <c:scatterStyle val="lineMarker"/>
        <c:varyColors val="0"/>
        <c:ser>
          <c:idx val="5"/>
          <c:order val="5"/>
          <c:tx>
            <c:v>Aging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95F1-4B01-9EF9-507185DD911A}"/>
            </c:ext>
          </c:extLst>
        </c:ser>
        <c:ser>
          <c:idx val="10"/>
          <c:order val="11"/>
          <c:tx>
            <c:v>TOP Acceptance'26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3333FF"/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3.5720229040733728E-2"/>
                  <c:y val="4.0408575597710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4A-4D1C-A113-9719D08F21C8}"/>
                </c:ext>
              </c:extLst>
            </c:dLbl>
            <c:dLbl>
              <c:idx val="1"/>
              <c:layout>
                <c:manualLayout>
                  <c:x val="-2.9766857533944764E-2"/>
                  <c:y val="-6.0612863396565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80F-4331-AA3A-7BE55EFC78C3}"/>
                </c:ext>
              </c:extLst>
            </c:dLbl>
            <c:dLbl>
              <c:idx val="2"/>
              <c:layout>
                <c:manualLayout>
                  <c:x val="-2.6724535562264611E-2"/>
                  <c:y val="4.04085755977100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500-4051-A755-29E7991B0CEF}"/>
                </c:ext>
              </c:extLst>
            </c:dLbl>
            <c:dLbl>
              <c:idx val="3"/>
              <c:layout>
                <c:manualLayout>
                  <c:x val="8.9450845762442267E-3"/>
                  <c:y val="5.1633179930407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B4A-4D1C-A113-9719D08F21C8}"/>
                </c:ext>
              </c:extLst>
            </c:dLbl>
            <c:dLbl>
              <c:idx val="4"/>
              <c:layout>
                <c:manualLayout>
                  <c:x val="-7.006805359793325E-2"/>
                  <c:y val="2.46941295319339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993-4F31-B337-F4F06B399F03}"/>
                </c:ext>
              </c:extLst>
            </c:dLbl>
            <c:dLbl>
              <c:idx val="5"/>
              <c:layout>
                <c:manualLayout>
                  <c:x val="-3.1349540254401162E-2"/>
                  <c:y val="4.48984173307890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993-4F31-B337-F4F06B399F03}"/>
                </c:ext>
              </c:extLst>
            </c:dLbl>
            <c:dLbl>
              <c:idx val="6"/>
              <c:layout>
                <c:manualLayout>
                  <c:x val="-2.8341798527595285E-2"/>
                  <c:y val="6.51027051296441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911-4C13-B5CD-7AE250A0553E}"/>
                </c:ext>
              </c:extLst>
            </c:dLbl>
            <c:dLbl>
              <c:idx val="7"/>
              <c:layout>
                <c:manualLayout>
                  <c:x val="-2.2183106019233664E-2"/>
                  <c:y val="9.2394579311551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111-4FED-BA42-3E1046798EAD}"/>
                </c:ext>
              </c:extLst>
            </c:dLbl>
            <c:dLbl>
              <c:idx val="8"/>
              <c:layout>
                <c:manualLayout>
                  <c:x val="-2.3897864520952876E-2"/>
                  <c:y val="0.114490964193512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069-4C3C-BFED-88C1ED0C0625}"/>
                </c:ext>
              </c:extLst>
            </c:dLbl>
            <c:dLbl>
              <c:idx val="9"/>
              <c:layout>
                <c:manualLayout>
                  <c:x val="-2.8392440715630757E-2"/>
                  <c:y val="7.07175850043513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85-4242-AF6D-868E79F2AF52}"/>
                </c:ext>
              </c:extLst>
            </c:dLbl>
            <c:dLbl>
              <c:idx val="10"/>
              <c:layout>
                <c:manualLayout>
                  <c:x val="-1.3339895199029851E-2"/>
                  <c:y val="6.7347625996183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959-4FA0-AC00-8867067186A6}"/>
                </c:ext>
              </c:extLst>
            </c:dLbl>
            <c:dLbl>
              <c:idx val="11"/>
              <c:layout>
                <c:manualLayout>
                  <c:x val="-8.8844023822790448E-3"/>
                  <c:y val="3.14288921315523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D31-49C6-AEF1-840983275E7F}"/>
                </c:ext>
              </c:extLst>
            </c:dLbl>
            <c:dLbl>
              <c:idx val="12"/>
              <c:layout>
                <c:manualLayout>
                  <c:x val="1.0365136112658832E-2"/>
                  <c:y val="2.02042877988550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E93-4E1E-BDDD-3C1EDE6E483F}"/>
                </c:ext>
              </c:extLst>
            </c:dLbl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('Master Template'!$F$156:$P$156,'Master Template'!$Q$157:$AA$157)</c:f>
              <c:numCache>
                <c:formatCode>0.00</c:formatCode>
                <c:ptCount val="22"/>
                <c:pt idx="0">
                  <c:v>42.185727696615224</c:v>
                </c:pt>
                <c:pt idx="1">
                  <c:v>43.348591507915046</c:v>
                </c:pt>
                <c:pt idx="2">
                  <c:v>40.23733372864649</c:v>
                </c:pt>
                <c:pt idx="3">
                  <c:v>42.439858919770643</c:v>
                </c:pt>
                <c:pt idx="4">
                  <c:v>75.495532663000404</c:v>
                </c:pt>
                <c:pt idx="5">
                  <c:v>78.204495724447966</c:v>
                </c:pt>
                <c:pt idx="6">
                  <c:v>76.489027330311615</c:v>
                </c:pt>
                <c:pt idx="7">
                  <c:v>75.221581231638794</c:v>
                </c:pt>
                <c:pt idx="8">
                  <c:v>73.55200533003125</c:v>
                </c:pt>
                <c:pt idx="9">
                  <c:v>74.035778185959884</c:v>
                </c:pt>
                <c:pt idx="10">
                  <c:v>74.568120457965094</c:v>
                </c:pt>
                <c:pt idx="11">
                  <c:v>74.413332721959563</c:v>
                </c:pt>
                <c:pt idx="12">
                  <c:v>74.752923352810711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A7-4908-994D-229C5B05D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Template'!$C$162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Template'!$F$162:$U$162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45.4</c:v>
                      </c:pt>
                      <c:pt idx="1">
                        <c:v>45</c:v>
                      </c:pt>
                      <c:pt idx="2">
                        <c:v>45.1</c:v>
                      </c:pt>
                      <c:pt idx="3">
                        <c:v>45.8</c:v>
                      </c:pt>
                      <c:pt idx="4">
                        <c:v>81.8</c:v>
                      </c:pt>
                      <c:pt idx="5">
                        <c:v>80.2</c:v>
                      </c:pt>
                      <c:pt idx="6">
                        <c:v>79.8</c:v>
                      </c:pt>
                      <c:pt idx="7">
                        <c:v>78.5</c:v>
                      </c:pt>
                      <c:pt idx="8">
                        <c:v>76.8</c:v>
                      </c:pt>
                      <c:pt idx="9">
                        <c:v>76.400000000000006</c:v>
                      </c:pt>
                      <c:pt idx="10">
                        <c:v>77.400000000000006</c:v>
                      </c:pt>
                      <c:pt idx="11">
                        <c:v>76.86666666666666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29C3-4F2C-AAAD-DED3EF7217B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Template'!$F$158:$O$158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44</c:v>
                      </c:pt>
                      <c:pt idx="1">
                        <c:v>41.5</c:v>
                      </c:pt>
                      <c:pt idx="2">
                        <c:v>40.5</c:v>
                      </c:pt>
                      <c:pt idx="3">
                        <c:v>39.9</c:v>
                      </c:pt>
                      <c:pt idx="4">
                        <c:v>68</c:v>
                      </c:pt>
                      <c:pt idx="5">
                        <c:v>67.5</c:v>
                      </c:pt>
                      <c:pt idx="6">
                        <c:v>67.8</c:v>
                      </c:pt>
                      <c:pt idx="7">
                        <c:v>68.2</c:v>
                      </c:pt>
                      <c:pt idx="8">
                        <c:v>68</c:v>
                      </c:pt>
                      <c:pt idx="9">
                        <c:v>68.2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9C3-4F2C-AAAD-DED3EF7217B8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Lbl>
                    <c:idx val="9"/>
                    <c:layout>
                      <c:manualLayout>
                        <c:x val="-2.9589273039889612E-2"/>
                        <c:y val="4.0408575597710182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4A5A-4710-919F-69CA4768A9A2}"/>
                      </c:ext>
                    </c:extLst>
                  </c:dLbl>
                  <c:dLbl>
                    <c:idx val="10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5CE4-4958-830F-514587412F98}"/>
                      </c:ext>
                    </c:extLst>
                  </c:dLbl>
                  <c:dLbl>
                    <c:idx val="11"/>
                    <c:layout>
                      <c:manualLayout>
                        <c:x val="1.4900961361812824E-2"/>
                        <c:y val="4.4898417330789087E-2"/>
                      </c:manualLayout>
                    </c:layout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noAutofit/>
                      </a:bodyPr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75000"/>
                                <a:lumOff val="2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5CE4-4958-830F-514587412F98}"/>
                      </c:ext>
                    </c:extLst>
                  </c:dLbl>
                  <c:dLbl>
                    <c:idx val="12"/>
                    <c:layout>
                      <c:manualLayout>
                        <c:x val="1.0435932005618209E-2"/>
                        <c:y val="1.3469525199236767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812E-4943-B226-4FC692BC2AE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Template'!$F$156:$AG$156</c15:sqref>
                        </c15:formulaRef>
                      </c:ext>
                    </c:extLst>
                    <c:numCache>
                      <c:formatCode>0.00</c:formatCode>
                      <c:ptCount val="22"/>
                      <c:pt idx="0">
                        <c:v>42.185727696615224</c:v>
                      </c:pt>
                      <c:pt idx="1">
                        <c:v>43.348591507915046</c:v>
                      </c:pt>
                      <c:pt idx="2">
                        <c:v>40.23733372864649</c:v>
                      </c:pt>
                      <c:pt idx="3">
                        <c:v>42.439858919770643</c:v>
                      </c:pt>
                      <c:pt idx="4">
                        <c:v>75.495532663000404</c:v>
                      </c:pt>
                      <c:pt idx="5">
                        <c:v>78.204495724447966</c:v>
                      </c:pt>
                      <c:pt idx="6">
                        <c:v>76.489027330311615</c:v>
                      </c:pt>
                      <c:pt idx="7">
                        <c:v>75.221581231638794</c:v>
                      </c:pt>
                      <c:pt idx="8">
                        <c:v>73.55200533003125</c:v>
                      </c:pt>
                      <c:pt idx="9">
                        <c:v>74.035778185959884</c:v>
                      </c:pt>
                      <c:pt idx="10">
                        <c:v>74.568120457965094</c:v>
                      </c:pt>
                      <c:pt idx="11">
                        <c:v>74.691740966697267</c:v>
                      </c:pt>
                      <c:pt idx="12">
                        <c:v>75.062589607832905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29C3-4F2C-AAAD-DED3EF7217B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Template'!$G$163:$L$163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</c:v>
                      </c:pt>
                      <c:pt idx="1">
                        <c:v>39.1</c:v>
                      </c:pt>
                      <c:pt idx="2">
                        <c:v>39.799999999999997</c:v>
                      </c:pt>
                      <c:pt idx="3">
                        <c:v>75.8</c:v>
                      </c:pt>
                      <c:pt idx="4">
                        <c:v>74.2</c:v>
                      </c:pt>
                      <c:pt idx="5">
                        <c:v>73.8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9C3-4F2C-AAAD-DED3EF7217B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5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Template'!$F$163:$U$163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39.4</c:v>
                      </c:pt>
                      <c:pt idx="1">
                        <c:v>39</c:v>
                      </c:pt>
                      <c:pt idx="2">
                        <c:v>39.1</c:v>
                      </c:pt>
                      <c:pt idx="3">
                        <c:v>39.799999999999997</c:v>
                      </c:pt>
                      <c:pt idx="4">
                        <c:v>75.8</c:v>
                      </c:pt>
                      <c:pt idx="5">
                        <c:v>74.2</c:v>
                      </c:pt>
                      <c:pt idx="6">
                        <c:v>73.8</c:v>
                      </c:pt>
                      <c:pt idx="7">
                        <c:v>72.5</c:v>
                      </c:pt>
                      <c:pt idx="8">
                        <c:v>70.8</c:v>
                      </c:pt>
                      <c:pt idx="9">
                        <c:v>70.400000000000006</c:v>
                      </c:pt>
                      <c:pt idx="10">
                        <c:v>71.400000000000006</c:v>
                      </c:pt>
                      <c:pt idx="11">
                        <c:v>70.86666666666666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760A-4E06-B7F8-60C3D0E76273}"/>
                  </c:ext>
                </c:extLst>
              </c15:ser>
            </c15:filteredScatterSeries>
            <c15:filteredScatterSeries>
              <c15:ser>
                <c:idx val="7"/>
                <c:order val="6"/>
                <c:tx>
                  <c:v>TOP Repro+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 (repro+)'!$F$140:$V$140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4ABF-424D-A557-A4E3582C5C07}"/>
                  </c:ext>
                </c:extLst>
              </c15:ser>
            </c15:filteredScatterSeries>
            <c15:filteredScatterSeries>
              <c15:ser>
                <c:idx val="8"/>
                <c:order val="7"/>
                <c:tx>
                  <c:v>TOP Repro-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9"/>
                    <c:layout>
                      <c:manualLayout>
                        <c:x val="0"/>
                        <c:y val="-2.3158139274508379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3444-4B54-81E5-72F0C06AB5BA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 (repro-)'!$F$140:$V$140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4ABF-424D-A557-A4E3582C5C07}"/>
                  </c:ext>
                </c:extLst>
              </c15:ser>
            </c15:filteredScatterSeries>
            <c15:filteredScatterSeries>
              <c15:ser>
                <c:idx val="9"/>
                <c:order val="8"/>
                <c:tx>
                  <c:v>MEBU25001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'LSHS Master Template'!$F$140:$O$140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38.617032080432409</c:v>
                      </c:pt>
                      <c:pt idx="1">
                        <c:v>36.960459791175097</c:v>
                      </c:pt>
                      <c:pt idx="2">
                        <c:v>39.346283596715722</c:v>
                      </c:pt>
                      <c:pt idx="3">
                        <c:v>39.106101437805535</c:v>
                      </c:pt>
                      <c:pt idx="4">
                        <c:v>69.515548902270027</c:v>
                      </c:pt>
                      <c:pt idx="5">
                        <c:v>64.603212456070878</c:v>
                      </c:pt>
                      <c:pt idx="6">
                        <c:v>66.089600096537808</c:v>
                      </c:pt>
                      <c:pt idx="7">
                        <c:v>65.198799755569965</c:v>
                      </c:pt>
                      <c:pt idx="8">
                        <c:v>63.739784646471811</c:v>
                      </c:pt>
                      <c:pt idx="9">
                        <c:v>63.158939021148072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79B2-49AD-AD44-5F0EDF3A6D23}"/>
                  </c:ext>
                </c:extLst>
              </c15:ser>
            </c15:filteredScatterSeries>
            <c15:filteredScatterSeries>
              <c15:ser>
                <c:idx val="11"/>
                <c:order val="9"/>
                <c:tx>
                  <c:v>ART Acceptance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1"/>
                    <c:layout>
                      <c:manualLayout>
                        <c:x val="-3.2635108666259294E-2"/>
                        <c:y val="5.6123021663486365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680F-4331-AA3A-7BE55EFC78C3}"/>
                      </c:ext>
                    </c:extLst>
                  </c:dLbl>
                  <c:dLbl>
                    <c:idx val="2"/>
                    <c:layout>
                      <c:manualLayout>
                        <c:x val="-1.04048914457329E-2"/>
                        <c:y val="-7.6327309462341453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F18B-46F6-A9EE-4EF6B381A7CC}"/>
                      </c:ext>
                    </c:extLst>
                  </c:dLbl>
                  <c:dLbl>
                    <c:idx val="5"/>
                    <c:layout>
                      <c:manualLayout>
                        <c:x val="-2.9704482058358406E-2"/>
                        <c:y val="-6.9592546862723093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3-2069-4C3C-BFED-88C1ED0C0625}"/>
                      </c:ext>
                    </c:extLst>
                  </c:dLbl>
                  <c:dLbl>
                    <c:idx val="6"/>
                    <c:layout>
                      <c:manualLayout>
                        <c:x val="-1.9289330137995237E-2"/>
                        <c:y val="-6.734762599618363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2-2069-4C3C-BFED-88C1ED0C0625}"/>
                      </c:ext>
                    </c:extLst>
                  </c:dLbl>
                  <c:dLbl>
                    <c:idx val="7"/>
                    <c:layout>
                      <c:manualLayout>
                        <c:x val="-1.4873257425329967E-3"/>
                        <c:y val="-6.5102705129644181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3637-4F09-972C-807FD138821C}"/>
                      </c:ext>
                    </c:extLst>
                  </c:dLbl>
                  <c:dLbl>
                    <c:idx val="8"/>
                    <c:layout>
                      <c:manualLayout>
                        <c:x val="-1.7854039314044366E-2"/>
                        <c:y val="-4.938825906386799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2069-4C3C-BFED-88C1ED0C0625}"/>
                      </c:ext>
                    </c:extLst>
                  </c:dLbl>
                  <c:dLbl>
                    <c:idx val="9"/>
                    <c:layout>
                      <c:manualLayout>
                        <c:x val="-1.6298168745611123E-2"/>
                        <c:y val="-7.2563266554302827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9A85-4242-AF6D-868E79F2AF52}"/>
                      </c:ext>
                    </c:extLst>
                  </c:dLbl>
                  <c:dLbl>
                    <c:idx val="10"/>
                    <c:layout>
                      <c:manualLayout>
                        <c:x val="4.548982935889314E-3"/>
                        <c:y val="-4.7143338197328542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8959-4FA0-AC00-8867067186A6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errBars>
                  <c:errDir val="y"/>
                  <c:errBarType val="both"/>
                  <c:errValType val="fixedVal"/>
                  <c:noEndCap val="0"/>
                  <c:val val="3"/>
                  <c:spPr>
                    <a:noFill/>
                    <a:ln w="9525" cap="flat" cmpd="sng" algn="ctr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round/>
                    </a:ln>
                    <a:effectLst/>
                  </c:spPr>
                </c:errBar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Template'!$F$6:$P$6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Template'!$F$160:$P$160</c15:sqref>
                        </c15:formulaRef>
                      </c:ext>
                    </c:extLst>
                    <c:numCache>
                      <c:formatCode>0.00</c:formatCode>
                      <c:ptCount val="11"/>
                      <c:pt idx="0">
                        <c:v>42.4</c:v>
                      </c:pt>
                      <c:pt idx="1">
                        <c:v>42</c:v>
                      </c:pt>
                      <c:pt idx="2">
                        <c:v>42.1</c:v>
                      </c:pt>
                      <c:pt idx="3">
                        <c:v>42.8</c:v>
                      </c:pt>
                      <c:pt idx="4">
                        <c:v>78.8</c:v>
                      </c:pt>
                      <c:pt idx="5">
                        <c:v>77.2</c:v>
                      </c:pt>
                      <c:pt idx="6">
                        <c:v>76.8</c:v>
                      </c:pt>
                      <c:pt idx="7">
                        <c:v>75.5</c:v>
                      </c:pt>
                      <c:pt idx="8">
                        <c:v>73.8</c:v>
                      </c:pt>
                      <c:pt idx="9">
                        <c:v>73.400000000000006</c:v>
                      </c:pt>
                      <c:pt idx="10">
                        <c:v>74.400000000000006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3E4F-46C4-A0A9-4FB21A648230}"/>
                  </c:ext>
                </c:extLst>
              </c15:ser>
            </c15:filteredScatterSeries>
            <c15:filteredScatterSeries>
              <c15:ser>
                <c:idx val="6"/>
                <c:order val="10"/>
                <c:tx>
                  <c:v>TOP Acceptance'24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8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Template'!$F$6:$P$6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Template'!$F$159:$P$159</c15:sqref>
                        </c15:formulaRef>
                      </c:ext>
                    </c:extLst>
                    <c:numCache>
                      <c:formatCode>0.00</c:formatCode>
                      <c:ptCount val="11"/>
                      <c:pt idx="5">
                        <c:v>76.5</c:v>
                      </c:pt>
                      <c:pt idx="6">
                        <c:v>72.709999999999994</c:v>
                      </c:pt>
                      <c:pt idx="7">
                        <c:v>74.63</c:v>
                      </c:pt>
                      <c:pt idx="8">
                        <c:v>73.63</c:v>
                      </c:pt>
                      <c:pt idx="9">
                        <c:v>71.959999999999994</c:v>
                      </c:pt>
                      <c:pt idx="10">
                        <c:v>73.09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DA07-4ACF-9498-C33FD28F1F96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v>+3% Abs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rgbClr val="3333FF"/>
                    </a:solidFill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Template'!$F$6:$AA$6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Template'!$F$162:$AA$162</c15:sqref>
                        </c15:formulaRef>
                      </c:ext>
                    </c:extLst>
                    <c:numCache>
                      <c:formatCode>0.00</c:formatCode>
                      <c:ptCount val="22"/>
                      <c:pt idx="0">
                        <c:v>45.4</c:v>
                      </c:pt>
                      <c:pt idx="1">
                        <c:v>45</c:v>
                      </c:pt>
                      <c:pt idx="2">
                        <c:v>45.1</c:v>
                      </c:pt>
                      <c:pt idx="3">
                        <c:v>45.8</c:v>
                      </c:pt>
                      <c:pt idx="4">
                        <c:v>81.8</c:v>
                      </c:pt>
                      <c:pt idx="5">
                        <c:v>80.2</c:v>
                      </c:pt>
                      <c:pt idx="6">
                        <c:v>79.8</c:v>
                      </c:pt>
                      <c:pt idx="7">
                        <c:v>78.5</c:v>
                      </c:pt>
                      <c:pt idx="8">
                        <c:v>76.8</c:v>
                      </c:pt>
                      <c:pt idx="9">
                        <c:v>76.400000000000006</c:v>
                      </c:pt>
                      <c:pt idx="10">
                        <c:v>77.400000000000006</c:v>
                      </c:pt>
                      <c:pt idx="11">
                        <c:v>76.86666666666666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3</c:v>
                      </c:pt>
                      <c:pt idx="21">
                        <c:v>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7A7-4908-994D-229C5B05D4B0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v>-3% Abs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rgbClr val="FF0000"/>
                    </a:solidFill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Template'!$F$6:$AA$6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Template'!$F$163:$AA$163</c15:sqref>
                        </c15:formulaRef>
                      </c:ext>
                    </c:extLst>
                    <c:numCache>
                      <c:formatCode>0.00</c:formatCode>
                      <c:ptCount val="22"/>
                      <c:pt idx="0">
                        <c:v>39.4</c:v>
                      </c:pt>
                      <c:pt idx="1">
                        <c:v>39</c:v>
                      </c:pt>
                      <c:pt idx="2">
                        <c:v>39.1</c:v>
                      </c:pt>
                      <c:pt idx="3">
                        <c:v>39.799999999999997</c:v>
                      </c:pt>
                      <c:pt idx="4">
                        <c:v>75.8</c:v>
                      </c:pt>
                      <c:pt idx="5">
                        <c:v>74.2</c:v>
                      </c:pt>
                      <c:pt idx="6">
                        <c:v>73.8</c:v>
                      </c:pt>
                      <c:pt idx="7">
                        <c:v>72.5</c:v>
                      </c:pt>
                      <c:pt idx="8">
                        <c:v>70.8</c:v>
                      </c:pt>
                      <c:pt idx="9">
                        <c:v>70.400000000000006</c:v>
                      </c:pt>
                      <c:pt idx="10">
                        <c:v>71.400000000000006</c:v>
                      </c:pt>
                      <c:pt idx="11">
                        <c:v>70.86666666666666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  <c:pt idx="16">
                        <c:v>-3</c:v>
                      </c:pt>
                      <c:pt idx="17">
                        <c:v>-3</c:v>
                      </c:pt>
                      <c:pt idx="18">
                        <c:v>-3</c:v>
                      </c:pt>
                      <c:pt idx="19">
                        <c:v>-3</c:v>
                      </c:pt>
                      <c:pt idx="20">
                        <c:v>-3</c:v>
                      </c:pt>
                      <c:pt idx="21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7A7-4908-994D-229C5B05D4B0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v>TOP MEBU001</c:v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diamond"/>
                  <c:size val="8"/>
                  <c:spPr>
                    <a:noFill/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'Lab Results Summary'!$E$157:$H$157</c15:sqref>
                        </c15:formulaRef>
                      </c:ext>
                    </c:extLst>
                    <c:strCache>
                      <c:ptCount val="4"/>
                      <c:pt idx="0">
                        <c:v>D1</c:v>
                      </c:pt>
                      <c:pt idx="1">
                        <c:v>D2</c:v>
                      </c:pt>
                      <c:pt idx="2">
                        <c:v>D3</c:v>
                      </c:pt>
                      <c:pt idx="3">
                        <c:v>D4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'Lab Results Summary'!$E$159:$H$159</c15:sqref>
                        </c15:formulaRef>
                      </c:ext>
                    </c:extLst>
                    <c:numCache>
                      <c:formatCode>0.00</c:formatCode>
                      <c:ptCount val="4"/>
                      <c:pt idx="0">
                        <c:v>38.617032080432409</c:v>
                      </c:pt>
                      <c:pt idx="1">
                        <c:v>36.960459791175097</c:v>
                      </c:pt>
                      <c:pt idx="2">
                        <c:v>39.346283596715722</c:v>
                      </c:pt>
                      <c:pt idx="3">
                        <c:v>39.106101437805535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818E-48D3-9FAA-452CEDD2206D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v>TOP MEBU002</c:v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diamond"/>
                  <c:size val="8"/>
                  <c:spPr>
                    <a:noFill/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'Lab Results Summary'!$J$157:$M$157</c15:sqref>
                        </c15:formulaRef>
                      </c:ext>
                    </c:extLst>
                    <c:strCache>
                      <c:ptCount val="4"/>
                      <c:pt idx="0">
                        <c:v>D1</c:v>
                      </c:pt>
                      <c:pt idx="1">
                        <c:v>D2</c:v>
                      </c:pt>
                      <c:pt idx="2">
                        <c:v>D3</c:v>
                      </c:pt>
                      <c:pt idx="3">
                        <c:v>D4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'Lab Results Summary'!$J$159:$M$159</c15:sqref>
                        </c15:formulaRef>
                      </c:ext>
                    </c:extLst>
                    <c:numCache>
                      <c:formatCode>0.00</c:formatCode>
                      <c:ptCount val="4"/>
                      <c:pt idx="0">
                        <c:v>39.752163931065411</c:v>
                      </c:pt>
                      <c:pt idx="1">
                        <c:v>39.575540086785104</c:v>
                      </c:pt>
                      <c:pt idx="2">
                        <c:v>38.201039222490955</c:v>
                      </c:pt>
                      <c:pt idx="3">
                        <c:v>38.194674533306959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18E-48D3-9FAA-452CEDD2206D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90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  <a:r>
                  <a:rPr lang="en-US" sz="1600" b="1" baseline="0"/>
                  <a:t>wt </a:t>
                </a:r>
                <a:r>
                  <a:rPr lang="en-US" sz="16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Conversion of </a:t>
                </a:r>
                <a:r>
                  <a:rPr lang="en-US" sz="1600" b="1" baseline="0"/>
                  <a:t> 560 degC plus </a:t>
                </a:r>
                <a:endParaRPr lang="en-US" sz="1600" b="1"/>
              </a:p>
            </c:rich>
          </c:tx>
          <c:layout>
            <c:manualLayout>
              <c:xMode val="edge"/>
              <c:yMode val="edge"/>
              <c:x val="2.4343051218365865E-2"/>
              <c:y val="0.248345343070751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80622727813146133"/>
          <c:y val="0.40889713401382122"/>
          <c:w val="0.17021080867999117"/>
          <c:h val="0.23014239338614495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Sulfur</a:t>
            </a:r>
            <a:r>
              <a:rPr lang="en-US" b="1" baseline="0"/>
              <a:t> in HPS Product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84432839366991"/>
          <c:y val="0.15456989009001662"/>
          <c:w val="0.68738926103085418"/>
          <c:h val="0.66985331683037952"/>
        </c:manualLayout>
      </c:layout>
      <c:scatterChart>
        <c:scatterStyle val="lineMarker"/>
        <c:varyColors val="0"/>
        <c:ser>
          <c:idx val="5"/>
          <c:order val="5"/>
          <c:tx>
            <c:v>Aging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9CDE-4375-A824-3D397EB046E7}"/>
            </c:ext>
          </c:extLst>
        </c:ser>
        <c:ser>
          <c:idx val="11"/>
          <c:order val="9"/>
          <c:tx>
            <c:v>ART Acceptance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Template'!$F$37:$P$37</c:f>
              <c:numCache>
                <c:formatCode>0.000</c:formatCode>
                <c:ptCount val="11"/>
                <c:pt idx="0">
                  <c:v>2.1057000000000001</c:v>
                </c:pt>
                <c:pt idx="1">
                  <c:v>2.165</c:v>
                </c:pt>
                <c:pt idx="2">
                  <c:v>2.2507000000000001</c:v>
                </c:pt>
                <c:pt idx="3">
                  <c:v>2.2642000000000002</c:v>
                </c:pt>
                <c:pt idx="4">
                  <c:v>0.83830000000000005</c:v>
                </c:pt>
                <c:pt idx="5">
                  <c:v>1.0039</c:v>
                </c:pt>
                <c:pt idx="6">
                  <c:v>1.0892999999999999</c:v>
                </c:pt>
                <c:pt idx="7">
                  <c:v>1.1438999999999999</c:v>
                </c:pt>
                <c:pt idx="8">
                  <c:v>1.2069000000000001</c:v>
                </c:pt>
                <c:pt idx="9">
                  <c:v>1.2118</c:v>
                </c:pt>
                <c:pt idx="10">
                  <c:v>1.2533000000000001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1C-4C44-9854-997D59A7688C}"/>
            </c:ext>
          </c:extLst>
        </c:ser>
        <c:ser>
          <c:idx val="12"/>
          <c:order val="10"/>
          <c:tx>
            <c:v>TOP Acceptance'24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Template'!$F$36:$P$36</c:f>
              <c:numCache>
                <c:formatCode>0.000</c:formatCode>
                <c:ptCount val="11"/>
                <c:pt idx="5">
                  <c:v>0.97499999999999998</c:v>
                </c:pt>
                <c:pt idx="6">
                  <c:v>1.0900000000000001</c:v>
                </c:pt>
                <c:pt idx="7">
                  <c:v>1.155</c:v>
                </c:pt>
                <c:pt idx="8">
                  <c:v>1.246</c:v>
                </c:pt>
                <c:pt idx="9">
                  <c:v>1.306</c:v>
                </c:pt>
                <c:pt idx="10">
                  <c:v>1.3380000000000001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1C-4C44-9854-997D59A7688C}"/>
            </c:ext>
          </c:extLst>
        </c:ser>
        <c:ser>
          <c:idx val="6"/>
          <c:order val="11"/>
          <c:tx>
            <c:v>TOP Acceptance'26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3333FF"/>
              </a:solidFill>
              <a:ln w="9525">
                <a:noFill/>
              </a:ln>
              <a:effectLst/>
            </c:spPr>
          </c:marker>
          <c:xVal>
            <c:numRef>
              <c:f>'Master Template'!$BL$6:$CG$6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Template'!$BL$34:$CG$34</c:f>
              <c:numCache>
                <c:formatCode>0.000</c:formatCode>
                <c:ptCount val="22"/>
                <c:pt idx="0">
                  <c:v>1.9584999999999999</c:v>
                </c:pt>
                <c:pt idx="1">
                  <c:v>2.0884999999999998</c:v>
                </c:pt>
                <c:pt idx="2">
                  <c:v>2.2799999999999998</c:v>
                </c:pt>
                <c:pt idx="3">
                  <c:v>2.2450000000000001</c:v>
                </c:pt>
                <c:pt idx="4">
                  <c:v>0.86699999999999999</c:v>
                </c:pt>
                <c:pt idx="5">
                  <c:v>0.94099999999999995</c:v>
                </c:pt>
                <c:pt idx="6">
                  <c:v>1.0369999999999999</c:v>
                </c:pt>
                <c:pt idx="7">
                  <c:v>1.121</c:v>
                </c:pt>
                <c:pt idx="8">
                  <c:v>1.17</c:v>
                </c:pt>
                <c:pt idx="9">
                  <c:v>1.214</c:v>
                </c:pt>
                <c:pt idx="10">
                  <c:v>1.2669999999999999</c:v>
                </c:pt>
                <c:pt idx="11">
                  <c:v>1.2909999999999999</c:v>
                </c:pt>
                <c:pt idx="12">
                  <c:v>1.3149999999999999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C6-46E5-9078-0FD8C59EC777}"/>
            </c:ext>
          </c:extLst>
        </c:ser>
        <c:ser>
          <c:idx val="9"/>
          <c:order val="12"/>
          <c:tx>
            <c:v>TOP MEBU001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'Lab Results Summary'!$E$157:$H$157</c:f>
              <c:strCache>
                <c:ptCount val="4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</c:strCache>
            </c:strRef>
          </c:xVal>
          <c:yVal>
            <c:numRef>
              <c:f>'Lab Results Summary'!$E$160:$H$160</c:f>
              <c:numCache>
                <c:formatCode>0.00</c:formatCode>
                <c:ptCount val="4"/>
                <c:pt idx="0">
                  <c:v>2.34</c:v>
                </c:pt>
                <c:pt idx="1">
                  <c:v>2.27</c:v>
                </c:pt>
                <c:pt idx="2">
                  <c:v>2.3340000000000001</c:v>
                </c:pt>
                <c:pt idx="3">
                  <c:v>2.3660000000000001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C1-4A04-A6AB-95FD57DA77D3}"/>
            </c:ext>
          </c:extLst>
        </c:ser>
        <c:ser>
          <c:idx val="13"/>
          <c:order val="13"/>
          <c:tx>
            <c:v>TOP MEBU002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'Lab Results Summary'!$J$157:$M$157</c:f>
              <c:strCache>
                <c:ptCount val="4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</c:strCache>
            </c:strRef>
          </c:xVal>
          <c:yVal>
            <c:numRef>
              <c:f>'Lab Results Summary'!$J$160:$M$160</c:f>
              <c:numCache>
                <c:formatCode>0.00</c:formatCode>
                <c:ptCount val="4"/>
                <c:pt idx="0">
                  <c:v>2.16</c:v>
                </c:pt>
                <c:pt idx="1">
                  <c:v>2.3140000000000001</c:v>
                </c:pt>
                <c:pt idx="2">
                  <c:v>2.34</c:v>
                </c:pt>
                <c:pt idx="3">
                  <c:v>2.3410000000000002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C1-4A04-A6AB-95FD57DA7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Template'!$C$162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Template'!$F$162:$U$162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45.4</c:v>
                      </c:pt>
                      <c:pt idx="1">
                        <c:v>45</c:v>
                      </c:pt>
                      <c:pt idx="2">
                        <c:v>45.1</c:v>
                      </c:pt>
                      <c:pt idx="3">
                        <c:v>45.8</c:v>
                      </c:pt>
                      <c:pt idx="4">
                        <c:v>81.8</c:v>
                      </c:pt>
                      <c:pt idx="5">
                        <c:v>80.2</c:v>
                      </c:pt>
                      <c:pt idx="6">
                        <c:v>79.8</c:v>
                      </c:pt>
                      <c:pt idx="7">
                        <c:v>78.5</c:v>
                      </c:pt>
                      <c:pt idx="8">
                        <c:v>76.8</c:v>
                      </c:pt>
                      <c:pt idx="9">
                        <c:v>76.400000000000006</c:v>
                      </c:pt>
                      <c:pt idx="10">
                        <c:v>77.400000000000006</c:v>
                      </c:pt>
                      <c:pt idx="11">
                        <c:v>76.86666666666666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Template'!$F$6:$AH$6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Template'!$BL$35:$CA$35</c15:sqref>
                        </c15:formulaRef>
                      </c:ext>
                    </c:extLst>
                    <c:numCache>
                      <c:formatCode>0.000</c:formatCode>
                      <c:ptCount val="16"/>
                      <c:pt idx="0">
                        <c:v>2.15</c:v>
                      </c:pt>
                      <c:pt idx="1">
                        <c:v>2.2000000000000002</c:v>
                      </c:pt>
                      <c:pt idx="2">
                        <c:v>2.25</c:v>
                      </c:pt>
                      <c:pt idx="3">
                        <c:v>2.36</c:v>
                      </c:pt>
                      <c:pt idx="4">
                        <c:v>1.01</c:v>
                      </c:pt>
                      <c:pt idx="5">
                        <c:v>0.99</c:v>
                      </c:pt>
                      <c:pt idx="6">
                        <c:v>1.0900000000000001</c:v>
                      </c:pt>
                      <c:pt idx="7">
                        <c:v>1.1000000000000001</c:v>
                      </c:pt>
                      <c:pt idx="8">
                        <c:v>1.1200000000000001</c:v>
                      </c:pt>
                      <c:pt idx="9">
                        <c:v>1.1399999999999999</c:v>
                      </c:pt>
                      <c:pt idx="10">
                        <c:v>1.095</c:v>
                      </c:pt>
                      <c:pt idx="11">
                        <c:v>1</c:v>
                      </c:pt>
                      <c:pt idx="12">
                        <c:v>0.99</c:v>
                      </c:pt>
                      <c:pt idx="13">
                        <c:v>0.95</c:v>
                      </c:pt>
                      <c:pt idx="14">
                        <c:v>1</c:v>
                      </c:pt>
                      <c:pt idx="15">
                        <c:v>1.01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Lbl>
                    <c:idx val="12"/>
                    <c:layout>
                      <c:manualLayout>
                        <c:x val="1.3276044626094084E-2"/>
                        <c:y val="0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D4A0-41C1-ADB9-2F91873EB70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Template'!$F$6:$AH$6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Template'!$BL$34:$CB$34</c15:sqref>
                        </c15:formulaRef>
                      </c:ext>
                    </c:extLst>
                    <c:numCache>
                      <c:formatCode>0.000</c:formatCode>
                      <c:ptCount val="17"/>
                      <c:pt idx="0">
                        <c:v>1.9584999999999999</c:v>
                      </c:pt>
                      <c:pt idx="1">
                        <c:v>2.0884999999999998</c:v>
                      </c:pt>
                      <c:pt idx="2">
                        <c:v>2.2799999999999998</c:v>
                      </c:pt>
                      <c:pt idx="3">
                        <c:v>2.2450000000000001</c:v>
                      </c:pt>
                      <c:pt idx="4">
                        <c:v>0.86699999999999999</c:v>
                      </c:pt>
                      <c:pt idx="5">
                        <c:v>0.94099999999999995</c:v>
                      </c:pt>
                      <c:pt idx="6">
                        <c:v>1.0369999999999999</c:v>
                      </c:pt>
                      <c:pt idx="7">
                        <c:v>1.121</c:v>
                      </c:pt>
                      <c:pt idx="8">
                        <c:v>1.17</c:v>
                      </c:pt>
                      <c:pt idx="9">
                        <c:v>1.214</c:v>
                      </c:pt>
                      <c:pt idx="10">
                        <c:v>1.2669999999999999</c:v>
                      </c:pt>
                      <c:pt idx="11">
                        <c:v>1.2909999999999999</c:v>
                      </c:pt>
                      <c:pt idx="12">
                        <c:v>1.3149999999999999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Template'!$G$163:$L$163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</c:v>
                      </c:pt>
                      <c:pt idx="1">
                        <c:v>39.1</c:v>
                      </c:pt>
                      <c:pt idx="2">
                        <c:v>39.799999999999997</c:v>
                      </c:pt>
                      <c:pt idx="3">
                        <c:v>75.8</c:v>
                      </c:pt>
                      <c:pt idx="4">
                        <c:v>74.2</c:v>
                      </c:pt>
                      <c:pt idx="5">
                        <c:v>73.8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Template'!$F$163:$U$163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39.4</c:v>
                      </c:pt>
                      <c:pt idx="1">
                        <c:v>39</c:v>
                      </c:pt>
                      <c:pt idx="2">
                        <c:v>39.1</c:v>
                      </c:pt>
                      <c:pt idx="3">
                        <c:v>39.799999999999997</c:v>
                      </c:pt>
                      <c:pt idx="4">
                        <c:v>75.8</c:v>
                      </c:pt>
                      <c:pt idx="5">
                        <c:v>74.2</c:v>
                      </c:pt>
                      <c:pt idx="6">
                        <c:v>73.8</c:v>
                      </c:pt>
                      <c:pt idx="7">
                        <c:v>72.5</c:v>
                      </c:pt>
                      <c:pt idx="8">
                        <c:v>70.8</c:v>
                      </c:pt>
                      <c:pt idx="9">
                        <c:v>70.400000000000006</c:v>
                      </c:pt>
                      <c:pt idx="10">
                        <c:v>71.400000000000006</c:v>
                      </c:pt>
                      <c:pt idx="11">
                        <c:v>70.86666666666666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  <c15:filteredScatterSeries>
              <c15:ser>
                <c:idx val="7"/>
                <c:order val="6"/>
                <c:tx>
                  <c:v>TOP Repro-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 (repro-)'!$F$6:$V$6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DAILY (repro-)'!$J$20:$Z$20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1.8464355604067721</c:v>
                      </c:pt>
                      <c:pt idx="1">
                        <c:v>1.9716956028698713</c:v>
                      </c:pt>
                      <c:pt idx="2">
                        <c:v>2.1563999378778784</c:v>
                      </c:pt>
                      <c:pt idx="3">
                        <c:v>2.1226263418094766</c:v>
                      </c:pt>
                      <c:pt idx="4">
                        <c:v>0.8007263336702658</c:v>
                      </c:pt>
                      <c:pt idx="5">
                        <c:v>0.87113337607358365</c:v>
                      </c:pt>
                      <c:pt idx="6">
                        <c:v>0.96261851013958699</c:v>
                      </c:pt>
                      <c:pt idx="7">
                        <c:v>1.0427886712039072</c:v>
                      </c:pt>
                      <c:pt idx="8">
                        <c:v>1.0896017689902777</c:v>
                      </c:pt>
                      <c:pt idx="9">
                        <c:v>1.1316656138135712</c:v>
                      </c:pt>
                      <c:pt idx="10">
                        <c:v>1.1823662288865746</c:v>
                      </c:pt>
                      <c:pt idx="11">
                        <c:v>1.2053362775454763</c:v>
                      </c:pt>
                      <c:pt idx="12">
                        <c:v>1.2283131090916815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91FF-460B-9AC5-9F562F50E30B}"/>
                  </c:ext>
                </c:extLst>
              </c15:ser>
            </c15:filteredScatterSeries>
            <c15:filteredScatterSeries>
              <c15:ser>
                <c:idx val="8"/>
                <c:order val="7"/>
                <c:tx>
                  <c:v>TOP Repro+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DAILY (repro+)'!$J$20:$Z$20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2.0705644395932277</c:v>
                      </c:pt>
                      <c:pt idx="1">
                        <c:v>2.2053043971301283</c:v>
                      </c:pt>
                      <c:pt idx="2">
                        <c:v>2.4036000621221212</c:v>
                      </c:pt>
                      <c:pt idx="3">
                        <c:v>2.3673736581905236</c:v>
                      </c:pt>
                      <c:pt idx="4">
                        <c:v>0.93327366632973419</c:v>
                      </c:pt>
                      <c:pt idx="5">
                        <c:v>1.0108666239264164</c:v>
                      </c:pt>
                      <c:pt idx="6">
                        <c:v>1.1113814898604129</c:v>
                      </c:pt>
                      <c:pt idx="7">
                        <c:v>1.1992113287960928</c:v>
                      </c:pt>
                      <c:pt idx="8">
                        <c:v>1.2503982310097221</c:v>
                      </c:pt>
                      <c:pt idx="9">
                        <c:v>1.2963343861864287</c:v>
                      </c:pt>
                      <c:pt idx="10">
                        <c:v>1.3516337711134252</c:v>
                      </c:pt>
                      <c:pt idx="11">
                        <c:v>1.3766637224545235</c:v>
                      </c:pt>
                      <c:pt idx="12">
                        <c:v>1.4016868909083184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0953-4FDD-9541-3423FAC2959B}"/>
                  </c:ext>
                </c:extLst>
              </c15:ser>
            </c15:filteredScatterSeries>
            <c15:filteredScatterSeries>
              <c15:ser>
                <c:idx val="10"/>
                <c:order val="8"/>
                <c:tx>
                  <c:v>MEBU25001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'LSHS HPS DAILY'!$K$20:$T$20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 formatCode="General">
                        <c:v>2.34</c:v>
                      </c:pt>
                      <c:pt idx="1">
                        <c:v>2.27</c:v>
                      </c:pt>
                      <c:pt idx="2">
                        <c:v>2.3340000000000001</c:v>
                      </c:pt>
                      <c:pt idx="3">
                        <c:v>2.3660000000000001</c:v>
                      </c:pt>
                      <c:pt idx="4" formatCode="0.000">
                        <c:v>1.01</c:v>
                      </c:pt>
                      <c:pt idx="5" formatCode="0.000">
                        <c:v>1.1919999999999999</c:v>
                      </c:pt>
                      <c:pt idx="6" formatCode="0.000">
                        <c:v>1.45</c:v>
                      </c:pt>
                      <c:pt idx="7" formatCode="0.000">
                        <c:v>1.4119999999999999</c:v>
                      </c:pt>
                      <c:pt idx="8" formatCode="0.000">
                        <c:v>1.452</c:v>
                      </c:pt>
                      <c:pt idx="9" formatCode="0.000">
                        <c:v>1.5389999999999999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8E95-4642-B86F-5C3C47505E8A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  <a:r>
                  <a:rPr lang="en-US" sz="1600" b="1" baseline="0"/>
                  <a:t>wt</a:t>
                </a:r>
                <a:endParaRPr lang="en-US" sz="1600" b="1"/>
              </a:p>
            </c:rich>
          </c:tx>
          <c:layout>
            <c:manualLayout>
              <c:xMode val="edge"/>
              <c:yMode val="edge"/>
              <c:x val="2.2356333875173225E-2"/>
              <c:y val="0.397782827097706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64693122763185684"/>
          <c:y val="0.25317613298392477"/>
          <c:w val="0.15844359265532854"/>
          <c:h val="0.23084199309583037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%wt 560 plus</a:t>
            </a:r>
            <a:r>
              <a:rPr lang="en-US" b="1" baseline="0"/>
              <a:t> in HPS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001359913692343"/>
          <c:y val="0.16380676677462144"/>
          <c:w val="0.68738926103085418"/>
          <c:h val="0.66985331683037952"/>
        </c:manualLayout>
      </c:layout>
      <c:scatterChart>
        <c:scatterStyle val="lineMarker"/>
        <c:varyColors val="0"/>
        <c:ser>
          <c:idx val="0"/>
          <c:order val="0"/>
          <c:tx>
            <c:v>ART Acceptance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Template'!$F$18:$P$18</c:f>
              <c:numCache>
                <c:formatCode>0.0</c:formatCode>
                <c:ptCount val="11"/>
                <c:pt idx="0">
                  <c:v>56.418100000000003</c:v>
                </c:pt>
                <c:pt idx="1">
                  <c:v>55.545499999999997</c:v>
                </c:pt>
                <c:pt idx="2">
                  <c:v>55.654499999999999</c:v>
                </c:pt>
                <c:pt idx="3">
                  <c:v>55.781799999999997</c:v>
                </c:pt>
                <c:pt idx="4">
                  <c:v>23.1831</c:v>
                </c:pt>
                <c:pt idx="5">
                  <c:v>25.9861</c:v>
                </c:pt>
                <c:pt idx="6">
                  <c:v>25.928599999999999</c:v>
                </c:pt>
                <c:pt idx="7">
                  <c:v>27.042300000000001</c:v>
                </c:pt>
                <c:pt idx="8">
                  <c:v>29.418900000000001</c:v>
                </c:pt>
                <c:pt idx="9">
                  <c:v>29.72</c:v>
                </c:pt>
                <c:pt idx="10">
                  <c:v>28.652799999999999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5A-45B2-9653-F0F5DCF14193}"/>
            </c:ext>
          </c:extLst>
        </c:ser>
        <c:ser>
          <c:idx val="1"/>
          <c:order val="1"/>
          <c:tx>
            <c:v>TOP Acceptance'24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Template'!$F$16:$P$16</c:f>
              <c:numCache>
                <c:formatCode>General</c:formatCode>
                <c:ptCount val="11"/>
                <c:pt idx="5">
                  <c:v>26.909999999999997</c:v>
                </c:pt>
                <c:pt idx="6">
                  <c:v>30.22</c:v>
                </c:pt>
                <c:pt idx="7">
                  <c:v>29.990000000000009</c:v>
                </c:pt>
                <c:pt idx="8">
                  <c:v>32.134999999999991</c:v>
                </c:pt>
                <c:pt idx="9">
                  <c:v>33.799999999999997</c:v>
                </c:pt>
                <c:pt idx="10">
                  <c:v>32.290000000000006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B5A-45B2-9653-F0F5DCF14193}"/>
            </c:ext>
          </c:extLst>
        </c:ser>
        <c:ser>
          <c:idx val="2"/>
          <c:order val="2"/>
          <c:tx>
            <c:v>Condition Cahnge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AB5A-45B2-9653-F0F5DCF14193}"/>
            </c:ext>
          </c:extLst>
        </c:ser>
        <c:ser>
          <c:idx val="4"/>
          <c:order val="3"/>
          <c:tx>
            <c:v>TOP Acceptance'26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3333FF"/>
              </a:solidFill>
              <a:ln w="9525">
                <a:noFill/>
              </a:ln>
              <a:effectLst/>
            </c:spPr>
          </c:marker>
          <c:dLbls>
            <c:dLbl>
              <c:idx val="4"/>
              <c:layout>
                <c:manualLayout>
                  <c:x val="-2.6702592307295658E-2"/>
                  <c:y val="-3.60360360360360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458-43EB-8857-48F502906797}"/>
                </c:ext>
              </c:extLst>
            </c:dLbl>
            <c:dLbl>
              <c:idx val="5"/>
              <c:layout>
                <c:manualLayout>
                  <c:x val="-2.8229094083069999E-2"/>
                  <c:y val="4.9549549549549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458-43EB-8857-48F502906797}"/>
                </c:ext>
              </c:extLst>
            </c:dLbl>
            <c:dLbl>
              <c:idx val="6"/>
              <c:layout>
                <c:manualLayout>
                  <c:x val="-2.5217526852638991E-2"/>
                  <c:y val="5.180180180180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A23-45D4-9A2E-521FC93C1932}"/>
                </c:ext>
              </c:extLst>
            </c:dLbl>
            <c:dLbl>
              <c:idx val="7"/>
              <c:layout>
                <c:manualLayout>
                  <c:x val="-2.3715543226162355E-2"/>
                  <c:y val="4.05405405405406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6B4-470E-96B4-481FF37D61A1}"/>
                </c:ext>
              </c:extLst>
            </c:dLbl>
            <c:dLbl>
              <c:idx val="8"/>
              <c:layout>
                <c:manualLayout>
                  <c:x val="-2.0745178962755108E-2"/>
                  <c:y val="4.72972972972972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2A5-4E39-BAD9-7F360548C972}"/>
                </c:ext>
              </c:extLst>
            </c:dLbl>
            <c:dLbl>
              <c:idx val="9"/>
              <c:layout>
                <c:manualLayout>
                  <c:x val="-1.493780931263029E-2"/>
                  <c:y val="5.03532295271049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9B-41D0-B09F-83F329D99D55}"/>
                </c:ext>
              </c:extLst>
            </c:dLbl>
            <c:dLbl>
              <c:idx val="10"/>
              <c:layout>
                <c:manualLayout>
                  <c:x val="-1.0420843844534193E-2"/>
                  <c:y val="4.27927927927927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62F-45B3-8AA9-A740A49CEF6D}"/>
                </c:ext>
              </c:extLst>
            </c:dLbl>
            <c:dLbl>
              <c:idx val="11"/>
              <c:layout>
                <c:manualLayout>
                  <c:x val="-1.4877892915487125E-3"/>
                  <c:y val="4.05405405405406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DF3-4F1E-B2E0-7205C1DF72A3}"/>
                </c:ext>
              </c:extLst>
            </c:dLbl>
            <c:dLbl>
              <c:idx val="12"/>
              <c:layout>
                <c:manualLayout>
                  <c:x val="1.1922335839057854E-2"/>
                  <c:y val="9.009009009008925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E2-4FF2-A210-C846B89E880A}"/>
                </c:ext>
              </c:extLst>
            </c:dLbl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Template'!$BL$6:$CG$6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Template'!$BL$17:$CG$17</c:f>
              <c:numCache>
                <c:formatCode>0.0</c:formatCode>
                <c:ptCount val="22"/>
                <c:pt idx="0">
                  <c:v>53.255499999999998</c:v>
                </c:pt>
                <c:pt idx="1">
                  <c:v>56.516500000000001</c:v>
                </c:pt>
                <c:pt idx="2">
                  <c:v>57.059666666666665</c:v>
                </c:pt>
                <c:pt idx="3">
                  <c:v>54.923999999999999</c:v>
                </c:pt>
                <c:pt idx="4">
                  <c:v>28.358999999999995</c:v>
                </c:pt>
                <c:pt idx="5">
                  <c:v>24.90270000000001</c:v>
                </c:pt>
                <c:pt idx="6">
                  <c:v>26.087999999999994</c:v>
                </c:pt>
                <c:pt idx="7">
                  <c:v>27.664000000000001</c:v>
                </c:pt>
                <c:pt idx="8">
                  <c:v>29.555</c:v>
                </c:pt>
                <c:pt idx="9">
                  <c:v>29.116</c:v>
                </c:pt>
                <c:pt idx="10">
                  <c:v>28.464999999999989</c:v>
                </c:pt>
                <c:pt idx="11">
                  <c:v>28.665000000000006</c:v>
                </c:pt>
                <c:pt idx="12">
                  <c:v>27.881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E4-4385-893E-4A7F4206D5CC}"/>
            </c:ext>
          </c:extLst>
        </c:ser>
        <c:ser>
          <c:idx val="6"/>
          <c:order val="4"/>
          <c:tx>
            <c:v>TOP MEBU001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'Lab Results Summary'!$E$157:$H$157</c:f>
              <c:strCache>
                <c:ptCount val="4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</c:strCache>
            </c:strRef>
          </c:xVal>
          <c:yVal>
            <c:numRef>
              <c:f>'Lab Results Summary'!$E$158:$H$158</c:f>
              <c:numCache>
                <c:formatCode>0.00</c:formatCode>
                <c:ptCount val="4"/>
                <c:pt idx="0">
                  <c:v>60.116</c:v>
                </c:pt>
                <c:pt idx="1">
                  <c:v>63.283000000000001</c:v>
                </c:pt>
                <c:pt idx="2">
                  <c:v>61.009</c:v>
                </c:pt>
                <c:pt idx="3">
                  <c:v>61.402000000000001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C9-4F3A-81AF-E931D85E7D35}"/>
            </c:ext>
          </c:extLst>
        </c:ser>
        <c:ser>
          <c:idx val="3"/>
          <c:order val="5"/>
          <c:tx>
            <c:v>TOP MEBU 002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'Master Template'!$BL$6:$BO$6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  <c:extLst xmlns:c15="http://schemas.microsoft.com/office/drawing/2012/chart"/>
            </c:numRef>
          </c:xVal>
          <c:yVal>
            <c:numRef>
              <c:f>'Master Template'!$BL$19:$BO$19</c:f>
              <c:numCache>
                <c:formatCode>0.0</c:formatCode>
                <c:ptCount val="4"/>
                <c:pt idx="0">
                  <c:v>59.673000000000002</c:v>
                </c:pt>
                <c:pt idx="1">
                  <c:v>58.045000000000002</c:v>
                </c:pt>
                <c:pt idx="2">
                  <c:v>59.301000000000002</c:v>
                </c:pt>
                <c:pt idx="3">
                  <c:v>59.833999999999996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AB5A-45B2-9653-F0F5DCF14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5"/>
                <c:order val="6"/>
                <c:tx>
                  <c:v>TOP Acceptance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dLbls>
                  <c:dLbl>
                    <c:idx val="0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9587-4115-A651-E8A5E390979B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>
                      <c:ext uri="{02D57815-91ED-43cb-92C2-25804820EDAC}">
                        <c15:formulaRef>
                          <c15:sqref>'Master Template'!$BL$6:$CG$6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Template'!$BL$17:$CG$17</c15:sqref>
                        </c15:formulaRef>
                      </c:ext>
                    </c:extLst>
                    <c:numCache>
                      <c:formatCode>0.0</c:formatCode>
                      <c:ptCount val="22"/>
                      <c:pt idx="0">
                        <c:v>53.255499999999998</c:v>
                      </c:pt>
                      <c:pt idx="1">
                        <c:v>56.516500000000001</c:v>
                      </c:pt>
                      <c:pt idx="2">
                        <c:v>57.059666666666665</c:v>
                      </c:pt>
                      <c:pt idx="3">
                        <c:v>54.923999999999999</c:v>
                      </c:pt>
                      <c:pt idx="4">
                        <c:v>28.358999999999995</c:v>
                      </c:pt>
                      <c:pt idx="5">
                        <c:v>24.90270000000001</c:v>
                      </c:pt>
                      <c:pt idx="6">
                        <c:v>26.087999999999994</c:v>
                      </c:pt>
                      <c:pt idx="7">
                        <c:v>27.664000000000001</c:v>
                      </c:pt>
                      <c:pt idx="8">
                        <c:v>29.555</c:v>
                      </c:pt>
                      <c:pt idx="9">
                        <c:v>29.116</c:v>
                      </c:pt>
                      <c:pt idx="10">
                        <c:v>28.464999999999989</c:v>
                      </c:pt>
                      <c:pt idx="11">
                        <c:v>28.665000000000006</c:v>
                      </c:pt>
                      <c:pt idx="12">
                        <c:v>27.881</c:v>
                      </c:pt>
                      <c:pt idx="13">
                        <c:v>100</c:v>
                      </c:pt>
                      <c:pt idx="14">
                        <c:v>100</c:v>
                      </c:pt>
                      <c:pt idx="15">
                        <c:v>100</c:v>
                      </c:pt>
                      <c:pt idx="16">
                        <c:v>100</c:v>
                      </c:pt>
                      <c:pt idx="17">
                        <c:v>100</c:v>
                      </c:pt>
                      <c:pt idx="18">
                        <c:v>100</c:v>
                      </c:pt>
                      <c:pt idx="19">
                        <c:v>100</c:v>
                      </c:pt>
                      <c:pt idx="20">
                        <c:v>100</c:v>
                      </c:pt>
                      <c:pt idx="21">
                        <c:v>100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C792-4D85-B621-467437114611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  <a:r>
                  <a:rPr lang="en-US" sz="1600" b="1" baseline="0"/>
                  <a:t>wt</a:t>
                </a:r>
                <a:endParaRPr lang="en-US" sz="1600" b="1"/>
              </a:p>
            </c:rich>
          </c:tx>
          <c:layout>
            <c:manualLayout>
              <c:xMode val="edge"/>
              <c:yMode val="edge"/>
              <c:x val="3.0486811251183178E-2"/>
              <c:y val="0.38143479543081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  <c:majorUnit val="10"/>
        <c:minorUnit val="5"/>
      </c:valAx>
      <c:spPr>
        <a:noFill/>
        <a:ln w="25400">
          <a:noFill/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68145818842215078"/>
          <c:y val="0.2451151090713958"/>
          <c:w val="0.17014782277490781"/>
          <c:h val="0.23089398453571683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Sulfur</a:t>
            </a:r>
            <a:r>
              <a:rPr lang="en-US" b="1" baseline="0"/>
              <a:t> Conversion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439234328407764"/>
          <c:y val="0.15916606133997638"/>
          <c:w val="0.68738926103085418"/>
          <c:h val="0.66985331683037952"/>
        </c:manualLayout>
      </c:layout>
      <c:scatterChart>
        <c:scatterStyle val="lineMarker"/>
        <c:varyColors val="0"/>
        <c:ser>
          <c:idx val="6"/>
          <c:order val="6"/>
          <c:tx>
            <c:v>Change Cond.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38100" cap="rnd">
                <a:solidFill>
                  <a:srgbClr val="FF000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96C-4806-8441-5D7D4B8DEC40}"/>
              </c:ext>
            </c:extLst>
          </c:dPt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9CDE-4375-A824-3D397EB046E7}"/>
            </c:ext>
          </c:extLst>
        </c:ser>
        <c:ser>
          <c:idx val="11"/>
          <c:order val="10"/>
          <c:tx>
            <c:v>ART Acceptance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dLbl>
              <c:idx val="8"/>
              <c:layout>
                <c:manualLayout>
                  <c:x val="-2.0833699504935993E-2"/>
                  <c:y val="-8.08443745789355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304-4662-9C37-D6F6001A7673}"/>
                </c:ext>
              </c:extLst>
            </c:dLbl>
            <c:dLbl>
              <c:idx val="9"/>
              <c:layout>
                <c:manualLayout>
                  <c:x val="-1.4787036403122091E-2"/>
                  <c:y val="-6.28789580058387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F25-49F9-8C54-13B5ACA325F8}"/>
                </c:ext>
              </c:extLst>
            </c:dLbl>
            <c:dLbl>
              <c:idx val="10"/>
              <c:layout>
                <c:manualLayout>
                  <c:x val="2.9762427864193732E-3"/>
                  <c:y val="-2.47024477880080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304-4662-9C37-D6F6001A76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fixedVal"/>
            <c:noEndCap val="0"/>
            <c:val val="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Template'!$F$214:$P$214</c:f>
              <c:numCache>
                <c:formatCode>0.00</c:formatCode>
                <c:ptCount val="11"/>
                <c:pt idx="0">
                  <c:v>70</c:v>
                </c:pt>
                <c:pt idx="1">
                  <c:v>68.400000000000006</c:v>
                </c:pt>
                <c:pt idx="2">
                  <c:v>66.3</c:v>
                </c:pt>
                <c:pt idx="3">
                  <c:v>65.099999999999994</c:v>
                </c:pt>
                <c:pt idx="4">
                  <c:v>89.2</c:v>
                </c:pt>
                <c:pt idx="5">
                  <c:v>87.8</c:v>
                </c:pt>
                <c:pt idx="6">
                  <c:v>86.5</c:v>
                </c:pt>
                <c:pt idx="7">
                  <c:v>85.7</c:v>
                </c:pt>
                <c:pt idx="8">
                  <c:v>85</c:v>
                </c:pt>
                <c:pt idx="9">
                  <c:v>84.9</c:v>
                </c:pt>
                <c:pt idx="10">
                  <c:v>84.4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8A-44FD-B86A-CD516D59EE6A}"/>
            </c:ext>
          </c:extLst>
        </c:ser>
        <c:ser>
          <c:idx val="10"/>
          <c:order val="11"/>
          <c:tx>
            <c:v>TOP Acceptance'24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Template'!$F$213:$P$213</c:f>
              <c:numCache>
                <c:formatCode>0.00</c:formatCode>
                <c:ptCount val="11"/>
                <c:pt idx="5">
                  <c:v>87.232387014622091</c:v>
                </c:pt>
                <c:pt idx="6">
                  <c:v>85.740414279929411</c:v>
                </c:pt>
                <c:pt idx="7">
                  <c:v>85.163821870077811</c:v>
                </c:pt>
                <c:pt idx="8">
                  <c:v>83.485441424068696</c:v>
                </c:pt>
                <c:pt idx="9">
                  <c:v>82.714810991905594</c:v>
                </c:pt>
                <c:pt idx="10">
                  <c:v>82.183990148317633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6C-4806-8441-5D7D4B8DEC40}"/>
            </c:ext>
          </c:extLst>
        </c:ser>
        <c:ser>
          <c:idx val="14"/>
          <c:order val="14"/>
          <c:tx>
            <c:v>TOP Acceptance'26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3333FF"/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2.6664187651495103E-2"/>
                  <c:y val="-9.65641140803952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987-426A-A114-8799825D574D}"/>
                </c:ext>
              </c:extLst>
            </c:dLbl>
            <c:dLbl>
              <c:idx val="1"/>
              <c:layout>
                <c:manualLayout>
                  <c:x val="-2.0998106096172801E-2"/>
                  <c:y val="-6.063328093420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B99-4413-A765-6F212700E90A}"/>
                </c:ext>
              </c:extLst>
            </c:dLbl>
            <c:dLbl>
              <c:idx val="2"/>
              <c:layout>
                <c:manualLayout>
                  <c:x val="-2.089663978976429E-2"/>
                  <c:y val="-5.16505726476533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B53-4D77-B5DC-A0DAE2E8BEAB}"/>
                </c:ext>
              </c:extLst>
            </c:dLbl>
            <c:dLbl>
              <c:idx val="3"/>
              <c:layout>
                <c:manualLayout>
                  <c:x val="1.044831989488209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987-426A-A114-8799825D574D}"/>
                </c:ext>
              </c:extLst>
            </c:dLbl>
            <c:dLbl>
              <c:idx val="4"/>
              <c:layout>
                <c:manualLayout>
                  <c:x val="-2.2273183578034362E-2"/>
                  <c:y val="4.71592185043790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EF2-4B6E-85CF-7009DEDFB10B}"/>
                </c:ext>
              </c:extLst>
            </c:dLbl>
            <c:dLbl>
              <c:idx val="5"/>
              <c:layout>
                <c:manualLayout>
                  <c:x val="0"/>
                  <c:y val="-4.04221872894677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EF2-4B6E-85CF-7009DEDFB10B}"/>
                </c:ext>
              </c:extLst>
            </c:dLbl>
            <c:dLbl>
              <c:idx val="6"/>
              <c:layout>
                <c:manualLayout>
                  <c:x val="-2.9720249556480373E-2"/>
                  <c:y val="4.94048955760161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B38-4514-A174-DCA71FE7AA7D}"/>
                </c:ext>
              </c:extLst>
            </c:dLbl>
            <c:dLbl>
              <c:idx val="7"/>
              <c:layout>
                <c:manualLayout>
                  <c:x val="-2.8321878798086602E-2"/>
                  <c:y val="7.41073433640242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639-4359-9E92-F5784986BBA9}"/>
                </c:ext>
              </c:extLst>
            </c:dLbl>
            <c:dLbl>
              <c:idx val="8"/>
              <c:layout>
                <c:manualLayout>
                  <c:x val="-1.9378127598690831E-2"/>
                  <c:y val="4.04221872894677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6A4-4C39-8F0D-4F70866858CB}"/>
                </c:ext>
              </c:extLst>
            </c:dLbl>
            <c:dLbl>
              <c:idx val="9"/>
              <c:layout>
                <c:manualLayout>
                  <c:x val="-2.0864762148448717E-2"/>
                  <c:y val="6.06332809342016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F25-49F9-8C54-13B5ACA325F8}"/>
                </c:ext>
              </c:extLst>
            </c:dLbl>
            <c:dLbl>
              <c:idx val="10"/>
              <c:layout>
                <c:manualLayout>
                  <c:x val="-7.4331727487891601E-3"/>
                  <c:y val="5.61419267909274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E20-4F1C-92C2-E8CBB2E732BC}"/>
                </c:ext>
              </c:extLst>
            </c:dLbl>
            <c:dLbl>
              <c:idx val="11"/>
              <c:layout>
                <c:manualLayout>
                  <c:x val="4.5021624835336494E-3"/>
                  <c:y val="4.04221872894677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DBB-4FD3-8AFE-2E8455261BF7}"/>
                </c:ext>
              </c:extLst>
            </c:dLbl>
            <c:dLbl>
              <c:idx val="12"/>
              <c:layout>
                <c:manualLayout>
                  <c:x val="1.0363600331075647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335-425A-A519-33B8F19D0F54}"/>
                </c:ext>
              </c:extLst>
            </c:dLbl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Template'!$F$211:$AA$211</c:f>
              <c:numCache>
                <c:formatCode>0.00</c:formatCode>
                <c:ptCount val="22"/>
                <c:pt idx="0">
                  <c:v>69.721114131735945</c:v>
                </c:pt>
                <c:pt idx="1">
                  <c:v>69.771809222142551</c:v>
                </c:pt>
                <c:pt idx="2">
                  <c:v>65.922034958745556</c:v>
                </c:pt>
                <c:pt idx="3">
                  <c:v>66.402544175827117</c:v>
                </c:pt>
                <c:pt idx="4">
                  <c:v>88.026117668562591</c:v>
                </c:pt>
                <c:pt idx="5">
                  <c:v>87.188491509400862</c:v>
                </c:pt>
                <c:pt idx="6">
                  <c:v>85.979058902118339</c:v>
                </c:pt>
                <c:pt idx="7">
                  <c:v>84.993673789191547</c:v>
                </c:pt>
                <c:pt idx="8">
                  <c:v>84.26128439793392</c:v>
                </c:pt>
                <c:pt idx="9">
                  <c:v>83.758194734907406</c:v>
                </c:pt>
                <c:pt idx="10">
                  <c:v>83.087048087569627</c:v>
                </c:pt>
                <c:pt idx="11">
                  <c:v>82.962508326538568</c:v>
                </c:pt>
                <c:pt idx="12">
                  <c:v>82.443809517519483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710-423C-9661-3CA9FA73B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Template'!$C$162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Template'!$F$162:$U$162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45.4</c:v>
                      </c:pt>
                      <c:pt idx="1">
                        <c:v>45</c:v>
                      </c:pt>
                      <c:pt idx="2">
                        <c:v>45.1</c:v>
                      </c:pt>
                      <c:pt idx="3">
                        <c:v>45.8</c:v>
                      </c:pt>
                      <c:pt idx="4">
                        <c:v>81.8</c:v>
                      </c:pt>
                      <c:pt idx="5">
                        <c:v>80.2</c:v>
                      </c:pt>
                      <c:pt idx="6">
                        <c:v>79.8</c:v>
                      </c:pt>
                      <c:pt idx="7">
                        <c:v>78.5</c:v>
                      </c:pt>
                      <c:pt idx="8">
                        <c:v>76.8</c:v>
                      </c:pt>
                      <c:pt idx="9">
                        <c:v>76.400000000000006</c:v>
                      </c:pt>
                      <c:pt idx="10">
                        <c:v>77.400000000000006</c:v>
                      </c:pt>
                      <c:pt idx="11">
                        <c:v>76.86666666666666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Template'!$F$212:$U$212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72</c:v>
                      </c:pt>
                      <c:pt idx="1">
                        <c:v>68</c:v>
                      </c:pt>
                      <c:pt idx="2">
                        <c:v>66</c:v>
                      </c:pt>
                      <c:pt idx="3">
                        <c:v>65.599999999999994</c:v>
                      </c:pt>
                      <c:pt idx="4">
                        <c:v>86</c:v>
                      </c:pt>
                      <c:pt idx="5">
                        <c:v>87</c:v>
                      </c:pt>
                      <c:pt idx="6">
                        <c:v>86</c:v>
                      </c:pt>
                      <c:pt idx="7">
                        <c:v>85.5</c:v>
                      </c:pt>
                      <c:pt idx="8">
                        <c:v>85</c:v>
                      </c:pt>
                      <c:pt idx="9">
                        <c:v>84.6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Lbl>
                    <c:idx val="10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4-03D5-473E-836B-F0CBA2866F40}"/>
                      </c:ext>
                    </c:extLst>
                  </c:dLbl>
                  <c:dLbl>
                    <c:idx val="11"/>
                    <c:layout>
                      <c:manualLayout>
                        <c:x val="-2.2362530439436576E-2"/>
                        <c:y val="4.2667864361104875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3-03D5-473E-836B-F0CBA2866F40}"/>
                      </c:ext>
                    </c:extLst>
                  </c:dLbl>
                  <c:dLbl>
                    <c:idx val="12"/>
                    <c:layout>
                      <c:manualLayout>
                        <c:x val="1.9166210632359574E-2"/>
                        <c:y val="-3.8176510217830674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783B-4ABB-B01F-455522A6000B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Template'!$F$211:$V$211</c15:sqref>
                        </c15:formulaRef>
                      </c:ext>
                    </c:extLst>
                    <c:numCache>
                      <c:formatCode>0.00</c:formatCode>
                      <c:ptCount val="17"/>
                      <c:pt idx="0">
                        <c:v>69.721114131735945</c:v>
                      </c:pt>
                      <c:pt idx="1">
                        <c:v>69.771809222142551</c:v>
                      </c:pt>
                      <c:pt idx="2">
                        <c:v>65.922034958745556</c:v>
                      </c:pt>
                      <c:pt idx="3">
                        <c:v>66.402544175827117</c:v>
                      </c:pt>
                      <c:pt idx="4">
                        <c:v>88.026117668562591</c:v>
                      </c:pt>
                      <c:pt idx="5">
                        <c:v>87.188491509400862</c:v>
                      </c:pt>
                      <c:pt idx="6">
                        <c:v>85.979058902118339</c:v>
                      </c:pt>
                      <c:pt idx="7">
                        <c:v>84.993673789191547</c:v>
                      </c:pt>
                      <c:pt idx="8">
                        <c:v>84.26128439793392</c:v>
                      </c:pt>
                      <c:pt idx="9">
                        <c:v>83.758194734907406</c:v>
                      </c:pt>
                      <c:pt idx="10">
                        <c:v>83.087048087569627</c:v>
                      </c:pt>
                      <c:pt idx="11">
                        <c:v>82.962508326538568</c:v>
                      </c:pt>
                      <c:pt idx="12">
                        <c:v>82.443809517519483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Template'!$G$163:$L$163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</c:v>
                      </c:pt>
                      <c:pt idx="1">
                        <c:v>39.1</c:v>
                      </c:pt>
                      <c:pt idx="2">
                        <c:v>39.799999999999997</c:v>
                      </c:pt>
                      <c:pt idx="3">
                        <c:v>75.8</c:v>
                      </c:pt>
                      <c:pt idx="4">
                        <c:v>74.2</c:v>
                      </c:pt>
                      <c:pt idx="5">
                        <c:v>73.8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Template'!$F$163:$U$163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39.4</c:v>
                      </c:pt>
                      <c:pt idx="1">
                        <c:v>39</c:v>
                      </c:pt>
                      <c:pt idx="2">
                        <c:v>39.1</c:v>
                      </c:pt>
                      <c:pt idx="3">
                        <c:v>39.799999999999997</c:v>
                      </c:pt>
                      <c:pt idx="4">
                        <c:v>75.8</c:v>
                      </c:pt>
                      <c:pt idx="5">
                        <c:v>74.2</c:v>
                      </c:pt>
                      <c:pt idx="6">
                        <c:v>73.8</c:v>
                      </c:pt>
                      <c:pt idx="7">
                        <c:v>72.5</c:v>
                      </c:pt>
                      <c:pt idx="8">
                        <c:v>70.8</c:v>
                      </c:pt>
                      <c:pt idx="9">
                        <c:v>70.400000000000006</c:v>
                      </c:pt>
                      <c:pt idx="10">
                        <c:v>71.400000000000006</c:v>
                      </c:pt>
                      <c:pt idx="11">
                        <c:v>70.86666666666666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Aging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2"/>
                    <c:pt idx="0">
                      <c:v>4.5</c:v>
                    </c:pt>
                    <c:pt idx="1">
                      <c:v>4.5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CDE-4375-A824-3D397EB046E7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TOP Repro+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 (repro+)'!$F$186:$U$186</c15:sqref>
                        </c15:formulaRef>
                      </c:ext>
                    </c:extLst>
                    <c:numCache>
                      <c:formatCode>0.0000</c:formatCode>
                      <c:ptCount val="1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8A17-4046-9F89-C3C6FBFA378D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TOP Repro-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 (repro-)'!$F$186:$V$186</c15:sqref>
                        </c15:formulaRef>
                      </c:ext>
                    </c:extLst>
                    <c:numCache>
                      <c:formatCode>0.0000</c:formatCode>
                      <c:ptCount val="1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 formatCode="0.00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A17-4046-9F89-C3C6FBFA378D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MEBU25001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4">
                        <a:lumMod val="60000"/>
                      </a:schemeClr>
                    </a:solidFill>
                    <a:ln w="38100">
                      <a:solidFill>
                        <a:srgbClr val="FF0000"/>
                      </a:solidFill>
                      <a:prstDash val="solid"/>
                    </a:ln>
                    <a:effectLst/>
                  </c:spPr>
                </c:marker>
                <c:dPt>
                  <c:idx val="1"/>
                  <c:marker>
                    <c:symbol val="circle"/>
                    <c:size val="8"/>
                    <c:spPr>
                      <a:solidFill>
                        <a:schemeClr val="accent4">
                          <a:lumMod val="60000"/>
                        </a:schemeClr>
                      </a:solidFill>
                      <a:ln w="38100">
                        <a:solidFill>
                          <a:srgbClr val="FF0000"/>
                        </a:solidFill>
                        <a:prstDash val="solid"/>
                      </a:ln>
                      <a:effectLst/>
                    </c:spPr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2-4E57-460D-ACCA-CA3EA3CCE4B4}"/>
                    </c:ext>
                  </c:extLst>
                </c:dPt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'LSHS Master Template'!$F$186:$O$186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64.498987612700304</c:v>
                      </c:pt>
                      <c:pt idx="1">
                        <c:v>66.260538076075704</c:v>
                      </c:pt>
                      <c:pt idx="2">
                        <c:v>65.200068088983215</c:v>
                      </c:pt>
                      <c:pt idx="3">
                        <c:v>65.178077797459792</c:v>
                      </c:pt>
                      <c:pt idx="4">
                        <c:v>84.167966673459233</c:v>
                      </c:pt>
                      <c:pt idx="5">
                        <c:v>82.092170846131438</c:v>
                      </c:pt>
                      <c:pt idx="6">
                        <c:v>78.012112349376224</c:v>
                      </c:pt>
                      <c:pt idx="7">
                        <c:v>78.680928642779847</c:v>
                      </c:pt>
                      <c:pt idx="8">
                        <c:v>77.873998304433286</c:v>
                      </c:pt>
                      <c:pt idx="9">
                        <c:v>77.130923025345879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49E-4863-92E6-8F98AA216994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v>3% Abs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Template'!$F$6:$AA$6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Template'!$F$215:$AA$215</c15:sqref>
                        </c15:formulaRef>
                      </c:ext>
                    </c:extLst>
                    <c:numCache>
                      <c:formatCode>0.00</c:formatCode>
                      <c:ptCount val="22"/>
                      <c:pt idx="0">
                        <c:v>73</c:v>
                      </c:pt>
                      <c:pt idx="1">
                        <c:v>71.400000000000006</c:v>
                      </c:pt>
                      <c:pt idx="2">
                        <c:v>69.3</c:v>
                      </c:pt>
                      <c:pt idx="3">
                        <c:v>68.099999999999994</c:v>
                      </c:pt>
                      <c:pt idx="4">
                        <c:v>92.2</c:v>
                      </c:pt>
                      <c:pt idx="5">
                        <c:v>90.8</c:v>
                      </c:pt>
                      <c:pt idx="6">
                        <c:v>89.5</c:v>
                      </c:pt>
                      <c:pt idx="7">
                        <c:v>88.7</c:v>
                      </c:pt>
                      <c:pt idx="8">
                        <c:v>88</c:v>
                      </c:pt>
                      <c:pt idx="9">
                        <c:v>87.9</c:v>
                      </c:pt>
                      <c:pt idx="10">
                        <c:v>87.4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3</c:v>
                      </c:pt>
                      <c:pt idx="21">
                        <c:v>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C93-4D1D-862E-CD250621EF0C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v>-3% Abs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Template'!$F$6:$AA$6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Template'!$F$216:$AA$216</c15:sqref>
                        </c15:formulaRef>
                      </c:ext>
                    </c:extLst>
                    <c:numCache>
                      <c:formatCode>0.00</c:formatCode>
                      <c:ptCount val="22"/>
                      <c:pt idx="0">
                        <c:v>67</c:v>
                      </c:pt>
                      <c:pt idx="1">
                        <c:v>65.400000000000006</c:v>
                      </c:pt>
                      <c:pt idx="2">
                        <c:v>63.3</c:v>
                      </c:pt>
                      <c:pt idx="3">
                        <c:v>62.099999999999994</c:v>
                      </c:pt>
                      <c:pt idx="4">
                        <c:v>86.2</c:v>
                      </c:pt>
                      <c:pt idx="5">
                        <c:v>84.8</c:v>
                      </c:pt>
                      <c:pt idx="6">
                        <c:v>83.5</c:v>
                      </c:pt>
                      <c:pt idx="7">
                        <c:v>82.7</c:v>
                      </c:pt>
                      <c:pt idx="8">
                        <c:v>82</c:v>
                      </c:pt>
                      <c:pt idx="9">
                        <c:v>81.900000000000006</c:v>
                      </c:pt>
                      <c:pt idx="10">
                        <c:v>81.400000000000006</c:v>
                      </c:pt>
                      <c:pt idx="11">
                        <c:v>-3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  <c:pt idx="16">
                        <c:v>-3</c:v>
                      </c:pt>
                      <c:pt idx="17">
                        <c:v>-3</c:v>
                      </c:pt>
                      <c:pt idx="18">
                        <c:v>-3</c:v>
                      </c:pt>
                      <c:pt idx="19">
                        <c:v>-3</c:v>
                      </c:pt>
                      <c:pt idx="20">
                        <c:v>-3</c:v>
                      </c:pt>
                      <c:pt idx="21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C93-4D1D-862E-CD250621EF0C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v>TOP MEBU001</c:v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diamond"/>
                  <c:size val="8"/>
                  <c:spPr>
                    <a:noFill/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'Lab Results Summary'!$E$157:$H$157</c15:sqref>
                        </c15:formulaRef>
                      </c:ext>
                    </c:extLst>
                    <c:strCache>
                      <c:ptCount val="4"/>
                      <c:pt idx="0">
                        <c:v>D1</c:v>
                      </c:pt>
                      <c:pt idx="1">
                        <c:v>D2</c:v>
                      </c:pt>
                      <c:pt idx="2">
                        <c:v>D3</c:v>
                      </c:pt>
                      <c:pt idx="3">
                        <c:v>D4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'Lab Results Summary'!$E$161:$H$161</c15:sqref>
                        </c15:formulaRef>
                      </c:ext>
                    </c:extLst>
                    <c:numCache>
                      <c:formatCode>0.00</c:formatCode>
                      <c:ptCount val="4"/>
                      <c:pt idx="0">
                        <c:v>64.498987612700304</c:v>
                      </c:pt>
                      <c:pt idx="1">
                        <c:v>66.260538076075704</c:v>
                      </c:pt>
                      <c:pt idx="2">
                        <c:v>65.200068088983215</c:v>
                      </c:pt>
                      <c:pt idx="3">
                        <c:v>65.178077797459792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0EE-42B0-8804-46AEC9BD7D44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v>TOP MEBU002</c:v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diamond"/>
                  <c:size val="8"/>
                  <c:spPr>
                    <a:noFill/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'Lab Results Summary'!$J$157:$M$157</c15:sqref>
                        </c15:formulaRef>
                      </c:ext>
                    </c:extLst>
                    <c:strCache>
                      <c:ptCount val="4"/>
                      <c:pt idx="0">
                        <c:v>D1</c:v>
                      </c:pt>
                      <c:pt idx="1">
                        <c:v>D2</c:v>
                      </c:pt>
                      <c:pt idx="2">
                        <c:v>D3</c:v>
                      </c:pt>
                      <c:pt idx="3">
                        <c:v>D4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'Lab Results Summary'!$J$161:$M$161</c15:sqref>
                        </c15:formulaRef>
                      </c:ext>
                    </c:extLst>
                    <c:numCache>
                      <c:formatCode>0.00</c:formatCode>
                      <c:ptCount val="4"/>
                      <c:pt idx="0">
                        <c:v>67.617686959423224</c:v>
                      </c:pt>
                      <c:pt idx="1">
                        <c:v>64.246703911659267</c:v>
                      </c:pt>
                      <c:pt idx="2">
                        <c:v>63.811025586716383</c:v>
                      </c:pt>
                      <c:pt idx="3">
                        <c:v>64.098664157327704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0EE-42B0-8804-46AEC9BD7D44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95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</a:p>
            </c:rich>
          </c:tx>
          <c:layout>
            <c:manualLayout>
              <c:xMode val="edge"/>
              <c:yMode val="edge"/>
              <c:x val="1.4602536063060128E-2"/>
              <c:y val="0.461827910406326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6663488937578983"/>
          <c:y val="0.34177000267686292"/>
          <c:w val="0.17358705000504757"/>
          <c:h val="0.2302199172105508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Nitrogen Conversion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5"/>
          <c:order val="5"/>
          <c:tx>
            <c:v>Aging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1079-47F7-9695-BA0B7BBE49E7}"/>
            </c:ext>
          </c:extLst>
        </c:ser>
        <c:ser>
          <c:idx val="11"/>
          <c:order val="11"/>
          <c:tx>
            <c:v>ART Acceptance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4.4633683975242519E-3"/>
                  <c:y val="2.48027013461813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65E-47A3-AFC9-3A0E1C68E2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Template'!$F$221:$P$221</c:f>
              <c:numCache>
                <c:formatCode>0.00</c:formatCode>
                <c:ptCount val="11"/>
                <c:pt idx="0">
                  <c:v>29.010376153363399</c:v>
                </c:pt>
                <c:pt idx="1">
                  <c:v>27.049891081222498</c:v>
                </c:pt>
                <c:pt idx="2">
                  <c:v>23.413284670889901</c:v>
                </c:pt>
                <c:pt idx="3">
                  <c:v>24.728762152814198</c:v>
                </c:pt>
                <c:pt idx="4">
                  <c:v>48.149862937984402</c:v>
                </c:pt>
                <c:pt idx="5">
                  <c:v>45.568982215968504</c:v>
                </c:pt>
                <c:pt idx="6">
                  <c:v>43.038810491796099</c:v>
                </c:pt>
                <c:pt idx="7">
                  <c:v>41.314872840307402</c:v>
                </c:pt>
                <c:pt idx="8">
                  <c:v>41.379358808050199</c:v>
                </c:pt>
                <c:pt idx="9">
                  <c:v>40.760595684215303</c:v>
                </c:pt>
                <c:pt idx="10">
                  <c:v>40.600538929359395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7A-470E-85D6-5FFABABD87A2}"/>
            </c:ext>
          </c:extLst>
        </c:ser>
        <c:ser>
          <c:idx val="12"/>
          <c:order val="12"/>
          <c:tx>
            <c:v>TOP Acceptance'24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Template'!$F$220:$P$220</c:f>
              <c:numCache>
                <c:formatCode>0.00</c:formatCode>
                <c:ptCount val="11"/>
                <c:pt idx="5">
                  <c:v>47.018859937098</c:v>
                </c:pt>
                <c:pt idx="6">
                  <c:v>44.023005238291191</c:v>
                </c:pt>
                <c:pt idx="7">
                  <c:v>43.134170043709695</c:v>
                </c:pt>
                <c:pt idx="8">
                  <c:v>39.063912197450215</c:v>
                </c:pt>
                <c:pt idx="9">
                  <c:v>37.309286470805695</c:v>
                </c:pt>
                <c:pt idx="10">
                  <c:v>34.907705204303639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7A-470E-85D6-5FFABABD87A2}"/>
            </c:ext>
          </c:extLst>
        </c:ser>
        <c:ser>
          <c:idx val="13"/>
          <c:order val="13"/>
          <c:tx>
            <c:v>TOP Acceptance'26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3333FF"/>
              </a:solidFill>
              <a:ln w="9525">
                <a:noFill/>
              </a:ln>
              <a:effectLst/>
            </c:spPr>
          </c:marker>
          <c:dLbls>
            <c:dLbl>
              <c:idx val="4"/>
              <c:layout>
                <c:manualLayout>
                  <c:x val="-1.1841487701111526E-2"/>
                  <c:y val="-2.93122834091233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CB5-4113-A922-877D632D6707}"/>
                </c:ext>
              </c:extLst>
            </c:dLbl>
            <c:dLbl>
              <c:idx val="5"/>
              <c:layout>
                <c:manualLayout>
                  <c:x val="0"/>
                  <c:y val="-2.70574923776522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CB5-4113-A922-877D632D6707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045-4B4F-A7EF-C47C4302F5B4}"/>
                </c:ext>
              </c:extLst>
            </c:dLbl>
            <c:dLbl>
              <c:idx val="7"/>
              <c:layout>
                <c:manualLayout>
                  <c:x val="-4.4653599267305234E-3"/>
                  <c:y val="-3.60766565035363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DA4-461F-B2B3-04532845DEE7}"/>
                </c:ext>
              </c:extLst>
            </c:dLbl>
            <c:dLbl>
              <c:idx val="8"/>
              <c:layout>
                <c:manualLayout>
                  <c:x val="-8.9485539680109038E-3"/>
                  <c:y val="3.38218654720653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B6A-47C8-85E8-B9BBF2180990}"/>
                </c:ext>
              </c:extLst>
            </c:dLbl>
            <c:dLbl>
              <c:idx val="9"/>
              <c:layout>
                <c:manualLayout>
                  <c:x val="-5.4432813348748393E-17"/>
                  <c:y val="-5.41149847553045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C8B-4701-8C06-D703DF2631C5}"/>
                </c:ext>
              </c:extLst>
            </c:dLbl>
            <c:dLbl>
              <c:idx val="10"/>
              <c:layout>
                <c:manualLayout>
                  <c:x val="4.4077444029261281E-3"/>
                  <c:y val="2.48027013461812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08C-4951-8B8A-2C3828398ACA}"/>
                </c:ext>
              </c:extLst>
            </c:dLbl>
            <c:dLbl>
              <c:idx val="11"/>
              <c:layout>
                <c:manualLayout>
                  <c:x val="-1.4902921547617944E-3"/>
                  <c:y val="-2.48027013461812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C93-4741-977B-1757450EC6D4}"/>
                </c:ext>
              </c:extLst>
            </c:dLbl>
            <c:dLbl>
              <c:idx val="12"/>
              <c:layout>
                <c:manualLayout>
                  <c:x val="7.4514607738089718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C93-4741-977B-1757450EC6D4}"/>
                </c:ext>
              </c:extLst>
            </c:dLbl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Template'!$F$218:$AA$218</c:f>
              <c:numCache>
                <c:formatCode>0.00</c:formatCode>
                <c:ptCount val="22"/>
                <c:pt idx="0">
                  <c:v>33.796811410187729</c:v>
                </c:pt>
                <c:pt idx="1">
                  <c:v>35.590094259568701</c:v>
                </c:pt>
                <c:pt idx="2">
                  <c:v>29.462279141827107</c:v>
                </c:pt>
                <c:pt idx="3">
                  <c:v>31.044840543417891</c:v>
                </c:pt>
                <c:pt idx="4">
                  <c:v>52.700197050373099</c:v>
                </c:pt>
                <c:pt idx="5">
                  <c:v>50.289742314490923</c:v>
                </c:pt>
                <c:pt idx="6">
                  <c:v>46.338833666972768</c:v>
                </c:pt>
                <c:pt idx="7">
                  <c:v>49.040691671668171</c:v>
                </c:pt>
                <c:pt idx="8">
                  <c:v>48.064929704309975</c:v>
                </c:pt>
                <c:pt idx="9">
                  <c:v>49.465450385312188</c:v>
                </c:pt>
                <c:pt idx="10">
                  <c:v>45.062302840345147</c:v>
                </c:pt>
                <c:pt idx="11">
                  <c:v>49.035402076370161</c:v>
                </c:pt>
                <c:pt idx="12">
                  <c:v>46.998497671309515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B6-4EE9-9AD8-107BC4BC8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Template'!$C$162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Template'!$F$162:$U$162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45.4</c:v>
                      </c:pt>
                      <c:pt idx="1">
                        <c:v>45</c:v>
                      </c:pt>
                      <c:pt idx="2">
                        <c:v>45.1</c:v>
                      </c:pt>
                      <c:pt idx="3">
                        <c:v>45.8</c:v>
                      </c:pt>
                      <c:pt idx="4">
                        <c:v>81.8</c:v>
                      </c:pt>
                      <c:pt idx="5">
                        <c:v>80.2</c:v>
                      </c:pt>
                      <c:pt idx="6">
                        <c:v>79.8</c:v>
                      </c:pt>
                      <c:pt idx="7">
                        <c:v>78.5</c:v>
                      </c:pt>
                      <c:pt idx="8">
                        <c:v>76.8</c:v>
                      </c:pt>
                      <c:pt idx="9">
                        <c:v>76.400000000000006</c:v>
                      </c:pt>
                      <c:pt idx="10">
                        <c:v>77.400000000000006</c:v>
                      </c:pt>
                      <c:pt idx="11">
                        <c:v>76.86666666666666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0"/>
                        <c:y val="-1.5765765765765764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19AA-4813-96F2-973E32F04D74}"/>
                      </c:ext>
                    </c:extLst>
                  </c:dLbl>
                  <c:dLbl>
                    <c:idx val="14"/>
                    <c:layout>
                      <c:manualLayout>
                        <c:x val="-1.3646848362453415E-3"/>
                        <c:y val="3.7110671253876806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FAEB-4720-B811-C1DC621B931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Template'!$F$219:$U$219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38</c:v>
                      </c:pt>
                      <c:pt idx="1">
                        <c:v>31.5</c:v>
                      </c:pt>
                      <c:pt idx="2">
                        <c:v>27.5</c:v>
                      </c:pt>
                      <c:pt idx="3">
                        <c:v>28.4</c:v>
                      </c:pt>
                      <c:pt idx="4">
                        <c:v>55.5</c:v>
                      </c:pt>
                      <c:pt idx="5">
                        <c:v>45</c:v>
                      </c:pt>
                      <c:pt idx="6">
                        <c:v>43</c:v>
                      </c:pt>
                      <c:pt idx="7">
                        <c:v>42.5</c:v>
                      </c:pt>
                      <c:pt idx="8">
                        <c:v>41.5</c:v>
                      </c:pt>
                      <c:pt idx="9">
                        <c:v>40.700000000000003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Lbl>
                    <c:idx val="10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AF3A-4605-BB30-8A1D2FC460B4}"/>
                      </c:ext>
                    </c:extLst>
                  </c:dLbl>
                  <c:dLbl>
                    <c:idx val="11"/>
                    <c:layout>
                      <c:manualLayout>
                        <c:x val="-5.9207431604927536E-3"/>
                        <c:y val="-2.2522522522522605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AF3A-4605-BB30-8A1D2FC460B4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Template'!$F$218:$V$218</c15:sqref>
                        </c15:formulaRef>
                      </c:ext>
                    </c:extLst>
                    <c:numCache>
                      <c:formatCode>0.00</c:formatCode>
                      <c:ptCount val="17"/>
                      <c:pt idx="0">
                        <c:v>33.796811410187729</c:v>
                      </c:pt>
                      <c:pt idx="1">
                        <c:v>35.590094259568701</c:v>
                      </c:pt>
                      <c:pt idx="2">
                        <c:v>29.462279141827107</c:v>
                      </c:pt>
                      <c:pt idx="3">
                        <c:v>31.044840543417891</c:v>
                      </c:pt>
                      <c:pt idx="4">
                        <c:v>52.700197050373099</c:v>
                      </c:pt>
                      <c:pt idx="5">
                        <c:v>50.289742314490923</c:v>
                      </c:pt>
                      <c:pt idx="6">
                        <c:v>46.338833666972768</c:v>
                      </c:pt>
                      <c:pt idx="7">
                        <c:v>49.040691671668171</c:v>
                      </c:pt>
                      <c:pt idx="8">
                        <c:v>48.064929704309975</c:v>
                      </c:pt>
                      <c:pt idx="9">
                        <c:v>49.465450385312188</c:v>
                      </c:pt>
                      <c:pt idx="10">
                        <c:v>45.062302840345147</c:v>
                      </c:pt>
                      <c:pt idx="11">
                        <c:v>49.035402076370161</c:v>
                      </c:pt>
                      <c:pt idx="12">
                        <c:v>46.998497671309515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Template'!$G$163:$L$163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</c:v>
                      </c:pt>
                      <c:pt idx="1">
                        <c:v>39.1</c:v>
                      </c:pt>
                      <c:pt idx="2">
                        <c:v>39.799999999999997</c:v>
                      </c:pt>
                      <c:pt idx="3">
                        <c:v>75.8</c:v>
                      </c:pt>
                      <c:pt idx="4">
                        <c:v>74.2</c:v>
                      </c:pt>
                      <c:pt idx="5">
                        <c:v>73.8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Template'!$F$163:$U$163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39.4</c:v>
                      </c:pt>
                      <c:pt idx="1">
                        <c:v>39</c:v>
                      </c:pt>
                      <c:pt idx="2">
                        <c:v>39.1</c:v>
                      </c:pt>
                      <c:pt idx="3">
                        <c:v>39.799999999999997</c:v>
                      </c:pt>
                      <c:pt idx="4">
                        <c:v>75.8</c:v>
                      </c:pt>
                      <c:pt idx="5">
                        <c:v>74.2</c:v>
                      </c:pt>
                      <c:pt idx="6">
                        <c:v>73.8</c:v>
                      </c:pt>
                      <c:pt idx="7">
                        <c:v>72.5</c:v>
                      </c:pt>
                      <c:pt idx="8">
                        <c:v>70.8</c:v>
                      </c:pt>
                      <c:pt idx="9">
                        <c:v>70.400000000000006</c:v>
                      </c:pt>
                      <c:pt idx="10">
                        <c:v>71.400000000000006</c:v>
                      </c:pt>
                      <c:pt idx="11">
                        <c:v>70.86666666666666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Change Cond.</c:v>
                </c:tx>
                <c:spPr>
                  <a:ln w="3810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2"/>
                    <c:pt idx="0">
                      <c:v>13.5</c:v>
                    </c:pt>
                    <c:pt idx="1">
                      <c:v>13.5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079-47F7-9695-BA0B7BBE49E7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TOP Repro+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 (repro+)'!$F$189:$U$189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EBDE-423B-B365-E8705B7ED611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TOP Repro-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 (repro-)'!$F$189:$V$189</c15:sqref>
                        </c15:formulaRef>
                      </c:ext>
                    </c:extLst>
                    <c:numCache>
                      <c:formatCode>0.00</c:formatCode>
                      <c:ptCount val="1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BDE-423B-B365-E8705B7ED611}"/>
                  </c:ext>
                </c:extLst>
              </c15:ser>
            </c15:filteredScatterSeries>
            <c15:filteredScatterSeries>
              <c15:ser>
                <c:idx val="10"/>
                <c:order val="9"/>
                <c:tx>
                  <c:v>Change Cond2</c:v>
                </c:tx>
                <c:spPr>
                  <a:ln w="3810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2"/>
                    <c:pt idx="0">
                      <c:v>19.5</c:v>
                    </c:pt>
                    <c:pt idx="1">
                      <c:v>19.5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012-4691-A054-5533BFC19F60}"/>
                  </c:ext>
                </c:extLst>
              </c15:ser>
            </c15:filteredScatterSeries>
            <c15:filteredScatterSeries>
              <c15:ser>
                <c:idx val="9"/>
                <c:order val="10"/>
                <c:tx>
                  <c:v>MEBU25001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tar"/>
                  <c:size val="8"/>
                  <c:spPr>
                    <a:noFill/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'LSHS Master Template'!$F$189:$O$189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38.689882177323334</c:v>
                      </c:pt>
                      <c:pt idx="1">
                        <c:v>39.321934701991587</c:v>
                      </c:pt>
                      <c:pt idx="2">
                        <c:v>43.4371551972229</c:v>
                      </c:pt>
                      <c:pt idx="3">
                        <c:v>39.672386452424909</c:v>
                      </c:pt>
                      <c:pt idx="4">
                        <c:v>63.187613904350457</c:v>
                      </c:pt>
                      <c:pt idx="5">
                        <c:v>41.204457959699141</c:v>
                      </c:pt>
                      <c:pt idx="6">
                        <c:v>36.193380883636706</c:v>
                      </c:pt>
                      <c:pt idx="7">
                        <c:v>37.596947448157117</c:v>
                      </c:pt>
                      <c:pt idx="8">
                        <c:v>32.016728421017319</c:v>
                      </c:pt>
                      <c:pt idx="9">
                        <c:v>35.294825697057583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3AD0-4BA5-8727-769E874892EC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v>TOP MEBU001</c:v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diamond"/>
                  <c:size val="8"/>
                  <c:spPr>
                    <a:noFill/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'Lab Results Summary'!$E$157:$H$157</c15:sqref>
                        </c15:formulaRef>
                      </c:ext>
                    </c:extLst>
                    <c:strCache>
                      <c:ptCount val="4"/>
                      <c:pt idx="0">
                        <c:v>D1</c:v>
                      </c:pt>
                      <c:pt idx="1">
                        <c:v>D2</c:v>
                      </c:pt>
                      <c:pt idx="2">
                        <c:v>D3</c:v>
                      </c:pt>
                      <c:pt idx="3">
                        <c:v>D4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'Lab Results Summary'!$E$163:$H$163</c15:sqref>
                        </c15:formulaRef>
                      </c:ext>
                    </c:extLst>
                    <c:numCache>
                      <c:formatCode>0.00</c:formatCode>
                      <c:ptCount val="4"/>
                      <c:pt idx="0">
                        <c:v>38.689882177323334</c:v>
                      </c:pt>
                      <c:pt idx="1">
                        <c:v>39.321934701991587</c:v>
                      </c:pt>
                      <c:pt idx="2">
                        <c:v>43.4371551972229</c:v>
                      </c:pt>
                      <c:pt idx="3">
                        <c:v>39.672386452424909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BE26-4E3D-A62B-6F0B9B88A359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v>TOP MEBU002</c:v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diamond"/>
                  <c:size val="8"/>
                  <c:spPr>
                    <a:noFill/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'Lab Results Summary'!$J$157:$M$157</c15:sqref>
                        </c15:formulaRef>
                      </c:ext>
                    </c:extLst>
                    <c:strCache>
                      <c:ptCount val="4"/>
                      <c:pt idx="0">
                        <c:v>D1</c:v>
                      </c:pt>
                      <c:pt idx="1">
                        <c:v>D2</c:v>
                      </c:pt>
                      <c:pt idx="2">
                        <c:v>D3</c:v>
                      </c:pt>
                      <c:pt idx="3">
                        <c:v>D4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'Lab Results Summary'!$J$163:$M$163</c15:sqref>
                        </c15:formulaRef>
                      </c:ext>
                    </c:extLst>
                    <c:numCache>
                      <c:formatCode>0.00</c:formatCode>
                      <c:ptCount val="4"/>
                      <c:pt idx="0">
                        <c:v>38.243113838919115</c:v>
                      </c:pt>
                      <c:pt idx="1">
                        <c:v>33.529645818047953</c:v>
                      </c:pt>
                      <c:pt idx="2">
                        <c:v>32.081083788810211</c:v>
                      </c:pt>
                      <c:pt idx="3">
                        <c:v>30.166695440522346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E26-4E3D-A62B-6F0B9B88A359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</a:p>
            </c:rich>
          </c:tx>
          <c:layout>
            <c:manualLayout>
              <c:xMode val="edge"/>
              <c:yMode val="edge"/>
              <c:x val="2.085402870650626E-2"/>
              <c:y val="0.478053131872029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69444379272550449"/>
          <c:y val="0.39720833205853096"/>
          <c:w val="0.17014784260564944"/>
          <c:h val="0.23115425238497414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MCR </a:t>
            </a:r>
            <a:r>
              <a:rPr lang="en-US" b="1" baseline="0"/>
              <a:t>Conversion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21681593801536"/>
          <c:y val="0.1614056250121817"/>
          <c:w val="0.68738926103085418"/>
          <c:h val="0.66985331683037952"/>
        </c:manualLayout>
      </c:layout>
      <c:scatterChart>
        <c:scatterStyle val="lineMarker"/>
        <c:varyColors val="0"/>
        <c:ser>
          <c:idx val="5"/>
          <c:order val="5"/>
          <c:tx>
            <c:v>Aging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36C3-4833-BDB2-CDA33B8A8C63}"/>
            </c:ext>
          </c:extLst>
        </c:ser>
        <c:ser>
          <c:idx val="11"/>
          <c:order val="9"/>
          <c:tx>
            <c:v>ART Acceptance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3"/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2261377316673176E-2"/>
                  <c:y val="4.95495495495494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AA-4375-9349-329D437109EF}"/>
                </c:ext>
              </c:extLst>
            </c:dLbl>
            <c:dLbl>
              <c:idx val="1"/>
              <c:layout>
                <c:manualLayout>
                  <c:x val="-2.0777285495561629E-2"/>
                  <c:y val="4.729729729729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AA-4375-9349-329D437109EF}"/>
                </c:ext>
              </c:extLst>
            </c:dLbl>
            <c:dLbl>
              <c:idx val="2"/>
              <c:layout>
                <c:manualLayout>
                  <c:x val="-2.3745469137784719E-2"/>
                  <c:y val="4.9549549549549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6D2-4A81-87FF-CAE32EB89E24}"/>
                </c:ext>
              </c:extLst>
            </c:dLbl>
            <c:dLbl>
              <c:idx val="3"/>
              <c:layout>
                <c:manualLayout>
                  <c:x val="7.4495349730444149E-3"/>
                  <c:y val="4.2792792792792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AA-4375-9349-329D437109EF}"/>
                </c:ext>
              </c:extLst>
            </c:dLbl>
            <c:dLbl>
              <c:idx val="6"/>
              <c:layout>
                <c:manualLayout>
                  <c:x val="-2.9817893671034673E-3"/>
                  <c:y val="4.72972972972972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26A-4F2F-99A9-E8FBB0A47082}"/>
                </c:ext>
              </c:extLst>
            </c:dLbl>
            <c:dLbl>
              <c:idx val="8"/>
              <c:layout>
                <c:manualLayout>
                  <c:x val="-2.0872525569724326E-2"/>
                  <c:y val="4.5045045045044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FA-4468-8E85-7DD19BCC535D}"/>
                </c:ext>
              </c:extLst>
            </c:dLbl>
            <c:dLbl>
              <c:idx val="9"/>
              <c:layout>
                <c:manualLayout>
                  <c:x val="-1.7851681343739628E-2"/>
                  <c:y val="5.40540540540540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FA-4468-8E85-7DD19BCC535D}"/>
                </c:ext>
              </c:extLst>
            </c:dLbl>
            <c:dLbl>
              <c:idx val="10"/>
              <c:layout>
                <c:manualLayout>
                  <c:x val="-5.4665506896296451E-17"/>
                  <c:y val="4.9549549549549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FA-4468-8E85-7DD19BCC53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fixedVal"/>
            <c:noEndCap val="0"/>
            <c:val val="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  <c:extLst xmlns:c15="http://schemas.microsoft.com/office/drawing/2012/chart"/>
            </c:numRef>
          </c:xVal>
          <c:yVal>
            <c:numRef>
              <c:f>'Master Template'!$F$233:$P$233</c:f>
              <c:numCache>
                <c:formatCode>0.0</c:formatCode>
                <c:ptCount val="11"/>
                <c:pt idx="0">
                  <c:v>51.4</c:v>
                </c:pt>
                <c:pt idx="1">
                  <c:v>49.3</c:v>
                </c:pt>
                <c:pt idx="2">
                  <c:v>48.5</c:v>
                </c:pt>
                <c:pt idx="3">
                  <c:v>48.4</c:v>
                </c:pt>
                <c:pt idx="4">
                  <c:v>75.900000000000006</c:v>
                </c:pt>
                <c:pt idx="5">
                  <c:v>74.5</c:v>
                </c:pt>
                <c:pt idx="6">
                  <c:v>72.2</c:v>
                </c:pt>
                <c:pt idx="7">
                  <c:v>71.400000000000006</c:v>
                </c:pt>
                <c:pt idx="8">
                  <c:v>71.099999999999994</c:v>
                </c:pt>
                <c:pt idx="9">
                  <c:v>70</c:v>
                </c:pt>
                <c:pt idx="10">
                  <c:v>69.7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CBDF-4074-B873-A224E12F495A}"/>
            </c:ext>
          </c:extLst>
        </c:ser>
        <c:ser>
          <c:idx val="6"/>
          <c:order val="10"/>
          <c:tx>
            <c:v>TOP Acceptance'24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Template'!$F$232:$P$232</c:f>
              <c:numCache>
                <c:formatCode>0.0</c:formatCode>
                <c:ptCount val="11"/>
                <c:pt idx="5">
                  <c:v>77.802772812270902</c:v>
                </c:pt>
                <c:pt idx="6">
                  <c:v>75.674791281786369</c:v>
                </c:pt>
                <c:pt idx="7">
                  <c:v>74.354415574444744</c:v>
                </c:pt>
                <c:pt idx="8">
                  <c:v>72.67274937072041</c:v>
                </c:pt>
                <c:pt idx="9">
                  <c:v>72.579390389567365</c:v>
                </c:pt>
                <c:pt idx="10">
                  <c:v>72.707876603791064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88-4E41-8CB3-11203B09F703}"/>
            </c:ext>
          </c:extLst>
        </c:ser>
        <c:ser>
          <c:idx val="13"/>
          <c:order val="13"/>
          <c:tx>
            <c:v>TOP Acceptance'26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3333FF"/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2.6713652780007809E-2"/>
                  <c:y val="-3.37837837837838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AA-4375-9349-329D437109EF}"/>
                </c:ext>
              </c:extLst>
            </c:dLbl>
            <c:dLbl>
              <c:idx val="1"/>
              <c:layout>
                <c:manualLayout>
                  <c:x val="-2.0810589918318859E-2"/>
                  <c:y val="-4.9549549549549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333-4E09-87EE-6CD6E6E1121C}"/>
                </c:ext>
              </c:extLst>
            </c:dLbl>
            <c:dLbl>
              <c:idx val="2"/>
              <c:layout>
                <c:manualLayout>
                  <c:x val="-1.1872734568892387E-2"/>
                  <c:y val="-6.75675675675675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6D2-4A81-87FF-CAE32EB89E24}"/>
                </c:ext>
              </c:extLst>
            </c:dLbl>
            <c:dLbl>
              <c:idx val="3"/>
              <c:layout>
                <c:manualLayout>
                  <c:x val="7.4495349730444149E-3"/>
                  <c:y val="-5.40540540540541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AA-4375-9349-329D437109EF}"/>
                </c:ext>
              </c:extLst>
            </c:dLbl>
            <c:dLbl>
              <c:idx val="4"/>
              <c:layout>
                <c:manualLayout>
                  <c:x val="-1.9342538923210119E-2"/>
                  <c:y val="-0.1126126126126126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4A3-4F0F-8A35-A7384F8712E2}"/>
                </c:ext>
              </c:extLst>
            </c:dLbl>
            <c:dLbl>
              <c:idx val="5"/>
              <c:layout>
                <c:manualLayout>
                  <c:x val="-2.6836104303931262E-2"/>
                  <c:y val="-8.10810810810810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4A3-4F0F-8A35-A7384F8712E2}"/>
                </c:ext>
              </c:extLst>
            </c:dLbl>
            <c:dLbl>
              <c:idx val="6"/>
              <c:layout>
                <c:manualLayout>
                  <c:x val="-2.3860771567347113E-2"/>
                  <c:y val="-6.75675675675675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26A-4F2F-99A9-E8FBB0A47082}"/>
                </c:ext>
              </c:extLst>
            </c:dLbl>
            <c:dLbl>
              <c:idx val="7"/>
              <c:layout>
                <c:manualLayout>
                  <c:x val="-2.2363420253276062E-2"/>
                  <c:y val="-4.27927927927928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01E-453E-8B9B-7850D4F2281F}"/>
                </c:ext>
              </c:extLst>
            </c:dLbl>
            <c:dLbl>
              <c:idx val="8"/>
              <c:layout>
                <c:manualLayout>
                  <c:x val="-7.4544734177587231E-3"/>
                  <c:y val="-4.05405405405405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EC5-45B5-A0F6-D749F8DE0525}"/>
                </c:ext>
              </c:extLst>
            </c:dLbl>
            <c:dLbl>
              <c:idx val="9"/>
              <c:layout>
                <c:manualLayout>
                  <c:x val="1.1947262712781164E-2"/>
                  <c:y val="-3.60360360360360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402-460A-9260-BB704CD46F78}"/>
                </c:ext>
              </c:extLst>
            </c:dLbl>
            <c:dLbl>
              <c:idx val="10"/>
              <c:layout>
                <c:manualLayout>
                  <c:x val="1.4916792489216889E-2"/>
                  <c:y val="-1.57657657657657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FA-4468-8E85-7DD19BCC535D}"/>
                </c:ext>
              </c:extLst>
            </c:dLbl>
            <c:dLbl>
              <c:idx val="11"/>
              <c:layout>
                <c:manualLayout>
                  <c:x val="1.934321978224118E-2"/>
                  <c:y val="2.25225225225224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B7-4523-913D-008429BA3356}"/>
                </c:ext>
              </c:extLst>
            </c:dLbl>
            <c:dLbl>
              <c:idx val="12"/>
              <c:layout>
                <c:manualLayout>
                  <c:x val="2.2248889745363976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1F8-475E-8671-A1E8728DFBE8}"/>
                </c:ext>
              </c:extLst>
            </c:dLbl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Template'!$F$230:$AA$230</c:f>
              <c:numCache>
                <c:formatCode>0.00</c:formatCode>
                <c:ptCount val="22"/>
                <c:pt idx="0">
                  <c:v>54.319879670531634</c:v>
                </c:pt>
                <c:pt idx="1">
                  <c:v>52.147203807922267</c:v>
                </c:pt>
                <c:pt idx="2">
                  <c:v>49.477786017117467</c:v>
                </c:pt>
                <c:pt idx="3">
                  <c:v>49.272730566014246</c:v>
                </c:pt>
                <c:pt idx="4">
                  <c:v>78.552417199708088</c:v>
                </c:pt>
                <c:pt idx="5">
                  <c:v>78.400462920135425</c:v>
                </c:pt>
                <c:pt idx="6">
                  <c:v>75.658491414669342</c:v>
                </c:pt>
                <c:pt idx="7">
                  <c:v>74.518313571684345</c:v>
                </c:pt>
                <c:pt idx="8">
                  <c:v>73.468038731480178</c:v>
                </c:pt>
                <c:pt idx="9">
                  <c:v>72.979876659450639</c:v>
                </c:pt>
                <c:pt idx="10">
                  <c:v>72.10174054834097</c:v>
                </c:pt>
                <c:pt idx="11">
                  <c:v>70.403480504793393</c:v>
                </c:pt>
                <c:pt idx="12">
                  <c:v>70.875527144471249</c:v>
                </c:pt>
                <c:pt idx="13" formatCode="0.0">
                  <c:v>0</c:v>
                </c:pt>
                <c:pt idx="14" formatCode="0.0">
                  <c:v>0</c:v>
                </c:pt>
                <c:pt idx="15" formatCode="0.0">
                  <c:v>0</c:v>
                </c:pt>
                <c:pt idx="16" formatCode="0.0">
                  <c:v>0</c:v>
                </c:pt>
                <c:pt idx="17" formatCode="0.0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B0-4C54-9338-71C11B219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Template'!$C$162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Template'!$F$162:$U$162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45.4</c:v>
                      </c:pt>
                      <c:pt idx="1">
                        <c:v>45</c:v>
                      </c:pt>
                      <c:pt idx="2">
                        <c:v>45.1</c:v>
                      </c:pt>
                      <c:pt idx="3">
                        <c:v>45.8</c:v>
                      </c:pt>
                      <c:pt idx="4">
                        <c:v>81.8</c:v>
                      </c:pt>
                      <c:pt idx="5">
                        <c:v>80.2</c:v>
                      </c:pt>
                      <c:pt idx="6">
                        <c:v>79.8</c:v>
                      </c:pt>
                      <c:pt idx="7">
                        <c:v>78.5</c:v>
                      </c:pt>
                      <c:pt idx="8">
                        <c:v>76.8</c:v>
                      </c:pt>
                      <c:pt idx="9">
                        <c:v>76.400000000000006</c:v>
                      </c:pt>
                      <c:pt idx="10">
                        <c:v>77.400000000000006</c:v>
                      </c:pt>
                      <c:pt idx="11">
                        <c:v>76.86666666666666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Template'!$F$231:$U$231</c15:sqref>
                        </c15:formulaRef>
                      </c:ext>
                    </c:extLst>
                    <c:numCache>
                      <c:formatCode>0.0</c:formatCode>
                      <c:ptCount val="16"/>
                      <c:pt idx="0">
                        <c:v>56</c:v>
                      </c:pt>
                      <c:pt idx="1">
                        <c:v>50</c:v>
                      </c:pt>
                      <c:pt idx="2">
                        <c:v>49</c:v>
                      </c:pt>
                      <c:pt idx="3">
                        <c:v>48</c:v>
                      </c:pt>
                      <c:pt idx="4">
                        <c:v>70</c:v>
                      </c:pt>
                      <c:pt idx="5">
                        <c:v>69</c:v>
                      </c:pt>
                      <c:pt idx="6">
                        <c:v>66</c:v>
                      </c:pt>
                      <c:pt idx="7">
                        <c:v>66.5</c:v>
                      </c:pt>
                      <c:pt idx="8">
                        <c:v>65.5</c:v>
                      </c:pt>
                      <c:pt idx="9">
                        <c:v>64.400000000000006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Lbl>
                    <c:idx val="10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8C1A-42D1-A080-5F8A6D49DF88}"/>
                      </c:ext>
                    </c:extLst>
                  </c:dLbl>
                  <c:dLbl>
                    <c:idx val="11"/>
                    <c:layout>
                      <c:manualLayout>
                        <c:x val="-2.6617853798014891E-2"/>
                        <c:y val="2.7027027027026945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8C1A-42D1-A080-5F8A6D49DF88}"/>
                      </c:ext>
                    </c:extLst>
                  </c:dLbl>
                  <c:dLbl>
                    <c:idx val="12"/>
                    <c:layout>
                      <c:manualLayout>
                        <c:x val="1.9201599582798438E-2"/>
                        <c:y val="-9.0090090090090922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C49E-4D7F-BC4B-A8451FE5733A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Template'!$F$230:$V$230</c15:sqref>
                        </c15:formulaRef>
                      </c:ext>
                    </c:extLst>
                    <c:numCache>
                      <c:formatCode>0.00</c:formatCode>
                      <c:ptCount val="17"/>
                      <c:pt idx="0">
                        <c:v>54.319879670531634</c:v>
                      </c:pt>
                      <c:pt idx="1">
                        <c:v>52.147203807922267</c:v>
                      </c:pt>
                      <c:pt idx="2">
                        <c:v>49.477786017117467</c:v>
                      </c:pt>
                      <c:pt idx="3">
                        <c:v>49.272730566014246</c:v>
                      </c:pt>
                      <c:pt idx="4">
                        <c:v>78.552417199708088</c:v>
                      </c:pt>
                      <c:pt idx="5">
                        <c:v>78.400462920135425</c:v>
                      </c:pt>
                      <c:pt idx="6">
                        <c:v>75.658491414669342</c:v>
                      </c:pt>
                      <c:pt idx="7">
                        <c:v>74.518313571684345</c:v>
                      </c:pt>
                      <c:pt idx="8">
                        <c:v>73.468038731480178</c:v>
                      </c:pt>
                      <c:pt idx="9">
                        <c:v>72.979876659450639</c:v>
                      </c:pt>
                      <c:pt idx="10">
                        <c:v>72.10174054834097</c:v>
                      </c:pt>
                      <c:pt idx="11">
                        <c:v>70.403480504793393</c:v>
                      </c:pt>
                      <c:pt idx="12">
                        <c:v>70.875527144471249</c:v>
                      </c:pt>
                      <c:pt idx="13" formatCode="0.0">
                        <c:v>0</c:v>
                      </c:pt>
                      <c:pt idx="14" formatCode="0.0">
                        <c:v>0</c:v>
                      </c:pt>
                      <c:pt idx="15" formatCode="0.0">
                        <c:v>0</c:v>
                      </c:pt>
                      <c:pt idx="16" formatCode="0.0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Template'!$G$163:$L$163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</c:v>
                      </c:pt>
                      <c:pt idx="1">
                        <c:v>39.1</c:v>
                      </c:pt>
                      <c:pt idx="2">
                        <c:v>39.799999999999997</c:v>
                      </c:pt>
                      <c:pt idx="3">
                        <c:v>75.8</c:v>
                      </c:pt>
                      <c:pt idx="4">
                        <c:v>74.2</c:v>
                      </c:pt>
                      <c:pt idx="5">
                        <c:v>73.8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Template'!$F$163:$U$163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39.4</c:v>
                      </c:pt>
                      <c:pt idx="1">
                        <c:v>39</c:v>
                      </c:pt>
                      <c:pt idx="2">
                        <c:v>39.1</c:v>
                      </c:pt>
                      <c:pt idx="3">
                        <c:v>39.799999999999997</c:v>
                      </c:pt>
                      <c:pt idx="4">
                        <c:v>75.8</c:v>
                      </c:pt>
                      <c:pt idx="5">
                        <c:v>74.2</c:v>
                      </c:pt>
                      <c:pt idx="6">
                        <c:v>73.8</c:v>
                      </c:pt>
                      <c:pt idx="7">
                        <c:v>72.5</c:v>
                      </c:pt>
                      <c:pt idx="8">
                        <c:v>70.8</c:v>
                      </c:pt>
                      <c:pt idx="9">
                        <c:v>70.400000000000006</c:v>
                      </c:pt>
                      <c:pt idx="10">
                        <c:v>71.400000000000006</c:v>
                      </c:pt>
                      <c:pt idx="11">
                        <c:v>70.86666666666666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  <c15:filteredScatterSeries>
              <c15:ser>
                <c:idx val="7"/>
                <c:order val="6"/>
                <c:tx>
                  <c:v>MCRT Repro+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Template'!$F$6:$AG$6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 (repro+)'!$F$199:$AG$199</c15:sqref>
                        </c15:formulaRef>
                      </c:ext>
                    </c:extLst>
                    <c:numCache>
                      <c:formatCode>0.000</c:formatCode>
                      <c:ptCount val="2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8364-4C9E-A6AD-E92F00663BE9}"/>
                  </c:ext>
                </c:extLst>
              </c15:ser>
            </c15:filteredScatterSeries>
            <c15:filteredScatterSeries>
              <c15:ser>
                <c:idx val="8"/>
                <c:order val="7"/>
                <c:tx>
                  <c:v>MCRT Repro-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Template'!$F$6:$AG$6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 (repro-)'!$F$199:$AG$199</c15:sqref>
                        </c15:formulaRef>
                      </c:ext>
                    </c:extLst>
                    <c:numCache>
                      <c:formatCode>0.000</c:formatCode>
                      <c:ptCount val="2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364-4C9E-A6AD-E92F00663BE9}"/>
                  </c:ext>
                </c:extLst>
              </c15:ser>
            </c15:filteredScatterSeries>
            <c15:filteredScatterSeries>
              <c15:ser>
                <c:idx val="9"/>
                <c:order val="8"/>
                <c:tx>
                  <c:v>MEBU25001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'LSHS Master Template'!$F$199:$O$199</c15:sqref>
                        </c15:formulaRef>
                      </c:ext>
                    </c:extLst>
                    <c:numCache>
                      <c:formatCode>0.0</c:formatCode>
                      <c:ptCount val="10"/>
                      <c:pt idx="0">
                        <c:v>47.705682757165718</c:v>
                      </c:pt>
                      <c:pt idx="1">
                        <c:v>49.620880932128486</c:v>
                      </c:pt>
                      <c:pt idx="2">
                        <c:v>49.683197888870907</c:v>
                      </c:pt>
                      <c:pt idx="3">
                        <c:v>49.651261793146482</c:v>
                      </c:pt>
                      <c:pt idx="4">
                        <c:v>74.060109817661484</c:v>
                      </c:pt>
                      <c:pt idx="5" formatCode="0.00">
                        <c:v>63.489252396222099</c:v>
                      </c:pt>
                      <c:pt idx="6" formatCode="0.00">
                        <c:v>61.570482773284532</c:v>
                      </c:pt>
                      <c:pt idx="7" formatCode="0.00">
                        <c:v>62.174573502884058</c:v>
                      </c:pt>
                      <c:pt idx="8" formatCode="0.00">
                        <c:v>61.779317173880806</c:v>
                      </c:pt>
                      <c:pt idx="9" formatCode="0.00">
                        <c:v>60.485350664392257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C28C-4FF4-89D5-8ACB086BF6C7}"/>
                  </c:ext>
                </c:extLst>
              </c15:ser>
            </c15:filteredScatterSeries>
            <c15:filteredScatterSeries>
              <c15:ser>
                <c:idx val="10"/>
                <c:order val="11"/>
                <c:tx>
                  <c:v>+3 Abs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rgbClr val="FF0000"/>
                    </a:solidFill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Template'!$F$6:$AA$6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Template'!$F$235:$AA$235</c15:sqref>
                        </c15:formulaRef>
                      </c:ext>
                    </c:extLst>
                    <c:numCache>
                      <c:formatCode>0.0</c:formatCode>
                      <c:ptCount val="22"/>
                      <c:pt idx="0">
                        <c:v>54.4</c:v>
                      </c:pt>
                      <c:pt idx="1">
                        <c:v>52.3</c:v>
                      </c:pt>
                      <c:pt idx="2">
                        <c:v>51.5</c:v>
                      </c:pt>
                      <c:pt idx="3">
                        <c:v>51.4</c:v>
                      </c:pt>
                      <c:pt idx="4">
                        <c:v>78.900000000000006</c:v>
                      </c:pt>
                      <c:pt idx="5">
                        <c:v>77.5</c:v>
                      </c:pt>
                      <c:pt idx="6">
                        <c:v>75.2</c:v>
                      </c:pt>
                      <c:pt idx="7">
                        <c:v>74.400000000000006</c:v>
                      </c:pt>
                      <c:pt idx="8">
                        <c:v>74.099999999999994</c:v>
                      </c:pt>
                      <c:pt idx="9">
                        <c:v>73</c:v>
                      </c:pt>
                      <c:pt idx="10">
                        <c:v>72.7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3</c:v>
                      </c:pt>
                      <c:pt idx="21">
                        <c:v>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8278-4758-BB0E-48CB202F0796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v>-3 Abs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rgbClr val="FF0000"/>
                    </a:solidFill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Template'!$F$6:$AA$6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Template'!$F$236:$AA$236</c15:sqref>
                        </c15:formulaRef>
                      </c:ext>
                    </c:extLst>
                    <c:numCache>
                      <c:formatCode>0.0</c:formatCode>
                      <c:ptCount val="22"/>
                      <c:pt idx="0">
                        <c:v>48.4</c:v>
                      </c:pt>
                      <c:pt idx="1">
                        <c:v>46.3</c:v>
                      </c:pt>
                      <c:pt idx="2">
                        <c:v>45.5</c:v>
                      </c:pt>
                      <c:pt idx="3">
                        <c:v>45.4</c:v>
                      </c:pt>
                      <c:pt idx="4">
                        <c:v>72.900000000000006</c:v>
                      </c:pt>
                      <c:pt idx="5">
                        <c:v>71.5</c:v>
                      </c:pt>
                      <c:pt idx="6">
                        <c:v>69.2</c:v>
                      </c:pt>
                      <c:pt idx="7">
                        <c:v>68.400000000000006</c:v>
                      </c:pt>
                      <c:pt idx="8">
                        <c:v>68.099999999999994</c:v>
                      </c:pt>
                      <c:pt idx="9">
                        <c:v>67</c:v>
                      </c:pt>
                      <c:pt idx="10">
                        <c:v>66.7</c:v>
                      </c:pt>
                      <c:pt idx="11">
                        <c:v>-3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  <c:pt idx="16">
                        <c:v>-3</c:v>
                      </c:pt>
                      <c:pt idx="17">
                        <c:v>-3</c:v>
                      </c:pt>
                      <c:pt idx="18">
                        <c:v>-3</c:v>
                      </c:pt>
                      <c:pt idx="19">
                        <c:v>-3</c:v>
                      </c:pt>
                      <c:pt idx="20">
                        <c:v>-3</c:v>
                      </c:pt>
                      <c:pt idx="21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278-4758-BB0E-48CB202F0796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v>TOP MEBU001</c:v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diamond"/>
                  <c:size val="8"/>
                  <c:spPr>
                    <a:noFill/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'Lab Results Summary'!$E$157:$H$157</c15:sqref>
                        </c15:formulaRef>
                      </c:ext>
                    </c:extLst>
                    <c:strCache>
                      <c:ptCount val="4"/>
                      <c:pt idx="0">
                        <c:v>D1</c:v>
                      </c:pt>
                      <c:pt idx="1">
                        <c:v>D2</c:v>
                      </c:pt>
                      <c:pt idx="2">
                        <c:v>D3</c:v>
                      </c:pt>
                      <c:pt idx="3">
                        <c:v>D4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'Lab Results Summary'!$E$167:$H$167</c15:sqref>
                        </c15:formulaRef>
                      </c:ext>
                    </c:extLst>
                    <c:numCache>
                      <c:formatCode>0.00</c:formatCode>
                      <c:ptCount val="4"/>
                      <c:pt idx="0">
                        <c:v>47.705682757165718</c:v>
                      </c:pt>
                      <c:pt idx="1">
                        <c:v>49.620880932128486</c:v>
                      </c:pt>
                      <c:pt idx="2">
                        <c:v>49.683197888870907</c:v>
                      </c:pt>
                      <c:pt idx="3">
                        <c:v>49.651261793146482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F4AE-408B-BD78-DED255C7651B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v>TOP MEBU002</c:v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diamond"/>
                  <c:size val="8"/>
                  <c:spPr>
                    <a:noFill/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'Lab Results Summary'!$J$157:$M$157</c15:sqref>
                        </c15:formulaRef>
                      </c:ext>
                    </c:extLst>
                    <c:strCache>
                      <c:ptCount val="4"/>
                      <c:pt idx="0">
                        <c:v>D1</c:v>
                      </c:pt>
                      <c:pt idx="1">
                        <c:v>D2</c:v>
                      </c:pt>
                      <c:pt idx="2">
                        <c:v>D3</c:v>
                      </c:pt>
                      <c:pt idx="3">
                        <c:v>D4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'Lab Results Summary'!$J$167:$M$167</c15:sqref>
                        </c15:formulaRef>
                      </c:ext>
                    </c:extLst>
                    <c:numCache>
                      <c:formatCode>0.00</c:formatCode>
                      <c:ptCount val="4"/>
                      <c:pt idx="0">
                        <c:v>50.834247825148722</c:v>
                      </c:pt>
                      <c:pt idx="1">
                        <c:v>47.257820816793476</c:v>
                      </c:pt>
                      <c:pt idx="2">
                        <c:v>46.984617871384749</c:v>
                      </c:pt>
                      <c:pt idx="3">
                        <c:v>46.809325399244671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F4AE-408B-BD78-DED255C7651B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v>ART LnH</c:v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/>
                    </a:solidFill>
                    <a:ln w="9525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1"/>
                    <c:layout>
                      <c:manualLayout>
                        <c:x val="-1.0457852973410285E-2"/>
                        <c:y val="5.4054054054053974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0333-4E09-87EE-6CD6E6E1121C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'Lab Results Summary'!$E$157:$H$157</c15:sqref>
                        </c15:formulaRef>
                      </c:ext>
                    </c:extLst>
                    <c:strCache>
                      <c:ptCount val="4"/>
                      <c:pt idx="0">
                        <c:v>D1</c:v>
                      </c:pt>
                      <c:pt idx="1">
                        <c:v>D2</c:v>
                      </c:pt>
                      <c:pt idx="2">
                        <c:v>D3</c:v>
                      </c:pt>
                      <c:pt idx="3">
                        <c:v>D4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'Lab Results Summary'!$E$172:$H$172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56</c:v>
                      </c:pt>
                      <c:pt idx="1">
                        <c:v>50</c:v>
                      </c:pt>
                      <c:pt idx="2">
                        <c:v>49</c:v>
                      </c:pt>
                      <c:pt idx="3">
                        <c:v>48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12E1-47CC-A241-9C04416C8DC6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10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</a:p>
            </c:rich>
          </c:tx>
          <c:layout>
            <c:manualLayout>
              <c:xMode val="edge"/>
              <c:yMode val="edge"/>
              <c:x val="1.2615717065093162E-2"/>
              <c:y val="0.390215294034191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76263060307814901"/>
          <c:y val="0.3816501737958431"/>
          <c:w val="0.17137881344740047"/>
          <c:h val="0.27707278144286018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C7 Asphaltenes </a:t>
            </a:r>
            <a:r>
              <a:rPr lang="en-US" b="1" baseline="0"/>
              <a:t>Conversion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5"/>
          <c:order val="5"/>
          <c:tx>
            <c:v>Aging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8333-469C-9637-6E3FDE0162E6}"/>
            </c:ext>
          </c:extLst>
        </c:ser>
        <c:ser>
          <c:idx val="9"/>
          <c:order val="9"/>
          <c:tx>
            <c:v>ART Acceptance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Template'!$F$241:$P$241</c:f>
              <c:numCache>
                <c:formatCode>0.00</c:formatCode>
                <c:ptCount val="11"/>
                <c:pt idx="0">
                  <c:v>66.053248901554397</c:v>
                </c:pt>
                <c:pt idx="1">
                  <c:v>63.003287588614398</c:v>
                </c:pt>
                <c:pt idx="2">
                  <c:v>59.388766233298696</c:v>
                </c:pt>
                <c:pt idx="3">
                  <c:v>62.9722332566825</c:v>
                </c:pt>
                <c:pt idx="4">
                  <c:v>87.550150114566705</c:v>
                </c:pt>
                <c:pt idx="5">
                  <c:v>85.779544038320395</c:v>
                </c:pt>
                <c:pt idx="6">
                  <c:v>83.094895693283505</c:v>
                </c:pt>
                <c:pt idx="7">
                  <c:v>81.101298887939805</c:v>
                </c:pt>
                <c:pt idx="8">
                  <c:v>80.030125136420807</c:v>
                </c:pt>
                <c:pt idx="9">
                  <c:v>83.19092907017091</c:v>
                </c:pt>
                <c:pt idx="10">
                  <c:v>81.740714537231597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BD-4C4C-8489-DDB9D4746512}"/>
            </c:ext>
          </c:extLst>
        </c:ser>
        <c:ser>
          <c:idx val="10"/>
          <c:order val="10"/>
          <c:tx>
            <c:v>TOP Acceptance'24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Template'!$F$240:$P$240</c:f>
              <c:numCache>
                <c:formatCode>0.00</c:formatCode>
                <c:ptCount val="11"/>
                <c:pt idx="5">
                  <c:v>91.798060383008632</c:v>
                </c:pt>
                <c:pt idx="6">
                  <c:v>92.308334702075868</c:v>
                </c:pt>
                <c:pt idx="7">
                  <c:v>90.905839832604144</c:v>
                </c:pt>
                <c:pt idx="8">
                  <c:v>89.259994747487767</c:v>
                </c:pt>
                <c:pt idx="9">
                  <c:v>88.227376226899196</c:v>
                </c:pt>
                <c:pt idx="10">
                  <c:v>86.142780559748417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BD-4C4C-8489-DDB9D4746512}"/>
            </c:ext>
          </c:extLst>
        </c:ser>
        <c:ser>
          <c:idx val="11"/>
          <c:order val="11"/>
          <c:tx>
            <c:v>TOP Acceptance'26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3333FF"/>
              </a:solidFill>
              <a:ln w="9525">
                <a:noFill/>
              </a:ln>
              <a:effectLst/>
            </c:spPr>
          </c:marker>
          <c:dLbls>
            <c:dLbl>
              <c:idx val="4"/>
              <c:layout>
                <c:manualLayout>
                  <c:x val="-2.225665935604533E-2"/>
                  <c:y val="-3.58824848620767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01E-4A1E-82E7-ADB7FBC9426B}"/>
                </c:ext>
              </c:extLst>
            </c:dLbl>
            <c:dLbl>
              <c:idx val="5"/>
              <c:layout>
                <c:manualLayout>
                  <c:x val="-7.4198534060838815E-3"/>
                  <c:y val="-3.1397174254317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1E-4A1E-82E7-ADB7FBC9426B}"/>
                </c:ext>
              </c:extLst>
            </c:dLbl>
            <c:dLbl>
              <c:idx val="6"/>
              <c:layout>
                <c:manualLayout>
                  <c:x val="7.4350748190993611E-3"/>
                  <c:y val="-2.91545189504373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F85-4845-A2B4-A34870A6EA39}"/>
                </c:ext>
              </c:extLst>
            </c:dLbl>
            <c:dLbl>
              <c:idx val="7"/>
              <c:layout>
                <c:manualLayout>
                  <c:x val="2.073442547857398E-2"/>
                  <c:y val="-5.38237272931150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7A8-4733-A6FF-535ACB47B040}"/>
                </c:ext>
              </c:extLst>
            </c:dLbl>
            <c:dLbl>
              <c:idx val="8"/>
              <c:layout>
                <c:manualLayout>
                  <c:x val="0"/>
                  <c:y val="4.48531060775959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06F-49A3-BF2F-2762E10379CF}"/>
                </c:ext>
              </c:extLst>
            </c:dLbl>
            <c:dLbl>
              <c:idx val="9"/>
              <c:layout>
                <c:manualLayout>
                  <c:x val="1.3354030164438887E-2"/>
                  <c:y val="-3.36398295581969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4F-434B-BFF6-EC82BE77A651}"/>
                </c:ext>
              </c:extLst>
            </c:dLbl>
            <c:dLbl>
              <c:idx val="10"/>
              <c:layout>
                <c:manualLayout>
                  <c:x val="-1.3462174225284101E-2"/>
                  <c:y val="3.58824848620767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4F-434B-BFF6-EC82BE77A651}"/>
                </c:ext>
              </c:extLst>
            </c:dLbl>
            <c:dLbl>
              <c:idx val="11"/>
              <c:layout>
                <c:manualLayout>
                  <c:x val="8.9550348247444799E-3"/>
                  <c:y val="2.91545189504372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F48-4AEC-9EA9-BE4331968ACE}"/>
                </c:ext>
              </c:extLst>
            </c:dLbl>
            <c:dLbl>
              <c:idx val="12"/>
              <c:layout>
                <c:manualLayout>
                  <c:x val="5.9580601822720189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F96-43A3-B7D6-2A775DBD3D66}"/>
                </c:ext>
              </c:extLst>
            </c:dLbl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Template'!$F$238:$AA$238</c:f>
              <c:numCache>
                <c:formatCode>0.00</c:formatCode>
                <c:ptCount val="22"/>
                <c:pt idx="0">
                  <c:v>73.672790683094576</c:v>
                </c:pt>
                <c:pt idx="1">
                  <c:v>73.235515758677252</c:v>
                </c:pt>
                <c:pt idx="2">
                  <c:v>63.531888913929961</c:v>
                </c:pt>
                <c:pt idx="3">
                  <c:v>63.899900414364886</c:v>
                </c:pt>
                <c:pt idx="4">
                  <c:v>92.132563022830453</c:v>
                </c:pt>
                <c:pt idx="5">
                  <c:v>91.225775638809239</c:v>
                </c:pt>
                <c:pt idx="6">
                  <c:v>90.96521002508959</c:v>
                </c:pt>
                <c:pt idx="7">
                  <c:v>85.608373990340368</c:v>
                </c:pt>
                <c:pt idx="8">
                  <c:v>82.180513801057614</c:v>
                </c:pt>
                <c:pt idx="9">
                  <c:v>85.243069319847081</c:v>
                </c:pt>
                <c:pt idx="10">
                  <c:v>81.963594328949071</c:v>
                </c:pt>
                <c:pt idx="11">
                  <c:v>82.358370037383224</c:v>
                </c:pt>
                <c:pt idx="12">
                  <c:v>84.523279431394272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A7-4954-AC51-08967BCA6D41}"/>
            </c:ext>
          </c:extLst>
        </c:ser>
        <c:ser>
          <c:idx val="13"/>
          <c:order val="12"/>
          <c:tx>
            <c:v>TOP MEBU001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'Lab Results Summary'!$E$157:$H$157</c:f>
              <c:strCache>
                <c:ptCount val="4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</c:strCache>
            </c:strRef>
          </c:xVal>
          <c:yVal>
            <c:numRef>
              <c:f>'Lab Results Summary'!$E$169:$H$169</c:f>
              <c:numCache>
                <c:formatCode>0.00</c:formatCode>
                <c:ptCount val="4"/>
                <c:pt idx="0">
                  <c:v>65.846695297983118</c:v>
                </c:pt>
                <c:pt idx="1">
                  <c:v>68.717064372849862</c:v>
                </c:pt>
                <c:pt idx="2">
                  <c:v>67.954365207166219</c:v>
                </c:pt>
                <c:pt idx="3">
                  <c:v>67.635476576008017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EE-4AD9-9D99-04DF7B9AACDC}"/>
            </c:ext>
          </c:extLst>
        </c:ser>
        <c:ser>
          <c:idx val="12"/>
          <c:order val="13"/>
          <c:tx>
            <c:v>TOP MEBU002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'Master Template'!$F$6:$I$6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'Lab Results Summary'!$J$169:$M$169</c:f>
              <c:numCache>
                <c:formatCode>0.00</c:formatCode>
                <c:ptCount val="4"/>
                <c:pt idx="0">
                  <c:v>73.274743282466858</c:v>
                </c:pt>
                <c:pt idx="1">
                  <c:v>68.496283773007121</c:v>
                </c:pt>
                <c:pt idx="2">
                  <c:v>67.970840088471419</c:v>
                </c:pt>
                <c:pt idx="3">
                  <c:v>63.818178078105873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F1-4A87-9CAC-7E508BAAD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Template'!$C$162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Template'!$F$162:$U$162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45.4</c:v>
                      </c:pt>
                      <c:pt idx="1">
                        <c:v>45</c:v>
                      </c:pt>
                      <c:pt idx="2">
                        <c:v>45.1</c:v>
                      </c:pt>
                      <c:pt idx="3">
                        <c:v>45.8</c:v>
                      </c:pt>
                      <c:pt idx="4">
                        <c:v>81.8</c:v>
                      </c:pt>
                      <c:pt idx="5">
                        <c:v>80.2</c:v>
                      </c:pt>
                      <c:pt idx="6">
                        <c:v>79.8</c:v>
                      </c:pt>
                      <c:pt idx="7">
                        <c:v>78.5</c:v>
                      </c:pt>
                      <c:pt idx="8">
                        <c:v>76.8</c:v>
                      </c:pt>
                      <c:pt idx="9">
                        <c:v>76.400000000000006</c:v>
                      </c:pt>
                      <c:pt idx="10">
                        <c:v>77.400000000000006</c:v>
                      </c:pt>
                      <c:pt idx="11">
                        <c:v>76.86666666666666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0"/>
                        <c:y val="-2.4669208342677731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7F9B-4EBF-AD4D-B1852139B254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Template'!$F$239:$U$239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 formatCode="General">
                        <c:v>73.5</c:v>
                      </c:pt>
                      <c:pt idx="1">
                        <c:v>66.5</c:v>
                      </c:pt>
                      <c:pt idx="3">
                        <c:v>61.9</c:v>
                      </c:pt>
                      <c:pt idx="4">
                        <c:v>62.5</c:v>
                      </c:pt>
                      <c:pt idx="5">
                        <c:v>86.5</c:v>
                      </c:pt>
                      <c:pt idx="6">
                        <c:v>83</c:v>
                      </c:pt>
                      <c:pt idx="7">
                        <c:v>81.5</c:v>
                      </c:pt>
                      <c:pt idx="8">
                        <c:v>81</c:v>
                      </c:pt>
                      <c:pt idx="9">
                        <c:v>80.400000000000006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Lbl>
                    <c:idx val="9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B00A-476E-963C-ED0CA7478CA3}"/>
                      </c:ext>
                    </c:extLst>
                  </c:dLbl>
                  <c:dLbl>
                    <c:idx val="10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F001-4CB1-AA4B-B1554ACBF2E6}"/>
                      </c:ext>
                    </c:extLst>
                  </c:dLbl>
                  <c:dLbl>
                    <c:idx val="12"/>
                    <c:layout>
                      <c:manualLayout>
                        <c:x val="8.8394272793542068E-3"/>
                        <c:y val="-2.2426553038797938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6DA7-4FAE-8955-C6C42A3DC83E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Template'!$F$238:$V$238</c15:sqref>
                        </c15:formulaRef>
                      </c:ext>
                    </c:extLst>
                    <c:numCache>
                      <c:formatCode>0.00</c:formatCode>
                      <c:ptCount val="17"/>
                      <c:pt idx="0">
                        <c:v>73.672790683094576</c:v>
                      </c:pt>
                      <c:pt idx="1">
                        <c:v>73.235515758677252</c:v>
                      </c:pt>
                      <c:pt idx="2">
                        <c:v>63.531888913929961</c:v>
                      </c:pt>
                      <c:pt idx="3">
                        <c:v>63.899900414364886</c:v>
                      </c:pt>
                      <c:pt idx="4">
                        <c:v>92.132563022830453</c:v>
                      </c:pt>
                      <c:pt idx="5">
                        <c:v>91.225775638809239</c:v>
                      </c:pt>
                      <c:pt idx="6">
                        <c:v>90.96521002508959</c:v>
                      </c:pt>
                      <c:pt idx="7">
                        <c:v>85.608373990340368</c:v>
                      </c:pt>
                      <c:pt idx="8">
                        <c:v>82.180513801057614</c:v>
                      </c:pt>
                      <c:pt idx="9">
                        <c:v>85.243069319847081</c:v>
                      </c:pt>
                      <c:pt idx="10">
                        <c:v>81.963594328949071</c:v>
                      </c:pt>
                      <c:pt idx="11">
                        <c:v>82.358370037383224</c:v>
                      </c:pt>
                      <c:pt idx="12">
                        <c:v>84.523279431394272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Template'!$G$163:$L$163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</c:v>
                      </c:pt>
                      <c:pt idx="1">
                        <c:v>39.1</c:v>
                      </c:pt>
                      <c:pt idx="2">
                        <c:v>39.799999999999997</c:v>
                      </c:pt>
                      <c:pt idx="3">
                        <c:v>75.8</c:v>
                      </c:pt>
                      <c:pt idx="4">
                        <c:v>74.2</c:v>
                      </c:pt>
                      <c:pt idx="5">
                        <c:v>73.8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Template'!$F$163:$U$163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39.4</c:v>
                      </c:pt>
                      <c:pt idx="1">
                        <c:v>39</c:v>
                      </c:pt>
                      <c:pt idx="2">
                        <c:v>39.1</c:v>
                      </c:pt>
                      <c:pt idx="3">
                        <c:v>39.799999999999997</c:v>
                      </c:pt>
                      <c:pt idx="4">
                        <c:v>75.8</c:v>
                      </c:pt>
                      <c:pt idx="5">
                        <c:v>74.2</c:v>
                      </c:pt>
                      <c:pt idx="6">
                        <c:v>73.8</c:v>
                      </c:pt>
                      <c:pt idx="7">
                        <c:v>72.5</c:v>
                      </c:pt>
                      <c:pt idx="8">
                        <c:v>70.8</c:v>
                      </c:pt>
                      <c:pt idx="9">
                        <c:v>70.400000000000006</c:v>
                      </c:pt>
                      <c:pt idx="10">
                        <c:v>71.400000000000006</c:v>
                      </c:pt>
                      <c:pt idx="11">
                        <c:v>70.86666666666666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Change Cond.</c:v>
                </c:tx>
                <c:spPr>
                  <a:ln w="3810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2"/>
                    <c:pt idx="0">
                      <c:v>13.5</c:v>
                    </c:pt>
                    <c:pt idx="1">
                      <c:v>13.5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333-469C-9637-6E3FDE0162E6}"/>
                  </c:ext>
                </c:extLst>
              </c15:ser>
            </c15:filteredScatterSeries>
            <c15:filteredScatterSeries>
              <c15:ser>
                <c:idx val="8"/>
                <c:order val="7"/>
                <c:tx>
                  <c:v>Change Cond2</c:v>
                </c:tx>
                <c:spPr>
                  <a:ln w="3810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2"/>
                    <c:pt idx="0">
                      <c:v>19.5</c:v>
                    </c:pt>
                    <c:pt idx="1">
                      <c:v>19.5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234-4389-8028-D20228B41DD8}"/>
                  </c:ext>
                </c:extLst>
              </c15:ser>
            </c15:filteredScatterSeries>
            <c15:filteredScatterSeries>
              <c15:ser>
                <c:idx val="7"/>
                <c:order val="8"/>
                <c:tx>
                  <c:v>MEBU25001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tar"/>
                  <c:size val="8"/>
                  <c:spPr>
                    <a:noFill/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'LSHS Master Template'!$F$205:$O$205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65.846695297983118</c:v>
                      </c:pt>
                      <c:pt idx="1">
                        <c:v>68.717064372849862</c:v>
                      </c:pt>
                      <c:pt idx="2">
                        <c:v>67.954365207166219</c:v>
                      </c:pt>
                      <c:pt idx="3">
                        <c:v>67.635476576008017</c:v>
                      </c:pt>
                      <c:pt idx="4">
                        <c:v>87.65580822508376</c:v>
                      </c:pt>
                      <c:pt idx="5">
                        <c:v>76.97582451062533</c:v>
                      </c:pt>
                      <c:pt idx="6">
                        <c:v>74.956075029685849</c:v>
                      </c:pt>
                      <c:pt idx="7">
                        <c:v>74.627145805179154</c:v>
                      </c:pt>
                      <c:pt idx="8">
                        <c:v>74.75669596005558</c:v>
                      </c:pt>
                      <c:pt idx="9">
                        <c:v>73.930525635501937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FAE2-4A3F-8695-DBEF29B8ED41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</a:p>
            </c:rich>
          </c:tx>
          <c:layout>
            <c:manualLayout>
              <c:xMode val="edge"/>
              <c:yMode val="edge"/>
              <c:x val="2.0862395766216055E-2"/>
              <c:y val="0.455080244182960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71771022176522203"/>
          <c:y val="0.31925893486234158"/>
          <c:w val="0.17005970097094164"/>
          <c:h val="0.2299101348595162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V Conversion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7"/>
          <c:order val="7"/>
          <c:tx>
            <c:v>Aging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5997-4E7C-9AC1-15361010EBF6}"/>
            </c:ext>
          </c:extLst>
        </c:ser>
        <c:ser>
          <c:idx val="11"/>
          <c:order val="11"/>
          <c:tx>
            <c:v>ART Acceptance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dLbl>
              <c:idx val="10"/>
              <c:layout>
                <c:manualLayout>
                  <c:x val="8.932432478371435E-3"/>
                  <c:y val="2.92726500010549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CAD-488F-9BFA-1E67269E38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Template'!$F$175:$P$175</c:f>
              <c:numCache>
                <c:formatCode>0.00</c:formatCode>
                <c:ptCount val="11"/>
                <c:pt idx="0">
                  <c:v>88.781642393803594</c:v>
                </c:pt>
                <c:pt idx="1">
                  <c:v>86.4795823493059</c:v>
                </c:pt>
                <c:pt idx="2">
                  <c:v>85.184483702369391</c:v>
                </c:pt>
                <c:pt idx="3">
                  <c:v>84.605089704378599</c:v>
                </c:pt>
                <c:pt idx="4" formatCode="0.000">
                  <c:v>99.701827142564198</c:v>
                </c:pt>
                <c:pt idx="5" formatCode="0.000">
                  <c:v>99.514686428191098</c:v>
                </c:pt>
                <c:pt idx="6">
                  <c:v>99.263507065294306</c:v>
                </c:pt>
                <c:pt idx="7">
                  <c:v>99.039695992728099</c:v>
                </c:pt>
                <c:pt idx="8">
                  <c:v>98.829214633229199</c:v>
                </c:pt>
                <c:pt idx="9">
                  <c:v>98.720361391628003</c:v>
                </c:pt>
                <c:pt idx="10">
                  <c:v>98.465749250138003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8A-438F-9EC1-1E0A3ACB43E8}"/>
            </c:ext>
          </c:extLst>
        </c:ser>
        <c:ser>
          <c:idx val="12"/>
          <c:order val="12"/>
          <c:tx>
            <c:v>TOP Acceptance'24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Template'!$F$174:$P$174</c:f>
              <c:numCache>
                <c:formatCode>0.00</c:formatCode>
                <c:ptCount val="11"/>
                <c:pt idx="5">
                  <c:v>99.706024610134264</c:v>
                </c:pt>
                <c:pt idx="6">
                  <c:v>99.479730948595957</c:v>
                </c:pt>
                <c:pt idx="7">
                  <c:v>99.439628861530352</c:v>
                </c:pt>
                <c:pt idx="8">
                  <c:v>99.29738941171243</c:v>
                </c:pt>
                <c:pt idx="9">
                  <c:v>99.187133983127183</c:v>
                </c:pt>
                <c:pt idx="10">
                  <c:v>99.091151179704156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8A-438F-9EC1-1E0A3ACB43E8}"/>
            </c:ext>
          </c:extLst>
        </c:ser>
        <c:ser>
          <c:idx val="13"/>
          <c:order val="13"/>
          <c:tx>
            <c:v>TOP Acceptance'26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3333FF"/>
              </a:solidFill>
              <a:ln w="9525">
                <a:noFill/>
              </a:ln>
              <a:effectLst/>
            </c:spPr>
          </c:marker>
          <c:dLbls>
            <c:dLbl>
              <c:idx val="11"/>
              <c:layout>
                <c:manualLayout>
                  <c:x val="2.9724825354948407E-2"/>
                  <c:y val="-2.0640732711084407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1B8-49B9-A667-68ACF13B0FC8}"/>
                </c:ext>
              </c:extLst>
            </c:dLbl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Template'!$F$172:$AA$172</c:f>
              <c:numCache>
                <c:formatCode>0.00</c:formatCode>
                <c:ptCount val="22"/>
                <c:pt idx="0">
                  <c:v>88.365956525370336</c:v>
                </c:pt>
                <c:pt idx="1">
                  <c:v>87.291811879994228</c:v>
                </c:pt>
                <c:pt idx="2">
                  <c:v>83.972230418852888</c:v>
                </c:pt>
                <c:pt idx="3">
                  <c:v>84.065216870895796</c:v>
                </c:pt>
                <c:pt idx="4">
                  <c:v>99.738730013766016</c:v>
                </c:pt>
                <c:pt idx="5">
                  <c:v>99.694359320154177</c:v>
                </c:pt>
                <c:pt idx="6">
                  <c:v>99.535600224715751</c:v>
                </c:pt>
                <c:pt idx="7">
                  <c:v>99.351538265392492</c:v>
                </c:pt>
                <c:pt idx="8">
                  <c:v>98.98818030144102</c:v>
                </c:pt>
                <c:pt idx="9">
                  <c:v>98.951835366818557</c:v>
                </c:pt>
                <c:pt idx="10">
                  <c:v>98.706331490929699</c:v>
                </c:pt>
                <c:pt idx="11">
                  <c:v>98.736642037490199</c:v>
                </c:pt>
                <c:pt idx="12">
                  <c:v>98.575404959733333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6E-4BEB-A706-7CB4C736D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Template'!$C$162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Template'!$F$162:$U$162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45.4</c:v>
                      </c:pt>
                      <c:pt idx="1">
                        <c:v>45</c:v>
                      </c:pt>
                      <c:pt idx="2">
                        <c:v>45.1</c:v>
                      </c:pt>
                      <c:pt idx="3">
                        <c:v>45.8</c:v>
                      </c:pt>
                      <c:pt idx="4">
                        <c:v>81.8</c:v>
                      </c:pt>
                      <c:pt idx="5">
                        <c:v>80.2</c:v>
                      </c:pt>
                      <c:pt idx="6">
                        <c:v>79.8</c:v>
                      </c:pt>
                      <c:pt idx="7">
                        <c:v>78.5</c:v>
                      </c:pt>
                      <c:pt idx="8">
                        <c:v>76.8</c:v>
                      </c:pt>
                      <c:pt idx="9">
                        <c:v>76.400000000000006</c:v>
                      </c:pt>
                      <c:pt idx="10">
                        <c:v>77.400000000000006</c:v>
                      </c:pt>
                      <c:pt idx="11">
                        <c:v>76.86666666666666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Ni 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Template'!$F$167:$U$167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77</c:v>
                      </c:pt>
                      <c:pt idx="1">
                        <c:v>71.2</c:v>
                      </c:pt>
                      <c:pt idx="2">
                        <c:v>69.099999999999994</c:v>
                      </c:pt>
                      <c:pt idx="3">
                        <c:v>67.7</c:v>
                      </c:pt>
                      <c:pt idx="4">
                        <c:v>94</c:v>
                      </c:pt>
                      <c:pt idx="5">
                        <c:v>90.5</c:v>
                      </c:pt>
                      <c:pt idx="6">
                        <c:v>89.8</c:v>
                      </c:pt>
                      <c:pt idx="7">
                        <c:v>89</c:v>
                      </c:pt>
                      <c:pt idx="8">
                        <c:v>88.2</c:v>
                      </c:pt>
                      <c:pt idx="9">
                        <c:v>87.1</c:v>
                      </c:pt>
                      <c:pt idx="10">
                        <c:v>88.5</c:v>
                      </c:pt>
                      <c:pt idx="11">
                        <c:v>83.2</c:v>
                      </c:pt>
                      <c:pt idx="12">
                        <c:v>83</c:v>
                      </c:pt>
                      <c:pt idx="13">
                        <c:v>84.1</c:v>
                      </c:pt>
                      <c:pt idx="14">
                        <c:v>83</c:v>
                      </c:pt>
                      <c:pt idx="15">
                        <c:v>82.9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v>Ni 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Template'!$F$166:$U$166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70.205740913664116</c:v>
                      </c:pt>
                      <c:pt idx="1">
                        <c:v>70.931587442575676</c:v>
                      </c:pt>
                      <c:pt idx="2">
                        <c:v>67.287729486705459</c:v>
                      </c:pt>
                      <c:pt idx="3">
                        <c:v>68.667837436712745</c:v>
                      </c:pt>
                      <c:pt idx="4">
                        <c:v>95.458451159462328</c:v>
                      </c:pt>
                      <c:pt idx="5">
                        <c:v>94.368397357724433</c:v>
                      </c:pt>
                      <c:pt idx="6">
                        <c:v>92.675146032917581</c:v>
                      </c:pt>
                      <c:pt idx="7">
                        <c:v>91.737268623248113</c:v>
                      </c:pt>
                      <c:pt idx="8">
                        <c:v>90.720493302188004</c:v>
                      </c:pt>
                      <c:pt idx="9">
                        <c:v>89.961645390444048</c:v>
                      </c:pt>
                      <c:pt idx="10">
                        <c:v>88.732310773517284</c:v>
                      </c:pt>
                      <c:pt idx="11">
                        <c:v>88.984914704384693</c:v>
                      </c:pt>
                      <c:pt idx="12">
                        <c:v>88.368595784930676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Template'!$G$163:$L$163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</c:v>
                      </c:pt>
                      <c:pt idx="1">
                        <c:v>39.1</c:v>
                      </c:pt>
                      <c:pt idx="2">
                        <c:v>39.799999999999997</c:v>
                      </c:pt>
                      <c:pt idx="3">
                        <c:v>75.8</c:v>
                      </c:pt>
                      <c:pt idx="4">
                        <c:v>74.2</c:v>
                      </c:pt>
                      <c:pt idx="5">
                        <c:v>73.8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Template'!$F$163:$U$163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39.4</c:v>
                      </c:pt>
                      <c:pt idx="1">
                        <c:v>39</c:v>
                      </c:pt>
                      <c:pt idx="2">
                        <c:v>39.1</c:v>
                      </c:pt>
                      <c:pt idx="3">
                        <c:v>39.799999999999997</c:v>
                      </c:pt>
                      <c:pt idx="4">
                        <c:v>75.8</c:v>
                      </c:pt>
                      <c:pt idx="5">
                        <c:v>74.2</c:v>
                      </c:pt>
                      <c:pt idx="6">
                        <c:v>73.8</c:v>
                      </c:pt>
                      <c:pt idx="7">
                        <c:v>72.5</c:v>
                      </c:pt>
                      <c:pt idx="8">
                        <c:v>70.8</c:v>
                      </c:pt>
                      <c:pt idx="9">
                        <c:v>70.400000000000006</c:v>
                      </c:pt>
                      <c:pt idx="10">
                        <c:v>71.400000000000006</c:v>
                      </c:pt>
                      <c:pt idx="11">
                        <c:v>70.86666666666666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V 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Template'!$F$173:$U$173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92</c:v>
                      </c:pt>
                      <c:pt idx="1">
                        <c:v>88.5</c:v>
                      </c:pt>
                      <c:pt idx="2">
                        <c:v>86.2</c:v>
                      </c:pt>
                      <c:pt idx="3">
                        <c:v>85.2</c:v>
                      </c:pt>
                      <c:pt idx="4">
                        <c:v>98.5</c:v>
                      </c:pt>
                      <c:pt idx="5">
                        <c:v>98.2</c:v>
                      </c:pt>
                      <c:pt idx="6">
                        <c:v>98</c:v>
                      </c:pt>
                      <c:pt idx="7">
                        <c:v>97.8</c:v>
                      </c:pt>
                      <c:pt idx="8">
                        <c:v>97.6</c:v>
                      </c:pt>
                      <c:pt idx="9">
                        <c:v>97.4</c:v>
                      </c:pt>
                      <c:pt idx="10">
                        <c:v>97</c:v>
                      </c:pt>
                      <c:pt idx="11">
                        <c:v>94.4</c:v>
                      </c:pt>
                      <c:pt idx="12">
                        <c:v>94</c:v>
                      </c:pt>
                      <c:pt idx="13">
                        <c:v>95</c:v>
                      </c:pt>
                      <c:pt idx="14">
                        <c:v>94.5</c:v>
                      </c:pt>
                      <c:pt idx="15">
                        <c:v>93.9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3F0B-495E-9371-4F111AFEE3B4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V 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dLbls>
                  <c:dLbl>
                    <c:idx val="9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A48A-4266-82C4-9FC50A5EDCD9}"/>
                      </c:ext>
                    </c:extLst>
                  </c:dLbl>
                  <c:dLbl>
                    <c:idx val="10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267C-42CE-A355-F5BF9B36F772}"/>
                      </c:ext>
                    </c:extLst>
                  </c:dLbl>
                  <c:dLbl>
                    <c:idx val="11"/>
                    <c:layout>
                      <c:manualLayout>
                        <c:x val="-2.5032133653738461E-2"/>
                        <c:y val="-2.9272650001054949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267C-42CE-A355-F5BF9B36F772}"/>
                      </c:ext>
                    </c:extLst>
                  </c:dLbl>
                  <c:dLbl>
                    <c:idx val="12"/>
                    <c:layout>
                      <c:manualLayout>
                        <c:x val="1.3252306051979185E-2"/>
                        <c:y val="2.2517423077734163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3644-4A6B-976F-1FF7EC6E8DC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Template'!$F$172:$V$172</c15:sqref>
                        </c15:formulaRef>
                      </c:ext>
                    </c:extLst>
                    <c:numCache>
                      <c:formatCode>0.00</c:formatCode>
                      <c:ptCount val="17"/>
                      <c:pt idx="0">
                        <c:v>88.365956525370336</c:v>
                      </c:pt>
                      <c:pt idx="1">
                        <c:v>87.291811879994228</c:v>
                      </c:pt>
                      <c:pt idx="2">
                        <c:v>83.972230418852888</c:v>
                      </c:pt>
                      <c:pt idx="3">
                        <c:v>84.065216870895796</c:v>
                      </c:pt>
                      <c:pt idx="4">
                        <c:v>99.738730013766016</c:v>
                      </c:pt>
                      <c:pt idx="5">
                        <c:v>99.694359320154177</c:v>
                      </c:pt>
                      <c:pt idx="6">
                        <c:v>99.535600224715751</c:v>
                      </c:pt>
                      <c:pt idx="7">
                        <c:v>99.351538265392492</c:v>
                      </c:pt>
                      <c:pt idx="8">
                        <c:v>98.98818030144102</c:v>
                      </c:pt>
                      <c:pt idx="9">
                        <c:v>98.951835366818557</c:v>
                      </c:pt>
                      <c:pt idx="10">
                        <c:v>98.706331490929699</c:v>
                      </c:pt>
                      <c:pt idx="11">
                        <c:v>98.736642037490199</c:v>
                      </c:pt>
                      <c:pt idx="12">
                        <c:v>98.575404959733333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F0B-495E-9371-4F111AFEE3B4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Change Cond.</c:v>
                </c:tx>
                <c:spPr>
                  <a:ln w="3810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2"/>
                    <c:pt idx="0">
                      <c:v>13.5</c:v>
                    </c:pt>
                    <c:pt idx="1">
                      <c:v>13.5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997-4E7C-9AC1-15361010EBF6}"/>
                  </c:ext>
                </c:extLst>
              </c15:ser>
            </c15:filteredScatterSeries>
            <c15:filteredScatterSeries>
              <c15:ser>
                <c:idx val="10"/>
                <c:order val="9"/>
                <c:tx>
                  <c:v>Change Cond2</c:v>
                </c:tx>
                <c:spPr>
                  <a:ln w="3810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2"/>
                    <c:pt idx="0">
                      <c:v>19.5</c:v>
                    </c:pt>
                    <c:pt idx="1">
                      <c:v>19.5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E52-4651-92AD-5C21CF465E1D}"/>
                  </c:ext>
                </c:extLst>
              </c15:ser>
            </c15:filteredScatterSeries>
            <c15:filteredScatterSeries>
              <c15:ser>
                <c:idx val="9"/>
                <c:order val="10"/>
                <c:tx>
                  <c:v>V MEBU25001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tar"/>
                  <c:size val="8"/>
                  <c:spPr>
                    <a:noFill/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'LSHS Master Template'!$F$152:$O$152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82.393196663352413</c:v>
                      </c:pt>
                      <c:pt idx="1">
                        <c:v>83.745417317250343</c:v>
                      </c:pt>
                      <c:pt idx="2">
                        <c:v>83.673356241923699</c:v>
                      </c:pt>
                      <c:pt idx="3">
                        <c:v>84.120775648935904</c:v>
                      </c:pt>
                      <c:pt idx="4">
                        <c:v>96.437785995494835</c:v>
                      </c:pt>
                      <c:pt idx="5">
                        <c:v>95.098931432876725</c:v>
                      </c:pt>
                      <c:pt idx="6">
                        <c:v>93.544451041530891</c:v>
                      </c:pt>
                      <c:pt idx="7">
                        <c:v>94.195798984056921</c:v>
                      </c:pt>
                      <c:pt idx="8">
                        <c:v>92.583861588607917</c:v>
                      </c:pt>
                      <c:pt idx="9">
                        <c:v>92.564441410955297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FFC1-4632-A937-2473A1103CC4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100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</a:p>
            </c:rich>
          </c:tx>
          <c:layout>
            <c:manualLayout>
              <c:xMode val="edge"/>
              <c:yMode val="edge"/>
              <c:x val="3.3190291488504907E-2"/>
              <c:y val="0.479799345306555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75566624111716352"/>
          <c:y val="0.37395854701983677"/>
          <c:w val="0.17779434956417564"/>
          <c:h val="0.19098019406472647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Ni Conversion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7"/>
          <c:order val="7"/>
          <c:tx>
            <c:v>Aging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4D1D-4F7C-9E0E-9C60B0C5BD48}"/>
            </c:ext>
          </c:extLst>
        </c:ser>
        <c:ser>
          <c:idx val="12"/>
          <c:order val="12"/>
          <c:tx>
            <c:v>ART Acceptance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Lbl>
              <c:idx val="10"/>
              <c:layout>
                <c:manualLayout>
                  <c:x val="1.1909911367283669E-2"/>
                  <c:y val="2.91545189504373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2C-493D-89F9-52AF78037A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Template'!$F$169:$P$169</c:f>
              <c:numCache>
                <c:formatCode>General</c:formatCode>
                <c:ptCount val="11"/>
                <c:pt idx="0" formatCode="0.00">
                  <c:v>71.932343355866209</c:v>
                </c:pt>
                <c:pt idx="1">
                  <c:v>69.950561035527102</c:v>
                </c:pt>
                <c:pt idx="2">
                  <c:v>68.393954761669391</c:v>
                </c:pt>
                <c:pt idx="3">
                  <c:v>68.301725293329596</c:v>
                </c:pt>
                <c:pt idx="4">
                  <c:v>94.856307034146496</c:v>
                </c:pt>
                <c:pt idx="5" formatCode="0.00">
                  <c:v>93.0449082189687</c:v>
                </c:pt>
                <c:pt idx="6" formatCode="0.00">
                  <c:v>91.4883958992625</c:v>
                </c:pt>
                <c:pt idx="7" formatCode="0.00">
                  <c:v>90.162609725646305</c:v>
                </c:pt>
                <c:pt idx="8" formatCode="0.00">
                  <c:v>89.099357501815504</c:v>
                </c:pt>
                <c:pt idx="9" formatCode="0.00">
                  <c:v>88.623000143771804</c:v>
                </c:pt>
                <c:pt idx="10" formatCode="0.00">
                  <c:v>87.957615641057302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3D-4823-A1FC-D335A31E0E91}"/>
            </c:ext>
          </c:extLst>
        </c:ser>
        <c:ser>
          <c:idx val="13"/>
          <c:order val="13"/>
          <c:tx>
            <c:v>TOP Acceptance'24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Template'!$F$168:$P$168</c:f>
              <c:numCache>
                <c:formatCode>General</c:formatCode>
                <c:ptCount val="11"/>
                <c:pt idx="5" formatCode="0.00">
                  <c:v>94.933388686835613</c:v>
                </c:pt>
                <c:pt idx="6" formatCode="0.00">
                  <c:v>93.378866406819995</c:v>
                </c:pt>
                <c:pt idx="7" formatCode="0.00">
                  <c:v>93.031747761775009</c:v>
                </c:pt>
                <c:pt idx="8" formatCode="0.00">
                  <c:v>91.962512846138608</c:v>
                </c:pt>
                <c:pt idx="9" formatCode="0.00">
                  <c:v>91.076013663705609</c:v>
                </c:pt>
                <c:pt idx="10" formatCode="0.00">
                  <c:v>90.379853700211825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3D-4823-A1FC-D335A31E0E91}"/>
            </c:ext>
          </c:extLst>
        </c:ser>
        <c:ser>
          <c:idx val="14"/>
          <c:order val="14"/>
          <c:tx>
            <c:v>TOP Acceptance'26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3333FF"/>
              </a:solidFill>
              <a:ln w="9525">
                <a:noFill/>
              </a:ln>
              <a:effectLst/>
            </c:spPr>
          </c:marker>
          <c:dLbls>
            <c:dLbl>
              <c:idx val="11"/>
              <c:layout>
                <c:manualLayout>
                  <c:x val="1.509041792808139E-3"/>
                  <c:y val="-4.9338416685355484E-2"/>
                </c:manualLayout>
              </c:layout>
              <c:spPr>
                <a:noFill/>
                <a:ln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55-4243-81A5-8818A696FB00}"/>
                </c:ext>
              </c:extLst>
            </c:dLbl>
            <c:dLbl>
              <c:idx val="12"/>
              <c:layout>
                <c:manualLayout>
                  <c:x val="1.3307883413161229E-2"/>
                  <c:y val="0"/>
                </c:manualLayout>
              </c:layout>
              <c:spPr>
                <a:noFill/>
                <a:ln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F36-4149-B3B9-EB5DFA593A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Template'!$F$166:$AA$166</c:f>
              <c:numCache>
                <c:formatCode>0.00</c:formatCode>
                <c:ptCount val="22"/>
                <c:pt idx="0">
                  <c:v>70.205740913664116</c:v>
                </c:pt>
                <c:pt idx="1">
                  <c:v>70.931587442575676</c:v>
                </c:pt>
                <c:pt idx="2">
                  <c:v>67.287729486705459</c:v>
                </c:pt>
                <c:pt idx="3">
                  <c:v>68.667837436712745</c:v>
                </c:pt>
                <c:pt idx="4">
                  <c:v>95.458451159462328</c:v>
                </c:pt>
                <c:pt idx="5">
                  <c:v>94.368397357724433</c:v>
                </c:pt>
                <c:pt idx="6">
                  <c:v>92.675146032917581</c:v>
                </c:pt>
                <c:pt idx="7">
                  <c:v>91.737268623248113</c:v>
                </c:pt>
                <c:pt idx="8">
                  <c:v>90.720493302188004</c:v>
                </c:pt>
                <c:pt idx="9">
                  <c:v>89.961645390444048</c:v>
                </c:pt>
                <c:pt idx="10">
                  <c:v>88.732310773517284</c:v>
                </c:pt>
                <c:pt idx="11">
                  <c:v>88.984914704384693</c:v>
                </c:pt>
                <c:pt idx="12">
                  <c:v>88.368595784930676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E0-42D2-B87D-4BC06512C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Template'!$C$162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Template'!$F$162:$U$162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45.4</c:v>
                      </c:pt>
                      <c:pt idx="1">
                        <c:v>45</c:v>
                      </c:pt>
                      <c:pt idx="2">
                        <c:v>45.1</c:v>
                      </c:pt>
                      <c:pt idx="3">
                        <c:v>45.8</c:v>
                      </c:pt>
                      <c:pt idx="4">
                        <c:v>81.8</c:v>
                      </c:pt>
                      <c:pt idx="5">
                        <c:v>80.2</c:v>
                      </c:pt>
                      <c:pt idx="6">
                        <c:v>79.8</c:v>
                      </c:pt>
                      <c:pt idx="7">
                        <c:v>78.5</c:v>
                      </c:pt>
                      <c:pt idx="8">
                        <c:v>76.8</c:v>
                      </c:pt>
                      <c:pt idx="9">
                        <c:v>76.400000000000006</c:v>
                      </c:pt>
                      <c:pt idx="10">
                        <c:v>77.400000000000006</c:v>
                      </c:pt>
                      <c:pt idx="11">
                        <c:v>76.86666666666666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Ni 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Template'!$F$167:$U$167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77</c:v>
                      </c:pt>
                      <c:pt idx="1">
                        <c:v>71.2</c:v>
                      </c:pt>
                      <c:pt idx="2">
                        <c:v>69.099999999999994</c:v>
                      </c:pt>
                      <c:pt idx="3">
                        <c:v>67.7</c:v>
                      </c:pt>
                      <c:pt idx="4">
                        <c:v>94</c:v>
                      </c:pt>
                      <c:pt idx="5">
                        <c:v>90.5</c:v>
                      </c:pt>
                      <c:pt idx="6">
                        <c:v>89.8</c:v>
                      </c:pt>
                      <c:pt idx="7">
                        <c:v>89</c:v>
                      </c:pt>
                      <c:pt idx="8">
                        <c:v>88.2</c:v>
                      </c:pt>
                      <c:pt idx="9">
                        <c:v>87.1</c:v>
                      </c:pt>
                      <c:pt idx="10">
                        <c:v>88.5</c:v>
                      </c:pt>
                      <c:pt idx="11">
                        <c:v>83.2</c:v>
                      </c:pt>
                      <c:pt idx="12">
                        <c:v>83</c:v>
                      </c:pt>
                      <c:pt idx="13">
                        <c:v>84.1</c:v>
                      </c:pt>
                      <c:pt idx="14">
                        <c:v>83</c:v>
                      </c:pt>
                      <c:pt idx="15">
                        <c:v>82.9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v>Ni 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Lbl>
                    <c:idx val="9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3C6A-4112-97A6-7D92C39C89D3}"/>
                      </c:ext>
                    </c:extLst>
                  </c:dLbl>
                  <c:dLbl>
                    <c:idx val="10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90C7-4B8E-BE38-E91832DC55B2}"/>
                      </c:ext>
                    </c:extLst>
                  </c:dLbl>
                  <c:dLbl>
                    <c:idx val="11"/>
                    <c:layout>
                      <c:manualLayout>
                        <c:x val="-2.5032136556044103E-2"/>
                        <c:y val="-3.5882484862076701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90C7-4B8E-BE38-E91832DC55B2}"/>
                      </c:ext>
                    </c:extLst>
                  </c:dLbl>
                  <c:dLbl>
                    <c:idx val="12"/>
                    <c:layout>
                      <c:manualLayout>
                        <c:x val="1.4724786209437707E-2"/>
                        <c:y val="2.2426553038797938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CEF2-4E7E-8062-44B442942D9A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Template'!$F$166:$V$166</c15:sqref>
                        </c15:formulaRef>
                      </c:ext>
                    </c:extLst>
                    <c:numCache>
                      <c:formatCode>0.00</c:formatCode>
                      <c:ptCount val="17"/>
                      <c:pt idx="0">
                        <c:v>70.205740913664116</c:v>
                      </c:pt>
                      <c:pt idx="1">
                        <c:v>70.931587442575676</c:v>
                      </c:pt>
                      <c:pt idx="2">
                        <c:v>67.287729486705459</c:v>
                      </c:pt>
                      <c:pt idx="3">
                        <c:v>68.667837436712745</c:v>
                      </c:pt>
                      <c:pt idx="4">
                        <c:v>95.458451159462328</c:v>
                      </c:pt>
                      <c:pt idx="5">
                        <c:v>94.368397357724433</c:v>
                      </c:pt>
                      <c:pt idx="6">
                        <c:v>92.675146032917581</c:v>
                      </c:pt>
                      <c:pt idx="7">
                        <c:v>91.737268623248113</c:v>
                      </c:pt>
                      <c:pt idx="8">
                        <c:v>90.720493302188004</c:v>
                      </c:pt>
                      <c:pt idx="9">
                        <c:v>89.961645390444048</c:v>
                      </c:pt>
                      <c:pt idx="10">
                        <c:v>88.732310773517284</c:v>
                      </c:pt>
                      <c:pt idx="11">
                        <c:v>88.984914704384693</c:v>
                      </c:pt>
                      <c:pt idx="12">
                        <c:v>88.368595784930676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Template'!$G$163:$L$163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</c:v>
                      </c:pt>
                      <c:pt idx="1">
                        <c:v>39.1</c:v>
                      </c:pt>
                      <c:pt idx="2">
                        <c:v>39.799999999999997</c:v>
                      </c:pt>
                      <c:pt idx="3">
                        <c:v>75.8</c:v>
                      </c:pt>
                      <c:pt idx="4">
                        <c:v>74.2</c:v>
                      </c:pt>
                      <c:pt idx="5">
                        <c:v>73.8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Template'!$F$163:$U$163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39.4</c:v>
                      </c:pt>
                      <c:pt idx="1">
                        <c:v>39</c:v>
                      </c:pt>
                      <c:pt idx="2">
                        <c:v>39.1</c:v>
                      </c:pt>
                      <c:pt idx="3">
                        <c:v>39.799999999999997</c:v>
                      </c:pt>
                      <c:pt idx="4">
                        <c:v>75.8</c:v>
                      </c:pt>
                      <c:pt idx="5">
                        <c:v>74.2</c:v>
                      </c:pt>
                      <c:pt idx="6">
                        <c:v>73.8</c:v>
                      </c:pt>
                      <c:pt idx="7">
                        <c:v>72.5</c:v>
                      </c:pt>
                      <c:pt idx="8">
                        <c:v>70.8</c:v>
                      </c:pt>
                      <c:pt idx="9">
                        <c:v>70.400000000000006</c:v>
                      </c:pt>
                      <c:pt idx="10">
                        <c:v>71.400000000000006</c:v>
                      </c:pt>
                      <c:pt idx="11">
                        <c:v>70.86666666666666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V 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Template'!$F$173:$U$173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92</c:v>
                      </c:pt>
                      <c:pt idx="1">
                        <c:v>88.5</c:v>
                      </c:pt>
                      <c:pt idx="2">
                        <c:v>86.2</c:v>
                      </c:pt>
                      <c:pt idx="3">
                        <c:v>85.2</c:v>
                      </c:pt>
                      <c:pt idx="4">
                        <c:v>98.5</c:v>
                      </c:pt>
                      <c:pt idx="5">
                        <c:v>98.2</c:v>
                      </c:pt>
                      <c:pt idx="6">
                        <c:v>98</c:v>
                      </c:pt>
                      <c:pt idx="7">
                        <c:v>97.8</c:v>
                      </c:pt>
                      <c:pt idx="8">
                        <c:v>97.6</c:v>
                      </c:pt>
                      <c:pt idx="9">
                        <c:v>97.4</c:v>
                      </c:pt>
                      <c:pt idx="10">
                        <c:v>97</c:v>
                      </c:pt>
                      <c:pt idx="11">
                        <c:v>94.4</c:v>
                      </c:pt>
                      <c:pt idx="12">
                        <c:v>94</c:v>
                      </c:pt>
                      <c:pt idx="13">
                        <c:v>95</c:v>
                      </c:pt>
                      <c:pt idx="14">
                        <c:v>94.5</c:v>
                      </c:pt>
                      <c:pt idx="15">
                        <c:v>93.9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3F0B-495E-9371-4F111AFEE3B4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V 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Template'!$F$172:$U$172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88.365956525370336</c:v>
                      </c:pt>
                      <c:pt idx="1">
                        <c:v>87.291811879994228</c:v>
                      </c:pt>
                      <c:pt idx="2">
                        <c:v>83.972230418852888</c:v>
                      </c:pt>
                      <c:pt idx="3">
                        <c:v>84.065216870895796</c:v>
                      </c:pt>
                      <c:pt idx="4">
                        <c:v>99.738730013766016</c:v>
                      </c:pt>
                      <c:pt idx="5">
                        <c:v>99.694359320154177</c:v>
                      </c:pt>
                      <c:pt idx="6">
                        <c:v>99.535600224715751</c:v>
                      </c:pt>
                      <c:pt idx="7">
                        <c:v>99.351538265392492</c:v>
                      </c:pt>
                      <c:pt idx="8">
                        <c:v>98.98818030144102</c:v>
                      </c:pt>
                      <c:pt idx="9">
                        <c:v>98.951835366818557</c:v>
                      </c:pt>
                      <c:pt idx="10">
                        <c:v>98.706331490929699</c:v>
                      </c:pt>
                      <c:pt idx="11">
                        <c:v>98.736642037490199</c:v>
                      </c:pt>
                      <c:pt idx="12">
                        <c:v>98.575404959733333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F0B-495E-9371-4F111AFEE3B4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Change Cond.</c:v>
                </c:tx>
                <c:spPr>
                  <a:ln w="3810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2"/>
                    <c:pt idx="0">
                      <c:v>13.5</c:v>
                    </c:pt>
                    <c:pt idx="1">
                      <c:v>13.5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4D1D-4F7C-9E0E-9C60B0C5BD48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Ni Repro+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Template'!$F$6:$AG$6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 (repro+)'!$F$148:$AG$148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9093-48D0-821B-1B09C31E3FC8}"/>
                  </c:ext>
                </c:extLst>
              </c15:ser>
            </c15:filteredScatterSeries>
            <c15:filteredScatterSeries>
              <c15:ser>
                <c:idx val="11"/>
                <c:order val="10"/>
                <c:tx>
                  <c:v>Change Cond2</c:v>
                </c:tx>
                <c:spPr>
                  <a:ln w="3810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2"/>
                    <c:pt idx="0">
                      <c:v>19.5</c:v>
                    </c:pt>
                    <c:pt idx="1">
                      <c:v>19.5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F5C-4C76-B84B-B36B1CBFE39A}"/>
                  </c:ext>
                </c:extLst>
              </c15:ser>
            </c15:filteredScatterSeries>
            <c15:filteredScatterSeries>
              <c15:ser>
                <c:idx val="10"/>
                <c:order val="11"/>
                <c:tx>
                  <c:v>Ni MEBU25001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tar"/>
                  <c:size val="8"/>
                  <c:spPr>
                    <a:noFill/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'LSHS Master Template'!$F$148:$O$148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63.483696206104412</c:v>
                      </c:pt>
                      <c:pt idx="1">
                        <c:v>66.921826335884944</c:v>
                      </c:pt>
                      <c:pt idx="2">
                        <c:v>68.105223112220841</c:v>
                      </c:pt>
                      <c:pt idx="3">
                        <c:v>68.779565541382766</c:v>
                      </c:pt>
                      <c:pt idx="4">
                        <c:v>88.242298247189183</c:v>
                      </c:pt>
                      <c:pt idx="5">
                        <c:v>85.395424396041761</c:v>
                      </c:pt>
                      <c:pt idx="6">
                        <c:v>82.969707944065775</c:v>
                      </c:pt>
                      <c:pt idx="7">
                        <c:v>83.743211773475849</c:v>
                      </c:pt>
                      <c:pt idx="8">
                        <c:v>80.826769181676411</c:v>
                      </c:pt>
                      <c:pt idx="9">
                        <c:v>81.67472007562202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A141-4331-A404-B025013F0874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10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</a:p>
            </c:rich>
          </c:tx>
          <c:layout>
            <c:manualLayout>
              <c:xMode val="edge"/>
              <c:yMode val="edge"/>
              <c:x val="3.3190291488504907E-2"/>
              <c:y val="0.479799345306555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73594858275495256"/>
          <c:y val="0.28839746313461956"/>
          <c:w val="0.22179376736265349"/>
          <c:h val="9.3739459961539345E-2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C7 Asphaltenes </a:t>
            </a:r>
            <a:r>
              <a:rPr lang="en-US" b="1" baseline="0"/>
              <a:t>in HPS Product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5"/>
          <c:order val="5"/>
          <c:tx>
            <c:v>Aging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8333-469C-9637-6E3FDE0162E6}"/>
            </c:ext>
          </c:extLst>
        </c:ser>
        <c:ser>
          <c:idx val="11"/>
          <c:order val="11"/>
          <c:tx>
            <c:v>ART Acceptance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Template'!$F$45:$P$45</c:f>
              <c:numCache>
                <c:formatCode>General</c:formatCode>
                <c:ptCount val="11"/>
                <c:pt idx="0">
                  <c:v>6.55</c:v>
                </c:pt>
                <c:pt idx="1">
                  <c:v>6.92</c:v>
                </c:pt>
                <c:pt idx="2">
                  <c:v>7.67</c:v>
                </c:pt>
                <c:pt idx="3">
                  <c:v>7.11</c:v>
                </c:pt>
                <c:pt idx="4">
                  <c:v>2.81</c:v>
                </c:pt>
                <c:pt idx="5">
                  <c:v>3.34</c:v>
                </c:pt>
                <c:pt idx="6">
                  <c:v>3.89</c:v>
                </c:pt>
                <c:pt idx="7">
                  <c:v>4.29</c:v>
                </c:pt>
                <c:pt idx="8">
                  <c:v>4.6100000000000003</c:v>
                </c:pt>
                <c:pt idx="9">
                  <c:v>3.86</c:v>
                </c:pt>
                <c:pt idx="10">
                  <c:v>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3C-4930-B5AA-B3E4B776D4CF}"/>
            </c:ext>
          </c:extLst>
        </c:ser>
        <c:ser>
          <c:idx val="12"/>
          <c:order val="12"/>
          <c:tx>
            <c:v>TOP Acceptance'24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Template'!$F$44:$P$44</c:f>
              <c:numCache>
                <c:formatCode>0.00</c:formatCode>
                <c:ptCount val="11"/>
                <c:pt idx="5">
                  <c:v>1.6</c:v>
                </c:pt>
                <c:pt idx="6">
                  <c:v>1.5</c:v>
                </c:pt>
                <c:pt idx="7">
                  <c:v>1.8</c:v>
                </c:pt>
                <c:pt idx="8">
                  <c:v>2.1</c:v>
                </c:pt>
                <c:pt idx="9">
                  <c:v>2.2999999999999998</c:v>
                </c:pt>
                <c:pt idx="1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3C-4930-B5AA-B3E4B776D4CF}"/>
            </c:ext>
          </c:extLst>
        </c:ser>
        <c:ser>
          <c:idx val="13"/>
          <c:order val="13"/>
          <c:tx>
            <c:v>TOP Acceptance'26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3333FF"/>
              </a:solidFill>
              <a:ln w="9525">
                <a:noFill/>
              </a:ln>
              <a:effectLst/>
            </c:spPr>
          </c:marker>
          <c:xVal>
            <c:numRef>
              <c:f>'Master Template'!$BL$6:$CG$6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Template'!$BL$42:$CG$42</c:f>
              <c:numCache>
                <c:formatCode>0.00</c:formatCode>
                <c:ptCount val="22"/>
                <c:pt idx="0">
                  <c:v>3.782</c:v>
                </c:pt>
                <c:pt idx="1">
                  <c:v>4.1639999999999997</c:v>
                </c:pt>
                <c:pt idx="2">
                  <c:v>5.43</c:v>
                </c:pt>
                <c:pt idx="3">
                  <c:v>5.3719999999999999</c:v>
                </c:pt>
                <c:pt idx="4">
                  <c:v>1.3260000000000001</c:v>
                </c:pt>
                <c:pt idx="5">
                  <c:v>1.46</c:v>
                </c:pt>
                <c:pt idx="6">
                  <c:v>1.46</c:v>
                </c:pt>
                <c:pt idx="7">
                  <c:v>2.34</c:v>
                </c:pt>
                <c:pt idx="8">
                  <c:v>2.9</c:v>
                </c:pt>
                <c:pt idx="9">
                  <c:v>2.41</c:v>
                </c:pt>
                <c:pt idx="10">
                  <c:v>2.94</c:v>
                </c:pt>
                <c:pt idx="11">
                  <c:v>2.91</c:v>
                </c:pt>
                <c:pt idx="12">
                  <c:v>2.52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44-4BD9-8BBB-0DCD3DA93BA6}"/>
            </c:ext>
          </c:extLst>
        </c:ser>
        <c:ser>
          <c:idx val="15"/>
          <c:order val="14"/>
          <c:tx>
            <c:v>TOP MEBU001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'Lab Results Summary'!$E$157:$H$157</c:f>
              <c:strCache>
                <c:ptCount val="4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</c:strCache>
            </c:strRef>
          </c:xVal>
          <c:yVal>
            <c:numRef>
              <c:f>'Lab Results Summary'!$E$168:$H$168</c:f>
              <c:numCache>
                <c:formatCode>0.00</c:formatCode>
                <c:ptCount val="4"/>
                <c:pt idx="0">
                  <c:v>4.5999999999999996</c:v>
                </c:pt>
                <c:pt idx="1">
                  <c:v>4.3</c:v>
                </c:pt>
                <c:pt idx="2">
                  <c:v>4.4000000000000004</c:v>
                </c:pt>
                <c:pt idx="3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F7-48CB-AF54-71CB35855427}"/>
            </c:ext>
          </c:extLst>
        </c:ser>
        <c:ser>
          <c:idx val="14"/>
          <c:order val="15"/>
          <c:tx>
            <c:v>TOP MEBU002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'Master Template'!$F$6:$I$6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'Lab Results Summary'!$J$168:$M$168</c:f>
              <c:numCache>
                <c:formatCode>0.00</c:formatCode>
                <c:ptCount val="4"/>
                <c:pt idx="0">
                  <c:v>3.65</c:v>
                </c:pt>
                <c:pt idx="1">
                  <c:v>4.173</c:v>
                </c:pt>
                <c:pt idx="2">
                  <c:v>4.2380000000000004</c:v>
                </c:pt>
                <c:pt idx="3">
                  <c:v>4.83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72-4FED-9E6F-885EACC26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Template'!$C$162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Template'!$F$162:$U$162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45.4</c:v>
                      </c:pt>
                      <c:pt idx="1">
                        <c:v>45</c:v>
                      </c:pt>
                      <c:pt idx="2">
                        <c:v>45.1</c:v>
                      </c:pt>
                      <c:pt idx="3">
                        <c:v>45.8</c:v>
                      </c:pt>
                      <c:pt idx="4">
                        <c:v>81.8</c:v>
                      </c:pt>
                      <c:pt idx="5">
                        <c:v>80.2</c:v>
                      </c:pt>
                      <c:pt idx="6">
                        <c:v>79.8</c:v>
                      </c:pt>
                      <c:pt idx="7">
                        <c:v>78.5</c:v>
                      </c:pt>
                      <c:pt idx="8">
                        <c:v>76.8</c:v>
                      </c:pt>
                      <c:pt idx="9">
                        <c:v>76.400000000000006</c:v>
                      </c:pt>
                      <c:pt idx="10">
                        <c:v>77.400000000000006</c:v>
                      </c:pt>
                      <c:pt idx="11">
                        <c:v>76.86666666666666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Template'!$BL$43:$CA$43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5.0999999999999996</c:v>
                      </c:pt>
                      <c:pt idx="1">
                        <c:v>5.9</c:v>
                      </c:pt>
                      <c:pt idx="3">
                        <c:v>6.47</c:v>
                      </c:pt>
                      <c:pt idx="5">
                        <c:v>4.2</c:v>
                      </c:pt>
                      <c:pt idx="7">
                        <c:v>4.4000000000000004</c:v>
                      </c:pt>
                      <c:pt idx="8">
                        <c:v>5</c:v>
                      </c:pt>
                      <c:pt idx="9">
                        <c:v>5.09</c:v>
                      </c:pt>
                      <c:pt idx="10">
                        <c:v>5.7</c:v>
                      </c:pt>
                      <c:pt idx="12">
                        <c:v>6.1</c:v>
                      </c:pt>
                      <c:pt idx="14">
                        <c:v>7.5</c:v>
                      </c:pt>
                      <c:pt idx="15">
                        <c:v>7.49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Lbl>
                    <c:idx val="10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E25E-4173-816F-907C4AD4FB8E}"/>
                      </c:ext>
                    </c:extLst>
                  </c:dLbl>
                  <c:dLbl>
                    <c:idx val="11"/>
                    <c:layout>
                      <c:manualLayout>
                        <c:x val="-4.394264572156888E-3"/>
                        <c:y val="1.5746260263187494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E25E-4173-816F-907C4AD4FB8E}"/>
                      </c:ext>
                    </c:extLst>
                  </c:dLbl>
                  <c:dLbl>
                    <c:idx val="12"/>
                    <c:layout>
                      <c:manualLayout>
                        <c:x val="1.9120100170332183E-2"/>
                        <c:y val="-4.123972904633627E-17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A220-43AB-A658-0CD10B6A3E8C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Template'!$F$6:$AH$6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Template'!$BL$42:$CB$42</c15:sqref>
                        </c15:formulaRef>
                      </c:ext>
                    </c:extLst>
                    <c:numCache>
                      <c:formatCode>0.00</c:formatCode>
                      <c:ptCount val="17"/>
                      <c:pt idx="0">
                        <c:v>3.782</c:v>
                      </c:pt>
                      <c:pt idx="1">
                        <c:v>4.1639999999999997</c:v>
                      </c:pt>
                      <c:pt idx="2">
                        <c:v>5.43</c:v>
                      </c:pt>
                      <c:pt idx="3">
                        <c:v>5.3719999999999999</c:v>
                      </c:pt>
                      <c:pt idx="4">
                        <c:v>1.3260000000000001</c:v>
                      </c:pt>
                      <c:pt idx="5">
                        <c:v>1.46</c:v>
                      </c:pt>
                      <c:pt idx="6">
                        <c:v>1.46</c:v>
                      </c:pt>
                      <c:pt idx="7">
                        <c:v>2.34</c:v>
                      </c:pt>
                      <c:pt idx="8">
                        <c:v>2.9</c:v>
                      </c:pt>
                      <c:pt idx="9">
                        <c:v>2.41</c:v>
                      </c:pt>
                      <c:pt idx="10">
                        <c:v>2.94</c:v>
                      </c:pt>
                      <c:pt idx="11">
                        <c:v>2.91</c:v>
                      </c:pt>
                      <c:pt idx="12">
                        <c:v>2.52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Template'!$G$163:$L$163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</c:v>
                      </c:pt>
                      <c:pt idx="1">
                        <c:v>39.1</c:v>
                      </c:pt>
                      <c:pt idx="2">
                        <c:v>39.799999999999997</c:v>
                      </c:pt>
                      <c:pt idx="3">
                        <c:v>75.8</c:v>
                      </c:pt>
                      <c:pt idx="4">
                        <c:v>74.2</c:v>
                      </c:pt>
                      <c:pt idx="5">
                        <c:v>73.8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Template'!$F$163:$U$163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39.4</c:v>
                      </c:pt>
                      <c:pt idx="1">
                        <c:v>39</c:v>
                      </c:pt>
                      <c:pt idx="2">
                        <c:v>39.1</c:v>
                      </c:pt>
                      <c:pt idx="3">
                        <c:v>39.799999999999997</c:v>
                      </c:pt>
                      <c:pt idx="4">
                        <c:v>75.8</c:v>
                      </c:pt>
                      <c:pt idx="5">
                        <c:v>74.2</c:v>
                      </c:pt>
                      <c:pt idx="6">
                        <c:v>73.8</c:v>
                      </c:pt>
                      <c:pt idx="7">
                        <c:v>72.5</c:v>
                      </c:pt>
                      <c:pt idx="8">
                        <c:v>70.8</c:v>
                      </c:pt>
                      <c:pt idx="9">
                        <c:v>70.400000000000006</c:v>
                      </c:pt>
                      <c:pt idx="10">
                        <c:v>71.400000000000006</c:v>
                      </c:pt>
                      <c:pt idx="11">
                        <c:v>70.86666666666666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Change Cond.</c:v>
                </c:tx>
                <c:spPr>
                  <a:ln w="3810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2"/>
                    <c:pt idx="0">
                      <c:v>13.5</c:v>
                    </c:pt>
                    <c:pt idx="1">
                      <c:v>13.5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333-469C-9637-6E3FDE0162E6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TOP Repro+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DAILY (repro+)'!$J$88:$Z$88</c15:sqref>
                        </c15:formulaRef>
                      </c:ext>
                    </c:extLst>
                    <c:numCache>
                      <c:formatCode>0.0</c:formatCode>
                      <c:ptCount val="17"/>
                      <c:pt idx="0">
                        <c:v>6.5619999999999994</c:v>
                      </c:pt>
                      <c:pt idx="1">
                        <c:v>6.9439999999999991</c:v>
                      </c:pt>
                      <c:pt idx="2">
                        <c:v>8.2099999999999991</c:v>
                      </c:pt>
                      <c:pt idx="3">
                        <c:v>8.1519999999999992</c:v>
                      </c:pt>
                      <c:pt idx="4">
                        <c:v>4.1059999999999999</c:v>
                      </c:pt>
                      <c:pt idx="5">
                        <c:v>4.24</c:v>
                      </c:pt>
                      <c:pt idx="6">
                        <c:v>4.24</c:v>
                      </c:pt>
                      <c:pt idx="7">
                        <c:v>5.1199999999999992</c:v>
                      </c:pt>
                      <c:pt idx="8">
                        <c:v>5.68</c:v>
                      </c:pt>
                      <c:pt idx="9">
                        <c:v>5.1899999999999995</c:v>
                      </c:pt>
                      <c:pt idx="10">
                        <c:v>5.72</c:v>
                      </c:pt>
                      <c:pt idx="11">
                        <c:v>5.6899999999999995</c:v>
                      </c:pt>
                      <c:pt idx="12">
                        <c:v>5.3</c:v>
                      </c:pt>
                      <c:pt idx="13">
                        <c:v>2.78</c:v>
                      </c:pt>
                      <c:pt idx="14">
                        <c:v>2.78</c:v>
                      </c:pt>
                      <c:pt idx="15">
                        <c:v>2.78</c:v>
                      </c:pt>
                      <c:pt idx="16">
                        <c:v>2.78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5AE7-440D-9548-D7BBD5C66024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TOP Repro-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DAILY (repro-)'!$J$88:$Z$88</c15:sqref>
                        </c15:formulaRef>
                      </c:ext>
                    </c:extLst>
                    <c:numCache>
                      <c:formatCode>0.0</c:formatCode>
                      <c:ptCount val="17"/>
                      <c:pt idx="0">
                        <c:v>1.0020000000000002</c:v>
                      </c:pt>
                      <c:pt idx="1">
                        <c:v>1.3839999999999999</c:v>
                      </c:pt>
                      <c:pt idx="2">
                        <c:v>2.65</c:v>
                      </c:pt>
                      <c:pt idx="3">
                        <c:v>2.5920000000000001</c:v>
                      </c:pt>
                      <c:pt idx="4">
                        <c:v>-1.4539999999999997</c:v>
                      </c:pt>
                      <c:pt idx="5">
                        <c:v>-1.3199999999999998</c:v>
                      </c:pt>
                      <c:pt idx="6">
                        <c:v>-1.3199999999999998</c:v>
                      </c:pt>
                      <c:pt idx="7">
                        <c:v>-0.43999999999999995</c:v>
                      </c:pt>
                      <c:pt idx="8">
                        <c:v>0.12000000000000011</c:v>
                      </c:pt>
                      <c:pt idx="9">
                        <c:v>-0.36999999999999966</c:v>
                      </c:pt>
                      <c:pt idx="10">
                        <c:v>0.16000000000000014</c:v>
                      </c:pt>
                      <c:pt idx="11">
                        <c:v>0.13000000000000034</c:v>
                      </c:pt>
                      <c:pt idx="12">
                        <c:v>-0.25999999999999979</c:v>
                      </c:pt>
                      <c:pt idx="13">
                        <c:v>-2.78</c:v>
                      </c:pt>
                      <c:pt idx="14">
                        <c:v>-2.78</c:v>
                      </c:pt>
                      <c:pt idx="15">
                        <c:v>-2.78</c:v>
                      </c:pt>
                      <c:pt idx="16">
                        <c:v>-2.78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AE7-440D-9548-D7BBD5C66024}"/>
                  </c:ext>
                </c:extLst>
              </c15:ser>
            </c15:filteredScatterSeries>
            <c15:filteredScatterSeries>
              <c15:ser>
                <c:idx val="10"/>
                <c:order val="9"/>
                <c:tx>
                  <c:v>Change Cond2</c:v>
                </c:tx>
                <c:spPr>
                  <a:ln w="3810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2"/>
                    <c:pt idx="0">
                      <c:v>19.5</c:v>
                    </c:pt>
                    <c:pt idx="1">
                      <c:v>19.5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19D-4A08-885E-7DD63A757189}"/>
                  </c:ext>
                </c:extLst>
              </c15:ser>
            </c15:filteredScatterSeries>
            <c15:filteredScatterSeries>
              <c15:ser>
                <c:idx val="9"/>
                <c:order val="10"/>
                <c:tx>
                  <c:v>MEBU25001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tar"/>
                  <c:size val="8"/>
                  <c:spPr>
                    <a:noFill/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'LSHS HPS DAILY'!$K$88:$T$88</c15:sqref>
                        </c15:formulaRef>
                      </c:ext>
                    </c:extLst>
                    <c:numCache>
                      <c:formatCode>0.0</c:formatCode>
                      <c:ptCount val="10"/>
                      <c:pt idx="0">
                        <c:v>4.5999999999999996</c:v>
                      </c:pt>
                      <c:pt idx="1">
                        <c:v>4.3</c:v>
                      </c:pt>
                      <c:pt idx="2">
                        <c:v>4.4000000000000004</c:v>
                      </c:pt>
                      <c:pt idx="3">
                        <c:v>4.5</c:v>
                      </c:pt>
                      <c:pt idx="4">
                        <c:v>3</c:v>
                      </c:pt>
                      <c:pt idx="5">
                        <c:v>5.7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6.1</c:v>
                      </c:pt>
                      <c:pt idx="9">
                        <c:v>6.46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92AA-4AFC-997E-554BF5E6E4F0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  <a:r>
                  <a:rPr lang="en-US" sz="1600" b="1" baseline="0"/>
                  <a:t>wt</a:t>
                </a:r>
                <a:endParaRPr lang="en-US" sz="1600" b="1"/>
              </a:p>
            </c:rich>
          </c:tx>
          <c:layout>
            <c:manualLayout>
              <c:xMode val="edge"/>
              <c:yMode val="edge"/>
              <c:x val="1.6753119652413485E-2"/>
              <c:y val="0.511260019463859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7920621760214035"/>
          <c:y val="0.43354808457931521"/>
          <c:w val="0.15800800696250081"/>
          <c:h val="0.23060832107492582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Ni and V in HPS Product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7"/>
          <c:order val="7"/>
          <c:tx>
            <c:v>Aging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E5FB-46F9-8AAA-C458FBD04638}"/>
            </c:ext>
          </c:extLst>
        </c:ser>
        <c:ser>
          <c:idx val="14"/>
          <c:order val="14"/>
          <c:tx>
            <c:v>Ni, ART Acceptance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0070C0"/>
              </a:solidFill>
              <a:ln w="15875">
                <a:noFill/>
              </a:ln>
              <a:effectLst/>
            </c:spPr>
          </c:marker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  <c:extLst xmlns:c15="http://schemas.microsoft.com/office/drawing/2012/chart"/>
            </c:numRef>
          </c:xVal>
          <c:yVal>
            <c:numRef>
              <c:f>'Master Template'!$F$23:$P$23</c:f>
              <c:numCache>
                <c:formatCode>General</c:formatCode>
                <c:ptCount val="11"/>
                <c:pt idx="0">
                  <c:v>18.8</c:v>
                </c:pt>
                <c:pt idx="1">
                  <c:v>19.899999999999999</c:v>
                </c:pt>
                <c:pt idx="2">
                  <c:v>20.9</c:v>
                </c:pt>
                <c:pt idx="3">
                  <c:v>21.1</c:v>
                </c:pt>
                <c:pt idx="4">
                  <c:v>3.81</c:v>
                </c:pt>
                <c:pt idx="5">
                  <c:v>5.45</c:v>
                </c:pt>
                <c:pt idx="6">
                  <c:v>6.54</c:v>
                </c:pt>
                <c:pt idx="7">
                  <c:v>7.49</c:v>
                </c:pt>
                <c:pt idx="8">
                  <c:v>8.34</c:v>
                </c:pt>
                <c:pt idx="9">
                  <c:v>8.68</c:v>
                </c:pt>
                <c:pt idx="10">
                  <c:v>9.19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E93F-4982-9382-EEDFC1C85D21}"/>
            </c:ext>
          </c:extLst>
        </c:ser>
        <c:ser>
          <c:idx val="15"/>
          <c:order val="15"/>
          <c:tx>
            <c:v>Ni, TOP Acceptance'24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noFill/>
              <a:ln w="15875">
                <a:solidFill>
                  <a:schemeClr val="accent2"/>
                </a:solidFill>
              </a:ln>
              <a:effectLst/>
            </c:spPr>
          </c:marker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Template'!$F$22:$P$22</c:f>
              <c:numCache>
                <c:formatCode>General</c:formatCode>
                <c:ptCount val="11"/>
                <c:pt idx="5">
                  <c:v>4.83</c:v>
                </c:pt>
                <c:pt idx="6">
                  <c:v>6.31</c:v>
                </c:pt>
                <c:pt idx="7">
                  <c:v>6.74</c:v>
                </c:pt>
                <c:pt idx="8">
                  <c:v>7.68</c:v>
                </c:pt>
                <c:pt idx="9">
                  <c:v>8.52</c:v>
                </c:pt>
                <c:pt idx="10">
                  <c:v>9.16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3F-4982-9382-EEDFC1C85D21}"/>
            </c:ext>
          </c:extLst>
        </c:ser>
        <c:ser>
          <c:idx val="16"/>
          <c:order val="16"/>
          <c:tx>
            <c:v>V, ART Acceptance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  <c:extLst xmlns:c15="http://schemas.microsoft.com/office/drawing/2012/chart"/>
            </c:numRef>
          </c:xVal>
          <c:yVal>
            <c:numRef>
              <c:f>'Master Template'!$F$27:$P$27</c:f>
              <c:numCache>
                <c:formatCode>General</c:formatCode>
                <c:ptCount val="11"/>
                <c:pt idx="0">
                  <c:v>25.2</c:v>
                </c:pt>
                <c:pt idx="1">
                  <c:v>28.6</c:v>
                </c:pt>
                <c:pt idx="2">
                  <c:v>32.200000000000003</c:v>
                </c:pt>
                <c:pt idx="3">
                  <c:v>34.5</c:v>
                </c:pt>
                <c:pt idx="4">
                  <c:v>0.73699999999999999</c:v>
                </c:pt>
                <c:pt idx="5">
                  <c:v>1.27</c:v>
                </c:pt>
                <c:pt idx="6">
                  <c:v>1.89</c:v>
                </c:pt>
                <c:pt idx="7">
                  <c:v>2.44</c:v>
                </c:pt>
                <c:pt idx="8">
                  <c:v>2.99</c:v>
                </c:pt>
                <c:pt idx="9">
                  <c:v>3.26</c:v>
                </c:pt>
                <c:pt idx="10">
                  <c:v>3.91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E93F-4982-9382-EEDFC1C85D21}"/>
            </c:ext>
          </c:extLst>
        </c:ser>
        <c:ser>
          <c:idx val="17"/>
          <c:order val="17"/>
          <c:tx>
            <c:v>V, TOP Acceptance'24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Template'!$F$26:$P$26</c:f>
              <c:numCache>
                <c:formatCode>General</c:formatCode>
                <c:ptCount val="11"/>
                <c:pt idx="5">
                  <c:v>0.91</c:v>
                </c:pt>
                <c:pt idx="6">
                  <c:v>1.61</c:v>
                </c:pt>
                <c:pt idx="7">
                  <c:v>1.76</c:v>
                </c:pt>
                <c:pt idx="8">
                  <c:v>2.1800000000000002</c:v>
                </c:pt>
                <c:pt idx="9">
                  <c:v>2.52</c:v>
                </c:pt>
                <c:pt idx="10">
                  <c:v>2.81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93F-4982-9382-EEDFC1C85D21}"/>
            </c:ext>
          </c:extLst>
        </c:ser>
        <c:ser>
          <c:idx val="18"/>
          <c:order val="18"/>
          <c:tx>
            <c:v>Ni, TOP Acceptance'26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noFill/>
              <a:ln w="15875">
                <a:solidFill>
                  <a:srgbClr val="3333FF"/>
                </a:solidFill>
              </a:ln>
              <a:effectLst/>
            </c:spPr>
          </c:marker>
          <c:xVal>
            <c:numRef>
              <c:f>'Master Template'!$BL$6:$CG$6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Template'!$BL$20:$CG$20</c:f>
              <c:numCache>
                <c:formatCode>0.00</c:formatCode>
                <c:ptCount val="22"/>
                <c:pt idx="0">
                  <c:v>19.865000000000002</c:v>
                </c:pt>
                <c:pt idx="1">
                  <c:v>20.99</c:v>
                </c:pt>
                <c:pt idx="2">
                  <c:v>22.606666666666666</c:v>
                </c:pt>
                <c:pt idx="3">
                  <c:v>21.64</c:v>
                </c:pt>
                <c:pt idx="4">
                  <c:v>3.88</c:v>
                </c:pt>
                <c:pt idx="5">
                  <c:v>4.75</c:v>
                </c:pt>
                <c:pt idx="6">
                  <c:v>6</c:v>
                </c:pt>
                <c:pt idx="7">
                  <c:v>6.81</c:v>
                </c:pt>
                <c:pt idx="8">
                  <c:v>7.6550000000000002</c:v>
                </c:pt>
                <c:pt idx="9">
                  <c:v>8.31</c:v>
                </c:pt>
                <c:pt idx="10">
                  <c:v>9.31</c:v>
                </c:pt>
                <c:pt idx="11">
                  <c:v>9.2100000000000009</c:v>
                </c:pt>
                <c:pt idx="12">
                  <c:v>9.6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  <c:pt idx="20" formatCode="General">
                  <c:v>0</c:v>
                </c:pt>
                <c:pt idx="21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C8-4767-AC79-3EABA414EC3F}"/>
            </c:ext>
          </c:extLst>
        </c:ser>
        <c:ser>
          <c:idx val="19"/>
          <c:order val="19"/>
          <c:tx>
            <c:v>V, TOP Acceptance'26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rgbClr val="3333FF"/>
              </a:solidFill>
              <a:ln w="9525">
                <a:noFill/>
              </a:ln>
              <a:effectLst/>
            </c:spPr>
          </c:marker>
          <c:dPt>
            <c:idx val="10"/>
            <c:marker>
              <c:symbol val="square"/>
              <c:size val="8"/>
              <c:spPr>
                <a:solidFill>
                  <a:srgbClr val="3333FF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33E0-4AB4-9B41-801ED90B63BC}"/>
              </c:ext>
            </c:extLst>
          </c:dPt>
          <c:xVal>
            <c:numRef>
              <c:f>'Master Template'!$BL$6:$CG$6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Template'!$BL$24:$CG$24</c:f>
              <c:numCache>
                <c:formatCode>0.00</c:formatCode>
                <c:ptCount val="22"/>
                <c:pt idx="0">
                  <c:v>25.189999999999998</c:v>
                </c:pt>
                <c:pt idx="1">
                  <c:v>29.8</c:v>
                </c:pt>
                <c:pt idx="2">
                  <c:v>35.97</c:v>
                </c:pt>
                <c:pt idx="3">
                  <c:v>35.74</c:v>
                </c:pt>
                <c:pt idx="4">
                  <c:v>0.71</c:v>
                </c:pt>
                <c:pt idx="5">
                  <c:v>0.82</c:v>
                </c:pt>
                <c:pt idx="6">
                  <c:v>1.21</c:v>
                </c:pt>
                <c:pt idx="7">
                  <c:v>1.7</c:v>
                </c:pt>
                <c:pt idx="8">
                  <c:v>2.6549999999999998</c:v>
                </c:pt>
                <c:pt idx="9">
                  <c:v>2.76</c:v>
                </c:pt>
                <c:pt idx="10">
                  <c:v>3.4</c:v>
                </c:pt>
                <c:pt idx="11">
                  <c:v>3.36</c:v>
                </c:pt>
                <c:pt idx="12">
                  <c:v>3.74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  <c:pt idx="20" formatCode="General">
                  <c:v>0</c:v>
                </c:pt>
                <c:pt idx="21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C8-4767-AC79-3EABA414E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Template'!$C$162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Template'!$F$162:$U$162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45.4</c:v>
                      </c:pt>
                      <c:pt idx="1">
                        <c:v>45</c:v>
                      </c:pt>
                      <c:pt idx="2">
                        <c:v>45.1</c:v>
                      </c:pt>
                      <c:pt idx="3">
                        <c:v>45.8</c:v>
                      </c:pt>
                      <c:pt idx="4">
                        <c:v>81.8</c:v>
                      </c:pt>
                      <c:pt idx="5">
                        <c:v>80.2</c:v>
                      </c:pt>
                      <c:pt idx="6">
                        <c:v>79.8</c:v>
                      </c:pt>
                      <c:pt idx="7">
                        <c:v>78.5</c:v>
                      </c:pt>
                      <c:pt idx="8">
                        <c:v>76.8</c:v>
                      </c:pt>
                      <c:pt idx="9">
                        <c:v>76.400000000000006</c:v>
                      </c:pt>
                      <c:pt idx="10">
                        <c:v>77.400000000000006</c:v>
                      </c:pt>
                      <c:pt idx="11">
                        <c:v>76.86666666666666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Ni 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Template'!$BL$21:$CA$21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19</c:v>
                      </c:pt>
                      <c:pt idx="1">
                        <c:v>20.5</c:v>
                      </c:pt>
                      <c:pt idx="2">
                        <c:v>21.5</c:v>
                      </c:pt>
                      <c:pt idx="3">
                        <c:v>21.9</c:v>
                      </c:pt>
                      <c:pt idx="4">
                        <c:v>8</c:v>
                      </c:pt>
                      <c:pt idx="5">
                        <c:v>12</c:v>
                      </c:pt>
                      <c:pt idx="6">
                        <c:v>13</c:v>
                      </c:pt>
                      <c:pt idx="7">
                        <c:v>14.1</c:v>
                      </c:pt>
                      <c:pt idx="8">
                        <c:v>15.2</c:v>
                      </c:pt>
                      <c:pt idx="9">
                        <c:v>16.2</c:v>
                      </c:pt>
                      <c:pt idx="10">
                        <c:v>20.5</c:v>
                      </c:pt>
                      <c:pt idx="11">
                        <c:v>30</c:v>
                      </c:pt>
                      <c:pt idx="12">
                        <c:v>30.8</c:v>
                      </c:pt>
                      <c:pt idx="13">
                        <c:v>28</c:v>
                      </c:pt>
                      <c:pt idx="14">
                        <c:v>30</c:v>
                      </c:pt>
                      <c:pt idx="15">
                        <c:v>30.7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v>Ni 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2"/>
                    </a:solidFill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dLbls>
                  <c:dLbl>
                    <c:idx val="10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BEC7-4E97-A96A-1D804AA8365C}"/>
                      </c:ext>
                    </c:extLst>
                  </c:dLbl>
                  <c:dLbl>
                    <c:idx val="11"/>
                    <c:layout>
                      <c:manualLayout>
                        <c:x val="-2.6454530494574791E-2"/>
                        <c:y val="-3.3753375337533795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3-BEC7-4E97-A96A-1D804AA8365C}"/>
                      </c:ext>
                    </c:extLst>
                  </c:dLbl>
                  <c:dLbl>
                    <c:idx val="12"/>
                    <c:layout>
                      <c:manualLayout>
                        <c:x val="1.9106049801637312E-2"/>
                        <c:y val="-6.7506750675067504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7A4E-4E05-A126-2449BE8FFF2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Template'!$F$6:$AH$6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Template'!$BL$20:$CB$20</c15:sqref>
                        </c15:formulaRef>
                      </c:ext>
                    </c:extLst>
                    <c:numCache>
                      <c:formatCode>0.00</c:formatCode>
                      <c:ptCount val="17"/>
                      <c:pt idx="0">
                        <c:v>19.865000000000002</c:v>
                      </c:pt>
                      <c:pt idx="1">
                        <c:v>20.99</c:v>
                      </c:pt>
                      <c:pt idx="2">
                        <c:v>22.606666666666666</c:v>
                      </c:pt>
                      <c:pt idx="3">
                        <c:v>21.64</c:v>
                      </c:pt>
                      <c:pt idx="4">
                        <c:v>3.88</c:v>
                      </c:pt>
                      <c:pt idx="5">
                        <c:v>4.75</c:v>
                      </c:pt>
                      <c:pt idx="6">
                        <c:v>6</c:v>
                      </c:pt>
                      <c:pt idx="7">
                        <c:v>6.81</c:v>
                      </c:pt>
                      <c:pt idx="8">
                        <c:v>7.6550000000000002</c:v>
                      </c:pt>
                      <c:pt idx="9">
                        <c:v>8.31</c:v>
                      </c:pt>
                      <c:pt idx="10">
                        <c:v>9.31</c:v>
                      </c:pt>
                      <c:pt idx="11">
                        <c:v>9.2100000000000009</c:v>
                      </c:pt>
                      <c:pt idx="12">
                        <c:v>9.6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Template'!$G$163:$L$163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</c:v>
                      </c:pt>
                      <c:pt idx="1">
                        <c:v>39.1</c:v>
                      </c:pt>
                      <c:pt idx="2">
                        <c:v>39.799999999999997</c:v>
                      </c:pt>
                      <c:pt idx="3">
                        <c:v>75.8</c:v>
                      </c:pt>
                      <c:pt idx="4">
                        <c:v>74.2</c:v>
                      </c:pt>
                      <c:pt idx="5">
                        <c:v>73.8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Template'!$F$163:$U$163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39.4</c:v>
                      </c:pt>
                      <c:pt idx="1">
                        <c:v>39</c:v>
                      </c:pt>
                      <c:pt idx="2">
                        <c:v>39.1</c:v>
                      </c:pt>
                      <c:pt idx="3">
                        <c:v>39.799999999999997</c:v>
                      </c:pt>
                      <c:pt idx="4">
                        <c:v>75.8</c:v>
                      </c:pt>
                      <c:pt idx="5">
                        <c:v>74.2</c:v>
                      </c:pt>
                      <c:pt idx="6">
                        <c:v>73.8</c:v>
                      </c:pt>
                      <c:pt idx="7">
                        <c:v>72.5</c:v>
                      </c:pt>
                      <c:pt idx="8">
                        <c:v>70.8</c:v>
                      </c:pt>
                      <c:pt idx="9">
                        <c:v>70.400000000000006</c:v>
                      </c:pt>
                      <c:pt idx="10">
                        <c:v>71.400000000000006</c:v>
                      </c:pt>
                      <c:pt idx="11">
                        <c:v>70.86666666666666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V 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Template'!$BL$25:$CA$25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24.5</c:v>
                      </c:pt>
                      <c:pt idx="1">
                        <c:v>29</c:v>
                      </c:pt>
                      <c:pt idx="2">
                        <c:v>32.5</c:v>
                      </c:pt>
                      <c:pt idx="3">
                        <c:v>34.1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6.5</c:v>
                      </c:pt>
                      <c:pt idx="8">
                        <c:v>7.5</c:v>
                      </c:pt>
                      <c:pt idx="9">
                        <c:v>8.8000000000000007</c:v>
                      </c:pt>
                      <c:pt idx="10">
                        <c:v>13</c:v>
                      </c:pt>
                      <c:pt idx="11">
                        <c:v>25</c:v>
                      </c:pt>
                      <c:pt idx="12">
                        <c:v>27</c:v>
                      </c:pt>
                      <c:pt idx="13">
                        <c:v>23</c:v>
                      </c:pt>
                      <c:pt idx="14">
                        <c:v>24</c:v>
                      </c:pt>
                      <c:pt idx="15">
                        <c:v>27.4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3F0B-495E-9371-4F111AFEE3B4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V 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6"/>
                    </a:solidFill>
                    <a:ln w="9525">
                      <a:solidFill>
                        <a:srgbClr val="00B050"/>
                      </a:solidFill>
                    </a:ln>
                    <a:effectLst/>
                  </c:spPr>
                </c:marker>
                <c:dLbls>
                  <c:dLbl>
                    <c:idx val="10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BEC7-4E97-A96A-1D804AA8365C}"/>
                      </c:ext>
                    </c:extLst>
                  </c:dLbl>
                  <c:dLbl>
                    <c:idx val="11"/>
                    <c:layout>
                      <c:manualLayout>
                        <c:x val="-2.2045442078812282E-2"/>
                        <c:y val="2.9252925292529212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2-BEC7-4E97-A96A-1D804AA8365C}"/>
                      </c:ext>
                    </c:extLst>
                  </c:dLbl>
                  <c:dLbl>
                    <c:idx val="12"/>
                    <c:layout>
                      <c:manualLayout>
                        <c:x val="1.7636353663049824E-2"/>
                        <c:y val="-4.5004500450045006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7A4E-4E05-A126-2449BE8FFF2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Template'!$F$6:$AH$6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Template'!$BL$24:$CB$24</c15:sqref>
                        </c15:formulaRef>
                      </c:ext>
                    </c:extLst>
                    <c:numCache>
                      <c:formatCode>0.00</c:formatCode>
                      <c:ptCount val="17"/>
                      <c:pt idx="0">
                        <c:v>25.189999999999998</c:v>
                      </c:pt>
                      <c:pt idx="1">
                        <c:v>29.8</c:v>
                      </c:pt>
                      <c:pt idx="2">
                        <c:v>35.97</c:v>
                      </c:pt>
                      <c:pt idx="3">
                        <c:v>35.74</c:v>
                      </c:pt>
                      <c:pt idx="4">
                        <c:v>0.71</c:v>
                      </c:pt>
                      <c:pt idx="5">
                        <c:v>0.82</c:v>
                      </c:pt>
                      <c:pt idx="6">
                        <c:v>1.21</c:v>
                      </c:pt>
                      <c:pt idx="7">
                        <c:v>1.7</c:v>
                      </c:pt>
                      <c:pt idx="8">
                        <c:v>2.6549999999999998</c:v>
                      </c:pt>
                      <c:pt idx="9">
                        <c:v>2.76</c:v>
                      </c:pt>
                      <c:pt idx="10">
                        <c:v>3.4</c:v>
                      </c:pt>
                      <c:pt idx="11">
                        <c:v>3.36</c:v>
                      </c:pt>
                      <c:pt idx="12">
                        <c:v>3.74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F0B-495E-9371-4F111AFEE3B4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Change Cond.</c:v>
                </c:tx>
                <c:spPr>
                  <a:ln w="3810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2"/>
                    <c:pt idx="0">
                      <c:v>4.5</c:v>
                    </c:pt>
                    <c:pt idx="1">
                      <c:v>4.5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5FB-46F9-8AAA-C458FBD04638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Ni Repo -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Template'!$BL$20:$CA$20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19.865000000000002</c:v>
                      </c:pt>
                      <c:pt idx="1">
                        <c:v>20.99</c:v>
                      </c:pt>
                      <c:pt idx="2">
                        <c:v>22.606666666666666</c:v>
                      </c:pt>
                      <c:pt idx="3">
                        <c:v>21.64</c:v>
                      </c:pt>
                      <c:pt idx="4">
                        <c:v>3.88</c:v>
                      </c:pt>
                      <c:pt idx="5">
                        <c:v>4.75</c:v>
                      </c:pt>
                      <c:pt idx="6">
                        <c:v>6</c:v>
                      </c:pt>
                      <c:pt idx="7">
                        <c:v>6.81</c:v>
                      </c:pt>
                      <c:pt idx="8">
                        <c:v>7.6550000000000002</c:v>
                      </c:pt>
                      <c:pt idx="9">
                        <c:v>8.31</c:v>
                      </c:pt>
                      <c:pt idx="10">
                        <c:v>9.31</c:v>
                      </c:pt>
                      <c:pt idx="11">
                        <c:v>9.2100000000000009</c:v>
                      </c:pt>
                      <c:pt idx="12">
                        <c:v>9.6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05AC-4ED7-A71A-14B1D2A97151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v>Change Cond.</c:v>
                </c:tx>
                <c:spPr>
                  <a:ln w="3810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2"/>
                    <c:pt idx="0">
                      <c:v>13.5</c:v>
                    </c:pt>
                    <c:pt idx="1">
                      <c:v>13.5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4832-47E2-8C22-A0A63FA73465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v>Change Cond2</c:v>
                </c:tx>
                <c:spPr>
                  <a:ln w="3810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2"/>
                    <c:pt idx="0">
                      <c:v>19.5</c:v>
                    </c:pt>
                    <c:pt idx="1">
                      <c:v>19.5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4832-47E2-8C22-A0A63FA73465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v>Ni MEBU25001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tar"/>
                  <c:size val="8"/>
                  <c:spPr>
                    <a:noFill/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'LSHS HPS DAILY'!$K$42:$T$42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 formatCode="General">
                        <c:v>23.22</c:v>
                      </c:pt>
                      <c:pt idx="1">
                        <c:v>21.56</c:v>
                      </c:pt>
                      <c:pt idx="2">
                        <c:v>20.83</c:v>
                      </c:pt>
                      <c:pt idx="3">
                        <c:v>20.440000000000001</c:v>
                      </c:pt>
                      <c:pt idx="4">
                        <c:v>15.95</c:v>
                      </c:pt>
                      <c:pt idx="5">
                        <c:v>19.940000000000001</c:v>
                      </c:pt>
                      <c:pt idx="6">
                        <c:v>22.84</c:v>
                      </c:pt>
                      <c:pt idx="7">
                        <c:v>21.74</c:v>
                      </c:pt>
                      <c:pt idx="8">
                        <c:v>25.13</c:v>
                      </c:pt>
                      <c:pt idx="9">
                        <c:v>24.63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153A-49AD-9BCA-8193ABAEECEB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v>V MEBU25001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tar"/>
                  <c:size val="8"/>
                  <c:spPr>
                    <a:noFill/>
                    <a:ln w="9525">
                      <a:solidFill>
                        <a:srgbClr val="00B05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'LSHS HPS DAILY'!$K$43:$T$43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 formatCode="General">
                        <c:v>37.799999999999997</c:v>
                      </c:pt>
                      <c:pt idx="1">
                        <c:v>35.770000000000003</c:v>
                      </c:pt>
                      <c:pt idx="2">
                        <c:v>36</c:v>
                      </c:pt>
                      <c:pt idx="3">
                        <c:v>35.1</c:v>
                      </c:pt>
                      <c:pt idx="4">
                        <c:v>12.19</c:v>
                      </c:pt>
                      <c:pt idx="5">
                        <c:v>16.88</c:v>
                      </c:pt>
                      <c:pt idx="6">
                        <c:v>21.84</c:v>
                      </c:pt>
                      <c:pt idx="7">
                        <c:v>19.579999999999998</c:v>
                      </c:pt>
                      <c:pt idx="8">
                        <c:v>24.52</c:v>
                      </c:pt>
                      <c:pt idx="9">
                        <c:v>25.21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53A-49AD-9BCA-8193ABAEECEB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4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ppm</a:t>
                </a:r>
              </a:p>
            </c:rich>
          </c:tx>
          <c:layout>
            <c:manualLayout>
              <c:xMode val="edge"/>
              <c:yMode val="edge"/>
              <c:x val="3.3190291488504907E-2"/>
              <c:y val="0.479799345306555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6650245416110323"/>
          <c:y val="0.41318560989957265"/>
          <c:w val="0.24011432615820733"/>
          <c:h val="0.28558659242385526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Breakdown</a:t>
            </a:r>
            <a:r>
              <a:rPr lang="en-US" b="1" baseline="0"/>
              <a:t> Yield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0"/>
          <c:order val="2"/>
          <c:tx>
            <c:v>IBP-160 Naptha Minus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10"/>
            <c:spPr>
              <a:solidFill>
                <a:schemeClr val="accent2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3"/>
              <c:layout>
                <c:manualLayout>
                  <c:x val="-2.066921656049589E-2"/>
                  <c:y val="-2.72041629020900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AC5-45C8-9D1D-271AF0EAF7BE}"/>
                </c:ext>
              </c:extLst>
            </c:dLbl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Template'!$F$293:$AA$293</c:f>
              <c:numCache>
                <c:formatCode>0.00</c:formatCode>
                <c:ptCount val="22"/>
                <c:pt idx="0">
                  <c:v>1.5765568087462309</c:v>
                </c:pt>
                <c:pt idx="1">
                  <c:v>2.7081697599530461</c:v>
                </c:pt>
                <c:pt idx="2">
                  <c:v>1.4396098221561986</c:v>
                </c:pt>
                <c:pt idx="3">
                  <c:v>1.6537040460770356</c:v>
                </c:pt>
                <c:pt idx="4">
                  <c:v>3.77532767773639</c:v>
                </c:pt>
                <c:pt idx="5" formatCode="0">
                  <c:v>4.6527219334186709</c:v>
                </c:pt>
                <c:pt idx="6">
                  <c:v>3.9537002733708047</c:v>
                </c:pt>
                <c:pt idx="7">
                  <c:v>3.9998087992858076</c:v>
                </c:pt>
                <c:pt idx="8">
                  <c:v>3.2502749954566004</c:v>
                </c:pt>
                <c:pt idx="9">
                  <c:v>3.9330253489247187</c:v>
                </c:pt>
                <c:pt idx="10">
                  <c:v>3.2356358329324739</c:v>
                </c:pt>
                <c:pt idx="11">
                  <c:v>3.9117633825149962</c:v>
                </c:pt>
                <c:pt idx="12">
                  <c:v>3.7306746186192186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62CE-46CE-B7D8-B44863D97188}"/>
            </c:ext>
          </c:extLst>
        </c:ser>
        <c:ser>
          <c:idx val="8"/>
          <c:order val="6"/>
          <c:tx>
            <c:v>160-360 Middle Distillates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C00000"/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dLbl>
              <c:idx val="3"/>
              <c:layout>
                <c:manualLayout>
                  <c:x val="-2.536676577879041E-2"/>
                  <c:y val="-4.0090345329395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AC5-45C8-9D1D-271AF0EAF7BE}"/>
                </c:ext>
              </c:extLst>
            </c:dLbl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Template'!$F$296:$AA$296</c:f>
              <c:numCache>
                <c:formatCode>0.00</c:formatCode>
                <c:ptCount val="22"/>
                <c:pt idx="0">
                  <c:v>8.8368267468050679</c:v>
                </c:pt>
                <c:pt idx="1">
                  <c:v>11.360708972861948</c:v>
                </c:pt>
                <c:pt idx="2">
                  <c:v>10.221822132538048</c:v>
                </c:pt>
                <c:pt idx="3">
                  <c:v>12.101507202166641</c:v>
                </c:pt>
                <c:pt idx="4">
                  <c:v>28.132730872228912</c:v>
                </c:pt>
                <c:pt idx="5">
                  <c:v>29.289310103413857</c:v>
                </c:pt>
                <c:pt idx="6">
                  <c:v>30.318539810657036</c:v>
                </c:pt>
                <c:pt idx="7">
                  <c:v>28.024949524239599</c:v>
                </c:pt>
                <c:pt idx="8">
                  <c:v>27.418690667294825</c:v>
                </c:pt>
                <c:pt idx="9">
                  <c:v>27.890642926822494</c:v>
                </c:pt>
                <c:pt idx="10">
                  <c:v>27.34655562471027</c:v>
                </c:pt>
                <c:pt idx="11">
                  <c:v>27.628989102837988</c:v>
                </c:pt>
                <c:pt idx="12">
                  <c:v>27.460436113948674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3CCA-4091-8916-DD1DB6FA1247}"/>
            </c:ext>
          </c:extLst>
        </c:ser>
        <c:ser>
          <c:idx val="6"/>
          <c:order val="8"/>
          <c:tx>
            <c:v>360-560 VGO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chemeClr val="accent1">
                  <a:lumMod val="60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3"/>
              <c:layout>
                <c:manualLayout>
                  <c:x val="-2.6306275622449315E-2"/>
                  <c:y val="-3.86585472819174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AC5-45C8-9D1D-271AF0EAF7BE}"/>
                </c:ext>
              </c:extLst>
            </c:dLbl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Template'!$F$299:$AA$299</c:f>
              <c:numCache>
                <c:formatCode>0.00</c:formatCode>
                <c:ptCount val="22"/>
                <c:pt idx="0">
                  <c:v>33.537769632486174</c:v>
                </c:pt>
                <c:pt idx="1">
                  <c:v>31.117628096819022</c:v>
                </c:pt>
                <c:pt idx="2">
                  <c:v>30.961649163863196</c:v>
                </c:pt>
                <c:pt idx="3">
                  <c:v>32.878479267197996</c:v>
                </c:pt>
                <c:pt idx="4">
                  <c:v>36.305093414864992</c:v>
                </c:pt>
                <c:pt idx="5">
                  <c:v>37.271353740837263</c:v>
                </c:pt>
                <c:pt idx="6">
                  <c:v>36.892781038101006</c:v>
                </c:pt>
                <c:pt idx="7">
                  <c:v>37.202491133368738</c:v>
                </c:pt>
                <c:pt idx="8">
                  <c:v>37.189452933093797</c:v>
                </c:pt>
                <c:pt idx="9">
                  <c:v>36.502963683590579</c:v>
                </c:pt>
                <c:pt idx="10">
                  <c:v>37.966242591463242</c:v>
                </c:pt>
                <c:pt idx="11">
                  <c:v>37.1067835927727</c:v>
                </c:pt>
                <c:pt idx="12">
                  <c:v>37.73389845911575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096-4E7C-BE9D-C18130F30D2D}"/>
            </c:ext>
          </c:extLst>
        </c:ser>
        <c:ser>
          <c:idx val="10"/>
          <c:order val="10"/>
          <c:tx>
            <c:v>560+ Unconverted Residue</c:v>
          </c:tx>
          <c:spPr>
            <a:ln w="25400" cap="rnd">
              <a:noFill/>
              <a:round/>
            </a:ln>
            <a:effectLst/>
          </c:spPr>
          <c:marker>
            <c:symbol val="plus"/>
            <c:size val="10"/>
            <c:spPr>
              <a:solidFill>
                <a:schemeClr val="accent5">
                  <a:lumMod val="60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3"/>
              <c:layout>
                <c:manualLayout>
                  <c:x val="-2.536676577879041E-2"/>
                  <c:y val="-2.7204162902090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AC5-45C8-9D1D-271AF0EAF7BE}"/>
                </c:ext>
              </c:extLst>
            </c:dLbl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Template'!$F$301:$AA$301</c:f>
              <c:numCache>
                <c:formatCode>0.00</c:formatCode>
                <c:ptCount val="22"/>
                <c:pt idx="0">
                  <c:v>49.194742445673143</c:v>
                </c:pt>
                <c:pt idx="1">
                  <c:v>48.412572557544763</c:v>
                </c:pt>
                <c:pt idx="2">
                  <c:v>50.852650356957419</c:v>
                </c:pt>
                <c:pt idx="3">
                  <c:v>48.978499646577959</c:v>
                </c:pt>
                <c:pt idx="4">
                  <c:v>22.465452814296697</c:v>
                </c:pt>
                <c:pt idx="5">
                  <c:v>19.911552210052058</c:v>
                </c:pt>
                <c:pt idx="6">
                  <c:v>20.605956886621684</c:v>
                </c:pt>
                <c:pt idx="7">
                  <c:v>21.716797345342499</c:v>
                </c:pt>
                <c:pt idx="8">
                  <c:v>23.180080448547425</c:v>
                </c:pt>
                <c:pt idx="9">
                  <c:v>22.756082566697334</c:v>
                </c:pt>
                <c:pt idx="10">
                  <c:v>22.886492991727934</c:v>
                </c:pt>
                <c:pt idx="11">
                  <c:v>22.18117054714785</c:v>
                </c:pt>
                <c:pt idx="12">
                  <c:v>21.856143964110931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CCA-4091-8916-DD1DB6FA1247}"/>
            </c:ext>
          </c:extLst>
        </c:ser>
        <c:ser>
          <c:idx val="11"/>
          <c:order val="11"/>
          <c:tx>
            <c:v>Aging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3CCA-4091-8916-DD1DB6FA1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Template'!$C$162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Template'!$F$162:$U$162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45.4</c:v>
                      </c:pt>
                      <c:pt idx="1">
                        <c:v>45</c:v>
                      </c:pt>
                      <c:pt idx="2">
                        <c:v>45.1</c:v>
                      </c:pt>
                      <c:pt idx="3">
                        <c:v>45.8</c:v>
                      </c:pt>
                      <c:pt idx="4">
                        <c:v>81.8</c:v>
                      </c:pt>
                      <c:pt idx="5">
                        <c:v>80.2</c:v>
                      </c:pt>
                      <c:pt idx="6">
                        <c:v>79.8</c:v>
                      </c:pt>
                      <c:pt idx="7">
                        <c:v>78.5</c:v>
                      </c:pt>
                      <c:pt idx="8">
                        <c:v>76.8</c:v>
                      </c:pt>
                      <c:pt idx="9">
                        <c:v>76.400000000000006</c:v>
                      </c:pt>
                      <c:pt idx="10">
                        <c:v>77.400000000000006</c:v>
                      </c:pt>
                      <c:pt idx="11">
                        <c:v>76.86666666666666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IBP-160 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Template'!$F$294:$U$294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1.91068059620941</c:v>
                      </c:pt>
                      <c:pt idx="1">
                        <c:v>2.3779379505467197</c:v>
                      </c:pt>
                      <c:pt idx="2">
                        <c:v>2.2362851376229198</c:v>
                      </c:pt>
                      <c:pt idx="3">
                        <c:v>2.1323316070766802</c:v>
                      </c:pt>
                      <c:pt idx="4">
                        <c:v>7.3703492794479004</c:v>
                      </c:pt>
                      <c:pt idx="5">
                        <c:v>7.3455101323497693</c:v>
                      </c:pt>
                      <c:pt idx="6">
                        <c:v>7.3932964469272093</c:v>
                      </c:pt>
                      <c:pt idx="7">
                        <c:v>7.5302525966915095</c:v>
                      </c:pt>
                      <c:pt idx="8">
                        <c:v>7.2905957025073604</c:v>
                      </c:pt>
                      <c:pt idx="9">
                        <c:v>7.4851514482464205</c:v>
                      </c:pt>
                      <c:pt idx="10">
                        <c:v>7.1494016406672802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Template'!$G$163:$L$163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</c:v>
                      </c:pt>
                      <c:pt idx="1">
                        <c:v>39.1</c:v>
                      </c:pt>
                      <c:pt idx="2">
                        <c:v>39.799999999999997</c:v>
                      </c:pt>
                      <c:pt idx="3">
                        <c:v>75.8</c:v>
                      </c:pt>
                      <c:pt idx="4">
                        <c:v>74.2</c:v>
                      </c:pt>
                      <c:pt idx="5">
                        <c:v>73.8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Template'!$F$163:$U$163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39.4</c:v>
                      </c:pt>
                      <c:pt idx="1">
                        <c:v>39</c:v>
                      </c:pt>
                      <c:pt idx="2">
                        <c:v>39.1</c:v>
                      </c:pt>
                      <c:pt idx="3">
                        <c:v>39.799999999999997</c:v>
                      </c:pt>
                      <c:pt idx="4">
                        <c:v>75.8</c:v>
                      </c:pt>
                      <c:pt idx="5">
                        <c:v>74.2</c:v>
                      </c:pt>
                      <c:pt idx="6">
                        <c:v>73.8</c:v>
                      </c:pt>
                      <c:pt idx="7">
                        <c:v>72.5</c:v>
                      </c:pt>
                      <c:pt idx="8">
                        <c:v>70.8</c:v>
                      </c:pt>
                      <c:pt idx="9">
                        <c:v>70.400000000000006</c:v>
                      </c:pt>
                      <c:pt idx="10">
                        <c:v>71.400000000000006</c:v>
                      </c:pt>
                      <c:pt idx="11">
                        <c:v>70.86666666666666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  <c15:filteredScatterSeries>
              <c15:ser>
                <c:idx val="7"/>
                <c:order val="5"/>
                <c:tx>
                  <c:v>160-360 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Template'!$F$297:$U$297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10.947426514883601</c:v>
                      </c:pt>
                      <c:pt idx="1">
                        <c:v>11.5936725671805</c:v>
                      </c:pt>
                      <c:pt idx="2">
                        <c:v>11.5171364966111</c:v>
                      </c:pt>
                      <c:pt idx="3">
                        <c:v>11.53</c:v>
                      </c:pt>
                      <c:pt idx="4">
                        <c:v>28.095230172901903</c:v>
                      </c:pt>
                      <c:pt idx="5">
                        <c:v>26.054003452836298</c:v>
                      </c:pt>
                      <c:pt idx="6">
                        <c:v>26.066366245411199</c:v>
                      </c:pt>
                      <c:pt idx="7">
                        <c:v>25.500117964410002</c:v>
                      </c:pt>
                      <c:pt idx="8">
                        <c:v>24.894483362938999</c:v>
                      </c:pt>
                      <c:pt idx="9">
                        <c:v>24.655799442219699</c:v>
                      </c:pt>
                      <c:pt idx="10">
                        <c:v>25.171153303895501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3CCA-4091-8916-DD1DB6FA1247}"/>
                  </c:ext>
                </c:extLst>
              </c15:ser>
            </c15:filteredScatterSeries>
            <c15:filteredScatterSeries>
              <c15:ser>
                <c:idx val="5"/>
                <c:order val="7"/>
                <c:tx>
                  <c:v>360-560 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6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Template'!$F$300:$U$300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31.7418690877874</c:v>
                      </c:pt>
                      <c:pt idx="1">
                        <c:v>31.9002090375465</c:v>
                      </c:pt>
                      <c:pt idx="2">
                        <c:v>31.9884018006247</c:v>
                      </c:pt>
                      <c:pt idx="3">
                        <c:v>31.761673460997297</c:v>
                      </c:pt>
                      <c:pt idx="4">
                        <c:v>39.076043221103404</c:v>
                      </c:pt>
                      <c:pt idx="5">
                        <c:v>36.688113728056699</c:v>
                      </c:pt>
                      <c:pt idx="6">
                        <c:v>37.971183769655596</c:v>
                      </c:pt>
                      <c:pt idx="7">
                        <c:v>37.874229205062896</c:v>
                      </c:pt>
                      <c:pt idx="8">
                        <c:v>35.613119849672501</c:v>
                      </c:pt>
                      <c:pt idx="9">
                        <c:v>35.683503356070098</c:v>
                      </c:pt>
                      <c:pt idx="10">
                        <c:v>36.313549731131999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5096-4E7C-BE9D-C18130F30D2D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560+ 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1">
                        <a:lumMod val="5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Template'!$F$302:$U$302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49.957418903525301</c:v>
                      </c:pt>
                      <c:pt idx="1">
                        <c:v>49.980452454645203</c:v>
                      </c:pt>
                      <c:pt idx="2">
                        <c:v>50.016167312909396</c:v>
                      </c:pt>
                      <c:pt idx="3">
                        <c:v>49.7795928038502</c:v>
                      </c:pt>
                      <c:pt idx="4">
                        <c:v>18.9259151803649</c:v>
                      </c:pt>
                      <c:pt idx="5">
                        <c:v>19.615766783442503</c:v>
                      </c:pt>
                      <c:pt idx="6">
                        <c:v>19.911835162682799</c:v>
                      </c:pt>
                      <c:pt idx="7">
                        <c:v>20.989226245100699</c:v>
                      </c:pt>
                      <c:pt idx="8">
                        <c:v>23.324351868783801</c:v>
                      </c:pt>
                      <c:pt idx="9">
                        <c:v>23.577783903335998</c:v>
                      </c:pt>
                      <c:pt idx="10">
                        <c:v>22.953526965747002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CCA-4091-8916-DD1DB6FA1247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%wt</a:t>
                </a:r>
              </a:p>
            </c:rich>
          </c:tx>
          <c:layout>
            <c:manualLayout>
              <c:xMode val="edge"/>
              <c:yMode val="edge"/>
              <c:x val="1.9622768013096585E-2"/>
              <c:y val="0.450585862160488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4"/>
        <c:delete val="1"/>
      </c:legendEntry>
      <c:layout>
        <c:manualLayout>
          <c:xMode val="edge"/>
          <c:yMode val="edge"/>
          <c:x val="0.62174619226295824"/>
          <c:y val="0.23114248690468484"/>
          <c:w val="0.18311169047363102"/>
          <c:h val="0.28611507642757594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Sulfur</a:t>
            </a:r>
            <a:r>
              <a:rPr lang="en-US" b="1" baseline="0"/>
              <a:t> in LTO Product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5"/>
          <c:order val="5"/>
          <c:tx>
            <c:v>Aging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'!$AK$9:$AK$10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A513-4494-A24D-41821E124782}"/>
            </c:ext>
          </c:extLst>
        </c:ser>
        <c:ser>
          <c:idx val="11"/>
          <c:order val="11"/>
          <c:tx>
            <c:v>ART Acceptance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Template'!$CO$6:$CY$6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Template'!$CO$37:$CY$37</c:f>
              <c:numCache>
                <c:formatCode>0.000</c:formatCode>
                <c:ptCount val="11"/>
                <c:pt idx="0">
                  <c:v>0.216</c:v>
                </c:pt>
                <c:pt idx="1">
                  <c:v>0.16800000000000001</c:v>
                </c:pt>
                <c:pt idx="2">
                  <c:v>0.188</c:v>
                </c:pt>
                <c:pt idx="3">
                  <c:v>0.17799999999999999</c:v>
                </c:pt>
                <c:pt idx="4">
                  <c:v>0.11</c:v>
                </c:pt>
                <c:pt idx="5">
                  <c:v>8.6099999999999996E-2</c:v>
                </c:pt>
                <c:pt idx="6">
                  <c:v>9.4500000000000001E-2</c:v>
                </c:pt>
                <c:pt idx="7">
                  <c:v>0.104</c:v>
                </c:pt>
                <c:pt idx="8">
                  <c:v>0.11</c:v>
                </c:pt>
                <c:pt idx="9">
                  <c:v>0.113</c:v>
                </c:pt>
                <c:pt idx="10">
                  <c:v>0.11700000000000001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AF-43E2-891D-FA3D9D23C632}"/>
            </c:ext>
          </c:extLst>
        </c:ser>
        <c:ser>
          <c:idx val="12"/>
          <c:order val="12"/>
          <c:tx>
            <c:v>TOP Acceptance'24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'Master Template'!$CT$6:$CY$6</c:f>
              <c:numCache>
                <c:formatCode>General</c:formatCode>
                <c:ptCount val="6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</c:numCache>
            </c:numRef>
          </c:xVal>
          <c:yVal>
            <c:numRef>
              <c:f>'Master Template'!$CT$36:$CY$36</c:f>
              <c:numCache>
                <c:formatCode>0.000</c:formatCode>
                <c:ptCount val="6"/>
                <c:pt idx="0">
                  <c:v>0.1149</c:v>
                </c:pt>
                <c:pt idx="1">
                  <c:v>0.113</c:v>
                </c:pt>
                <c:pt idx="2">
                  <c:v>9.3399999999999997E-2</c:v>
                </c:pt>
                <c:pt idx="3">
                  <c:v>0.25900000000000001</c:v>
                </c:pt>
                <c:pt idx="4">
                  <c:v>0.25069999999999998</c:v>
                </c:pt>
                <c:pt idx="5">
                  <c:v>0.28670000000000001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AF-43E2-891D-FA3D9D23C632}"/>
            </c:ext>
          </c:extLst>
        </c:ser>
        <c:ser>
          <c:idx val="13"/>
          <c:order val="13"/>
          <c:tx>
            <c:v>TOP Acceptance'26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3333FF"/>
              </a:solidFill>
              <a:ln w="9525">
                <a:noFill/>
              </a:ln>
              <a:effectLst/>
            </c:spPr>
          </c:marker>
          <c:xVal>
            <c:numRef>
              <c:f>'Master Template'!$CO$6:$DJ$6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Template'!$CO$34:$DJ$34</c:f>
              <c:numCache>
                <c:formatCode>0.000</c:formatCode>
                <c:ptCount val="22"/>
                <c:pt idx="0">
                  <c:v>0</c:v>
                </c:pt>
                <c:pt idx="1">
                  <c:v>0.16400000000000001</c:v>
                </c:pt>
                <c:pt idx="2">
                  <c:v>0.17199999999999999</c:v>
                </c:pt>
                <c:pt idx="3">
                  <c:v>0.157</c:v>
                </c:pt>
                <c:pt idx="4">
                  <c:v>0.13277</c:v>
                </c:pt>
                <c:pt idx="5">
                  <c:v>9.042E-2</c:v>
                </c:pt>
                <c:pt idx="6">
                  <c:v>0.10299999999999999</c:v>
                </c:pt>
                <c:pt idx="7">
                  <c:v>0.108</c:v>
                </c:pt>
                <c:pt idx="8">
                  <c:v>0.16566500000000001</c:v>
                </c:pt>
                <c:pt idx="9">
                  <c:v>0.14560999999999999</c:v>
                </c:pt>
                <c:pt idx="10">
                  <c:v>0.13669999999999999</c:v>
                </c:pt>
                <c:pt idx="11">
                  <c:v>0.12447</c:v>
                </c:pt>
                <c:pt idx="12">
                  <c:v>0.12303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89-4BD6-AC7A-0AD2983C9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Template'!$C$162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Template'!$F$162:$U$162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45.4</c:v>
                      </c:pt>
                      <c:pt idx="1">
                        <c:v>45</c:v>
                      </c:pt>
                      <c:pt idx="2">
                        <c:v>45.1</c:v>
                      </c:pt>
                      <c:pt idx="3">
                        <c:v>45.8</c:v>
                      </c:pt>
                      <c:pt idx="4">
                        <c:v>81.8</c:v>
                      </c:pt>
                      <c:pt idx="5">
                        <c:v>80.2</c:v>
                      </c:pt>
                      <c:pt idx="6">
                        <c:v>79.8</c:v>
                      </c:pt>
                      <c:pt idx="7">
                        <c:v>78.5</c:v>
                      </c:pt>
                      <c:pt idx="8">
                        <c:v>76.8</c:v>
                      </c:pt>
                      <c:pt idx="9">
                        <c:v>76.400000000000006</c:v>
                      </c:pt>
                      <c:pt idx="10">
                        <c:v>77.400000000000006</c:v>
                      </c:pt>
                      <c:pt idx="11">
                        <c:v>76.86666666666666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Template'!$CO$35:$DA$35</c15:sqref>
                        </c15:formulaRef>
                      </c:ext>
                    </c:extLst>
                    <c:numCache>
                      <c:formatCode>0.000</c:formatCode>
                      <c:ptCount val="13"/>
                      <c:pt idx="0">
                        <c:v>0.12</c:v>
                      </c:pt>
                      <c:pt idx="1">
                        <c:v>0.14000000000000001</c:v>
                      </c:pt>
                      <c:pt idx="2">
                        <c:v>0.155</c:v>
                      </c:pt>
                      <c:pt idx="3">
                        <c:v>0.1661</c:v>
                      </c:pt>
                      <c:pt idx="4">
                        <c:v>0.11899999999999999</c:v>
                      </c:pt>
                      <c:pt idx="5">
                        <c:v>8.1000000000000003E-2</c:v>
                      </c:pt>
                      <c:pt idx="6">
                        <c:v>8.4000000000000005E-2</c:v>
                      </c:pt>
                      <c:pt idx="7">
                        <c:v>8.3000000000000004E-2</c:v>
                      </c:pt>
                      <c:pt idx="8">
                        <c:v>8.4000000000000005E-2</c:v>
                      </c:pt>
                      <c:pt idx="9">
                        <c:v>8.5000000000000006E-2</c:v>
                      </c:pt>
                      <c:pt idx="10">
                        <c:v>8.5999999999999993E-2</c:v>
                      </c:pt>
                      <c:pt idx="11">
                        <c:v>8.5500000000000007E-2</c:v>
                      </c:pt>
                      <c:pt idx="12">
                        <c:v>8.5000000000000006E-2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Lbl>
                    <c:idx val="12"/>
                    <c:layout>
                      <c:manualLayout>
                        <c:x val="1.1764485196085946E-2"/>
                        <c:y val="0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5AE0-493D-ACA0-AAC41A6A5CCE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Template'!$F$6:$AH$6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Template'!$CO$34:$DE$34</c15:sqref>
                        </c15:formulaRef>
                      </c:ext>
                    </c:extLst>
                    <c:numCache>
                      <c:formatCode>0.000</c:formatCode>
                      <c:ptCount val="17"/>
                      <c:pt idx="0">
                        <c:v>0</c:v>
                      </c:pt>
                      <c:pt idx="1">
                        <c:v>0.16400000000000001</c:v>
                      </c:pt>
                      <c:pt idx="2">
                        <c:v>0.17199999999999999</c:v>
                      </c:pt>
                      <c:pt idx="3">
                        <c:v>0.157</c:v>
                      </c:pt>
                      <c:pt idx="4">
                        <c:v>0.13277</c:v>
                      </c:pt>
                      <c:pt idx="5">
                        <c:v>9.042E-2</c:v>
                      </c:pt>
                      <c:pt idx="6">
                        <c:v>0.10299999999999999</c:v>
                      </c:pt>
                      <c:pt idx="7">
                        <c:v>0.108</c:v>
                      </c:pt>
                      <c:pt idx="8">
                        <c:v>0.16566500000000001</c:v>
                      </c:pt>
                      <c:pt idx="9">
                        <c:v>0.14560999999999999</c:v>
                      </c:pt>
                      <c:pt idx="10">
                        <c:v>0.13669999999999999</c:v>
                      </c:pt>
                      <c:pt idx="11">
                        <c:v>0.12447</c:v>
                      </c:pt>
                      <c:pt idx="12">
                        <c:v>0.12303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Template'!$G$163:$L$163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</c:v>
                      </c:pt>
                      <c:pt idx="1">
                        <c:v>39.1</c:v>
                      </c:pt>
                      <c:pt idx="2">
                        <c:v>39.799999999999997</c:v>
                      </c:pt>
                      <c:pt idx="3">
                        <c:v>75.8</c:v>
                      </c:pt>
                      <c:pt idx="4">
                        <c:v>74.2</c:v>
                      </c:pt>
                      <c:pt idx="5">
                        <c:v>73.8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Template'!$F$163:$U$163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39.4</c:v>
                      </c:pt>
                      <c:pt idx="1">
                        <c:v>39</c:v>
                      </c:pt>
                      <c:pt idx="2">
                        <c:v>39.1</c:v>
                      </c:pt>
                      <c:pt idx="3">
                        <c:v>39.799999999999997</c:v>
                      </c:pt>
                      <c:pt idx="4">
                        <c:v>75.8</c:v>
                      </c:pt>
                      <c:pt idx="5">
                        <c:v>74.2</c:v>
                      </c:pt>
                      <c:pt idx="6">
                        <c:v>73.8</c:v>
                      </c:pt>
                      <c:pt idx="7">
                        <c:v>72.5</c:v>
                      </c:pt>
                      <c:pt idx="8">
                        <c:v>70.8</c:v>
                      </c:pt>
                      <c:pt idx="9">
                        <c:v>70.400000000000006</c:v>
                      </c:pt>
                      <c:pt idx="10">
                        <c:v>71.400000000000006</c:v>
                      </c:pt>
                      <c:pt idx="11">
                        <c:v>70.86666666666666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Change Cond.</c:v>
                </c:tx>
                <c:spPr>
                  <a:ln w="3810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2"/>
                    <c:pt idx="0">
                      <c:v>13.5</c:v>
                    </c:pt>
                    <c:pt idx="1">
                      <c:v>13.5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513-4494-A24D-41821E124782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TOP Repro+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'LTO DAILY (repro+)'!$H$18:$X$18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0</c:v>
                      </c:pt>
                      <c:pt idx="1">
                        <c:v>0.17838838677739213</c:v>
                      </c:pt>
                      <c:pt idx="2">
                        <c:v>0.18694719783684965</c:v>
                      </c:pt>
                      <c:pt idx="3">
                        <c:v>0.17089494228361946</c:v>
                      </c:pt>
                      <c:pt idx="4">
                        <c:v>0.14492113901498166</c:v>
                      </c:pt>
                      <c:pt idx="5">
                        <c:v>9.9356112494955073E-2</c:v>
                      </c:pt>
                      <c:pt idx="6">
                        <c:v>0.1129176049508409</c:v>
                      </c:pt>
                      <c:pt idx="7">
                        <c:v>0.11830092036279541</c:v>
                      </c:pt>
                      <c:pt idx="8">
                        <c:v>0.18017013038885474</c:v>
                      </c:pt>
                      <c:pt idx="9">
                        <c:v>0.15869247720598068</c:v>
                      </c:pt>
                      <c:pt idx="10">
                        <c:v>0.14913803678491289</c:v>
                      </c:pt>
                      <c:pt idx="11">
                        <c:v>0.13600954743876034</c:v>
                      </c:pt>
                      <c:pt idx="12">
                        <c:v>0.13446262199757905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D507-4BC5-895E-1BE733F30BB9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TOP Repro-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'LTO DAILY (repro-)'!$H$18:$X$18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0</c:v>
                      </c:pt>
                      <c:pt idx="1">
                        <c:v>0.14961161322260788</c:v>
                      </c:pt>
                      <c:pt idx="2">
                        <c:v>0.15705280216315032</c:v>
                      </c:pt>
                      <c:pt idx="3">
                        <c:v>0.14310505771638055</c:v>
                      </c:pt>
                      <c:pt idx="4">
                        <c:v>0.12061886098501834</c:v>
                      </c:pt>
                      <c:pt idx="5">
                        <c:v>8.1483887505044927E-2</c:v>
                      </c:pt>
                      <c:pt idx="6">
                        <c:v>9.3082395049159092E-2</c:v>
                      </c:pt>
                      <c:pt idx="7">
                        <c:v>9.7699079637204589E-2</c:v>
                      </c:pt>
                      <c:pt idx="8">
                        <c:v>0.15115986961114528</c:v>
                      </c:pt>
                      <c:pt idx="9">
                        <c:v>0.1325275227940193</c:v>
                      </c:pt>
                      <c:pt idx="10">
                        <c:v>0.12426196321508709</c:v>
                      </c:pt>
                      <c:pt idx="11">
                        <c:v>0.11293045256123964</c:v>
                      </c:pt>
                      <c:pt idx="12">
                        <c:v>0.11159737800242095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507-4BC5-895E-1BE733F30BB9}"/>
                  </c:ext>
                </c:extLst>
              </c15:ser>
            </c15:filteredScatterSeries>
            <c15:filteredScatterSeries>
              <c15:ser>
                <c:idx val="10"/>
                <c:order val="9"/>
                <c:tx>
                  <c:v>Change Cond2</c:v>
                </c:tx>
                <c:spPr>
                  <a:ln w="3810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2"/>
                    <c:pt idx="0">
                      <c:v>19.5</c:v>
                    </c:pt>
                    <c:pt idx="1">
                      <c:v>19.5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C98-428D-B994-C7CFFAE7FF0A}"/>
                  </c:ext>
                </c:extLst>
              </c15:ser>
            </c15:filteredScatterSeries>
            <c15:filteredScatterSeries>
              <c15:ser>
                <c:idx val="9"/>
                <c:order val="10"/>
                <c:tx>
                  <c:v>MEBU25001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tar"/>
                  <c:size val="8"/>
                  <c:spPr>
                    <a:noFill/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'LSHS LTO DAILY'!$H$18:$Q$18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 formatCode="General">
                        <c:v>0.10199999999999999</c:v>
                      </c:pt>
                      <c:pt idx="1">
                        <c:v>0.13600000000000001</c:v>
                      </c:pt>
                      <c:pt idx="2">
                        <c:v>0.14269999999999999</c:v>
                      </c:pt>
                      <c:pt idx="3">
                        <c:v>0.15322</c:v>
                      </c:pt>
                      <c:pt idx="4">
                        <c:v>0.14549999999999999</c:v>
                      </c:pt>
                      <c:pt idx="5">
                        <c:v>7.2599999999999998E-2</c:v>
                      </c:pt>
                      <c:pt idx="6">
                        <c:v>9.01E-2</c:v>
                      </c:pt>
                      <c:pt idx="7">
                        <c:v>7.51E-2</c:v>
                      </c:pt>
                      <c:pt idx="8">
                        <c:v>8.3299999999999999E-2</c:v>
                      </c:pt>
                      <c:pt idx="9">
                        <c:v>7.8789999999999999E-2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376-4CB3-919D-59FC46EB9496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0.3500000000000000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  <a:r>
                  <a:rPr lang="en-US" sz="1600" b="1" baseline="0"/>
                  <a:t>wt</a:t>
                </a:r>
                <a:endParaRPr lang="en-US" sz="1600" b="1"/>
              </a:p>
            </c:rich>
          </c:tx>
          <c:layout>
            <c:manualLayout>
              <c:xMode val="edge"/>
              <c:yMode val="edge"/>
              <c:x val="2.5064822448976981E-2"/>
              <c:y val="0.38351255755628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76092514498948893"/>
          <c:y val="0.36513278851016845"/>
          <c:w val="0.18871531126905677"/>
          <c:h val="0.1448588200475755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API of HPS and LTO Product</a:t>
            </a:r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7"/>
          <c:order val="7"/>
          <c:tx>
            <c:v>Aging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AA71-484D-B724-5AC352117DB0}"/>
            </c:ext>
          </c:extLst>
        </c:ser>
        <c:ser>
          <c:idx val="12"/>
          <c:order val="12"/>
          <c:tx>
            <c:v>HPS MEBU26001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3333FF"/>
              </a:solidFill>
              <a:ln w="9525">
                <a:noFill/>
              </a:ln>
              <a:effectLst/>
            </c:spPr>
          </c:marker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'HPS DAILY'!$K$10:$AF$10</c:f>
              <c:numCache>
                <c:formatCode>0.00</c:formatCode>
                <c:ptCount val="22"/>
                <c:pt idx="0">
                  <c:v>13.26</c:v>
                </c:pt>
                <c:pt idx="1">
                  <c:v>12.63</c:v>
                </c:pt>
                <c:pt idx="2">
                  <c:v>11.93</c:v>
                </c:pt>
                <c:pt idx="3">
                  <c:v>11.94</c:v>
                </c:pt>
                <c:pt idx="4">
                  <c:v>18.440000000000001</c:v>
                </c:pt>
                <c:pt idx="5">
                  <c:v>17.690000000000001</c:v>
                </c:pt>
                <c:pt idx="6">
                  <c:v>17.2</c:v>
                </c:pt>
                <c:pt idx="7">
                  <c:v>16.96</c:v>
                </c:pt>
                <c:pt idx="8">
                  <c:v>16.23</c:v>
                </c:pt>
                <c:pt idx="9">
                  <c:v>16.47</c:v>
                </c:pt>
                <c:pt idx="10">
                  <c:v>16.18</c:v>
                </c:pt>
                <c:pt idx="11">
                  <c:v>16.05</c:v>
                </c:pt>
                <c:pt idx="12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89-4B1A-82A3-6A8DF8A81760}"/>
            </c:ext>
          </c:extLst>
        </c:ser>
        <c:ser>
          <c:idx val="13"/>
          <c:order val="13"/>
          <c:tx>
            <c:v>LTO MEBU26001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noFill/>
              <a:ln w="19050">
                <a:solidFill>
                  <a:srgbClr val="3333FF"/>
                </a:solidFill>
              </a:ln>
              <a:effectLst/>
            </c:spPr>
          </c:marker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'LTO DAILY'!$H$9:$AI$9</c:f>
              <c:numCache>
                <c:formatCode>0.00</c:formatCode>
                <c:ptCount val="28"/>
                <c:pt idx="1">
                  <c:v>40.72</c:v>
                </c:pt>
                <c:pt idx="2">
                  <c:v>42</c:v>
                </c:pt>
                <c:pt idx="3">
                  <c:v>42.5</c:v>
                </c:pt>
                <c:pt idx="4">
                  <c:v>40.68</c:v>
                </c:pt>
                <c:pt idx="5">
                  <c:v>42.6</c:v>
                </c:pt>
                <c:pt idx="6">
                  <c:v>40.17</c:v>
                </c:pt>
                <c:pt idx="7">
                  <c:v>41.06</c:v>
                </c:pt>
                <c:pt idx="8">
                  <c:v>40.409999999999997</c:v>
                </c:pt>
                <c:pt idx="9">
                  <c:v>41.09</c:v>
                </c:pt>
                <c:pt idx="10">
                  <c:v>40.409999999999997</c:v>
                </c:pt>
                <c:pt idx="11">
                  <c:v>41.33</c:v>
                </c:pt>
                <c:pt idx="12">
                  <c:v>41.15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89-4B1A-82A3-6A8DF8A81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Template'!$C$162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Template'!$F$162:$U$162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45.4</c:v>
                      </c:pt>
                      <c:pt idx="1">
                        <c:v>45</c:v>
                      </c:pt>
                      <c:pt idx="2">
                        <c:v>45.1</c:v>
                      </c:pt>
                      <c:pt idx="3">
                        <c:v>45.8</c:v>
                      </c:pt>
                      <c:pt idx="4">
                        <c:v>81.8</c:v>
                      </c:pt>
                      <c:pt idx="5">
                        <c:v>80.2</c:v>
                      </c:pt>
                      <c:pt idx="6">
                        <c:v>79.8</c:v>
                      </c:pt>
                      <c:pt idx="7">
                        <c:v>78.5</c:v>
                      </c:pt>
                      <c:pt idx="8">
                        <c:v>76.8</c:v>
                      </c:pt>
                      <c:pt idx="9">
                        <c:v>76.400000000000006</c:v>
                      </c:pt>
                      <c:pt idx="10">
                        <c:v>77.400000000000006</c:v>
                      </c:pt>
                      <c:pt idx="11">
                        <c:v>76.86666666666666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LTO 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'!$AI$11:$AI$26</c15:sqref>
                        </c15:formulaRef>
                      </c:ext>
                    </c:extLst>
                    <c:numCache>
                      <c:formatCode>General</c:formatCode>
                      <c:ptCount val="16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v>LTO 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Lbl>
                    <c:idx val="15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02FB-4410-91C8-D9DA6DEEFB53}"/>
                      </c:ext>
                    </c:extLst>
                  </c:dLbl>
                  <c:dLbl>
                    <c:idx val="16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02FB-4410-91C8-D9DA6DEEFB53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Template'!$F$6:$AH$6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'LTO DAILY'!$H$9:$X$9</c15:sqref>
                        </c15:formulaRef>
                      </c:ext>
                    </c:extLst>
                    <c:numCache>
                      <c:formatCode>0.00</c:formatCode>
                      <c:ptCount val="17"/>
                      <c:pt idx="1">
                        <c:v>40.72</c:v>
                      </c:pt>
                      <c:pt idx="2">
                        <c:v>42</c:v>
                      </c:pt>
                      <c:pt idx="3">
                        <c:v>42.5</c:v>
                      </c:pt>
                      <c:pt idx="4">
                        <c:v>40.68</c:v>
                      </c:pt>
                      <c:pt idx="5">
                        <c:v>42.6</c:v>
                      </c:pt>
                      <c:pt idx="6">
                        <c:v>40.17</c:v>
                      </c:pt>
                      <c:pt idx="7">
                        <c:v>41.06</c:v>
                      </c:pt>
                      <c:pt idx="8">
                        <c:v>40.409999999999997</c:v>
                      </c:pt>
                      <c:pt idx="9">
                        <c:v>41.09</c:v>
                      </c:pt>
                      <c:pt idx="10">
                        <c:v>40.409999999999997</c:v>
                      </c:pt>
                      <c:pt idx="11">
                        <c:v>41.33</c:v>
                      </c:pt>
                      <c:pt idx="12">
                        <c:v>41.15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Template'!$G$163:$L$163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</c:v>
                      </c:pt>
                      <c:pt idx="1">
                        <c:v>39.1</c:v>
                      </c:pt>
                      <c:pt idx="2">
                        <c:v>39.799999999999997</c:v>
                      </c:pt>
                      <c:pt idx="3">
                        <c:v>75.8</c:v>
                      </c:pt>
                      <c:pt idx="4">
                        <c:v>74.2</c:v>
                      </c:pt>
                      <c:pt idx="5">
                        <c:v>73.8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Template'!$F$163:$U$163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39.4</c:v>
                      </c:pt>
                      <c:pt idx="1">
                        <c:v>39</c:v>
                      </c:pt>
                      <c:pt idx="2">
                        <c:v>39.1</c:v>
                      </c:pt>
                      <c:pt idx="3">
                        <c:v>39.799999999999997</c:v>
                      </c:pt>
                      <c:pt idx="4">
                        <c:v>75.8</c:v>
                      </c:pt>
                      <c:pt idx="5">
                        <c:v>74.2</c:v>
                      </c:pt>
                      <c:pt idx="6">
                        <c:v>73.8</c:v>
                      </c:pt>
                      <c:pt idx="7">
                        <c:v>72.5</c:v>
                      </c:pt>
                      <c:pt idx="8">
                        <c:v>70.8</c:v>
                      </c:pt>
                      <c:pt idx="9">
                        <c:v>70.400000000000006</c:v>
                      </c:pt>
                      <c:pt idx="10">
                        <c:v>71.400000000000006</c:v>
                      </c:pt>
                      <c:pt idx="11">
                        <c:v>70.86666666666666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HPS 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'!$AJ$11:$AJ$26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12.4</c:v>
                      </c:pt>
                      <c:pt idx="1">
                        <c:v>12.2</c:v>
                      </c:pt>
                      <c:pt idx="2">
                        <c:v>11.5</c:v>
                      </c:pt>
                      <c:pt idx="3">
                        <c:v>11.3</c:v>
                      </c:pt>
                      <c:pt idx="4">
                        <c:v>16</c:v>
                      </c:pt>
                      <c:pt idx="5">
                        <c:v>15.8</c:v>
                      </c:pt>
                      <c:pt idx="6">
                        <c:v>15.8</c:v>
                      </c:pt>
                      <c:pt idx="7">
                        <c:v>15.8</c:v>
                      </c:pt>
                      <c:pt idx="8">
                        <c:v>15.7</c:v>
                      </c:pt>
                      <c:pt idx="9">
                        <c:v>15.7</c:v>
                      </c:pt>
                      <c:pt idx="10">
                        <c:v>15.6</c:v>
                      </c:pt>
                      <c:pt idx="11">
                        <c:v>15</c:v>
                      </c:pt>
                      <c:pt idx="12">
                        <c:v>15.6</c:v>
                      </c:pt>
                      <c:pt idx="13">
                        <c:v>15.6</c:v>
                      </c:pt>
                      <c:pt idx="14">
                        <c:v>15</c:v>
                      </c:pt>
                      <c:pt idx="15">
                        <c:v>15.1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5096-4E7C-BE9D-C18130F30D2D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HPS 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DAILY'!$K$10:$AA$10</c15:sqref>
                        </c15:formulaRef>
                      </c:ext>
                    </c:extLst>
                    <c:numCache>
                      <c:formatCode>0.00</c:formatCode>
                      <c:ptCount val="17"/>
                      <c:pt idx="0">
                        <c:v>13.26</c:v>
                      </c:pt>
                      <c:pt idx="1">
                        <c:v>12.63</c:v>
                      </c:pt>
                      <c:pt idx="2">
                        <c:v>11.93</c:v>
                      </c:pt>
                      <c:pt idx="3">
                        <c:v>11.94</c:v>
                      </c:pt>
                      <c:pt idx="4">
                        <c:v>18.440000000000001</c:v>
                      </c:pt>
                      <c:pt idx="5">
                        <c:v>17.690000000000001</c:v>
                      </c:pt>
                      <c:pt idx="6">
                        <c:v>17.2</c:v>
                      </c:pt>
                      <c:pt idx="7">
                        <c:v>16.96</c:v>
                      </c:pt>
                      <c:pt idx="8">
                        <c:v>16.23</c:v>
                      </c:pt>
                      <c:pt idx="9">
                        <c:v>16.47</c:v>
                      </c:pt>
                      <c:pt idx="10">
                        <c:v>16.18</c:v>
                      </c:pt>
                      <c:pt idx="11">
                        <c:v>16.05</c:v>
                      </c:pt>
                      <c:pt idx="12">
                        <c:v>16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096-4E7C-BE9D-C18130F30D2D}"/>
                  </c:ext>
                </c:extLst>
              </c15:ser>
            </c15:filteredScatterSeries>
            <c15:filteredScatterSeries>
              <c15:ser>
                <c:idx val="9"/>
                <c:order val="8"/>
                <c:tx>
                  <c:v>Change Cond.</c:v>
                </c:tx>
                <c:spPr>
                  <a:ln w="38100" cap="rnd">
                    <a:solidFill>
                      <a:srgbClr val="FF0000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Lit>
                    <c:formatCode>General</c:formatCode>
                    <c:ptCount val="2"/>
                    <c:pt idx="0">
                      <c:v>13.5</c:v>
                    </c:pt>
                    <c:pt idx="1">
                      <c:v>13.5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7179-4022-B401-AEA63865A55F}"/>
                  </c:ext>
                </c:extLst>
              </c15:ser>
            </c15:filteredScatterSeries>
            <c15:filteredScatterSeries>
              <c15:ser>
                <c:idx val="10"/>
                <c:order val="9"/>
                <c:tx>
                  <c:v>Change Cond2</c:v>
                </c:tx>
                <c:spPr>
                  <a:ln w="38100" cap="rnd">
                    <a:solidFill>
                      <a:srgbClr val="FF0000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Lit>
                    <c:formatCode>General</c:formatCode>
                    <c:ptCount val="2"/>
                    <c:pt idx="0">
                      <c:v>19.5</c:v>
                    </c:pt>
                    <c:pt idx="1">
                      <c:v>19.5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179-4022-B401-AEA63865A55F}"/>
                  </c:ext>
                </c:extLst>
              </c15:ser>
            </c15:filteredScatterSeries>
            <c15:filteredScatterSeries>
              <c15:ser>
                <c:idx val="8"/>
                <c:order val="10"/>
                <c:tx>
                  <c:v>HPS MEBU25001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tar"/>
                  <c:size val="8"/>
                  <c:spPr>
                    <a:noFill/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'LSHS HPS DAILY'!$K$10:$T$10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11.8</c:v>
                      </c:pt>
                      <c:pt idx="1">
                        <c:v>11.9</c:v>
                      </c:pt>
                      <c:pt idx="2">
                        <c:v>11.91</c:v>
                      </c:pt>
                      <c:pt idx="3">
                        <c:v>11.86</c:v>
                      </c:pt>
                      <c:pt idx="4">
                        <c:v>17.899999999999999</c:v>
                      </c:pt>
                      <c:pt idx="5">
                        <c:v>15.7</c:v>
                      </c:pt>
                      <c:pt idx="6">
                        <c:v>14.6</c:v>
                      </c:pt>
                      <c:pt idx="7">
                        <c:v>14.98</c:v>
                      </c:pt>
                      <c:pt idx="8">
                        <c:v>14.76</c:v>
                      </c:pt>
                      <c:pt idx="9">
                        <c:v>14.4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F030-4762-8E61-5203ECB06CCE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v>LTO MEBU25001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tar"/>
                  <c:size val="8"/>
                  <c:spPr>
                    <a:noFill/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'LSHS LTO DAILY'!$H$9:$Q$9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44</c:v>
                      </c:pt>
                      <c:pt idx="1">
                        <c:v>43.8</c:v>
                      </c:pt>
                      <c:pt idx="2">
                        <c:v>45.66</c:v>
                      </c:pt>
                      <c:pt idx="3">
                        <c:v>44.2</c:v>
                      </c:pt>
                      <c:pt idx="4">
                        <c:v>43.75</c:v>
                      </c:pt>
                      <c:pt idx="5">
                        <c:v>43.8</c:v>
                      </c:pt>
                      <c:pt idx="6">
                        <c:v>45.4</c:v>
                      </c:pt>
                      <c:pt idx="7">
                        <c:v>45.62</c:v>
                      </c:pt>
                      <c:pt idx="8">
                        <c:v>45.25</c:v>
                      </c:pt>
                      <c:pt idx="9">
                        <c:v>45.86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AEB1-477A-A0EC-AB9012856A5A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API</a:t>
                </a:r>
              </a:p>
            </c:rich>
          </c:tx>
          <c:layout>
            <c:manualLayout>
              <c:xMode val="edge"/>
              <c:yMode val="edge"/>
              <c:x val="1.9622768013096585E-2"/>
              <c:y val="0.450585862160488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81283323962570264"/>
          <c:y val="0.25375995978472793"/>
          <c:w val="0.15036464102294186"/>
          <c:h val="0.23045280236901938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MCRT </a:t>
            </a:r>
            <a:r>
              <a:rPr lang="en-US" b="1" baseline="0"/>
              <a:t>in HPS Product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5"/>
          <c:order val="5"/>
          <c:tx>
            <c:v>Aging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30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36C3-4833-BDB2-CDA33B8A8C63}"/>
            </c:ext>
          </c:extLst>
        </c:ser>
        <c:ser>
          <c:idx val="11"/>
          <c:order val="11"/>
          <c:tx>
            <c:v>ART Acceptance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Template'!$F$49:$P$49</c:f>
              <c:numCache>
                <c:formatCode>General</c:formatCode>
                <c:ptCount val="11"/>
                <c:pt idx="0">
                  <c:v>13.93</c:v>
                </c:pt>
                <c:pt idx="1">
                  <c:v>14.22</c:v>
                </c:pt>
                <c:pt idx="2">
                  <c:v>14.51</c:v>
                </c:pt>
                <c:pt idx="3">
                  <c:v>14.71</c:v>
                </c:pt>
                <c:pt idx="4">
                  <c:v>7.68</c:v>
                </c:pt>
                <c:pt idx="5">
                  <c:v>8.52</c:v>
                </c:pt>
                <c:pt idx="6">
                  <c:v>9.11</c:v>
                </c:pt>
                <c:pt idx="7">
                  <c:v>9.27</c:v>
                </c:pt>
                <c:pt idx="8">
                  <c:v>9.4600000000000009</c:v>
                </c:pt>
                <c:pt idx="9">
                  <c:v>9.7899999999999991</c:v>
                </c:pt>
                <c:pt idx="10">
                  <c:v>9.89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05-4539-8D62-F87A915139B3}"/>
            </c:ext>
          </c:extLst>
        </c:ser>
        <c:ser>
          <c:idx val="12"/>
          <c:order val="12"/>
          <c:tx>
            <c:v>TOP Acceptance'24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Template'!$F$48:$P$48</c:f>
              <c:numCache>
                <c:formatCode>0.00</c:formatCode>
                <c:ptCount val="11"/>
                <c:pt idx="5">
                  <c:v>7.51</c:v>
                </c:pt>
                <c:pt idx="6">
                  <c:v>8.2274499999999993</c:v>
                </c:pt>
                <c:pt idx="7">
                  <c:v>8.8035999999999994</c:v>
                </c:pt>
                <c:pt idx="8">
                  <c:v>9.2672000000000008</c:v>
                </c:pt>
                <c:pt idx="9">
                  <c:v>9.29115</c:v>
                </c:pt>
                <c:pt idx="10">
                  <c:v>9.2227999999999994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05-4539-8D62-F87A915139B3}"/>
            </c:ext>
          </c:extLst>
        </c:ser>
        <c:ser>
          <c:idx val="13"/>
          <c:order val="13"/>
          <c:tx>
            <c:v>TOP Acceptance'26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3333FF"/>
              </a:solidFill>
              <a:ln w="9525">
                <a:noFill/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071-4D3C-B1F5-31C21163D67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155-4C4E-9D96-1E90F19BA2A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800-4C0B-A722-7E54E0311FD9}"/>
                </c:ext>
              </c:extLst>
            </c:dLbl>
            <c:dLbl>
              <c:idx val="4"/>
              <c:layout>
                <c:manualLayout>
                  <c:x val="-1.0418129091518048E-2"/>
                  <c:y val="2.70270318200737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7D1-4215-B78B-E3AE442FD0BE}"/>
                </c:ext>
              </c:extLst>
            </c:dLbl>
            <c:dLbl>
              <c:idx val="5"/>
              <c:layout>
                <c:manualLayout>
                  <c:x val="-1.4916017590581351E-3"/>
                  <c:y val="2.25225265167280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C7E-4A2A-B97E-81EF48B23487}"/>
                </c:ext>
              </c:extLst>
            </c:dLbl>
            <c:dLbl>
              <c:idx val="6"/>
              <c:layout>
                <c:manualLayout>
                  <c:x val="0"/>
                  <c:y val="1.57657685617096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C7E-4A2A-B97E-81EF48B23487}"/>
                </c:ext>
              </c:extLst>
            </c:dLbl>
            <c:dLbl>
              <c:idx val="7"/>
              <c:layout>
                <c:manualLayout>
                  <c:x val="2.9831232736935742E-3"/>
                  <c:y val="1.12612632583639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C7E-4A2A-B97E-81EF48B23487}"/>
                </c:ext>
              </c:extLst>
            </c:dLbl>
            <c:dLbl>
              <c:idx val="8"/>
              <c:layout>
                <c:manualLayout>
                  <c:x val="1.6422259583298383E-2"/>
                  <c:y val="3.82882950784378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C7E-4A2A-B97E-81EF48B23487}"/>
                </c:ext>
              </c:extLst>
            </c:dLbl>
            <c:dLbl>
              <c:idx val="9"/>
              <c:layout>
                <c:manualLayout>
                  <c:x val="-3.0121826709143271E-3"/>
                  <c:y val="9.009010606691165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658-4D06-ADC0-4B26D4BD8017}"/>
                </c:ext>
              </c:extLst>
            </c:dLbl>
            <c:dLbl>
              <c:idx val="10"/>
              <c:layout>
                <c:manualLayout>
                  <c:x val="4.4882346406661076E-3"/>
                  <c:y val="6.75675795501835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79B-46D4-BC3C-B936E536B25C}"/>
                </c:ext>
              </c:extLst>
            </c:dLbl>
            <c:dLbl>
              <c:idx val="11"/>
              <c:layout>
                <c:manualLayout>
                  <c:x val="8.9764692813323246E-3"/>
                  <c:y val="-6.756757955018518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79B-46D4-BC3C-B936E536B25C}"/>
                </c:ext>
              </c:extLst>
            </c:dLbl>
            <c:dLbl>
              <c:idx val="12"/>
              <c:layout>
                <c:manualLayout>
                  <c:x val="1.6323115904054664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AF-419E-BBA5-A84BD0A641C8}"/>
                </c:ext>
              </c:extLst>
            </c:dLbl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'HPS DAILY'!$K$89:$AF$89</c:f>
              <c:numCache>
                <c:formatCode>0.00</c:formatCode>
                <c:ptCount val="22"/>
                <c:pt idx="0">
                  <c:v>12.605</c:v>
                </c:pt>
                <c:pt idx="1">
                  <c:v>14.2</c:v>
                </c:pt>
                <c:pt idx="2">
                  <c:v>14.45</c:v>
                </c:pt>
                <c:pt idx="3">
                  <c:v>14.5</c:v>
                </c:pt>
                <c:pt idx="4">
                  <c:v>6.97</c:v>
                </c:pt>
                <c:pt idx="5">
                  <c:v>7.2</c:v>
                </c:pt>
                <c:pt idx="6">
                  <c:v>7.88</c:v>
                </c:pt>
                <c:pt idx="7">
                  <c:v>8.3000000000000007</c:v>
                </c:pt>
                <c:pt idx="8">
                  <c:v>8.65</c:v>
                </c:pt>
                <c:pt idx="9">
                  <c:v>8.84</c:v>
                </c:pt>
                <c:pt idx="10">
                  <c:v>9.11</c:v>
                </c:pt>
                <c:pt idx="11">
                  <c:v>9.7799999999999994</c:v>
                </c:pt>
                <c:pt idx="12">
                  <c:v>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AD-4D5F-8F6F-A839097E75E6}"/>
            </c:ext>
          </c:extLst>
        </c:ser>
        <c:ser>
          <c:idx val="14"/>
          <c:order val="14"/>
          <c:tx>
            <c:v>TOP MEBU001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'Lab Results Summary'!$E$157:$H$157</c:f>
              <c:strCache>
                <c:ptCount val="4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</c:strCache>
            </c:strRef>
          </c:xVal>
          <c:yVal>
            <c:numRef>
              <c:f>'Lab Results Summary'!$E$166:$H$166</c:f>
              <c:numCache>
                <c:formatCode>0.00</c:formatCode>
                <c:ptCount val="4"/>
                <c:pt idx="0">
                  <c:v>14.8</c:v>
                </c:pt>
                <c:pt idx="1">
                  <c:v>14.57</c:v>
                </c:pt>
                <c:pt idx="2">
                  <c:v>14.55</c:v>
                </c:pt>
                <c:pt idx="3">
                  <c:v>14.7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F1-41E0-BD51-8555F345CDCB}"/>
            </c:ext>
          </c:extLst>
        </c:ser>
        <c:ser>
          <c:idx val="15"/>
          <c:order val="15"/>
          <c:tx>
            <c:v>TOP MEBU002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'Lab Results Summary'!$J$157:$M$157</c:f>
              <c:strCache>
                <c:ptCount val="4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</c:strCache>
            </c:strRef>
          </c:xVal>
          <c:yVal>
            <c:numRef>
              <c:f>'Lab Results Summary'!$J$166:$M$166</c:f>
              <c:numCache>
                <c:formatCode>0.00</c:formatCode>
                <c:ptCount val="4"/>
                <c:pt idx="0">
                  <c:v>14.1</c:v>
                </c:pt>
                <c:pt idx="1">
                  <c:v>14.67</c:v>
                </c:pt>
                <c:pt idx="2">
                  <c:v>14.73</c:v>
                </c:pt>
                <c:pt idx="3">
                  <c:v>14.91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F1-41E0-BD51-8555F345C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Template'!$C$162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Template'!$F$162:$U$162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45.4</c:v>
                      </c:pt>
                      <c:pt idx="1">
                        <c:v>45</c:v>
                      </c:pt>
                      <c:pt idx="2">
                        <c:v>45.1</c:v>
                      </c:pt>
                      <c:pt idx="3">
                        <c:v>45.8</c:v>
                      </c:pt>
                      <c:pt idx="4">
                        <c:v>81.8</c:v>
                      </c:pt>
                      <c:pt idx="5">
                        <c:v>80.2</c:v>
                      </c:pt>
                      <c:pt idx="6">
                        <c:v>79.8</c:v>
                      </c:pt>
                      <c:pt idx="7">
                        <c:v>78.5</c:v>
                      </c:pt>
                      <c:pt idx="8">
                        <c:v>76.8</c:v>
                      </c:pt>
                      <c:pt idx="9">
                        <c:v>76.400000000000006</c:v>
                      </c:pt>
                      <c:pt idx="10">
                        <c:v>77.400000000000006</c:v>
                      </c:pt>
                      <c:pt idx="11">
                        <c:v>76.86666666666666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Template'!$BL$47:$CA$47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14.2</c:v>
                      </c:pt>
                      <c:pt idx="1">
                        <c:v>14.5</c:v>
                      </c:pt>
                      <c:pt idx="2">
                        <c:v>15</c:v>
                      </c:pt>
                      <c:pt idx="3">
                        <c:v>15.23</c:v>
                      </c:pt>
                      <c:pt idx="4">
                        <c:v>10</c:v>
                      </c:pt>
                      <c:pt idx="5">
                        <c:v>10.5</c:v>
                      </c:pt>
                      <c:pt idx="6">
                        <c:v>11.6</c:v>
                      </c:pt>
                      <c:pt idx="7">
                        <c:v>11.6</c:v>
                      </c:pt>
                      <c:pt idx="8">
                        <c:v>12</c:v>
                      </c:pt>
                      <c:pt idx="9">
                        <c:v>12.27</c:v>
                      </c:pt>
                      <c:pt idx="10">
                        <c:v>13.2</c:v>
                      </c:pt>
                      <c:pt idx="11">
                        <c:v>12.5</c:v>
                      </c:pt>
                      <c:pt idx="12">
                        <c:v>12.6</c:v>
                      </c:pt>
                      <c:pt idx="13">
                        <c:v>12.8</c:v>
                      </c:pt>
                      <c:pt idx="14">
                        <c:v>13</c:v>
                      </c:pt>
                      <c:pt idx="15">
                        <c:v>12.43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Lbl>
                    <c:idx val="10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0ADD-4B61-980A-C1DBDC7A323E}"/>
                      </c:ext>
                    </c:extLst>
                  </c:dLbl>
                  <c:dLbl>
                    <c:idx val="11"/>
                    <c:layout>
                      <c:manualLayout>
                        <c:x val="-2.9384512629792206E-2"/>
                        <c:y val="2.4774774774774775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88C6-4D4F-AF06-DD6A40225A95}"/>
                      </c:ext>
                    </c:extLst>
                  </c:dLbl>
                  <c:dLbl>
                    <c:idx val="12"/>
                    <c:layout>
                      <c:manualLayout>
                        <c:x val="2.3590921349702445E-2"/>
                        <c:y val="-2.252252252252211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0ADD-4B61-980A-C1DBDC7A323E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Template'!$F$6:$AH$6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Template'!$BL$46:$CB$46</c15:sqref>
                        </c15:formulaRef>
                      </c:ext>
                    </c:extLst>
                    <c:numCache>
                      <c:formatCode>0.00</c:formatCode>
                      <c:ptCount val="17"/>
                      <c:pt idx="0">
                        <c:v>12.605</c:v>
                      </c:pt>
                      <c:pt idx="1">
                        <c:v>14.2</c:v>
                      </c:pt>
                      <c:pt idx="2">
                        <c:v>14.45</c:v>
                      </c:pt>
                      <c:pt idx="3">
                        <c:v>14.5</c:v>
                      </c:pt>
                      <c:pt idx="4">
                        <c:v>6.97</c:v>
                      </c:pt>
                      <c:pt idx="5">
                        <c:v>7.2</c:v>
                      </c:pt>
                      <c:pt idx="6">
                        <c:v>7.88</c:v>
                      </c:pt>
                      <c:pt idx="7">
                        <c:v>8.3000000000000007</c:v>
                      </c:pt>
                      <c:pt idx="8">
                        <c:v>8.65</c:v>
                      </c:pt>
                      <c:pt idx="9">
                        <c:v>8.84</c:v>
                      </c:pt>
                      <c:pt idx="10">
                        <c:v>9.11</c:v>
                      </c:pt>
                      <c:pt idx="11">
                        <c:v>9.7799999999999994</c:v>
                      </c:pt>
                      <c:pt idx="12">
                        <c:v>9.5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Template'!$G$163:$L$163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</c:v>
                      </c:pt>
                      <c:pt idx="1">
                        <c:v>39.1</c:v>
                      </c:pt>
                      <c:pt idx="2">
                        <c:v>39.799999999999997</c:v>
                      </c:pt>
                      <c:pt idx="3">
                        <c:v>75.8</c:v>
                      </c:pt>
                      <c:pt idx="4">
                        <c:v>74.2</c:v>
                      </c:pt>
                      <c:pt idx="5">
                        <c:v>73.8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Template'!$F$163:$U$163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39.4</c:v>
                      </c:pt>
                      <c:pt idx="1">
                        <c:v>39</c:v>
                      </c:pt>
                      <c:pt idx="2">
                        <c:v>39.1</c:v>
                      </c:pt>
                      <c:pt idx="3">
                        <c:v>39.799999999999997</c:v>
                      </c:pt>
                      <c:pt idx="4">
                        <c:v>75.8</c:v>
                      </c:pt>
                      <c:pt idx="5">
                        <c:v>74.2</c:v>
                      </c:pt>
                      <c:pt idx="6">
                        <c:v>73.8</c:v>
                      </c:pt>
                      <c:pt idx="7">
                        <c:v>72.5</c:v>
                      </c:pt>
                      <c:pt idx="8">
                        <c:v>70.8</c:v>
                      </c:pt>
                      <c:pt idx="9">
                        <c:v>70.400000000000006</c:v>
                      </c:pt>
                      <c:pt idx="10">
                        <c:v>71.400000000000006</c:v>
                      </c:pt>
                      <c:pt idx="11">
                        <c:v>70.86666666666666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Change Cond.</c:v>
                </c:tx>
                <c:spPr>
                  <a:ln w="3810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2"/>
                    <c:pt idx="0">
                      <c:v>13.5</c:v>
                    </c:pt>
                    <c:pt idx="1">
                      <c:v>13.5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30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6C3-4833-BDB2-CDA33B8A8C63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TOP Repro-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DAILY (repro-)'!$J$89:$Z$89</c15:sqref>
                        </c15:formulaRef>
                      </c:ext>
                    </c:extLst>
                    <c:numCache>
                      <c:formatCode>0.00</c:formatCode>
                      <c:ptCount val="17"/>
                      <c:pt idx="0">
                        <c:v>11.874529949999999</c:v>
                      </c:pt>
                      <c:pt idx="1">
                        <c:v>13.394867999999999</c:v>
                      </c:pt>
                      <c:pt idx="2">
                        <c:v>13.633165499999999</c:v>
                      </c:pt>
                      <c:pt idx="3">
                        <c:v>13.680825</c:v>
                      </c:pt>
                      <c:pt idx="4">
                        <c:v>6.5033042999999999</c:v>
                      </c:pt>
                      <c:pt idx="5">
                        <c:v>6.7225380000000001</c:v>
                      </c:pt>
                      <c:pt idx="6">
                        <c:v>7.3707072</c:v>
                      </c:pt>
                      <c:pt idx="7">
                        <c:v>7.7710470000000003</c:v>
                      </c:pt>
                      <c:pt idx="8">
                        <c:v>8.1046635000000009</c:v>
                      </c:pt>
                      <c:pt idx="9">
                        <c:v>8.2857696000000001</c:v>
                      </c:pt>
                      <c:pt idx="10">
                        <c:v>8.5431308999999995</c:v>
                      </c:pt>
                      <c:pt idx="11">
                        <c:v>9.1817681999999987</c:v>
                      </c:pt>
                      <c:pt idx="12">
                        <c:v>8.9148750000000003</c:v>
                      </c:pt>
                      <c:pt idx="13">
                        <c:v>-0.14043</c:v>
                      </c:pt>
                      <c:pt idx="14">
                        <c:v>-0.14043</c:v>
                      </c:pt>
                      <c:pt idx="15">
                        <c:v>-0.14043</c:v>
                      </c:pt>
                      <c:pt idx="16">
                        <c:v>-0.14043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C394-4CBD-91EB-A271AFE243D3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TOP Repro+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DAILY (repro+)'!$J$89:$Z$89</c15:sqref>
                        </c15:formulaRef>
                      </c:ext>
                    </c:extLst>
                    <c:numCache>
                      <c:formatCode>0.00</c:formatCode>
                      <c:ptCount val="17"/>
                      <c:pt idx="0">
                        <c:v>13.335470050000001</c:v>
                      </c:pt>
                      <c:pt idx="1">
                        <c:v>15.005132</c:v>
                      </c:pt>
                      <c:pt idx="2">
                        <c:v>15.2668345</c:v>
                      </c:pt>
                      <c:pt idx="3">
                        <c:v>15.319175</c:v>
                      </c:pt>
                      <c:pt idx="4">
                        <c:v>7.4366956999999996</c:v>
                      </c:pt>
                      <c:pt idx="5">
                        <c:v>7.6774620000000002</c:v>
                      </c:pt>
                      <c:pt idx="6">
                        <c:v>8.3892927999999998</c:v>
                      </c:pt>
                      <c:pt idx="7">
                        <c:v>8.8289530000000003</c:v>
                      </c:pt>
                      <c:pt idx="8">
                        <c:v>9.1953364999999998</c:v>
                      </c:pt>
                      <c:pt idx="9">
                        <c:v>9.3942303999999996</c:v>
                      </c:pt>
                      <c:pt idx="10">
                        <c:v>9.6768690999999993</c:v>
                      </c:pt>
                      <c:pt idx="11">
                        <c:v>10.3782318</c:v>
                      </c:pt>
                      <c:pt idx="12">
                        <c:v>10.085125</c:v>
                      </c:pt>
                      <c:pt idx="13">
                        <c:v>0.14043</c:v>
                      </c:pt>
                      <c:pt idx="14">
                        <c:v>0.14043</c:v>
                      </c:pt>
                      <c:pt idx="15">
                        <c:v>0.14043</c:v>
                      </c:pt>
                      <c:pt idx="16">
                        <c:v>0.14043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394-4CBD-91EB-A271AFE243D3}"/>
                  </c:ext>
                </c:extLst>
              </c15:ser>
            </c15:filteredScatterSeries>
            <c15:filteredScatterSeries>
              <c15:ser>
                <c:idx val="10"/>
                <c:order val="9"/>
                <c:tx>
                  <c:v>Change Cond2</c:v>
                </c:tx>
                <c:spPr>
                  <a:ln w="3810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2"/>
                    <c:pt idx="0">
                      <c:v>19.5</c:v>
                    </c:pt>
                    <c:pt idx="1">
                      <c:v>19.5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30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994-4321-9849-E2A66F7A0851}"/>
                  </c:ext>
                </c:extLst>
              </c15:ser>
            </c15:filteredScatterSeries>
            <c15:filteredScatterSeries>
              <c15:ser>
                <c:idx val="9"/>
                <c:order val="10"/>
                <c:tx>
                  <c:v>MEBU25001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tar"/>
                  <c:size val="8"/>
                  <c:spPr>
                    <a:noFill/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'LSHS HPS DAILY'!$K$89:$T$89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14.8</c:v>
                      </c:pt>
                      <c:pt idx="1">
                        <c:v>14.57</c:v>
                      </c:pt>
                      <c:pt idx="2">
                        <c:v>14.55</c:v>
                      </c:pt>
                      <c:pt idx="3">
                        <c:v>14.7</c:v>
                      </c:pt>
                      <c:pt idx="4">
                        <c:v>9.61</c:v>
                      </c:pt>
                      <c:pt idx="5">
                        <c:v>13.7</c:v>
                      </c:pt>
                      <c:pt idx="6">
                        <c:v>14.2</c:v>
                      </c:pt>
                      <c:pt idx="7">
                        <c:v>14</c:v>
                      </c:pt>
                      <c:pt idx="8">
                        <c:v>13.96</c:v>
                      </c:pt>
                      <c:pt idx="9">
                        <c:v>14.8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E262-4123-B0C5-1AAF578838E1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  <a:r>
                  <a:rPr lang="en-US" sz="1600" b="1" baseline="0"/>
                  <a:t>wt</a:t>
                </a:r>
                <a:endParaRPr lang="en-US" sz="1600" b="1"/>
              </a:p>
            </c:rich>
          </c:tx>
          <c:layout>
            <c:manualLayout>
              <c:xMode val="edge"/>
              <c:yMode val="edge"/>
              <c:x val="1.549709914096307E-2"/>
              <c:y val="0.318143221962119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72913489464633685"/>
          <c:y val="0.33503752676810361"/>
          <c:w val="0.17057704850454769"/>
          <c:h val="0.23089402548308602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Nitrogen in LTO Product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5"/>
          <c:order val="5"/>
          <c:tx>
            <c:v>Aging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5257-46F8-AAEC-9F00BE4A5DD2}"/>
            </c:ext>
          </c:extLst>
        </c:ser>
        <c:ser>
          <c:idx val="11"/>
          <c:order val="11"/>
          <c:tx>
            <c:v>ART Acceptance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Template'!$CO$6:$CY$6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Template'!$CO$33:$CY$33</c:f>
              <c:numCache>
                <c:formatCode>0.00</c:formatCode>
                <c:ptCount val="11"/>
                <c:pt idx="0">
                  <c:v>4.2299999999999997E-2</c:v>
                </c:pt>
                <c:pt idx="1">
                  <c:v>4.8599999999999997E-2</c:v>
                </c:pt>
                <c:pt idx="2">
                  <c:v>523</c:v>
                </c:pt>
                <c:pt idx="3">
                  <c:v>523</c:v>
                </c:pt>
                <c:pt idx="4" formatCode="0.000">
                  <c:v>418</c:v>
                </c:pt>
                <c:pt idx="5" formatCode="0.000">
                  <c:v>4.0500000000000001E-2</c:v>
                </c:pt>
                <c:pt idx="6" formatCode="0.000">
                  <c:v>4.1300000000000003E-2</c:v>
                </c:pt>
                <c:pt idx="7" formatCode="0.000">
                  <c:v>4.5999999999999999E-2</c:v>
                </c:pt>
                <c:pt idx="8" formatCode="0.000">
                  <c:v>4.87E-2</c:v>
                </c:pt>
                <c:pt idx="9" formatCode="0.000">
                  <c:v>4.9200000000000001E-2</c:v>
                </c:pt>
                <c:pt idx="10" formatCode="0.000">
                  <c:v>4.9799999999999997E-2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56-478D-B189-FC8EDA5B955C}"/>
            </c:ext>
          </c:extLst>
        </c:ser>
        <c:ser>
          <c:idx val="12"/>
          <c:order val="12"/>
          <c:tx>
            <c:v>TOP Acceptance'24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/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Template'!$CO$6:$CY$6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Template'!$CO$32:$CY$32</c:f>
              <c:numCache>
                <c:formatCode>0.000</c:formatCode>
                <c:ptCount val="11"/>
                <c:pt idx="5">
                  <c:v>7.3492000000000002E-2</c:v>
                </c:pt>
                <c:pt idx="6">
                  <c:v>7.8723000000000001E-2</c:v>
                </c:pt>
                <c:pt idx="7">
                  <c:v>6.5491999999999995E-2</c:v>
                </c:pt>
                <c:pt idx="8">
                  <c:v>6.8976999999999997E-2</c:v>
                </c:pt>
                <c:pt idx="9">
                  <c:v>6.8360000000000004E-2</c:v>
                </c:pt>
                <c:pt idx="10">
                  <c:v>7.0559999999999998E-2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56-478D-B189-FC8EDA5B955C}"/>
            </c:ext>
          </c:extLst>
        </c:ser>
        <c:ser>
          <c:idx val="13"/>
          <c:order val="13"/>
          <c:tx>
            <c:v>TOP Acceptance'26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3333FF"/>
              </a:solidFill>
              <a:ln w="9525">
                <a:noFill/>
              </a:ln>
              <a:effectLst/>
            </c:spPr>
          </c:marker>
          <c:xVal>
            <c:numRef>
              <c:f>'Master Template'!$CO$6:$DJ$6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Template'!$CO$30:$DJ$30</c:f>
              <c:numCache>
                <c:formatCode>0.000</c:formatCode>
                <c:ptCount val="22"/>
                <c:pt idx="0">
                  <c:v>0</c:v>
                </c:pt>
                <c:pt idx="1">
                  <c:v>4.5827E-2</c:v>
                </c:pt>
                <c:pt idx="2">
                  <c:v>4.9200000000000001E-2</c:v>
                </c:pt>
                <c:pt idx="3">
                  <c:v>5.4365999999999998E-2</c:v>
                </c:pt>
                <c:pt idx="4">
                  <c:v>5.5851999999999999E-2</c:v>
                </c:pt>
                <c:pt idx="5">
                  <c:v>4.7465E-2</c:v>
                </c:pt>
                <c:pt idx="6">
                  <c:v>5.4879999999999998E-2</c:v>
                </c:pt>
                <c:pt idx="7">
                  <c:v>5.4779999999999995E-2</c:v>
                </c:pt>
                <c:pt idx="8">
                  <c:v>5.5837100000000001E-2</c:v>
                </c:pt>
                <c:pt idx="9">
                  <c:v>5.7294000000000005E-2</c:v>
                </c:pt>
                <c:pt idx="10">
                  <c:v>6.1199000000000003E-2</c:v>
                </c:pt>
                <c:pt idx="11">
                  <c:v>6.0388999999999998E-2</c:v>
                </c:pt>
                <c:pt idx="12">
                  <c:v>6.1705999999999997E-2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4A-4F76-A295-11CA9AB83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Template'!$C$162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Template'!$F$162:$U$162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45.4</c:v>
                      </c:pt>
                      <c:pt idx="1">
                        <c:v>45</c:v>
                      </c:pt>
                      <c:pt idx="2">
                        <c:v>45.1</c:v>
                      </c:pt>
                      <c:pt idx="3">
                        <c:v>45.8</c:v>
                      </c:pt>
                      <c:pt idx="4">
                        <c:v>81.8</c:v>
                      </c:pt>
                      <c:pt idx="5">
                        <c:v>80.2</c:v>
                      </c:pt>
                      <c:pt idx="6">
                        <c:v>79.8</c:v>
                      </c:pt>
                      <c:pt idx="7">
                        <c:v>78.5</c:v>
                      </c:pt>
                      <c:pt idx="8">
                        <c:v>76.8</c:v>
                      </c:pt>
                      <c:pt idx="9">
                        <c:v>76.400000000000006</c:v>
                      </c:pt>
                      <c:pt idx="10">
                        <c:v>77.400000000000006</c:v>
                      </c:pt>
                      <c:pt idx="11">
                        <c:v>76.86666666666666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3FD5-4C94-A750-A9BE749E366F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Template'!$CO$31:$DD$31</c15:sqref>
                        </c15:formulaRef>
                      </c:ext>
                    </c:extLst>
                    <c:numCache>
                      <c:formatCode>0.000</c:formatCode>
                      <c:ptCount val="16"/>
                      <c:pt idx="0">
                        <c:v>4.4999999999999998E-2</c:v>
                      </c:pt>
                      <c:pt idx="1">
                        <c:v>0.05</c:v>
                      </c:pt>
                      <c:pt idx="2">
                        <c:v>5.5E-2</c:v>
                      </c:pt>
                      <c:pt idx="3">
                        <c:v>0.06</c:v>
                      </c:pt>
                      <c:pt idx="4">
                        <c:v>5.5E-2</c:v>
                      </c:pt>
                      <c:pt idx="5">
                        <c:v>6.2E-2</c:v>
                      </c:pt>
                      <c:pt idx="6">
                        <c:v>7.1999999999999995E-2</c:v>
                      </c:pt>
                      <c:pt idx="7">
                        <c:v>7.4999999999999997E-2</c:v>
                      </c:pt>
                      <c:pt idx="8">
                        <c:v>7.8E-2</c:v>
                      </c:pt>
                      <c:pt idx="9">
                        <c:v>7.7700000000000005E-2</c:v>
                      </c:pt>
                      <c:pt idx="10">
                        <c:v>7.7700000000000005E-2</c:v>
                      </c:pt>
                      <c:pt idx="11">
                        <c:v>8.7999999999999995E-2</c:v>
                      </c:pt>
                      <c:pt idx="12">
                        <c:v>8.8999999999999996E-2</c:v>
                      </c:pt>
                      <c:pt idx="13">
                        <c:v>8.8999999999999996E-2</c:v>
                      </c:pt>
                      <c:pt idx="14">
                        <c:v>8.8999999999999996E-2</c:v>
                      </c:pt>
                      <c:pt idx="15">
                        <c:v>8.8499999999999995E-2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3FD5-4C94-A750-A9BE749E366F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Lbl>
                    <c:idx val="11"/>
                    <c:layout>
                      <c:manualLayout>
                        <c:x val="-1.4720451099530765E-2"/>
                        <c:y val="-3.3719231201528643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7F9D-44AD-B56C-5C7CA1E949A2}"/>
                      </c:ext>
                    </c:extLst>
                  </c:dLbl>
                  <c:dLbl>
                    <c:idx val="12"/>
                    <c:layout>
                      <c:manualLayout>
                        <c:x val="4.3421156468175705E-3"/>
                        <c:y val="-2.2479487467685737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AD5B-425E-BDAC-2347192AD79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Template'!$F$6:$AH$6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Template'!$CO$30:$DE$30</c15:sqref>
                        </c15:formulaRef>
                      </c:ext>
                    </c:extLst>
                    <c:numCache>
                      <c:formatCode>0.000</c:formatCode>
                      <c:ptCount val="17"/>
                      <c:pt idx="0">
                        <c:v>0</c:v>
                      </c:pt>
                      <c:pt idx="1">
                        <c:v>4.5827E-2</c:v>
                      </c:pt>
                      <c:pt idx="2">
                        <c:v>4.9200000000000001E-2</c:v>
                      </c:pt>
                      <c:pt idx="3">
                        <c:v>5.4365999999999998E-2</c:v>
                      </c:pt>
                      <c:pt idx="4">
                        <c:v>5.5851999999999999E-2</c:v>
                      </c:pt>
                      <c:pt idx="5">
                        <c:v>4.7465E-2</c:v>
                      </c:pt>
                      <c:pt idx="6">
                        <c:v>5.4879999999999998E-2</c:v>
                      </c:pt>
                      <c:pt idx="7">
                        <c:v>5.4779999999999995E-2</c:v>
                      </c:pt>
                      <c:pt idx="8">
                        <c:v>5.5837100000000001E-2</c:v>
                      </c:pt>
                      <c:pt idx="9">
                        <c:v>5.7294000000000005E-2</c:v>
                      </c:pt>
                      <c:pt idx="10">
                        <c:v>6.1199000000000003E-2</c:v>
                      </c:pt>
                      <c:pt idx="11">
                        <c:v>6.0388999999999998E-2</c:v>
                      </c:pt>
                      <c:pt idx="12">
                        <c:v>6.1705999999999997E-2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FD5-4C94-A750-A9BE749E366F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Template'!$G$163:$L$163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</c:v>
                      </c:pt>
                      <c:pt idx="1">
                        <c:v>39.1</c:v>
                      </c:pt>
                      <c:pt idx="2">
                        <c:v>39.799999999999997</c:v>
                      </c:pt>
                      <c:pt idx="3">
                        <c:v>75.8</c:v>
                      </c:pt>
                      <c:pt idx="4">
                        <c:v>74.2</c:v>
                      </c:pt>
                      <c:pt idx="5">
                        <c:v>73.8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FD5-4C94-A750-A9BE749E366F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Template'!$F$163:$U$163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39.4</c:v>
                      </c:pt>
                      <c:pt idx="1">
                        <c:v>39</c:v>
                      </c:pt>
                      <c:pt idx="2">
                        <c:v>39.1</c:v>
                      </c:pt>
                      <c:pt idx="3">
                        <c:v>39.799999999999997</c:v>
                      </c:pt>
                      <c:pt idx="4">
                        <c:v>75.8</c:v>
                      </c:pt>
                      <c:pt idx="5">
                        <c:v>74.2</c:v>
                      </c:pt>
                      <c:pt idx="6">
                        <c:v>73.8</c:v>
                      </c:pt>
                      <c:pt idx="7">
                        <c:v>72.5</c:v>
                      </c:pt>
                      <c:pt idx="8">
                        <c:v>70.8</c:v>
                      </c:pt>
                      <c:pt idx="9">
                        <c:v>70.400000000000006</c:v>
                      </c:pt>
                      <c:pt idx="10">
                        <c:v>71.400000000000006</c:v>
                      </c:pt>
                      <c:pt idx="11">
                        <c:v>70.86666666666666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FD5-4C94-A750-A9BE749E366F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Change Cond.</c:v>
                </c:tx>
                <c:spPr>
                  <a:ln w="3810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2"/>
                    <c:pt idx="0">
                      <c:v>13.5</c:v>
                    </c:pt>
                    <c:pt idx="1">
                      <c:v>13.5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257-46F8-AAEC-9F00BE4A5DD2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TOP Repro+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'LTO DAILY (repro+)'!$H$23:$X$23</c15:sqref>
                        </c15:formulaRef>
                      </c:ext>
                    </c:extLst>
                    <c:numCache>
                      <c:formatCode>0.0000</c:formatCode>
                      <c:ptCount val="17"/>
                      <c:pt idx="0">
                        <c:v>0</c:v>
                      </c:pt>
                      <c:pt idx="1">
                        <c:v>4.9813948999999996E-2</c:v>
                      </c:pt>
                      <c:pt idx="2">
                        <c:v>5.3480399999999997E-2</c:v>
                      </c:pt>
                      <c:pt idx="3">
                        <c:v>5.9095841999999996E-2</c:v>
                      </c:pt>
                      <c:pt idx="4">
                        <c:v>6.0711123999999998E-2</c:v>
                      </c:pt>
                      <c:pt idx="5">
                        <c:v>5.159445499999999E-2</c:v>
                      </c:pt>
                      <c:pt idx="6">
                        <c:v>5.9654559999999995E-2</c:v>
                      </c:pt>
                      <c:pt idx="7">
                        <c:v>5.9545859999999992E-2</c:v>
                      </c:pt>
                      <c:pt idx="8">
                        <c:v>6.0694927699999991E-2</c:v>
                      </c:pt>
                      <c:pt idx="9">
                        <c:v>6.2278578000000001E-2</c:v>
                      </c:pt>
                      <c:pt idx="10">
                        <c:v>6.6523313000000001E-2</c:v>
                      </c:pt>
                      <c:pt idx="11">
                        <c:v>6.5642842999999992E-2</c:v>
                      </c:pt>
                      <c:pt idx="12">
                        <c:v>6.7074421999999995E-2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EFAC-4B97-927A-33203CD359D8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TOP Repro-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'LTO DAILY (repro-)'!$H$23:$X$23</c15:sqref>
                        </c15:formulaRef>
                      </c:ext>
                    </c:extLst>
                    <c:numCache>
                      <c:formatCode>0.0000</c:formatCode>
                      <c:ptCount val="17"/>
                      <c:pt idx="0">
                        <c:v>0</c:v>
                      </c:pt>
                      <c:pt idx="1">
                        <c:v>4.1840051000000003E-2</c:v>
                      </c:pt>
                      <c:pt idx="2">
                        <c:v>4.4919600000000004E-2</c:v>
                      </c:pt>
                      <c:pt idx="3">
                        <c:v>4.9636158E-2</c:v>
                      </c:pt>
                      <c:pt idx="4">
                        <c:v>5.0992875999999999E-2</c:v>
                      </c:pt>
                      <c:pt idx="5">
                        <c:v>4.3335544999999996E-2</c:v>
                      </c:pt>
                      <c:pt idx="6">
                        <c:v>5.0105440000000001E-2</c:v>
                      </c:pt>
                      <c:pt idx="7">
                        <c:v>5.0014139999999999E-2</c:v>
                      </c:pt>
                      <c:pt idx="8">
                        <c:v>5.0979272299999996E-2</c:v>
                      </c:pt>
                      <c:pt idx="9">
                        <c:v>5.2309422000000008E-2</c:v>
                      </c:pt>
                      <c:pt idx="10">
                        <c:v>5.5874687000000006E-2</c:v>
                      </c:pt>
                      <c:pt idx="11">
                        <c:v>5.5135157000000004E-2</c:v>
                      </c:pt>
                      <c:pt idx="12">
                        <c:v>5.6337577999999999E-2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FAC-4B97-927A-33203CD359D8}"/>
                  </c:ext>
                </c:extLst>
              </c15:ser>
            </c15:filteredScatterSeries>
            <c15:filteredScatterSeries>
              <c15:ser>
                <c:idx val="10"/>
                <c:order val="9"/>
                <c:tx>
                  <c:v>Change Cond2</c:v>
                </c:tx>
                <c:spPr>
                  <a:ln w="3810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2"/>
                    <c:pt idx="0">
                      <c:v>19.5</c:v>
                    </c:pt>
                    <c:pt idx="1">
                      <c:v>19.5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FA86-4B8D-846A-82D83B9816B0}"/>
                  </c:ext>
                </c:extLst>
              </c15:ser>
            </c15:filteredScatterSeries>
            <c15:filteredScatterSeries>
              <c15:ser>
                <c:idx val="9"/>
                <c:order val="10"/>
                <c:tx>
                  <c:v>MEBU25001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tar"/>
                  <c:size val="8"/>
                  <c:spPr>
                    <a:noFill/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'LSHS LTO DAILY'!$H$23:$Q$23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2.6800000000000001E-2</c:v>
                      </c:pt>
                      <c:pt idx="1">
                        <c:v>5.1670000000000008E-2</c:v>
                      </c:pt>
                      <c:pt idx="2">
                        <c:v>5.4229999999999993E-2</c:v>
                      </c:pt>
                      <c:pt idx="3">
                        <c:v>7.6810000000000003E-2</c:v>
                      </c:pt>
                      <c:pt idx="4">
                        <c:v>7.1683999999999998E-2</c:v>
                      </c:pt>
                      <c:pt idx="5">
                        <c:v>8.0299999999999996E-2</c:v>
                      </c:pt>
                      <c:pt idx="6">
                        <c:v>9.172000000000001E-2</c:v>
                      </c:pt>
                      <c:pt idx="7">
                        <c:v>9.5200000000000007E-2</c:v>
                      </c:pt>
                      <c:pt idx="8">
                        <c:v>9.7807000000000005E-2</c:v>
                      </c:pt>
                      <c:pt idx="9">
                        <c:v>9.7447000000000006E-2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6D75-4C5F-9E8E-024094E6570E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0.15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  <a:r>
                  <a:rPr lang="en-US" sz="1600" b="1" baseline="0"/>
                  <a:t>wt</a:t>
                </a:r>
                <a:endParaRPr lang="en-US" sz="1600" b="1"/>
              </a:p>
            </c:rich>
          </c:tx>
          <c:layout>
            <c:manualLayout>
              <c:xMode val="edge"/>
              <c:yMode val="edge"/>
              <c:x val="2.5079819649156489E-2"/>
              <c:y val="0.407296340125319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  <c:majorUnit val="5.000000000000001E-2"/>
      </c:valAx>
      <c:spPr>
        <a:noFill/>
        <a:ln w="25400"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79942004998880878"/>
          <c:y val="0.37635288990749238"/>
          <c:w val="0.19602697924388823"/>
          <c:h val="0.14509799114120631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H/C </a:t>
            </a:r>
            <a:r>
              <a:rPr lang="en-US" b="1" baseline="0"/>
              <a:t>Ratio in Feed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0"/>
          <c:order val="2"/>
          <c:tx>
            <c:v>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'Master Template'!$F$6:$V$6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'Master Template'!$F$117:$V$117</c:f>
              <c:numCache>
                <c:formatCode>0.000</c:formatCode>
                <c:ptCount val="17"/>
                <c:pt idx="0">
                  <c:v>0.11618593563766388</c:v>
                </c:pt>
                <c:pt idx="1">
                  <c:v>0.11618593563766386</c:v>
                </c:pt>
                <c:pt idx="2">
                  <c:v>0.11618593563766386</c:v>
                </c:pt>
                <c:pt idx="3">
                  <c:v>0.11618593563766387</c:v>
                </c:pt>
                <c:pt idx="4">
                  <c:v>0.11618593563766387</c:v>
                </c:pt>
                <c:pt idx="5">
                  <c:v>0.1161859356376639</c:v>
                </c:pt>
                <c:pt idx="6">
                  <c:v>0.1161859356376639</c:v>
                </c:pt>
                <c:pt idx="7">
                  <c:v>0.11618593563766388</c:v>
                </c:pt>
                <c:pt idx="8">
                  <c:v>0.1161859356376639</c:v>
                </c:pt>
                <c:pt idx="9">
                  <c:v>0.11618593563766387</c:v>
                </c:pt>
                <c:pt idx="10">
                  <c:v>0.11618593563766388</c:v>
                </c:pt>
                <c:pt idx="11">
                  <c:v>0.11618593563766388</c:v>
                </c:pt>
                <c:pt idx="12">
                  <c:v>0.1161859356376639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CE-46CE-B7D8-B44863D97188}"/>
            </c:ext>
          </c:extLst>
        </c:ser>
        <c:ser>
          <c:idx val="5"/>
          <c:order val="5"/>
          <c:tx>
            <c:v>Aging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8333-469C-9637-6E3FDE016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Template'!$C$162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Template'!$F$162:$U$162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45.4</c:v>
                      </c:pt>
                      <c:pt idx="1">
                        <c:v>45</c:v>
                      </c:pt>
                      <c:pt idx="2">
                        <c:v>45.1</c:v>
                      </c:pt>
                      <c:pt idx="3">
                        <c:v>45.8</c:v>
                      </c:pt>
                      <c:pt idx="4">
                        <c:v>81.8</c:v>
                      </c:pt>
                      <c:pt idx="5">
                        <c:v>80.2</c:v>
                      </c:pt>
                      <c:pt idx="6">
                        <c:v>79.8</c:v>
                      </c:pt>
                      <c:pt idx="7">
                        <c:v>78.5</c:v>
                      </c:pt>
                      <c:pt idx="8">
                        <c:v>76.8</c:v>
                      </c:pt>
                      <c:pt idx="9">
                        <c:v>76.400000000000006</c:v>
                      </c:pt>
                      <c:pt idx="10">
                        <c:v>77.400000000000006</c:v>
                      </c:pt>
                      <c:pt idx="11">
                        <c:v>76.86666666666666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Template'!$F$118:$U$118</c15:sqref>
                        </c15:formulaRef>
                      </c:ext>
                    </c:extLst>
                    <c:numCache>
                      <c:formatCode>0.000</c:formatCode>
                      <c:ptCount val="16"/>
                      <c:pt idx="0">
                        <c:v>0.113</c:v>
                      </c:pt>
                      <c:pt idx="1">
                        <c:v>0.113</c:v>
                      </c:pt>
                      <c:pt idx="2">
                        <c:v>0.113</c:v>
                      </c:pt>
                      <c:pt idx="3">
                        <c:v>0.113</c:v>
                      </c:pt>
                      <c:pt idx="4">
                        <c:v>0.113</c:v>
                      </c:pt>
                      <c:pt idx="5">
                        <c:v>0.113</c:v>
                      </c:pt>
                      <c:pt idx="6">
                        <c:v>0.113</c:v>
                      </c:pt>
                      <c:pt idx="7">
                        <c:v>0.113</c:v>
                      </c:pt>
                      <c:pt idx="8">
                        <c:v>0.113</c:v>
                      </c:pt>
                      <c:pt idx="9">
                        <c:v>0.113</c:v>
                      </c:pt>
                      <c:pt idx="10">
                        <c:v>0.11600000000000001</c:v>
                      </c:pt>
                      <c:pt idx="11">
                        <c:v>0.11600000000000001</c:v>
                      </c:pt>
                      <c:pt idx="12">
                        <c:v>0.11600000000000001</c:v>
                      </c:pt>
                      <c:pt idx="13">
                        <c:v>0.11600000000000001</c:v>
                      </c:pt>
                      <c:pt idx="14">
                        <c:v>0.11600000000000001</c:v>
                      </c:pt>
                      <c:pt idx="15">
                        <c:v>0.11600000000000001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Template'!$G$163:$L$163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</c:v>
                      </c:pt>
                      <c:pt idx="1">
                        <c:v>39.1</c:v>
                      </c:pt>
                      <c:pt idx="2">
                        <c:v>39.799999999999997</c:v>
                      </c:pt>
                      <c:pt idx="3">
                        <c:v>75.8</c:v>
                      </c:pt>
                      <c:pt idx="4">
                        <c:v>74.2</c:v>
                      </c:pt>
                      <c:pt idx="5">
                        <c:v>73.8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Template'!$F$163:$U$163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39.4</c:v>
                      </c:pt>
                      <c:pt idx="1">
                        <c:v>39</c:v>
                      </c:pt>
                      <c:pt idx="2">
                        <c:v>39.1</c:v>
                      </c:pt>
                      <c:pt idx="3">
                        <c:v>39.799999999999997</c:v>
                      </c:pt>
                      <c:pt idx="4">
                        <c:v>75.8</c:v>
                      </c:pt>
                      <c:pt idx="5">
                        <c:v>74.2</c:v>
                      </c:pt>
                      <c:pt idx="6">
                        <c:v>73.8</c:v>
                      </c:pt>
                      <c:pt idx="7">
                        <c:v>72.5</c:v>
                      </c:pt>
                      <c:pt idx="8">
                        <c:v>70.8</c:v>
                      </c:pt>
                      <c:pt idx="9">
                        <c:v>70.400000000000006</c:v>
                      </c:pt>
                      <c:pt idx="10">
                        <c:v>71.400000000000006</c:v>
                      </c:pt>
                      <c:pt idx="11">
                        <c:v>70.86666666666666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Change Cond.</c:v>
                </c:tx>
                <c:spPr>
                  <a:ln w="38100" cap="rnd">
                    <a:solidFill>
                      <a:srgbClr val="FF0000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Lit>
                    <c:formatCode>General</c:formatCode>
                    <c:ptCount val="2"/>
                    <c:pt idx="0">
                      <c:v>13.5</c:v>
                    </c:pt>
                    <c:pt idx="1">
                      <c:v>13.5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333-469C-9637-6E3FDE0162E6}"/>
                  </c:ext>
                </c:extLst>
              </c15:ser>
            </c15:filteredScatterSeries>
            <c15:filteredScatterSeries>
              <c15:ser>
                <c:idx val="8"/>
                <c:order val="7"/>
                <c:tx>
                  <c:v>Change Cond2</c:v>
                </c:tx>
                <c:spPr>
                  <a:ln w="38100" cap="rnd">
                    <a:solidFill>
                      <a:srgbClr val="FF0000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Lit>
                    <c:formatCode>General</c:formatCode>
                    <c:ptCount val="2"/>
                    <c:pt idx="0">
                      <c:v>19.5</c:v>
                    </c:pt>
                    <c:pt idx="1">
                      <c:v>19.5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693-48E6-843F-8DCF74417CEF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78325946745751041"/>
          <c:y val="0.46910964192672611"/>
          <c:w val="0.15695090952257393"/>
          <c:h val="9.6034594036401189E-2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H/C </a:t>
            </a:r>
            <a:r>
              <a:rPr lang="en-US" b="1" baseline="0"/>
              <a:t>Ratio in HPS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0"/>
          <c:order val="2"/>
          <c:tx>
            <c:v>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'Master Template'!$F$6:$V$6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'Master Template'!$BL$117:$CB$117</c:f>
              <c:numCache>
                <c:formatCode>0.000</c:formatCode>
                <c:ptCount val="17"/>
                <c:pt idx="0">
                  <c:v>0.12648266423357662</c:v>
                </c:pt>
                <c:pt idx="1">
                  <c:v>0.12360455748647715</c:v>
                </c:pt>
                <c:pt idx="2">
                  <c:v>0.12403889642695613</c:v>
                </c:pt>
                <c:pt idx="3">
                  <c:v>0.12396412759677604</c:v>
                </c:pt>
                <c:pt idx="4">
                  <c:v>0.12943302462163994</c:v>
                </c:pt>
                <c:pt idx="5">
                  <c:v>0.12900305533552106</c:v>
                </c:pt>
                <c:pt idx="6">
                  <c:v>0.12617765814266491</c:v>
                </c:pt>
                <c:pt idx="7">
                  <c:v>0.12456747404844291</c:v>
                </c:pt>
                <c:pt idx="8">
                  <c:v>0.12493009730455208</c:v>
                </c:pt>
                <c:pt idx="9">
                  <c:v>0.12405091558731575</c:v>
                </c:pt>
                <c:pt idx="10">
                  <c:v>0.12466337522441653</c:v>
                </c:pt>
                <c:pt idx="11">
                  <c:v>0.12346642873076068</c:v>
                </c:pt>
                <c:pt idx="12">
                  <c:v>0.12604190132912818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CE-46CE-B7D8-B44863D97188}"/>
            </c:ext>
          </c:extLst>
        </c:ser>
        <c:ser>
          <c:idx val="10"/>
          <c:order val="9"/>
          <c:tx>
            <c:v>Change Cond2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19.5</c:v>
              </c:pt>
              <c:pt idx="1">
                <c:v>19.5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F11-452F-AC02-E307FF8FA3D3}"/>
            </c:ext>
          </c:extLst>
        </c:ser>
        <c:ser>
          <c:idx val="5"/>
          <c:order val="5"/>
          <c:tx>
            <c:v>Aging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8333-469C-9637-6E3FDE0162E6}"/>
            </c:ext>
          </c:extLst>
        </c:ser>
        <c:ser>
          <c:idx val="6"/>
          <c:order val="6"/>
          <c:tx>
            <c:v>Change Cond.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13.5</c:v>
              </c:pt>
              <c:pt idx="1">
                <c:v>13.5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333-469C-9637-6E3FDE0162E6}"/>
            </c:ext>
          </c:extLst>
        </c:ser>
        <c:ser>
          <c:idx val="9"/>
          <c:order val="10"/>
          <c:tx>
            <c:v>MEBU25001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8"/>
            <c:spPr>
              <a:noFill/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Template'!$F$6:$O$6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'LSHS Master Template'!$AP$103:$AY$103</c:f>
              <c:numCache>
                <c:formatCode>0.000</c:formatCode>
                <c:ptCount val="10"/>
                <c:pt idx="0">
                  <c:v>0.12715712988192554</c:v>
                </c:pt>
                <c:pt idx="1">
                  <c:v>0.12005457025920874</c:v>
                </c:pt>
                <c:pt idx="2">
                  <c:v>0.12501423203916659</c:v>
                </c:pt>
                <c:pt idx="3">
                  <c:v>0.13065326633165825</c:v>
                </c:pt>
                <c:pt idx="4">
                  <c:v>0.13101574000679425</c:v>
                </c:pt>
                <c:pt idx="5">
                  <c:v>0.12775130474245522</c:v>
                </c:pt>
                <c:pt idx="6">
                  <c:v>0.1304397098821396</c:v>
                </c:pt>
                <c:pt idx="7">
                  <c:v>0.12934253706008825</c:v>
                </c:pt>
                <c:pt idx="8">
                  <c:v>0.12932398824327376</c:v>
                </c:pt>
                <c:pt idx="9">
                  <c:v>0.12752055874732454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DC-4431-A94A-EA73740B8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Template'!$C$162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Template'!$F$162:$U$162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45.4</c:v>
                      </c:pt>
                      <c:pt idx="1">
                        <c:v>45</c:v>
                      </c:pt>
                      <c:pt idx="2">
                        <c:v>45.1</c:v>
                      </c:pt>
                      <c:pt idx="3">
                        <c:v>45.8</c:v>
                      </c:pt>
                      <c:pt idx="4">
                        <c:v>81.8</c:v>
                      </c:pt>
                      <c:pt idx="5">
                        <c:v>80.2</c:v>
                      </c:pt>
                      <c:pt idx="6">
                        <c:v>79.8</c:v>
                      </c:pt>
                      <c:pt idx="7">
                        <c:v>78.5</c:v>
                      </c:pt>
                      <c:pt idx="8">
                        <c:v>76.8</c:v>
                      </c:pt>
                      <c:pt idx="9">
                        <c:v>76.400000000000006</c:v>
                      </c:pt>
                      <c:pt idx="10">
                        <c:v>77.400000000000006</c:v>
                      </c:pt>
                      <c:pt idx="11">
                        <c:v>76.86666666666666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dLbl>
                    <c:idx val="14"/>
                    <c:layout>
                      <c:manualLayout>
                        <c:x val="-5.4064690956967375E-3"/>
                        <c:y val="4.5189186881165175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00AA-489D-B982-0E8D694FFAFB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Template'!$BL$118:$CA$118</c15:sqref>
                        </c15:formulaRef>
                      </c:ext>
                    </c:extLst>
                    <c:numCache>
                      <c:formatCode>0.000</c:formatCode>
                      <c:ptCount val="16"/>
                      <c:pt idx="0">
                        <c:v>0.125</c:v>
                      </c:pt>
                      <c:pt idx="1">
                        <c:v>0.123</c:v>
                      </c:pt>
                      <c:pt idx="2">
                        <c:v>0.122</c:v>
                      </c:pt>
                      <c:pt idx="3">
                        <c:v>0.121</c:v>
                      </c:pt>
                      <c:pt idx="4">
                        <c:v>0.1275</c:v>
                      </c:pt>
                      <c:pt idx="5">
                        <c:v>0.122</c:v>
                      </c:pt>
                      <c:pt idx="6">
                        <c:v>0.128</c:v>
                      </c:pt>
                      <c:pt idx="7">
                        <c:v>0.125</c:v>
                      </c:pt>
                      <c:pt idx="8">
                        <c:v>0.127</c:v>
                      </c:pt>
                      <c:pt idx="9">
                        <c:v>0.123</c:v>
                      </c:pt>
                      <c:pt idx="10">
                        <c:v>0.121</c:v>
                      </c:pt>
                      <c:pt idx="11">
                        <c:v>0.123</c:v>
                      </c:pt>
                      <c:pt idx="12">
                        <c:v>0.126</c:v>
                      </c:pt>
                      <c:pt idx="13">
                        <c:v>0.123</c:v>
                      </c:pt>
                      <c:pt idx="14">
                        <c:v>0.124</c:v>
                      </c:pt>
                      <c:pt idx="15">
                        <c:v>0.123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Template'!$G$163:$L$163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</c:v>
                      </c:pt>
                      <c:pt idx="1">
                        <c:v>39.1</c:v>
                      </c:pt>
                      <c:pt idx="2">
                        <c:v>39.799999999999997</c:v>
                      </c:pt>
                      <c:pt idx="3">
                        <c:v>75.8</c:v>
                      </c:pt>
                      <c:pt idx="4">
                        <c:v>74.2</c:v>
                      </c:pt>
                      <c:pt idx="5">
                        <c:v>73.8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Template'!$F$163:$U$163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39.4</c:v>
                      </c:pt>
                      <c:pt idx="1">
                        <c:v>39</c:v>
                      </c:pt>
                      <c:pt idx="2">
                        <c:v>39.1</c:v>
                      </c:pt>
                      <c:pt idx="3">
                        <c:v>39.799999999999997</c:v>
                      </c:pt>
                      <c:pt idx="4">
                        <c:v>75.8</c:v>
                      </c:pt>
                      <c:pt idx="5">
                        <c:v>74.2</c:v>
                      </c:pt>
                      <c:pt idx="6">
                        <c:v>73.8</c:v>
                      </c:pt>
                      <c:pt idx="7">
                        <c:v>72.5</c:v>
                      </c:pt>
                      <c:pt idx="8">
                        <c:v>70.8</c:v>
                      </c:pt>
                      <c:pt idx="9">
                        <c:v>70.400000000000006</c:v>
                      </c:pt>
                      <c:pt idx="10">
                        <c:v>71.400000000000006</c:v>
                      </c:pt>
                      <c:pt idx="11">
                        <c:v>70.86666666666666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TOP Repro+</c:v>
                </c:tx>
                <c:spPr>
                  <a:ln w="25400" cap="rnd" cmpd="dbl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DAILY (repro+)'!$J$35:$Z$35</c15:sqref>
                        </c15:formulaRef>
                      </c:ext>
                    </c:extLst>
                    <c:numCache>
                      <c:formatCode>0.000</c:formatCode>
                      <c:ptCount val="17"/>
                      <c:pt idx="0">
                        <c:v>0.1407233507687817</c:v>
                      </c:pt>
                      <c:pt idx="1">
                        <c:v>0.1375199569819546</c:v>
                      </c:pt>
                      <c:pt idx="2">
                        <c:v>0.13800561609993753</c:v>
                      </c:pt>
                      <c:pt idx="3">
                        <c:v>0.13792188913250214</c:v>
                      </c:pt>
                      <c:pt idx="4">
                        <c:v>0.14400728055515022</c:v>
                      </c:pt>
                      <c:pt idx="5">
                        <c:v>0.14352862502881805</c:v>
                      </c:pt>
                      <c:pt idx="6">
                        <c:v>0.140386316837493</c:v>
                      </c:pt>
                      <c:pt idx="7">
                        <c:v>0.1385954618177952</c:v>
                      </c:pt>
                      <c:pt idx="8">
                        <c:v>0.13899864956024879</c:v>
                      </c:pt>
                      <c:pt idx="9">
                        <c:v>0.13802068695701669</c:v>
                      </c:pt>
                      <c:pt idx="10">
                        <c:v>0.13870145224761343</c:v>
                      </c:pt>
                      <c:pt idx="11">
                        <c:v>0.13737052803327537</c:v>
                      </c:pt>
                      <c:pt idx="12">
                        <c:v>0.14023468682580897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630C-4FA2-94F5-E2FF889A3FF8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TOP Repro-</c:v>
                </c:tx>
                <c:spPr>
                  <a:ln w="25400" cap="rnd" cmpd="dbl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DAILY (repro-)'!$J$35:$Z$35</c15:sqref>
                        </c15:formulaRef>
                      </c:ext>
                    </c:extLst>
                    <c:numCache>
                      <c:formatCode>0.000</c:formatCode>
                      <c:ptCount val="17"/>
                      <c:pt idx="0">
                        <c:v>0.11216214182270805</c:v>
                      </c:pt>
                      <c:pt idx="1">
                        <c:v>0.10961089248161382</c:v>
                      </c:pt>
                      <c:pt idx="2">
                        <c:v>0.10999411702970005</c:v>
                      </c:pt>
                      <c:pt idx="3">
                        <c:v>0.10992824635131748</c:v>
                      </c:pt>
                      <c:pt idx="4">
                        <c:v>0.1147773461208251</c:v>
                      </c:pt>
                      <c:pt idx="5">
                        <c:v>0.11439627968285933</c:v>
                      </c:pt>
                      <c:pt idx="6">
                        <c:v>0.11188981522545692</c:v>
                      </c:pt>
                      <c:pt idx="7">
                        <c:v>0.11046144145774893</c:v>
                      </c:pt>
                      <c:pt idx="8">
                        <c:v>0.11078321906429033</c:v>
                      </c:pt>
                      <c:pt idx="9">
                        <c:v>0.11000341411693236</c:v>
                      </c:pt>
                      <c:pt idx="10">
                        <c:v>0.1105470522205339</c:v>
                      </c:pt>
                      <c:pt idx="11">
                        <c:v>0.10948499512612203</c:v>
                      </c:pt>
                      <c:pt idx="12">
                        <c:v>0.11176990049307302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30C-4FA2-94F5-E2FF889A3FF8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82621066737193516"/>
          <c:y val="0.44036232127185054"/>
          <c:w val="0.12103839957023756"/>
          <c:h val="0.17859288389579245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H/C </a:t>
            </a:r>
            <a:r>
              <a:rPr lang="en-US" b="1" baseline="0"/>
              <a:t>Ratio in LTO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0"/>
          <c:order val="2"/>
          <c:tx>
            <c:v>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4"/>
              <c:layout>
                <c:manualLayout>
                  <c:x val="-9.9890724000401412E-17"/>
                  <c:y val="-2.34192037470726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77F-4CF6-A7F9-AC926988C5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Template'!$F$6:$V$6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'Master Template'!$CO$117:$DE$117</c:f>
              <c:numCache>
                <c:formatCode>0.000</c:formatCode>
                <c:ptCount val="17"/>
                <c:pt idx="0">
                  <c:v>0</c:v>
                </c:pt>
                <c:pt idx="1">
                  <c:v>0.15448755066589462</c:v>
                </c:pt>
                <c:pt idx="2">
                  <c:v>0.15596646376478696</c:v>
                </c:pt>
                <c:pt idx="3">
                  <c:v>0.15389055645347496</c:v>
                </c:pt>
                <c:pt idx="4">
                  <c:v>0.15036127996329854</c:v>
                </c:pt>
                <c:pt idx="5">
                  <c:v>0.15527950310559008</c:v>
                </c:pt>
                <c:pt idx="6">
                  <c:v>0.14943447960699191</c:v>
                </c:pt>
                <c:pt idx="7">
                  <c:v>0.1530355097365407</c:v>
                </c:pt>
                <c:pt idx="8">
                  <c:v>0.14894220407237252</c:v>
                </c:pt>
                <c:pt idx="9">
                  <c:v>0.15157750342935525</c:v>
                </c:pt>
                <c:pt idx="10">
                  <c:v>0.15408805031446543</c:v>
                </c:pt>
                <c:pt idx="11">
                  <c:v>0.1515775034293553</c:v>
                </c:pt>
                <c:pt idx="12">
                  <c:v>0.15113235461477181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CE-46CE-B7D8-B44863D97188}"/>
            </c:ext>
          </c:extLst>
        </c:ser>
        <c:ser>
          <c:idx val="10"/>
          <c:order val="9"/>
          <c:tx>
            <c:v>Change Cond2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19.5</c:v>
              </c:pt>
              <c:pt idx="1">
                <c:v>19.5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2C5E-4136-A557-5B681F3948BF}"/>
            </c:ext>
          </c:extLst>
        </c:ser>
        <c:ser>
          <c:idx val="5"/>
          <c:order val="5"/>
          <c:tx>
            <c:v>Aging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8333-469C-9637-6E3FDE0162E6}"/>
            </c:ext>
          </c:extLst>
        </c:ser>
        <c:ser>
          <c:idx val="6"/>
          <c:order val="6"/>
          <c:tx>
            <c:v>Change Cond.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13.5</c:v>
              </c:pt>
              <c:pt idx="1">
                <c:v>13.5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333-469C-9637-6E3FDE0162E6}"/>
            </c:ext>
          </c:extLst>
        </c:ser>
        <c:ser>
          <c:idx val="9"/>
          <c:order val="10"/>
          <c:tx>
            <c:v>MEBU25001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8"/>
            <c:spPr>
              <a:noFill/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Template'!$F$6:$O$6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'LSHS Master Template'!$BH$104:$BQ$104</c:f>
              <c:numCache>
                <c:formatCode>0.000</c:formatCode>
                <c:ptCount val="10"/>
                <c:pt idx="0">
                  <c:v>0.155</c:v>
                </c:pt>
                <c:pt idx="1">
                  <c:v>0.155</c:v>
                </c:pt>
                <c:pt idx="2">
                  <c:v>0.156</c:v>
                </c:pt>
                <c:pt idx="3">
                  <c:v>0.157</c:v>
                </c:pt>
                <c:pt idx="4">
                  <c:v>0.156</c:v>
                </c:pt>
                <c:pt idx="5">
                  <c:v>0.157</c:v>
                </c:pt>
                <c:pt idx="6">
                  <c:v>0.1565</c:v>
                </c:pt>
                <c:pt idx="7">
                  <c:v>0.156</c:v>
                </c:pt>
                <c:pt idx="8">
                  <c:v>0.155</c:v>
                </c:pt>
                <c:pt idx="9">
                  <c:v>0.159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8A-4C03-A8B9-83EBB4009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Template'!$C$162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Template'!$F$162:$U$162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45.4</c:v>
                      </c:pt>
                      <c:pt idx="1">
                        <c:v>45</c:v>
                      </c:pt>
                      <c:pt idx="2">
                        <c:v>45.1</c:v>
                      </c:pt>
                      <c:pt idx="3">
                        <c:v>45.8</c:v>
                      </c:pt>
                      <c:pt idx="4">
                        <c:v>81.8</c:v>
                      </c:pt>
                      <c:pt idx="5">
                        <c:v>80.2</c:v>
                      </c:pt>
                      <c:pt idx="6">
                        <c:v>79.8</c:v>
                      </c:pt>
                      <c:pt idx="7">
                        <c:v>78.5</c:v>
                      </c:pt>
                      <c:pt idx="8">
                        <c:v>76.8</c:v>
                      </c:pt>
                      <c:pt idx="9">
                        <c:v>76.400000000000006</c:v>
                      </c:pt>
                      <c:pt idx="10">
                        <c:v>77.400000000000006</c:v>
                      </c:pt>
                      <c:pt idx="11">
                        <c:v>76.86666666666666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dLbl>
                    <c:idx val="14"/>
                    <c:layout>
                      <c:manualLayout>
                        <c:x val="-9.9890724000401412E-17"/>
                        <c:y val="3.0444964871194337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577F-4CF6-A7F9-AC926988C57F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Template'!$CO$118:$DD$118</c15:sqref>
                        </c15:formulaRef>
                      </c:ext>
                    </c:extLst>
                    <c:numCache>
                      <c:formatCode>0.000</c:formatCode>
                      <c:ptCount val="16"/>
                      <c:pt idx="0">
                        <c:v>0.155</c:v>
                      </c:pt>
                      <c:pt idx="1">
                        <c:v>0.155</c:v>
                      </c:pt>
                      <c:pt idx="2">
                        <c:v>0.156</c:v>
                      </c:pt>
                      <c:pt idx="3">
                        <c:v>0.157</c:v>
                      </c:pt>
                      <c:pt idx="4">
                        <c:v>0.156</c:v>
                      </c:pt>
                      <c:pt idx="5">
                        <c:v>0.157</c:v>
                      </c:pt>
                      <c:pt idx="6">
                        <c:v>0.1565</c:v>
                      </c:pt>
                      <c:pt idx="7">
                        <c:v>0.156</c:v>
                      </c:pt>
                      <c:pt idx="8">
                        <c:v>0.155</c:v>
                      </c:pt>
                      <c:pt idx="9">
                        <c:v>0.159</c:v>
                      </c:pt>
                      <c:pt idx="10">
                        <c:v>0.156</c:v>
                      </c:pt>
                      <c:pt idx="11">
                        <c:v>0.1555</c:v>
                      </c:pt>
                      <c:pt idx="12">
                        <c:v>0.158</c:v>
                      </c:pt>
                      <c:pt idx="13">
                        <c:v>0.158</c:v>
                      </c:pt>
                      <c:pt idx="14">
                        <c:v>0.156</c:v>
                      </c:pt>
                      <c:pt idx="15">
                        <c:v>0.157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Template'!$G$163:$L$163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</c:v>
                      </c:pt>
                      <c:pt idx="1">
                        <c:v>39.1</c:v>
                      </c:pt>
                      <c:pt idx="2">
                        <c:v>39.799999999999997</c:v>
                      </c:pt>
                      <c:pt idx="3">
                        <c:v>75.8</c:v>
                      </c:pt>
                      <c:pt idx="4">
                        <c:v>74.2</c:v>
                      </c:pt>
                      <c:pt idx="5">
                        <c:v>73.8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Template'!$F$163:$U$163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39.4</c:v>
                      </c:pt>
                      <c:pt idx="1">
                        <c:v>39</c:v>
                      </c:pt>
                      <c:pt idx="2">
                        <c:v>39.1</c:v>
                      </c:pt>
                      <c:pt idx="3">
                        <c:v>39.799999999999997</c:v>
                      </c:pt>
                      <c:pt idx="4">
                        <c:v>75.8</c:v>
                      </c:pt>
                      <c:pt idx="5">
                        <c:v>74.2</c:v>
                      </c:pt>
                      <c:pt idx="6">
                        <c:v>73.8</c:v>
                      </c:pt>
                      <c:pt idx="7">
                        <c:v>72.5</c:v>
                      </c:pt>
                      <c:pt idx="8">
                        <c:v>70.8</c:v>
                      </c:pt>
                      <c:pt idx="9">
                        <c:v>70.400000000000006</c:v>
                      </c:pt>
                      <c:pt idx="10">
                        <c:v>71.400000000000006</c:v>
                      </c:pt>
                      <c:pt idx="11">
                        <c:v>70.86666666666666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TOP Repro+</c:v>
                </c:tx>
                <c:spPr>
                  <a:ln w="25400" cap="rnd" cmpd="dbl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'LTO DAILY (repro+)'!$H$33:$X$33</c15:sqref>
                        </c15:formulaRef>
                      </c:ext>
                    </c:extLst>
                    <c:numCache>
                      <c:formatCode>0.000</c:formatCode>
                      <c:ptCount val="17"/>
                      <c:pt idx="0">
                        <c:v>0</c:v>
                      </c:pt>
                      <c:pt idx="1">
                        <c:v>0.1718786806655998</c:v>
                      </c:pt>
                      <c:pt idx="2">
                        <c:v>0.17352552552002265</c:v>
                      </c:pt>
                      <c:pt idx="3">
                        <c:v>0.17121501883767093</c:v>
                      </c:pt>
                      <c:pt idx="4">
                        <c:v>0.16728952739617717</c:v>
                      </c:pt>
                      <c:pt idx="5">
                        <c:v>0.17276096707739913</c:v>
                      </c:pt>
                      <c:pt idx="6">
                        <c:v>0.16625902887090008</c:v>
                      </c:pt>
                      <c:pt idx="7">
                        <c:v>0.17026504629582034</c:v>
                      </c:pt>
                      <c:pt idx="8">
                        <c:v>0.16571249698094281</c:v>
                      </c:pt>
                      <c:pt idx="9">
                        <c:v>0.16864323591861122</c:v>
                      </c:pt>
                      <c:pt idx="10">
                        <c:v>0.17143322140537531</c:v>
                      </c:pt>
                      <c:pt idx="11">
                        <c:v>0.16864323591861122</c:v>
                      </c:pt>
                      <c:pt idx="12">
                        <c:v>0.16814871129835035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1260-4EBA-B9FB-12180DEACB18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TOP Repro-</c:v>
                </c:tx>
                <c:spPr>
                  <a:ln w="25400" cap="rnd" cmpd="dbl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'LTO DAILY (repro-)'!$H$33:$X$33</c15:sqref>
                        </c15:formulaRef>
                      </c:ext>
                    </c:extLst>
                    <c:numCache>
                      <c:formatCode>0.000</c:formatCode>
                      <c:ptCount val="17"/>
                      <c:pt idx="0">
                        <c:v>0</c:v>
                      </c:pt>
                      <c:pt idx="1">
                        <c:v>0.13664499015406001</c:v>
                      </c:pt>
                      <c:pt idx="2">
                        <c:v>0.13847779059040591</c:v>
                      </c:pt>
                      <c:pt idx="3">
                        <c:v>0.13780358896422723</c:v>
                      </c:pt>
                      <c:pt idx="4">
                        <c:v>0.13376223606784354</c:v>
                      </c:pt>
                      <c:pt idx="5">
                        <c:v>0.1394794952681388</c:v>
                      </c:pt>
                      <c:pt idx="6">
                        <c:v>0.13374935245143385</c:v>
                      </c:pt>
                      <c:pt idx="7">
                        <c:v>0.13582717866176131</c:v>
                      </c:pt>
                      <c:pt idx="8">
                        <c:v>0.13529316010254019</c:v>
                      </c:pt>
                      <c:pt idx="9">
                        <c:v>0.13719220779220781</c:v>
                      </c:pt>
                      <c:pt idx="10">
                        <c:v>0.13483103607237526</c:v>
                      </c:pt>
                      <c:pt idx="11">
                        <c:v>0.13523028485757121</c:v>
                      </c:pt>
                      <c:pt idx="12">
                        <c:v>0.13370720710463396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260-4EBA-B9FB-12180DEACB18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0.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82348965380480554"/>
          <c:y val="0.43811966596797064"/>
          <c:w val="0.12103839957023756"/>
          <c:h val="0.20550474754234999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</a:t>
            </a:r>
            <a:r>
              <a:rPr lang="en-US" b="1" baseline="0"/>
              <a:t> Sedimentation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8859232666152"/>
          <c:y val="0.15682159851157404"/>
          <c:w val="0.68738926103085418"/>
          <c:h val="0.66985331683037952"/>
        </c:manualLayout>
      </c:layout>
      <c:scatterChart>
        <c:scatterStyle val="lineMarker"/>
        <c:varyColors val="0"/>
        <c:ser>
          <c:idx val="8"/>
          <c:order val="7"/>
          <c:tx>
            <c:v>TOP Repro+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  <c:extLst xmlns:c15="http://schemas.microsoft.com/office/drawing/2012/chart"/>
            </c:numRef>
          </c:xVal>
          <c:yVal>
            <c:numRef>
              <c:f>'HPS DAILY (repro+)'!$J$90:$X$90</c:f>
              <c:numCache>
                <c:formatCode>0.0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47.686521807637767</c:v>
                </c:pt>
                <c:pt idx="3">
                  <c:v>48.86123026934888</c:v>
                </c:pt>
                <c:pt idx="4">
                  <c:v>233.94628773945692</c:v>
                </c:pt>
                <c:pt idx="5">
                  <c:v>691.94192030618683</c:v>
                </c:pt>
                <c:pt idx="6">
                  <c:v>524.99170007931116</c:v>
                </c:pt>
                <c:pt idx="7">
                  <c:v>408.4213365905037</c:v>
                </c:pt>
                <c:pt idx="8">
                  <c:v>308.37042284559237</c:v>
                </c:pt>
                <c:pt idx="9">
                  <c:v>103.0714463508769</c:v>
                </c:pt>
                <c:pt idx="10">
                  <c:v>382.90974151226902</c:v>
                </c:pt>
                <c:pt idx="11">
                  <c:v>155.6557750346453</c:v>
                </c:pt>
                <c:pt idx="12">
                  <c:v>132.40710742537991</c:v>
                </c:pt>
                <c:pt idx="13">
                  <c:v>0</c:v>
                </c:pt>
                <c:pt idx="14">
                  <c:v>0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126F-45EF-94B6-DFBEE8DD50A8}"/>
            </c:ext>
          </c:extLst>
        </c:ser>
        <c:ser>
          <c:idx val="5"/>
          <c:order val="5"/>
          <c:tx>
            <c:v>Aging</c:v>
          </c:tx>
          <c:spPr>
            <a:ln w="25400" cap="rnd">
              <a:solidFill>
                <a:srgbClr val="FF505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8333-469C-9637-6E3FDE0162E6}"/>
            </c:ext>
          </c:extLst>
        </c:ser>
        <c:ser>
          <c:idx val="7"/>
          <c:order val="6"/>
          <c:tx>
            <c:v>Acceptable Value</c:v>
          </c:tx>
          <c:spPr>
            <a:ln w="25400" cap="rnd">
              <a:solidFill>
                <a:srgbClr val="FF505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25</c:v>
              </c:pt>
            </c:numLit>
          </c:xVal>
          <c:yVal>
            <c:numLit>
              <c:formatCode>General</c:formatCode>
              <c:ptCount val="2"/>
              <c:pt idx="0">
                <c:v>2000</c:v>
              </c:pt>
              <c:pt idx="1">
                <c:v>2000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DFFA-468D-A221-CB7E854815C6}"/>
            </c:ext>
          </c:extLst>
        </c:ser>
        <c:ser>
          <c:idx val="13"/>
          <c:order val="11"/>
          <c:tx>
            <c:v>TOP Acceptance'26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3333FF"/>
              </a:solidFill>
              <a:ln w="9525">
                <a:noFill/>
              </a:ln>
              <a:effectLst/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93-4A38-9C23-C52BF1EDE625}"/>
                </c:ext>
              </c:extLst>
            </c:dLbl>
            <c:dLbl>
              <c:idx val="1"/>
              <c:layout>
                <c:manualLayout>
                  <c:x val="-2.2410129199691708E-2"/>
                  <c:y val="-4.047355682159345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C0A12A1-28D8-4129-9166-7FDAA01FA25E}" type="YVALUE">
                      <a:rPr lang="en-US" b="0"/>
                      <a:pPr>
                        <a:defRPr b="1"/>
                      </a:pPr>
                      <a:t>[Y VALUE]</a:t>
                    </a:fld>
                    <a:endParaRPr lang="en-US"/>
                  </a:p>
                </c:rich>
              </c:tx>
              <c:spPr>
                <a:noFill/>
                <a:ln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6F06-465E-9800-7BBBF67F9992}"/>
                </c:ext>
              </c:extLst>
            </c:dLbl>
            <c:dLbl>
              <c:idx val="2"/>
              <c:layout>
                <c:manualLayout>
                  <c:x val="-2.5396563641403313E-2"/>
                  <c:y val="-6.52176800923167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A0B-44FD-BF10-528655375BF2}"/>
                </c:ext>
              </c:extLst>
            </c:dLbl>
            <c:dLbl>
              <c:idx val="3"/>
              <c:layout>
                <c:manualLayout>
                  <c:x val="-3.1159296996877056E-2"/>
                  <c:y val="-0.1124564608818792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0B5-4601-BB96-FC274A4569F4}"/>
                </c:ext>
              </c:extLst>
            </c:dLbl>
            <c:dLbl>
              <c:idx val="4"/>
              <c:layout>
                <c:manualLayout>
                  <c:x val="-1.3777718662588707E-2"/>
                  <c:y val="-3.14756938140577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01C-45FB-A8FE-E9CB0D93B7CB}"/>
                </c:ext>
              </c:extLst>
            </c:dLbl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01C-45FB-A8FE-E9CB0D93B7CB}"/>
                </c:ext>
              </c:extLst>
            </c:dLbl>
            <c:dLbl>
              <c:idx val="6"/>
              <c:layout>
                <c:manualLayout>
                  <c:x val="-2.4171756869154772E-2"/>
                  <c:y val="-3.59746253178256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37-4EDC-AC87-EE169F564AA7}"/>
                </c:ext>
              </c:extLst>
            </c:dLbl>
            <c:dLbl>
              <c:idx val="7"/>
              <c:layout>
                <c:manualLayout>
                  <c:x val="-1.3798647093311358E-2"/>
                  <c:y val="-3.59746253178256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606-42D0-8F00-BD74CBE3B68F}"/>
                </c:ext>
              </c:extLst>
            </c:dLbl>
            <c:dLbl>
              <c:idx val="8"/>
              <c:layout>
                <c:manualLayout>
                  <c:x val="-3.4036370922128378E-3"/>
                  <c:y val="-3.14756938140577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5BE-4424-919F-4872E470E0D4}"/>
                </c:ext>
              </c:extLst>
            </c:dLbl>
            <c:dLbl>
              <c:idx val="9"/>
              <c:layout>
                <c:manualLayout>
                  <c:x val="-1.6230012739079008E-2"/>
                  <c:y val="-2.92262280621738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7EF-4C41-94EF-47C514699B93}"/>
                </c:ext>
              </c:extLst>
            </c:dLbl>
            <c:dLbl>
              <c:idx val="10"/>
              <c:layout>
                <c:manualLayout>
                  <c:x val="-6.3623695438649432E-3"/>
                  <c:y val="-4.2723022573477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043-4F8C-A7F6-C45785AEE9FE}"/>
                </c:ext>
              </c:extLst>
            </c:dLbl>
            <c:dLbl>
              <c:idx val="11"/>
              <c:layout>
                <c:manualLayout>
                  <c:x val="2.5286041283185384E-3"/>
                  <c:y val="-3.1475693814057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4E6-435B-B2BF-907BE3C1A70A}"/>
                </c:ext>
              </c:extLst>
            </c:dLbl>
            <c:dLbl>
              <c:idx val="12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0CC-4E10-81A3-C203F6520F65}"/>
                </c:ext>
              </c:extLst>
            </c:dLbl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Template'!$F$305:$AA$305</c:f>
              <c:numCache>
                <c:formatCode>0.0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46.5</c:v>
                </c:pt>
                <c:pt idx="3">
                  <c:v>47.66</c:v>
                </c:pt>
                <c:pt idx="4">
                  <c:v>231.3</c:v>
                </c:pt>
                <c:pt idx="5">
                  <c:v>687.38</c:v>
                </c:pt>
                <c:pt idx="6">
                  <c:v>521.02</c:v>
                </c:pt>
                <c:pt idx="7">
                  <c:v>404.92</c:v>
                </c:pt>
                <c:pt idx="8">
                  <c:v>305.33</c:v>
                </c:pt>
                <c:pt idx="9">
                  <c:v>101.32</c:v>
                </c:pt>
                <c:pt idx="10">
                  <c:v>379.52</c:v>
                </c:pt>
                <c:pt idx="11">
                  <c:v>153.5</c:v>
                </c:pt>
                <c:pt idx="12">
                  <c:v>130.41999999999999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ED-4D33-B13E-1B98A2835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Template'!$C$162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Template'!$F$162:$U$162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45.4</c:v>
                      </c:pt>
                      <c:pt idx="1">
                        <c:v>45</c:v>
                      </c:pt>
                      <c:pt idx="2">
                        <c:v>45.1</c:v>
                      </c:pt>
                      <c:pt idx="3">
                        <c:v>45.8</c:v>
                      </c:pt>
                      <c:pt idx="4">
                        <c:v>81.8</c:v>
                      </c:pt>
                      <c:pt idx="5">
                        <c:v>80.2</c:v>
                      </c:pt>
                      <c:pt idx="6">
                        <c:v>79.8</c:v>
                      </c:pt>
                      <c:pt idx="7">
                        <c:v>78.5</c:v>
                      </c:pt>
                      <c:pt idx="8">
                        <c:v>76.8</c:v>
                      </c:pt>
                      <c:pt idx="9">
                        <c:v>76.400000000000006</c:v>
                      </c:pt>
                      <c:pt idx="10">
                        <c:v>77.400000000000006</c:v>
                      </c:pt>
                      <c:pt idx="11">
                        <c:v>76.86666666666666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Template'!$F$306:$V$306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4">
                        <c:v>400</c:v>
                      </c:pt>
                      <c:pt idx="5">
                        <c:v>600</c:v>
                      </c:pt>
                      <c:pt idx="6">
                        <c:v>700</c:v>
                      </c:pt>
                      <c:pt idx="7">
                        <c:v>900</c:v>
                      </c:pt>
                      <c:pt idx="8">
                        <c:v>913</c:v>
                      </c:pt>
                      <c:pt idx="9">
                        <c:v>913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Template'!$F$6:$AH$6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DAILY'!$K$90:$AA$90</c15:sqref>
                        </c15:formulaRef>
                      </c:ext>
                    </c:extLst>
                    <c:numCache>
                      <c:formatCode>0.0</c:formatCode>
                      <c:ptCount val="17"/>
                      <c:pt idx="0">
                        <c:v>0</c:v>
                      </c:pt>
                      <c:pt idx="1">
                        <c:v>0</c:v>
                      </c:pt>
                      <c:pt idx="2">
                        <c:v>46.5</c:v>
                      </c:pt>
                      <c:pt idx="3">
                        <c:v>47.66</c:v>
                      </c:pt>
                      <c:pt idx="4">
                        <c:v>231.3</c:v>
                      </c:pt>
                      <c:pt idx="5">
                        <c:v>687.38</c:v>
                      </c:pt>
                      <c:pt idx="6">
                        <c:v>521.02</c:v>
                      </c:pt>
                      <c:pt idx="7">
                        <c:v>404.92</c:v>
                      </c:pt>
                      <c:pt idx="8">
                        <c:v>305.33</c:v>
                      </c:pt>
                      <c:pt idx="9">
                        <c:v>101.32</c:v>
                      </c:pt>
                      <c:pt idx="10">
                        <c:v>379.52</c:v>
                      </c:pt>
                      <c:pt idx="11">
                        <c:v>153.5</c:v>
                      </c:pt>
                      <c:pt idx="12">
                        <c:v>130.41999999999999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Template'!$G$163:$L$163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</c:v>
                      </c:pt>
                      <c:pt idx="1">
                        <c:v>39.1</c:v>
                      </c:pt>
                      <c:pt idx="2">
                        <c:v>39.799999999999997</c:v>
                      </c:pt>
                      <c:pt idx="3">
                        <c:v>75.8</c:v>
                      </c:pt>
                      <c:pt idx="4">
                        <c:v>74.2</c:v>
                      </c:pt>
                      <c:pt idx="5">
                        <c:v>73.8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Template'!$F$163:$U$163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39.4</c:v>
                      </c:pt>
                      <c:pt idx="1">
                        <c:v>39</c:v>
                      </c:pt>
                      <c:pt idx="2">
                        <c:v>39.1</c:v>
                      </c:pt>
                      <c:pt idx="3">
                        <c:v>39.799999999999997</c:v>
                      </c:pt>
                      <c:pt idx="4">
                        <c:v>75.8</c:v>
                      </c:pt>
                      <c:pt idx="5">
                        <c:v>74.2</c:v>
                      </c:pt>
                      <c:pt idx="6">
                        <c:v>73.8</c:v>
                      </c:pt>
                      <c:pt idx="7">
                        <c:v>72.5</c:v>
                      </c:pt>
                      <c:pt idx="8">
                        <c:v>70.8</c:v>
                      </c:pt>
                      <c:pt idx="9">
                        <c:v>70.400000000000006</c:v>
                      </c:pt>
                      <c:pt idx="10">
                        <c:v>71.400000000000006</c:v>
                      </c:pt>
                      <c:pt idx="11">
                        <c:v>70.86666666666666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  <c15:filteredScatterSeries>
              <c15:ser>
                <c:idx val="10"/>
                <c:order val="8"/>
                <c:tx>
                  <c:v>Change Cond2</c:v>
                </c:tx>
                <c:spPr>
                  <a:ln w="3810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2"/>
                    <c:pt idx="0">
                      <c:v>19.5</c:v>
                    </c:pt>
                    <c:pt idx="1">
                      <c:v>19.5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20000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6C6-43EA-B76D-8935722E5628}"/>
                  </c:ext>
                </c:extLst>
              </c15:ser>
            </c15:filteredScatterSeries>
            <c15:filteredScatterSeries>
              <c15:ser>
                <c:idx val="11"/>
                <c:order val="9"/>
                <c:tx>
                  <c:v>ART Acceptance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Template'!$F$6:$P$6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Template'!$F$308:$P$308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1">
                        <c:v>32</c:v>
                      </c:pt>
                      <c:pt idx="3">
                        <c:v>17</c:v>
                      </c:pt>
                      <c:pt idx="4">
                        <c:v>151</c:v>
                      </c:pt>
                      <c:pt idx="5">
                        <c:v>202</c:v>
                      </c:pt>
                      <c:pt idx="6">
                        <c:v>220</c:v>
                      </c:pt>
                      <c:pt idx="7">
                        <c:v>139</c:v>
                      </c:pt>
                      <c:pt idx="8">
                        <c:v>164</c:v>
                      </c:pt>
                      <c:pt idx="9">
                        <c:v>278</c:v>
                      </c:pt>
                      <c:pt idx="10">
                        <c:v>596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6682-45F8-84FF-06B2DDFCDCC7}"/>
                  </c:ext>
                </c:extLst>
              </c15:ser>
            </c15:filteredScatterSeries>
            <c15:filteredScatterSeries>
              <c15:ser>
                <c:idx val="12"/>
                <c:order val="10"/>
                <c:tx>
                  <c:v>TOP Acceptance'24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8"/>
                  <c:spPr>
                    <a:solidFill>
                      <a:srgbClr val="FFC00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Template'!$F$6:$P$6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Template'!$F$307:$P$307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5">
                        <c:v>600</c:v>
                      </c:pt>
                      <c:pt idx="6">
                        <c:v>500</c:v>
                      </c:pt>
                      <c:pt idx="7">
                        <c:v>300</c:v>
                      </c:pt>
                      <c:pt idx="8">
                        <c:v>400</c:v>
                      </c:pt>
                      <c:pt idx="9">
                        <c:v>600</c:v>
                      </c:pt>
                      <c:pt idx="10">
                        <c:v>200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682-45F8-84FF-06B2DDFCDCC7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2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/>
                  <a:t>ppmw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73669982388494715"/>
          <c:y val="0.30704494973523377"/>
          <c:w val="0.18597124630844947"/>
          <c:h val="0.18448665685994065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Metal (Ni+V) Conversion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12"/>
          <c:order val="10"/>
          <c:tx>
            <c:v>ART Acceptance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3"/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3967486103681652E-2"/>
                  <c:y val="-6.3048784617656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5FD-4F63-A9D6-BA6A084D29D7}"/>
                </c:ext>
              </c:extLst>
            </c:dLbl>
            <c:dLbl>
              <c:idx val="1"/>
              <c:layout>
                <c:manualLayout>
                  <c:x val="-3.4197270801609739E-2"/>
                  <c:y val="7.88109807720710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75-4A3D-9BFA-0E895945C3C5}"/>
                </c:ext>
              </c:extLst>
            </c:dLbl>
            <c:dLbl>
              <c:idx val="2"/>
              <c:layout>
                <c:manualLayout>
                  <c:x val="-7.4312072083880191E-3"/>
                  <c:y val="-6.98040115409772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9EF-4800-9AE9-DE047B6825C1}"/>
                </c:ext>
              </c:extLst>
            </c:dLbl>
            <c:dLbl>
              <c:idx val="3"/>
              <c:layout>
                <c:manualLayout>
                  <c:x val="7.4436946045522588E-3"/>
                  <c:y val="-1.80139384621876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5FD-4F63-A9D6-BA6A084D29D7}"/>
                </c:ext>
              </c:extLst>
            </c:dLbl>
            <c:dLbl>
              <c:idx val="8"/>
              <c:layout>
                <c:manualLayout>
                  <c:x val="-3.2697311716907339E-2"/>
                  <c:y val="7.65592384642975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346-49A9-9984-9D4BDE31D6BA}"/>
                </c:ext>
              </c:extLst>
            </c:dLbl>
            <c:dLbl>
              <c:idx val="9"/>
              <c:layout>
                <c:manualLayout>
                  <c:x val="-2.5266104508519266E-2"/>
                  <c:y val="7.88109807720709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346-49A9-9984-9D4BDE31D6BA}"/>
                </c:ext>
              </c:extLst>
            </c:dLbl>
            <c:dLbl>
              <c:idx val="10"/>
              <c:layout>
                <c:manualLayout>
                  <c:x val="-8.9174486500656781E-3"/>
                  <c:y val="7.65592384642975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46-49A9-9984-9D4BDE31D6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fixedVal"/>
            <c:noEndCap val="0"/>
            <c:val val="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Template'!$F$204:$P$204</c:f>
              <c:numCache>
                <c:formatCode>0.00</c:formatCode>
                <c:ptCount val="11"/>
                <c:pt idx="0">
                  <c:v>84.9</c:v>
                </c:pt>
                <c:pt idx="1">
                  <c:v>82.4</c:v>
                </c:pt>
                <c:pt idx="2">
                  <c:v>81.2</c:v>
                </c:pt>
                <c:pt idx="3">
                  <c:v>80.900000000000006</c:v>
                </c:pt>
                <c:pt idx="4">
                  <c:v>98.6</c:v>
                </c:pt>
                <c:pt idx="5">
                  <c:v>98</c:v>
                </c:pt>
                <c:pt idx="6">
                  <c:v>97.5</c:v>
                </c:pt>
                <c:pt idx="7">
                  <c:v>97</c:v>
                </c:pt>
                <c:pt idx="8">
                  <c:v>96.6</c:v>
                </c:pt>
                <c:pt idx="9">
                  <c:v>96.4</c:v>
                </c:pt>
                <c:pt idx="10">
                  <c:v>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6E-40FC-BEB0-CC288D77D243}"/>
            </c:ext>
          </c:extLst>
        </c:ser>
        <c:ser>
          <c:idx val="13"/>
          <c:order val="11"/>
          <c:tx>
            <c:v>TOP Acceptance'24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Template'!$F$203:$P$203</c:f>
              <c:numCache>
                <c:formatCode>0.00</c:formatCode>
                <c:ptCount val="11"/>
                <c:pt idx="5">
                  <c:v>98.582294973994792</c:v>
                </c:pt>
                <c:pt idx="6">
                  <c:v>98.043266403249319</c:v>
                </c:pt>
                <c:pt idx="7">
                  <c:v>97.930876462986546</c:v>
                </c:pt>
                <c:pt idx="8">
                  <c:v>97.570373501296331</c:v>
                </c:pt>
                <c:pt idx="9">
                  <c:v>97.277349446508381</c:v>
                </c:pt>
                <c:pt idx="10">
                  <c:v>97.040053357818181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ED-473E-A81D-0727BCBF239C}"/>
            </c:ext>
          </c:extLst>
        </c:ser>
        <c:ser>
          <c:idx val="8"/>
          <c:order val="12"/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50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9ED-473E-A81D-0727BCBF239C}"/>
            </c:ext>
          </c:extLst>
        </c:ser>
        <c:ser>
          <c:idx val="15"/>
          <c:order val="15"/>
          <c:tx>
            <c:v>TOP Acceptance'26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3333FF"/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2.9536944437984044E-2"/>
                  <c:y val="6.53005269254301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5FD-4F63-A9D6-BA6A084D29D7}"/>
                </c:ext>
              </c:extLst>
            </c:dLbl>
            <c:dLbl>
              <c:idx val="1"/>
              <c:layout>
                <c:manualLayout>
                  <c:x val="-1.7774844756610952E-2"/>
                  <c:y val="-8.10627230798445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375-4A3D-9BFA-0E895945C3C5}"/>
                </c:ext>
              </c:extLst>
            </c:dLbl>
            <c:dLbl>
              <c:idx val="2"/>
              <c:layout>
                <c:manualLayout>
                  <c:x val="-2.2794143258732927E-2"/>
                  <c:y val="5.08532064367206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447-4C62-8448-9A8980184279}"/>
                </c:ext>
              </c:extLst>
            </c:dLbl>
            <c:dLbl>
              <c:idx val="3"/>
              <c:layout>
                <c:manualLayout>
                  <c:x val="5.9549556836418069E-3"/>
                  <c:y val="3.8279619232148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5FD-4F63-A9D6-BA6A084D29D7}"/>
                </c:ext>
              </c:extLst>
            </c:dLbl>
            <c:dLbl>
              <c:idx val="4"/>
              <c:layout>
                <c:manualLayout>
                  <c:x val="-2.9698965891929184E-2"/>
                  <c:y val="-5.40418153865629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29B-437B-AC26-DE3D2A189619}"/>
                </c:ext>
              </c:extLst>
            </c:dLbl>
            <c:dLbl>
              <c:idx val="5"/>
              <c:layout>
                <c:manualLayout>
                  <c:x val="-1.4862414416776038E-2"/>
                  <c:y val="-6.07970423098833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29B-437B-AC26-DE3D2A189619}"/>
                </c:ext>
              </c:extLst>
            </c:dLbl>
            <c:dLbl>
              <c:idx val="6"/>
              <c:layout>
                <c:manualLayout>
                  <c:x val="-1.5348075990237618E-3"/>
                  <c:y val="-5.62935576943364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789-4753-9445-2E6B49E1BCF3}"/>
                </c:ext>
              </c:extLst>
            </c:dLbl>
            <c:dLbl>
              <c:idx val="7"/>
              <c:layout>
                <c:manualLayout>
                  <c:x val="1.3131126446884264E-2"/>
                  <c:y val="-5.85453000021099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DCE-43CE-B3D6-B709977519C3}"/>
                </c:ext>
              </c:extLst>
            </c:dLbl>
            <c:dLbl>
              <c:idx val="8"/>
              <c:layout>
                <c:manualLayout>
                  <c:x val="2.526610450851921E-2"/>
                  <c:y val="-6.30487846176568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F59-4ABF-A2A3-830C44C58085}"/>
                </c:ext>
              </c:extLst>
            </c:dLbl>
            <c:dLbl>
              <c:idx val="9"/>
              <c:layout>
                <c:manualLayout>
                  <c:x val="4.3167651854383593E-2"/>
                  <c:y val="-4.95383307710160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446-4256-B4B1-75AFA2F686A1}"/>
                </c:ext>
              </c:extLst>
            </c:dLbl>
            <c:dLbl>
              <c:idx val="10"/>
              <c:layout>
                <c:manualLayout>
                  <c:x val="1.9275822940648703E-2"/>
                  <c:y val="4.72865884632426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346-49A9-9984-9D4BDE31D6BA}"/>
                </c:ext>
              </c:extLst>
            </c:dLbl>
            <c:dLbl>
              <c:idx val="11"/>
              <c:layout>
                <c:manualLayout>
                  <c:x val="4.005265404369876E-2"/>
                  <c:y val="4.95383307710160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D2F-4728-A644-F1CCD38D3811}"/>
                </c:ext>
              </c:extLst>
            </c:dLbl>
            <c:dLbl>
              <c:idx val="12"/>
              <c:layout>
                <c:manualLayout>
                  <c:x val="2.9573074251469288E-2"/>
                  <c:y val="-4.503484615546956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4BF-473E-BC29-7D1C554F70C6}"/>
                </c:ext>
              </c:extLst>
            </c:dLbl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Template'!$F$185:$AA$185</c:f>
              <c:numCache>
                <c:formatCode>0.00</c:formatCode>
                <c:ptCount val="22"/>
                <c:pt idx="0">
                  <c:v>84.090392001192257</c:v>
                </c:pt>
                <c:pt idx="1">
                  <c:v>83.440029681597395</c:v>
                </c:pt>
                <c:pt idx="2">
                  <c:v>80.044101931043414</c:v>
                </c:pt>
                <c:pt idx="3">
                  <c:v>80.440122836678171</c:v>
                </c:pt>
                <c:pt idx="4">
                  <c:v>98.714944276710753</c:v>
                </c:pt>
                <c:pt idx="5">
                  <c:v>98.420460100304993</c:v>
                </c:pt>
                <c:pt idx="6">
                  <c:v>97.894670885679375</c:v>
                </c:pt>
                <c:pt idx="7">
                  <c:v>97.530306302927627</c:v>
                </c:pt>
                <c:pt idx="8">
                  <c:v>97.010659603283301</c:v>
                </c:pt>
                <c:pt idx="9">
                  <c:v>96.801501572099795</c:v>
                </c:pt>
                <c:pt idx="10">
                  <c:v>96.320678476450652</c:v>
                </c:pt>
                <c:pt idx="11">
                  <c:v>96.404158642104136</c:v>
                </c:pt>
                <c:pt idx="12">
                  <c:v>96.134072044355392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53-4740-92D0-798358E8B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Template'!$C$162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Template'!$F$162:$U$162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45.4</c:v>
                      </c:pt>
                      <c:pt idx="1">
                        <c:v>45</c:v>
                      </c:pt>
                      <c:pt idx="2">
                        <c:v>45.1</c:v>
                      </c:pt>
                      <c:pt idx="3">
                        <c:v>45.8</c:v>
                      </c:pt>
                      <c:pt idx="4">
                        <c:v>81.8</c:v>
                      </c:pt>
                      <c:pt idx="5">
                        <c:v>80.2</c:v>
                      </c:pt>
                      <c:pt idx="6">
                        <c:v>79.8</c:v>
                      </c:pt>
                      <c:pt idx="7">
                        <c:v>78.5</c:v>
                      </c:pt>
                      <c:pt idx="8">
                        <c:v>76.8</c:v>
                      </c:pt>
                      <c:pt idx="9">
                        <c:v>76.400000000000006</c:v>
                      </c:pt>
                      <c:pt idx="10">
                        <c:v>77.400000000000006</c:v>
                      </c:pt>
                      <c:pt idx="11">
                        <c:v>76.86666666666666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8-B884-4449-9013-035159FC99EB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Ni+V 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Template'!$F$201:$O$201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88</c:v>
                      </c:pt>
                      <c:pt idx="1">
                        <c:v>84.3</c:v>
                      </c:pt>
                      <c:pt idx="2">
                        <c:v>82.5</c:v>
                      </c:pt>
                      <c:pt idx="3">
                        <c:v>81.2</c:v>
                      </c:pt>
                      <c:pt idx="4">
                        <c:v>97.6</c:v>
                      </c:pt>
                      <c:pt idx="5">
                        <c:v>97</c:v>
                      </c:pt>
                      <c:pt idx="6">
                        <c:v>96</c:v>
                      </c:pt>
                      <c:pt idx="7">
                        <c:v>95.5</c:v>
                      </c:pt>
                      <c:pt idx="8">
                        <c:v>95</c:v>
                      </c:pt>
                      <c:pt idx="9">
                        <c:v>94.6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B884-4449-9013-035159FC99EB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v>Ni+V 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Lbl>
                    <c:idx val="10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7E91-4A7A-9E72-F25A03B3FBDF}"/>
                      </c:ext>
                    </c:extLst>
                  </c:dLbl>
                  <c:dLbl>
                    <c:idx val="11"/>
                    <c:layout>
                      <c:manualLayout>
                        <c:x val="-2.9467308311711862E-2"/>
                        <c:y val="-3.3776134616601949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7E91-4A7A-9E72-F25A03B3FBDF}"/>
                      </c:ext>
                    </c:extLst>
                  </c:dLbl>
                  <c:dLbl>
                    <c:idx val="12"/>
                    <c:layout>
                      <c:manualLayout>
                        <c:x val="1.4724784502199094E-2"/>
                        <c:y val="2.2517423077733751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9563-4242-9D1F-B0BB60F954BE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Template'!$F$6:$AG$6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Template'!$F$185:$AG$185</c15:sqref>
                        </c15:formulaRef>
                      </c:ext>
                    </c:extLst>
                    <c:numCache>
                      <c:formatCode>0.00</c:formatCode>
                      <c:ptCount val="22"/>
                      <c:pt idx="0">
                        <c:v>84.090392001192257</c:v>
                      </c:pt>
                      <c:pt idx="1">
                        <c:v>83.440029681597395</c:v>
                      </c:pt>
                      <c:pt idx="2">
                        <c:v>80.044101931043414</c:v>
                      </c:pt>
                      <c:pt idx="3">
                        <c:v>80.440122836678171</c:v>
                      </c:pt>
                      <c:pt idx="4">
                        <c:v>98.714944276710753</c:v>
                      </c:pt>
                      <c:pt idx="5">
                        <c:v>98.420460100304993</c:v>
                      </c:pt>
                      <c:pt idx="6">
                        <c:v>97.894670885679375</c:v>
                      </c:pt>
                      <c:pt idx="7">
                        <c:v>97.530306302927627</c:v>
                      </c:pt>
                      <c:pt idx="8">
                        <c:v>97.010659603283301</c:v>
                      </c:pt>
                      <c:pt idx="9">
                        <c:v>96.801501572099795</c:v>
                      </c:pt>
                      <c:pt idx="10">
                        <c:v>96.320678476450652</c:v>
                      </c:pt>
                      <c:pt idx="11">
                        <c:v>96.404158642104136</c:v>
                      </c:pt>
                      <c:pt idx="12">
                        <c:v>96.134072044355392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B884-4449-9013-035159FC99EB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Template'!$G$163:$L$163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</c:v>
                      </c:pt>
                      <c:pt idx="1">
                        <c:v>39.1</c:v>
                      </c:pt>
                      <c:pt idx="2">
                        <c:v>39.799999999999997</c:v>
                      </c:pt>
                      <c:pt idx="3">
                        <c:v>75.8</c:v>
                      </c:pt>
                      <c:pt idx="4">
                        <c:v>74.2</c:v>
                      </c:pt>
                      <c:pt idx="5">
                        <c:v>73.8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B884-4449-9013-035159FC99EB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Template'!$F$163:$U$163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39.4</c:v>
                      </c:pt>
                      <c:pt idx="1">
                        <c:v>39</c:v>
                      </c:pt>
                      <c:pt idx="2">
                        <c:v>39.1</c:v>
                      </c:pt>
                      <c:pt idx="3">
                        <c:v>39.799999999999997</c:v>
                      </c:pt>
                      <c:pt idx="4">
                        <c:v>75.8</c:v>
                      </c:pt>
                      <c:pt idx="5">
                        <c:v>74.2</c:v>
                      </c:pt>
                      <c:pt idx="6">
                        <c:v>73.8</c:v>
                      </c:pt>
                      <c:pt idx="7">
                        <c:v>72.5</c:v>
                      </c:pt>
                      <c:pt idx="8">
                        <c:v>70.8</c:v>
                      </c:pt>
                      <c:pt idx="9">
                        <c:v>70.400000000000006</c:v>
                      </c:pt>
                      <c:pt idx="10">
                        <c:v>71.400000000000006</c:v>
                      </c:pt>
                      <c:pt idx="11">
                        <c:v>70.86666666666666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B884-4449-9013-035159FC99EB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V 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dLbls>
                  <c:dLbl>
                    <c:idx val="14"/>
                    <c:layout>
                      <c:manualLayout>
                        <c:x val="-9.9939346197630073E-17"/>
                        <c:y val="-2.7807169323218386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B884-4449-9013-035159FC99EB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Template'!$F$173:$U$173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92</c:v>
                      </c:pt>
                      <c:pt idx="1">
                        <c:v>88.5</c:v>
                      </c:pt>
                      <c:pt idx="2">
                        <c:v>86.2</c:v>
                      </c:pt>
                      <c:pt idx="3">
                        <c:v>85.2</c:v>
                      </c:pt>
                      <c:pt idx="4">
                        <c:v>98.5</c:v>
                      </c:pt>
                      <c:pt idx="5">
                        <c:v>98.2</c:v>
                      </c:pt>
                      <c:pt idx="6">
                        <c:v>98</c:v>
                      </c:pt>
                      <c:pt idx="7">
                        <c:v>97.8</c:v>
                      </c:pt>
                      <c:pt idx="8">
                        <c:v>97.6</c:v>
                      </c:pt>
                      <c:pt idx="9">
                        <c:v>97.4</c:v>
                      </c:pt>
                      <c:pt idx="10">
                        <c:v>97</c:v>
                      </c:pt>
                      <c:pt idx="11">
                        <c:v>94.4</c:v>
                      </c:pt>
                      <c:pt idx="12">
                        <c:v>94</c:v>
                      </c:pt>
                      <c:pt idx="13">
                        <c:v>95</c:v>
                      </c:pt>
                      <c:pt idx="14">
                        <c:v>94.5</c:v>
                      </c:pt>
                      <c:pt idx="15">
                        <c:v>93.9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884-4449-9013-035159FC99EB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V 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dLbls>
                  <c:dLbl>
                    <c:idx val="14"/>
                    <c:layout>
                      <c:manualLayout>
                        <c:x val="-9.9939346197630073E-17"/>
                        <c:y val="-2.7807169323218386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3-B884-4449-9013-035159FC99EB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Template'!$F$172:$V$172</c15:sqref>
                        </c15:formulaRef>
                      </c:ext>
                    </c:extLst>
                    <c:numCache>
                      <c:formatCode>0.00</c:formatCode>
                      <c:ptCount val="17"/>
                      <c:pt idx="0">
                        <c:v>88.365956525370336</c:v>
                      </c:pt>
                      <c:pt idx="1">
                        <c:v>87.291811879994228</c:v>
                      </c:pt>
                      <c:pt idx="2">
                        <c:v>83.972230418852888</c:v>
                      </c:pt>
                      <c:pt idx="3">
                        <c:v>84.065216870895796</c:v>
                      </c:pt>
                      <c:pt idx="4">
                        <c:v>99.738730013766016</c:v>
                      </c:pt>
                      <c:pt idx="5">
                        <c:v>99.694359320154177</c:v>
                      </c:pt>
                      <c:pt idx="6">
                        <c:v>99.535600224715751</c:v>
                      </c:pt>
                      <c:pt idx="7">
                        <c:v>99.351538265392492</c:v>
                      </c:pt>
                      <c:pt idx="8">
                        <c:v>98.98818030144102</c:v>
                      </c:pt>
                      <c:pt idx="9">
                        <c:v>98.951835366818557</c:v>
                      </c:pt>
                      <c:pt idx="10">
                        <c:v>98.706331490929699</c:v>
                      </c:pt>
                      <c:pt idx="11">
                        <c:v>98.736642037490199</c:v>
                      </c:pt>
                      <c:pt idx="12">
                        <c:v>98.575404959733333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884-4449-9013-035159FC99EB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Aging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2"/>
                    <c:pt idx="0">
                      <c:v>4.5</c:v>
                    </c:pt>
                    <c:pt idx="1">
                      <c:v>4.5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884-4449-9013-035159FC99EB}"/>
                  </c:ext>
                </c:extLst>
              </c15:ser>
            </c15:filteredScatterSeries>
            <c15:filteredScatterSeries>
              <c15:ser>
                <c:idx val="9"/>
                <c:order val="8"/>
                <c:tx>
                  <c:v>V MEBU25001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'LSHS Master Template'!$F$152:$O$152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82.393196663352413</c:v>
                      </c:pt>
                      <c:pt idx="1">
                        <c:v>83.745417317250343</c:v>
                      </c:pt>
                      <c:pt idx="2">
                        <c:v>83.673356241923699</c:v>
                      </c:pt>
                      <c:pt idx="3">
                        <c:v>84.120775648935904</c:v>
                      </c:pt>
                      <c:pt idx="4">
                        <c:v>96.437785995494835</c:v>
                      </c:pt>
                      <c:pt idx="5">
                        <c:v>95.098931432876725</c:v>
                      </c:pt>
                      <c:pt idx="6">
                        <c:v>93.544451041530891</c:v>
                      </c:pt>
                      <c:pt idx="7">
                        <c:v>94.195798984056921</c:v>
                      </c:pt>
                      <c:pt idx="8">
                        <c:v>92.583861588607917</c:v>
                      </c:pt>
                      <c:pt idx="9">
                        <c:v>92.564441410955297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884-4449-9013-035159FC99EB}"/>
                  </c:ext>
                </c:extLst>
              </c15:ser>
            </c15:filteredScatterSeries>
            <c15:filteredScatterSeries>
              <c15:ser>
                <c:idx val="11"/>
                <c:order val="9"/>
                <c:tx>
                  <c:v>Ni+V MEBU25001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tar"/>
                  <c:size val="8"/>
                  <c:spPr>
                    <a:noFill/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9"/>
                    <c:layout>
                      <c:manualLayout>
                        <c:x val="0"/>
                        <c:y val="-1.3510453846640746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F471-45D6-B569-EFBE336D2BFB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'LSHS 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'LSHS Master Template'!$F$163:$O$163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78.072269550409914</c:v>
                      </c:pt>
                      <c:pt idx="1">
                        <c:v>79.901132240931815</c:v>
                      </c:pt>
                      <c:pt idx="2">
                        <c:v>80.115950339524659</c:v>
                      </c:pt>
                      <c:pt idx="3">
                        <c:v>80.61522293225029</c:v>
                      </c:pt>
                      <c:pt idx="4">
                        <c:v>94.111229621789718</c:v>
                      </c:pt>
                      <c:pt idx="5">
                        <c:v>92.344274622059316</c:v>
                      </c:pt>
                      <c:pt idx="6">
                        <c:v>90.542465472241489</c:v>
                      </c:pt>
                      <c:pt idx="7">
                        <c:v>91.228491345592857</c:v>
                      </c:pt>
                      <c:pt idx="8">
                        <c:v>89.246227622741543</c:v>
                      </c:pt>
                      <c:pt idx="9">
                        <c:v>89.473039000423952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B884-4449-9013-035159FC99EB}"/>
                  </c:ext>
                </c:extLst>
              </c15:ser>
            </c15:filteredScatterSeries>
            <c15:filteredScatterSeries>
              <c15:ser>
                <c:idx val="10"/>
                <c:order val="13"/>
                <c:tx>
                  <c:v>-3% Abs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Template'!$F$6:$AA$6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Template'!$F$207:$AA$207</c15:sqref>
                        </c15:formulaRef>
                      </c:ext>
                    </c:extLst>
                    <c:numCache>
                      <c:formatCode>0.00</c:formatCode>
                      <c:ptCount val="22"/>
                      <c:pt idx="0">
                        <c:v>-3</c:v>
                      </c:pt>
                      <c:pt idx="1">
                        <c:v>-3</c:v>
                      </c:pt>
                      <c:pt idx="2">
                        <c:v>-3</c:v>
                      </c:pt>
                      <c:pt idx="3">
                        <c:v>-3</c:v>
                      </c:pt>
                      <c:pt idx="4">
                        <c:v>-3</c:v>
                      </c:pt>
                      <c:pt idx="5">
                        <c:v>95.582294973994792</c:v>
                      </c:pt>
                      <c:pt idx="6">
                        <c:v>95.043266403249319</c:v>
                      </c:pt>
                      <c:pt idx="7">
                        <c:v>94.930876462986546</c:v>
                      </c:pt>
                      <c:pt idx="8">
                        <c:v>94.570373501296331</c:v>
                      </c:pt>
                      <c:pt idx="9">
                        <c:v>94.277349446508381</c:v>
                      </c:pt>
                      <c:pt idx="10">
                        <c:v>94.040053357818181</c:v>
                      </c:pt>
                      <c:pt idx="11">
                        <c:v>-3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  <c:pt idx="16">
                        <c:v>-3</c:v>
                      </c:pt>
                      <c:pt idx="17">
                        <c:v>-3</c:v>
                      </c:pt>
                      <c:pt idx="18">
                        <c:v>-3</c:v>
                      </c:pt>
                      <c:pt idx="19">
                        <c:v>-3</c:v>
                      </c:pt>
                      <c:pt idx="20">
                        <c:v>-3</c:v>
                      </c:pt>
                      <c:pt idx="21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E0A8-4B21-AC3B-380CEA6F6887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v>3% Abs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Template'!$F$6:$AA$6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Template'!$F$206:$AA$206</c15:sqref>
                        </c15:formulaRef>
                      </c:ext>
                    </c:extLst>
                    <c:numCache>
                      <c:formatCode>0.00</c:formatCode>
                      <c:ptCount val="22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101.58229497399479</c:v>
                      </c:pt>
                      <c:pt idx="6">
                        <c:v>101.04326640324932</c:v>
                      </c:pt>
                      <c:pt idx="7">
                        <c:v>100.93087646298655</c:v>
                      </c:pt>
                      <c:pt idx="8">
                        <c:v>100.57037350129633</c:v>
                      </c:pt>
                      <c:pt idx="9">
                        <c:v>100.27734944650838</c:v>
                      </c:pt>
                      <c:pt idx="10">
                        <c:v>100.04005335781818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3</c:v>
                      </c:pt>
                      <c:pt idx="21">
                        <c:v>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EE9-462C-81E1-62ACF42DE61D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v>TOP MEBU001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quare"/>
                  <c:size val="8"/>
                  <c:spPr>
                    <a:noFill/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'Lab Results Summary'!$E$157:$H$157</c15:sqref>
                        </c15:formulaRef>
                      </c:ext>
                    </c:extLst>
                    <c:strCache>
                      <c:ptCount val="4"/>
                      <c:pt idx="0">
                        <c:v>D1</c:v>
                      </c:pt>
                      <c:pt idx="1">
                        <c:v>D2</c:v>
                      </c:pt>
                      <c:pt idx="2">
                        <c:v>D3</c:v>
                      </c:pt>
                      <c:pt idx="3">
                        <c:v>D4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'Lab Results Summary'!$E$165:$H$165</c15:sqref>
                        </c15:formulaRef>
                      </c:ext>
                    </c:extLst>
                    <c:numCache>
                      <c:formatCode>0.00</c:formatCode>
                      <c:ptCount val="4"/>
                      <c:pt idx="0">
                        <c:v>78.072269550409914</c:v>
                      </c:pt>
                      <c:pt idx="1">
                        <c:v>79.901132240931815</c:v>
                      </c:pt>
                      <c:pt idx="2">
                        <c:v>80.115950339524659</c:v>
                      </c:pt>
                      <c:pt idx="3">
                        <c:v>80.61522293225029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0FCE-4B28-9515-37D1F24BF62F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v>TOP MEBU002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quare"/>
                  <c:size val="8"/>
                  <c:spPr>
                    <a:noFill/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'Lab Results Summary'!$J$157:$M$157</c15:sqref>
                        </c15:formulaRef>
                      </c:ext>
                    </c:extLst>
                    <c:strCache>
                      <c:ptCount val="4"/>
                      <c:pt idx="0">
                        <c:v>D1</c:v>
                      </c:pt>
                      <c:pt idx="1">
                        <c:v>D2</c:v>
                      </c:pt>
                      <c:pt idx="2">
                        <c:v>D3</c:v>
                      </c:pt>
                      <c:pt idx="3">
                        <c:v>D4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'Lab Results Summary'!$J$165:$M$165</c15:sqref>
                        </c15:formulaRef>
                      </c:ext>
                    </c:extLst>
                    <c:numCache>
                      <c:formatCode>0.00</c:formatCode>
                      <c:ptCount val="4"/>
                      <c:pt idx="0">
                        <c:v>84.237728945192984</c:v>
                      </c:pt>
                      <c:pt idx="1">
                        <c:v>81.037049879809729</c:v>
                      </c:pt>
                      <c:pt idx="2">
                        <c:v>79.263348335791747</c:v>
                      </c:pt>
                      <c:pt idx="3">
                        <c:v>79.456859272060996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FCE-4B28-9515-37D1F24BF62F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104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</a:p>
            </c:rich>
          </c:tx>
          <c:layout>
            <c:manualLayout>
              <c:xMode val="edge"/>
              <c:yMode val="edge"/>
              <c:x val="3.3190291488504907E-2"/>
              <c:y val="0.479799345306555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78967515611728867"/>
          <c:y val="0.37621020374482383"/>
          <c:w val="0.16997169018831876"/>
          <c:h val="0.23084170659372202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Nitrogen in HPS Product</a:t>
            </a:r>
            <a:endParaRPr lang="en-US" b="1"/>
          </a:p>
        </c:rich>
      </c:tx>
      <c:layout>
        <c:manualLayout>
          <c:xMode val="edge"/>
          <c:yMode val="edge"/>
          <c:x val="0.41535959474616685"/>
          <c:y val="5.04382138043555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5"/>
          <c:order val="5"/>
          <c:tx>
            <c:v>Aging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5FD0-4CDF-B3F1-1D0F8C9FD35B}"/>
            </c:ext>
          </c:extLst>
        </c:ser>
        <c:ser>
          <c:idx val="11"/>
          <c:order val="11"/>
          <c:tx>
            <c:v>ART Acceptance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dLbl>
              <c:idx val="10"/>
              <c:layout>
                <c:manualLayout>
                  <c:x val="1.5320196493308909E-2"/>
                  <c:y val="-1.12612612612613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0F7-43B4-BA14-16CF245095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Template'!$F$33:$P$33</c:f>
              <c:numCache>
                <c:formatCode>0.000</c:formatCode>
                <c:ptCount val="11"/>
                <c:pt idx="0">
                  <c:v>3.3069999999999999</c:v>
                </c:pt>
                <c:pt idx="1">
                  <c:v>0.33300000000000002</c:v>
                </c:pt>
                <c:pt idx="2">
                  <c:v>0.35070000000000001</c:v>
                </c:pt>
                <c:pt idx="3">
                  <c:v>0.34820000000000001</c:v>
                </c:pt>
                <c:pt idx="4">
                  <c:v>0.25890000000000002</c:v>
                </c:pt>
                <c:pt idx="5">
                  <c:v>0.28610000000000002</c:v>
                </c:pt>
                <c:pt idx="6">
                  <c:v>0.29380000000000001</c:v>
                </c:pt>
                <c:pt idx="7">
                  <c:v>0.29949999999999999</c:v>
                </c:pt>
                <c:pt idx="8">
                  <c:v>0.3014</c:v>
                </c:pt>
                <c:pt idx="9">
                  <c:v>0.30330000000000001</c:v>
                </c:pt>
                <c:pt idx="10">
                  <c:v>0.30399999999999999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D0-4CDF-B3F1-1D0F8C9FD35B}"/>
            </c:ext>
          </c:extLst>
        </c:ser>
        <c:ser>
          <c:idx val="12"/>
          <c:order val="12"/>
          <c:tx>
            <c:v>TOP Acceptance'24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Template'!$F$32:$P$32</c:f>
              <c:numCache>
                <c:formatCode>0.000</c:formatCode>
                <c:ptCount val="11"/>
                <c:pt idx="5">
                  <c:v>0.21587800000000001</c:v>
                </c:pt>
                <c:pt idx="6">
                  <c:v>0.227188</c:v>
                </c:pt>
                <c:pt idx="7">
                  <c:v>0.23663299999999998</c:v>
                </c:pt>
                <c:pt idx="8">
                  <c:v>0.25096199999999996</c:v>
                </c:pt>
                <c:pt idx="9">
                  <c:v>0.25830900000000001</c:v>
                </c:pt>
                <c:pt idx="10">
                  <c:v>0.26754899999999998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FD0-4CDF-B3F1-1D0F8C9FD35B}"/>
            </c:ext>
          </c:extLst>
        </c:ser>
        <c:ser>
          <c:idx val="13"/>
          <c:order val="13"/>
          <c:tx>
            <c:v>TOP Acceptance'26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3333FF"/>
              </a:solidFill>
              <a:ln w="9525">
                <a:noFill/>
              </a:ln>
              <a:effectLst/>
            </c:spPr>
          </c:marker>
          <c:dPt>
            <c:idx val="3"/>
            <c:marker>
              <c:symbol val="circle"/>
              <c:size val="8"/>
              <c:spPr>
                <a:solidFill>
                  <a:srgbClr val="3333FF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BBD6-4D81-ABE0-BDCBCD1966E7}"/>
              </c:ext>
            </c:extLst>
          </c:dPt>
          <c:dLbls>
            <c:dLbl>
              <c:idx val="10"/>
              <c:layout>
                <c:manualLayout>
                  <c:x val="1.3927451357553595E-2"/>
                  <c:y val="9.0090090090090089E-3"/>
                </c:manualLayout>
              </c:layout>
              <c:spPr>
                <a:noFill/>
                <a:ln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0F7-43B4-BA14-16CF245095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Template'!$BL$6:$CG$6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Template'!$BL$30:$CG$30</c:f>
              <c:numCache>
                <c:formatCode>0.000</c:formatCode>
                <c:ptCount val="22"/>
                <c:pt idx="0">
                  <c:v>0.28170000000000001</c:v>
                </c:pt>
                <c:pt idx="1">
                  <c:v>0.29449949999999997</c:v>
                </c:pt>
                <c:pt idx="2">
                  <c:v>0.30975799999999998</c:v>
                </c:pt>
                <c:pt idx="3">
                  <c:v>0.301815</c:v>
                </c:pt>
                <c:pt idx="4">
                  <c:v>0.2417</c:v>
                </c:pt>
                <c:pt idx="5">
                  <c:v>0.255772</c:v>
                </c:pt>
                <c:pt idx="6">
                  <c:v>0.266455</c:v>
                </c:pt>
                <c:pt idx="7">
                  <c:v>0.25619999999999998</c:v>
                </c:pt>
                <c:pt idx="8">
                  <c:v>0.26105100000000003</c:v>
                </c:pt>
                <c:pt idx="9">
                  <c:v>0.25430000000000003</c:v>
                </c:pt>
                <c:pt idx="10">
                  <c:v>0.27758850000000002</c:v>
                </c:pt>
                <c:pt idx="11">
                  <c:v>0.25931599999999999</c:v>
                </c:pt>
                <c:pt idx="12">
                  <c:v>0.266955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C9-46AC-9080-064767C44F91}"/>
            </c:ext>
          </c:extLst>
        </c:ser>
        <c:ser>
          <c:idx val="14"/>
          <c:order val="14"/>
          <c:tx>
            <c:v>TOP MEBU001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'Lab Results Summary'!$E$157:$H$157</c:f>
              <c:strCache>
                <c:ptCount val="4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</c:strCache>
            </c:strRef>
          </c:xVal>
          <c:yVal>
            <c:numRef>
              <c:f>'Lab Results Summary'!$E$162:$H$162</c:f>
              <c:numCache>
                <c:formatCode>0.00</c:formatCode>
                <c:ptCount val="4"/>
                <c:pt idx="0">
                  <c:v>0.37859999999999999</c:v>
                </c:pt>
                <c:pt idx="1">
                  <c:v>0.38369999999999999</c:v>
                </c:pt>
                <c:pt idx="2">
                  <c:v>0.35399999999999998</c:v>
                </c:pt>
                <c:pt idx="3">
                  <c:v>0.38159999999999999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3C3-4D36-AD61-B0C99B64D1FC}"/>
            </c:ext>
          </c:extLst>
        </c:ser>
        <c:ser>
          <c:idx val="15"/>
          <c:order val="15"/>
          <c:tx>
            <c:v>TOP MEBU002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'Lab Results Summary'!$J$157:$M$157</c:f>
              <c:strCache>
                <c:ptCount val="4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</c:strCache>
            </c:strRef>
          </c:xVal>
          <c:yVal>
            <c:numRef>
              <c:f>'Lab Results Summary'!$J$162:$M$162</c:f>
              <c:numCache>
                <c:formatCode>0.00</c:formatCode>
                <c:ptCount val="4"/>
                <c:pt idx="0">
                  <c:v>0.38516</c:v>
                </c:pt>
                <c:pt idx="1">
                  <c:v>0.40193499999999999</c:v>
                </c:pt>
                <c:pt idx="2">
                  <c:v>0.40989999999999999</c:v>
                </c:pt>
                <c:pt idx="3">
                  <c:v>0.42504500000000001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3C3-4D36-AD61-B0C99B64D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Template'!$C$162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Template'!$F$162:$U$162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45.4</c:v>
                      </c:pt>
                      <c:pt idx="1">
                        <c:v>45</c:v>
                      </c:pt>
                      <c:pt idx="2">
                        <c:v>45.1</c:v>
                      </c:pt>
                      <c:pt idx="3">
                        <c:v>45.8</c:v>
                      </c:pt>
                      <c:pt idx="4">
                        <c:v>81.8</c:v>
                      </c:pt>
                      <c:pt idx="5">
                        <c:v>80.2</c:v>
                      </c:pt>
                      <c:pt idx="6">
                        <c:v>79.8</c:v>
                      </c:pt>
                      <c:pt idx="7">
                        <c:v>78.5</c:v>
                      </c:pt>
                      <c:pt idx="8">
                        <c:v>76.8</c:v>
                      </c:pt>
                      <c:pt idx="9">
                        <c:v>76.400000000000006</c:v>
                      </c:pt>
                      <c:pt idx="10">
                        <c:v>77.400000000000006</c:v>
                      </c:pt>
                      <c:pt idx="11">
                        <c:v>76.86666666666666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5FD0-4CDF-B3F1-1D0F8C9FD35B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Template'!$BL$31:$CA$31</c15:sqref>
                        </c15:formulaRef>
                      </c:ext>
                    </c:extLst>
                    <c:numCache>
                      <c:formatCode>0.000</c:formatCode>
                      <c:ptCount val="16"/>
                      <c:pt idx="0">
                        <c:v>0.34</c:v>
                      </c:pt>
                      <c:pt idx="1">
                        <c:v>0.35</c:v>
                      </c:pt>
                      <c:pt idx="2">
                        <c:v>0.36499999999999999</c:v>
                      </c:pt>
                      <c:pt idx="3">
                        <c:v>0.35599999999999998</c:v>
                      </c:pt>
                      <c:pt idx="4">
                        <c:v>0.32600000000000001</c:v>
                      </c:pt>
                      <c:pt idx="5">
                        <c:v>0.42</c:v>
                      </c:pt>
                      <c:pt idx="6">
                        <c:v>0.435</c:v>
                      </c:pt>
                      <c:pt idx="7">
                        <c:v>0.45</c:v>
                      </c:pt>
                      <c:pt idx="8">
                        <c:v>0.45100000000000001</c:v>
                      </c:pt>
                      <c:pt idx="9">
                        <c:v>0.4521</c:v>
                      </c:pt>
                      <c:pt idx="10">
                        <c:v>0.48499999999999999</c:v>
                      </c:pt>
                      <c:pt idx="11">
                        <c:v>0.51800000000000002</c:v>
                      </c:pt>
                      <c:pt idx="12">
                        <c:v>0.52</c:v>
                      </c:pt>
                      <c:pt idx="13">
                        <c:v>0.51249999999999996</c:v>
                      </c:pt>
                      <c:pt idx="14">
                        <c:v>0.52400000000000002</c:v>
                      </c:pt>
                      <c:pt idx="15">
                        <c:v>0.52480000000000004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FD0-4CDF-B3F1-1D0F8C9FD35B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Lbl>
                    <c:idx val="11"/>
                    <c:layout>
                      <c:manualLayout>
                        <c:x val="-1.1841486320985452E-2"/>
                        <c:y val="2.4774774774774775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5-5FD0-4CDF-B3F1-1D0F8C9FD35B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Template'!$F$6:$AH$6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Template'!$BL$30:$CB$30</c15:sqref>
                        </c15:formulaRef>
                      </c:ext>
                    </c:extLst>
                    <c:numCache>
                      <c:formatCode>0.000</c:formatCode>
                      <c:ptCount val="17"/>
                      <c:pt idx="0">
                        <c:v>0.28170000000000001</c:v>
                      </c:pt>
                      <c:pt idx="1">
                        <c:v>0.29449949999999997</c:v>
                      </c:pt>
                      <c:pt idx="2">
                        <c:v>0.30975799999999998</c:v>
                      </c:pt>
                      <c:pt idx="3">
                        <c:v>0.301815</c:v>
                      </c:pt>
                      <c:pt idx="4">
                        <c:v>0.2417</c:v>
                      </c:pt>
                      <c:pt idx="5">
                        <c:v>0.255772</c:v>
                      </c:pt>
                      <c:pt idx="6">
                        <c:v>0.266455</c:v>
                      </c:pt>
                      <c:pt idx="7">
                        <c:v>0.25619999999999998</c:v>
                      </c:pt>
                      <c:pt idx="8">
                        <c:v>0.26105100000000003</c:v>
                      </c:pt>
                      <c:pt idx="9">
                        <c:v>0.25430000000000003</c:v>
                      </c:pt>
                      <c:pt idx="10">
                        <c:v>0.27758850000000002</c:v>
                      </c:pt>
                      <c:pt idx="11">
                        <c:v>0.25931599999999999</c:v>
                      </c:pt>
                      <c:pt idx="12">
                        <c:v>0.266955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FD0-4CDF-B3F1-1D0F8C9FD35B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Template'!$G$163:$L$163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</c:v>
                      </c:pt>
                      <c:pt idx="1">
                        <c:v>39.1</c:v>
                      </c:pt>
                      <c:pt idx="2">
                        <c:v>39.799999999999997</c:v>
                      </c:pt>
                      <c:pt idx="3">
                        <c:v>75.8</c:v>
                      </c:pt>
                      <c:pt idx="4">
                        <c:v>74.2</c:v>
                      </c:pt>
                      <c:pt idx="5">
                        <c:v>73.8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FD0-4CDF-B3F1-1D0F8C9FD35B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Template'!$F$163:$U$163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39.4</c:v>
                      </c:pt>
                      <c:pt idx="1">
                        <c:v>39</c:v>
                      </c:pt>
                      <c:pt idx="2">
                        <c:v>39.1</c:v>
                      </c:pt>
                      <c:pt idx="3">
                        <c:v>39.799999999999997</c:v>
                      </c:pt>
                      <c:pt idx="4">
                        <c:v>75.8</c:v>
                      </c:pt>
                      <c:pt idx="5">
                        <c:v>74.2</c:v>
                      </c:pt>
                      <c:pt idx="6">
                        <c:v>73.8</c:v>
                      </c:pt>
                      <c:pt idx="7">
                        <c:v>72.5</c:v>
                      </c:pt>
                      <c:pt idx="8">
                        <c:v>70.8</c:v>
                      </c:pt>
                      <c:pt idx="9">
                        <c:v>70.400000000000006</c:v>
                      </c:pt>
                      <c:pt idx="10">
                        <c:v>71.400000000000006</c:v>
                      </c:pt>
                      <c:pt idx="11">
                        <c:v>70.86666666666666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FD0-4CDF-B3F1-1D0F8C9FD35B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Change Cond.</c:v>
                </c:tx>
                <c:spPr>
                  <a:ln w="3810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2"/>
                    <c:pt idx="0">
                      <c:v>13.5</c:v>
                    </c:pt>
                    <c:pt idx="1">
                      <c:v>13.5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5FD0-4CDF-B3F1-1D0F8C9FD35B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TOP Repro+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DAILY (repro+)'!$J$25:$Z$25</c15:sqref>
                        </c15:formulaRef>
                      </c:ext>
                    </c:extLst>
                    <c:numCache>
                      <c:formatCode>0.0000</c:formatCode>
                      <c:ptCount val="17"/>
                      <c:pt idx="0">
                        <c:v>0.30620790000000003</c:v>
                      </c:pt>
                      <c:pt idx="1">
                        <c:v>0.3201209565</c:v>
                      </c:pt>
                      <c:pt idx="2">
                        <c:v>0.33670694599999995</c:v>
                      </c:pt>
                      <c:pt idx="3">
                        <c:v>0.32807290499999997</c:v>
                      </c:pt>
                      <c:pt idx="4">
                        <c:v>0.26272790000000001</c:v>
                      </c:pt>
                      <c:pt idx="5">
                        <c:v>0.27802416399999996</c:v>
                      </c:pt>
                      <c:pt idx="6">
                        <c:v>0.289636585</c:v>
                      </c:pt>
                      <c:pt idx="7">
                        <c:v>0.2784894</c:v>
                      </c:pt>
                      <c:pt idx="8">
                        <c:v>0.28376243700000003</c:v>
                      </c:pt>
                      <c:pt idx="9">
                        <c:v>0.27642410000000001</c:v>
                      </c:pt>
                      <c:pt idx="10">
                        <c:v>0.30173869950000004</c:v>
                      </c:pt>
                      <c:pt idx="11">
                        <c:v>0.28187649199999998</c:v>
                      </c:pt>
                      <c:pt idx="12">
                        <c:v>0.29018008500000003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5FD0-4CDF-B3F1-1D0F8C9FD35B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TOP Repro-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DAILY (repro-)'!$J$25:$Z$25</c15:sqref>
                        </c15:formulaRef>
                      </c:ext>
                    </c:extLst>
                    <c:numCache>
                      <c:formatCode>0.0000</c:formatCode>
                      <c:ptCount val="17"/>
                      <c:pt idx="0">
                        <c:v>0.25719209999999998</c:v>
                      </c:pt>
                      <c:pt idx="1">
                        <c:v>0.26887804349999994</c:v>
                      </c:pt>
                      <c:pt idx="2">
                        <c:v>0.282809054</c:v>
                      </c:pt>
                      <c:pt idx="3">
                        <c:v>0.27555709500000003</c:v>
                      </c:pt>
                      <c:pt idx="4">
                        <c:v>0.22067210000000001</c:v>
                      </c:pt>
                      <c:pt idx="5">
                        <c:v>0.23351983599999998</c:v>
                      </c:pt>
                      <c:pt idx="6">
                        <c:v>0.24327341500000002</c:v>
                      </c:pt>
                      <c:pt idx="7">
                        <c:v>0.23391060000000002</c:v>
                      </c:pt>
                      <c:pt idx="8">
                        <c:v>0.238339563</c:v>
                      </c:pt>
                      <c:pt idx="9">
                        <c:v>0.23217589999999999</c:v>
                      </c:pt>
                      <c:pt idx="10">
                        <c:v>0.25343830049999999</c:v>
                      </c:pt>
                      <c:pt idx="11">
                        <c:v>0.236755508</c:v>
                      </c:pt>
                      <c:pt idx="12">
                        <c:v>0.24372991500000002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5FD0-4CDF-B3F1-1D0F8C9FD35B}"/>
                  </c:ext>
                </c:extLst>
              </c15:ser>
            </c15:filteredScatterSeries>
            <c15:filteredScatterSeries>
              <c15:ser>
                <c:idx val="10"/>
                <c:order val="9"/>
                <c:tx>
                  <c:v>Change Cond2</c:v>
                </c:tx>
                <c:spPr>
                  <a:ln w="3810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2"/>
                    <c:pt idx="0">
                      <c:v>19.5</c:v>
                    </c:pt>
                    <c:pt idx="1">
                      <c:v>19.5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5FD0-4CDF-B3F1-1D0F8C9FD35B}"/>
                  </c:ext>
                </c:extLst>
              </c15:ser>
            </c15:filteredScatterSeries>
            <c15:filteredScatterSeries>
              <c15:ser>
                <c:idx val="9"/>
                <c:order val="10"/>
                <c:tx>
                  <c:v>MEBU25001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tar"/>
                  <c:size val="8"/>
                  <c:spPr>
                    <a:noFill/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'LSHS HPS DAILY'!$K$25:$T$25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0.37859999999999999</c:v>
                      </c:pt>
                      <c:pt idx="1">
                        <c:v>0.38369999999999999</c:v>
                      </c:pt>
                      <c:pt idx="2">
                        <c:v>0.35399999999999998</c:v>
                      </c:pt>
                      <c:pt idx="3">
                        <c:v>0.38159999999999999</c:v>
                      </c:pt>
                      <c:pt idx="4">
                        <c:v>0.30796200000000001</c:v>
                      </c:pt>
                      <c:pt idx="5">
                        <c:v>0.5151</c:v>
                      </c:pt>
                      <c:pt idx="6">
                        <c:v>0.54730000000000001</c:v>
                      </c:pt>
                      <c:pt idx="7">
                        <c:v>0.53578300000000001</c:v>
                      </c:pt>
                      <c:pt idx="8">
                        <c:v>0.57566499999999998</c:v>
                      </c:pt>
                      <c:pt idx="9">
                        <c:v>0.56129700000000005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5FD0-4CDF-B3F1-1D0F8C9FD35B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0.750000000000000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  <a:r>
                  <a:rPr lang="en-US" sz="1600" b="1" baseline="0"/>
                  <a:t>wt</a:t>
                </a:r>
                <a:endParaRPr lang="en-US" sz="1600" b="1"/>
              </a:p>
            </c:rich>
          </c:tx>
          <c:layout>
            <c:manualLayout>
              <c:xMode val="edge"/>
              <c:yMode val="edge"/>
              <c:x val="3.0486811251183178E-2"/>
              <c:y val="0.38143479543081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  <c:majorUnit val="5.000000000000001E-2"/>
      </c:valAx>
      <c:spPr>
        <a:noFill/>
        <a:ln w="25400"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77761985595027905"/>
          <c:y val="0.39041890358926939"/>
          <c:w val="0.16977086435660663"/>
          <c:h val="0.23089398453571683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Mass Balance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439234328407764"/>
          <c:y val="0.15916606133997638"/>
          <c:w val="0.68738926103085418"/>
          <c:h val="0.66985331683037952"/>
        </c:manualLayout>
      </c:layout>
      <c:scatterChart>
        <c:scatterStyle val="lineMarker"/>
        <c:varyColors val="0"/>
        <c:ser>
          <c:idx val="6"/>
          <c:order val="6"/>
          <c:tx>
            <c:v>Change Cond.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38100" cap="rnd">
                <a:solidFill>
                  <a:srgbClr val="FF000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D786-413B-BDBF-24154EDEBD8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D786-413B-BDBF-24154EDEBD8D}"/>
            </c:ext>
          </c:extLst>
        </c:ser>
        <c:ser>
          <c:idx val="11"/>
          <c:order val="10"/>
          <c:tx>
            <c:v>ART Acceptance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Template'!$F$214:$P$214</c:f>
              <c:numCache>
                <c:formatCode>0.00</c:formatCode>
                <c:ptCount val="11"/>
                <c:pt idx="0">
                  <c:v>70</c:v>
                </c:pt>
                <c:pt idx="1">
                  <c:v>68.400000000000006</c:v>
                </c:pt>
                <c:pt idx="2">
                  <c:v>66.3</c:v>
                </c:pt>
                <c:pt idx="3">
                  <c:v>65.099999999999994</c:v>
                </c:pt>
                <c:pt idx="4">
                  <c:v>89.2</c:v>
                </c:pt>
                <c:pt idx="5">
                  <c:v>87.8</c:v>
                </c:pt>
                <c:pt idx="6">
                  <c:v>86.5</c:v>
                </c:pt>
                <c:pt idx="7">
                  <c:v>85.7</c:v>
                </c:pt>
                <c:pt idx="8">
                  <c:v>85</c:v>
                </c:pt>
                <c:pt idx="9">
                  <c:v>84.9</c:v>
                </c:pt>
                <c:pt idx="10">
                  <c:v>84.4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786-413B-BDBF-24154EDEBD8D}"/>
            </c:ext>
          </c:extLst>
        </c:ser>
        <c:ser>
          <c:idx val="10"/>
          <c:order val="11"/>
          <c:tx>
            <c:v>TOP Acceptance'24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Template'!$F$213:$P$213</c:f>
              <c:numCache>
                <c:formatCode>0.00</c:formatCode>
                <c:ptCount val="11"/>
                <c:pt idx="5">
                  <c:v>87.232387014622091</c:v>
                </c:pt>
                <c:pt idx="6">
                  <c:v>85.740414279929411</c:v>
                </c:pt>
                <c:pt idx="7">
                  <c:v>85.163821870077811</c:v>
                </c:pt>
                <c:pt idx="8">
                  <c:v>83.485441424068696</c:v>
                </c:pt>
                <c:pt idx="9">
                  <c:v>82.714810991905594</c:v>
                </c:pt>
                <c:pt idx="10">
                  <c:v>82.183990148317633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786-413B-BDBF-24154EDEBD8D}"/>
            </c:ext>
          </c:extLst>
        </c:ser>
        <c:ser>
          <c:idx val="12"/>
          <c:order val="12"/>
          <c:tx>
            <c:v>TOP Acceptance'26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3333FF"/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2.5330251714884084E-2"/>
                  <c:y val="2.47192461598038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A4C-4712-85D4-7F6BACB179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  <c:extLst xmlns:c15="http://schemas.microsoft.com/office/drawing/2012/chart"/>
            </c:numRef>
          </c:xVal>
          <c:yVal>
            <c:numRef>
              <c:f>'Master Template'!$F$149:$AA$149</c:f>
              <c:numCache>
                <c:formatCode>0.00</c:formatCode>
                <c:ptCount val="22"/>
                <c:pt idx="0">
                  <c:v>1.0200677482312313</c:v>
                </c:pt>
                <c:pt idx="1">
                  <c:v>1.0012164932268908</c:v>
                </c:pt>
                <c:pt idx="2">
                  <c:v>0.97601336758013435</c:v>
                </c:pt>
                <c:pt idx="3">
                  <c:v>0.9873267963179132</c:v>
                </c:pt>
                <c:pt idx="4">
                  <c:v>0.9545092706128584</c:v>
                </c:pt>
                <c:pt idx="5">
                  <c:v>0.98430525435079252</c:v>
                </c:pt>
                <c:pt idx="6">
                  <c:v>1.0163133293273947</c:v>
                </c:pt>
                <c:pt idx="7">
                  <c:v>0.98203150674132889</c:v>
                </c:pt>
                <c:pt idx="8">
                  <c:v>0.98125360113809545</c:v>
                </c:pt>
                <c:pt idx="9">
                  <c:v>0.98481722858053899</c:v>
                </c:pt>
                <c:pt idx="10">
                  <c:v>0.96769946691444553</c:v>
                </c:pt>
                <c:pt idx="11">
                  <c:v>0.96863512902588145</c:v>
                </c:pt>
                <c:pt idx="12">
                  <c:v>0.9740569491491744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2-D786-413B-BDBF-24154EDEBD8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Template'!$C$162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Template'!$F$162:$U$162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45.4</c:v>
                      </c:pt>
                      <c:pt idx="1">
                        <c:v>45</c:v>
                      </c:pt>
                      <c:pt idx="2">
                        <c:v>45.1</c:v>
                      </c:pt>
                      <c:pt idx="3">
                        <c:v>45.8</c:v>
                      </c:pt>
                      <c:pt idx="4">
                        <c:v>81.8</c:v>
                      </c:pt>
                      <c:pt idx="5">
                        <c:v>80.2</c:v>
                      </c:pt>
                      <c:pt idx="6">
                        <c:v>79.8</c:v>
                      </c:pt>
                      <c:pt idx="7">
                        <c:v>78.5</c:v>
                      </c:pt>
                      <c:pt idx="8">
                        <c:v>76.8</c:v>
                      </c:pt>
                      <c:pt idx="9">
                        <c:v>76.400000000000006</c:v>
                      </c:pt>
                      <c:pt idx="10">
                        <c:v>77.400000000000006</c:v>
                      </c:pt>
                      <c:pt idx="11">
                        <c:v>76.86666666666666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D786-413B-BDBF-24154EDEBD8D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Template'!$F$212:$U$212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72</c:v>
                      </c:pt>
                      <c:pt idx="1">
                        <c:v>68</c:v>
                      </c:pt>
                      <c:pt idx="2">
                        <c:v>66</c:v>
                      </c:pt>
                      <c:pt idx="3">
                        <c:v>65.599999999999994</c:v>
                      </c:pt>
                      <c:pt idx="4">
                        <c:v>86</c:v>
                      </c:pt>
                      <c:pt idx="5">
                        <c:v>87</c:v>
                      </c:pt>
                      <c:pt idx="6">
                        <c:v>86</c:v>
                      </c:pt>
                      <c:pt idx="7">
                        <c:v>85.5</c:v>
                      </c:pt>
                      <c:pt idx="8">
                        <c:v>85</c:v>
                      </c:pt>
                      <c:pt idx="9">
                        <c:v>84.6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786-413B-BDBF-24154EDEBD8D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Template'!$F$211:$V$211</c15:sqref>
                        </c15:formulaRef>
                      </c:ext>
                    </c:extLst>
                    <c:numCache>
                      <c:formatCode>0.00</c:formatCode>
                      <c:ptCount val="17"/>
                      <c:pt idx="0">
                        <c:v>69.721114131735945</c:v>
                      </c:pt>
                      <c:pt idx="1">
                        <c:v>69.771809222142551</c:v>
                      </c:pt>
                      <c:pt idx="2">
                        <c:v>65.922034958745556</c:v>
                      </c:pt>
                      <c:pt idx="3">
                        <c:v>66.402544175827117</c:v>
                      </c:pt>
                      <c:pt idx="4">
                        <c:v>88.026117668562591</c:v>
                      </c:pt>
                      <c:pt idx="5">
                        <c:v>87.188491509400862</c:v>
                      </c:pt>
                      <c:pt idx="6">
                        <c:v>85.979058902118339</c:v>
                      </c:pt>
                      <c:pt idx="7">
                        <c:v>84.993673789191547</c:v>
                      </c:pt>
                      <c:pt idx="8">
                        <c:v>84.26128439793392</c:v>
                      </c:pt>
                      <c:pt idx="9">
                        <c:v>83.758194734907406</c:v>
                      </c:pt>
                      <c:pt idx="10">
                        <c:v>83.087048087569627</c:v>
                      </c:pt>
                      <c:pt idx="11">
                        <c:v>82.962508326538568</c:v>
                      </c:pt>
                      <c:pt idx="12">
                        <c:v>82.443809517519483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786-413B-BDBF-24154EDEBD8D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Template'!$G$163:$L$163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</c:v>
                      </c:pt>
                      <c:pt idx="1">
                        <c:v>39.1</c:v>
                      </c:pt>
                      <c:pt idx="2">
                        <c:v>39.799999999999997</c:v>
                      </c:pt>
                      <c:pt idx="3">
                        <c:v>75.8</c:v>
                      </c:pt>
                      <c:pt idx="4">
                        <c:v>74.2</c:v>
                      </c:pt>
                      <c:pt idx="5">
                        <c:v>73.8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786-413B-BDBF-24154EDEBD8D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Template'!$F$163:$U$163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39.4</c:v>
                      </c:pt>
                      <c:pt idx="1">
                        <c:v>39</c:v>
                      </c:pt>
                      <c:pt idx="2">
                        <c:v>39.1</c:v>
                      </c:pt>
                      <c:pt idx="3">
                        <c:v>39.799999999999997</c:v>
                      </c:pt>
                      <c:pt idx="4">
                        <c:v>75.8</c:v>
                      </c:pt>
                      <c:pt idx="5">
                        <c:v>74.2</c:v>
                      </c:pt>
                      <c:pt idx="6">
                        <c:v>73.8</c:v>
                      </c:pt>
                      <c:pt idx="7">
                        <c:v>72.5</c:v>
                      </c:pt>
                      <c:pt idx="8">
                        <c:v>70.8</c:v>
                      </c:pt>
                      <c:pt idx="9">
                        <c:v>70.400000000000006</c:v>
                      </c:pt>
                      <c:pt idx="10">
                        <c:v>71.400000000000006</c:v>
                      </c:pt>
                      <c:pt idx="11">
                        <c:v>70.86666666666666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786-413B-BDBF-24154EDEBD8D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Aging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Lit>
                    <c:formatCode>General</c:formatCode>
                    <c:ptCount val="2"/>
                    <c:pt idx="0">
                      <c:v>4.5</c:v>
                    </c:pt>
                    <c:pt idx="1">
                      <c:v>4.5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D786-413B-BDBF-24154EDEBD8D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TOP Repro+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 (repro+)'!$F$186:$U$186</c15:sqref>
                        </c15:formulaRef>
                      </c:ext>
                    </c:extLst>
                    <c:numCache>
                      <c:formatCode>0.0000</c:formatCode>
                      <c:ptCount val="1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D786-413B-BDBF-24154EDEBD8D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TOP Repro-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 (repro-)'!$F$186:$V$186</c15:sqref>
                        </c15:formulaRef>
                      </c:ext>
                    </c:extLst>
                    <c:numCache>
                      <c:formatCode>0.0000</c:formatCode>
                      <c:ptCount val="1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 formatCode="0.00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D786-413B-BDBF-24154EDEBD8D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MEBU25001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4">
                        <a:lumMod val="60000"/>
                      </a:schemeClr>
                    </a:solidFill>
                    <a:ln w="38100">
                      <a:solidFill>
                        <a:srgbClr val="FF0000"/>
                      </a:solidFill>
                      <a:prstDash val="solid"/>
                    </a:ln>
                    <a:effectLst/>
                  </c:spPr>
                </c:marker>
                <c:dPt>
                  <c:idx val="1"/>
                  <c:marker>
                    <c:symbol val="circle"/>
                    <c:size val="8"/>
                    <c:spPr>
                      <a:solidFill>
                        <a:schemeClr val="accent4">
                          <a:lumMod val="60000"/>
                        </a:schemeClr>
                      </a:solidFill>
                      <a:ln w="38100">
                        <a:solidFill>
                          <a:srgbClr val="FF0000"/>
                        </a:solidFill>
                        <a:prstDash val="solid"/>
                      </a:ln>
                      <a:effectLst/>
                    </c:spPr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0-D786-413B-BDBF-24154EDEBD8D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'LSHS Master Template'!$F$186:$O$186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64.498987612700304</c:v>
                      </c:pt>
                      <c:pt idx="1">
                        <c:v>66.260538076075704</c:v>
                      </c:pt>
                      <c:pt idx="2">
                        <c:v>65.200068088983215</c:v>
                      </c:pt>
                      <c:pt idx="3">
                        <c:v>65.178077797459792</c:v>
                      </c:pt>
                      <c:pt idx="4">
                        <c:v>84.167966673459233</c:v>
                      </c:pt>
                      <c:pt idx="5">
                        <c:v>82.092170846131438</c:v>
                      </c:pt>
                      <c:pt idx="6">
                        <c:v>78.012112349376224</c:v>
                      </c:pt>
                      <c:pt idx="7">
                        <c:v>78.680928642779847</c:v>
                      </c:pt>
                      <c:pt idx="8">
                        <c:v>77.873998304433286</c:v>
                      </c:pt>
                      <c:pt idx="9">
                        <c:v>77.130923025345879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D786-413B-BDBF-24154EDEBD8D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v>Closure</c:v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Template'!$F$6:$AA$6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Template'!$F$149:$AA$149</c15:sqref>
                        </c15:formulaRef>
                      </c:ext>
                    </c:extLst>
                    <c:numCache>
                      <c:formatCode>0.00</c:formatCode>
                      <c:ptCount val="22"/>
                      <c:pt idx="0">
                        <c:v>1.0200677482312313</c:v>
                      </c:pt>
                      <c:pt idx="1">
                        <c:v>1.0012164932268908</c:v>
                      </c:pt>
                      <c:pt idx="2">
                        <c:v>0.97601336758013435</c:v>
                      </c:pt>
                      <c:pt idx="3">
                        <c:v>0.9873267963179132</c:v>
                      </c:pt>
                      <c:pt idx="4">
                        <c:v>0.9545092706128584</c:v>
                      </c:pt>
                      <c:pt idx="5">
                        <c:v>0.98430525435079252</c:v>
                      </c:pt>
                      <c:pt idx="6">
                        <c:v>1.0163133293273947</c:v>
                      </c:pt>
                      <c:pt idx="7">
                        <c:v>0.98203150674132889</c:v>
                      </c:pt>
                      <c:pt idx="8">
                        <c:v>0.98125360113809545</c:v>
                      </c:pt>
                      <c:pt idx="9">
                        <c:v>0.98481722858053899</c:v>
                      </c:pt>
                      <c:pt idx="10">
                        <c:v>0.96769946691444553</c:v>
                      </c:pt>
                      <c:pt idx="11">
                        <c:v>0.96863512902588145</c:v>
                      </c:pt>
                      <c:pt idx="12">
                        <c:v>0.9740569491491744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64F-47E5-B3BD-61501CA9667E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v>C Closure</c:v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Template'!$F$6:$AA$6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Template'!$F$151:$AA$151</c15:sqref>
                        </c15:formulaRef>
                      </c:ext>
                    </c:extLst>
                    <c:numCache>
                      <c:formatCode>0.00</c:formatCode>
                      <c:ptCount val="22"/>
                      <c:pt idx="0">
                        <c:v>1.005408741944436</c:v>
                      </c:pt>
                      <c:pt idx="1">
                        <c:v>0.98111217341259349</c:v>
                      </c:pt>
                      <c:pt idx="2">
                        <c:v>0.96307729625167759</c:v>
                      </c:pt>
                      <c:pt idx="3">
                        <c:v>0.97474053626385437</c:v>
                      </c:pt>
                      <c:pt idx="4">
                        <c:v>0.93155162721515905</c:v>
                      </c:pt>
                      <c:pt idx="5">
                        <c:v>0.96202669385619599</c:v>
                      </c:pt>
                      <c:pt idx="6">
                        <c:v>0.99814815157373471</c:v>
                      </c:pt>
                      <c:pt idx="7">
                        <c:v>0.96349802957035824</c:v>
                      </c:pt>
                      <c:pt idx="8">
                        <c:v>0.96291661386493255</c:v>
                      </c:pt>
                      <c:pt idx="9">
                        <c:v>0.96688212024591791</c:v>
                      </c:pt>
                      <c:pt idx="10">
                        <c:v>0.94260296283140721</c:v>
                      </c:pt>
                      <c:pt idx="11">
                        <c:v>0.95041734785912124</c:v>
                      </c:pt>
                      <c:pt idx="12">
                        <c:v>0.95419362640218741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64F-47E5-B3BD-61501CA9667E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1.100000000000000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79466000698995864"/>
          <c:y val="0.15625132937544015"/>
          <c:w val="0.15854849700166643"/>
          <c:h val="0.17721292024663546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Catalytic</a:t>
            </a:r>
            <a:r>
              <a:rPr lang="en-US" b="1" baseline="0"/>
              <a:t> Conversion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439234328407764"/>
          <c:y val="0.15916606133997638"/>
          <c:w val="0.68738926103085418"/>
          <c:h val="0.66985331683037952"/>
        </c:manualLayout>
      </c:layout>
      <c:scatterChart>
        <c:scatterStyle val="lineMarker"/>
        <c:varyColors val="0"/>
        <c:ser>
          <c:idx val="6"/>
          <c:order val="6"/>
          <c:tx>
            <c:v>Change Cond.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38100" cap="rnd">
                <a:solidFill>
                  <a:srgbClr val="FF000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96C-4806-8441-5D7D4B8DEC40}"/>
              </c:ext>
            </c:extLst>
          </c:dPt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9CDE-4375-A824-3D397EB046E7}"/>
            </c:ext>
          </c:extLst>
        </c:ser>
        <c:ser>
          <c:idx val="14"/>
          <c:order val="14"/>
          <c:tx>
            <c:v>HDS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3333FF"/>
              </a:solidFill>
              <a:ln w="9525">
                <a:noFill/>
              </a:ln>
              <a:effectLst/>
            </c:spPr>
          </c:marker>
          <c:dLbls>
            <c:dLbl>
              <c:idx val="12"/>
              <c:layout>
                <c:manualLayout>
                  <c:x val="1.3324630550428481E-2"/>
                  <c:y val="-3.3685156074556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A5E-4C69-A946-CF53939CA691}"/>
                </c:ext>
              </c:extLst>
            </c:dLbl>
            <c:spPr>
              <a:solidFill>
                <a:schemeClr val="lt1"/>
              </a:solidFill>
              <a:ln w="19050" cap="flat" cmpd="sng" algn="ctr">
                <a:solidFill>
                  <a:srgbClr val="3333FF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Template'!$F$211:$AA$211</c:f>
              <c:numCache>
                <c:formatCode>0.00</c:formatCode>
                <c:ptCount val="22"/>
                <c:pt idx="0">
                  <c:v>69.721114131735945</c:v>
                </c:pt>
                <c:pt idx="1">
                  <c:v>69.771809222142551</c:v>
                </c:pt>
                <c:pt idx="2">
                  <c:v>65.922034958745556</c:v>
                </c:pt>
                <c:pt idx="3">
                  <c:v>66.402544175827117</c:v>
                </c:pt>
                <c:pt idx="4">
                  <c:v>88.026117668562591</c:v>
                </c:pt>
                <c:pt idx="5">
                  <c:v>87.188491509400862</c:v>
                </c:pt>
                <c:pt idx="6">
                  <c:v>85.979058902118339</c:v>
                </c:pt>
                <c:pt idx="7">
                  <c:v>84.993673789191547</c:v>
                </c:pt>
                <c:pt idx="8">
                  <c:v>84.26128439793392</c:v>
                </c:pt>
                <c:pt idx="9">
                  <c:v>83.758194734907406</c:v>
                </c:pt>
                <c:pt idx="10">
                  <c:v>83.087048087569627</c:v>
                </c:pt>
                <c:pt idx="11">
                  <c:v>82.962508326538568</c:v>
                </c:pt>
                <c:pt idx="12">
                  <c:v>82.443809517519483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710-423C-9661-3CA9FA73B954}"/>
            </c:ext>
          </c:extLst>
        </c:ser>
        <c:ser>
          <c:idx val="17"/>
          <c:order val="17"/>
          <c:tx>
            <c:v>HDM</c:v>
          </c:tx>
          <c:spPr>
            <a:ln w="19050" cap="rnd">
              <a:noFill/>
              <a:round/>
            </a:ln>
            <a:effectLst/>
          </c:spPr>
          <c:marker>
            <c:symbol val="star"/>
            <c:size val="10"/>
            <c:spPr>
              <a:noFill/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Lbl>
              <c:idx val="12"/>
              <c:layout>
                <c:manualLayout>
                  <c:x val="1.7766174067237975E-2"/>
                  <c:y val="-1.12283853581854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A5E-4C69-A946-CF53939CA691}"/>
                </c:ext>
              </c:extLst>
            </c:dLbl>
            <c:spPr>
              <a:solidFill>
                <a:schemeClr val="lt1"/>
              </a:solidFill>
              <a:ln w="19050" cap="flat" cmpd="sng" algn="ctr">
                <a:solidFill>
                  <a:schemeClr val="accent6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Template'!$F$185:$AA$185</c:f>
              <c:numCache>
                <c:formatCode>0.00</c:formatCode>
                <c:ptCount val="22"/>
                <c:pt idx="0">
                  <c:v>84.090392001192257</c:v>
                </c:pt>
                <c:pt idx="1">
                  <c:v>83.440029681597395</c:v>
                </c:pt>
                <c:pt idx="2">
                  <c:v>80.044101931043414</c:v>
                </c:pt>
                <c:pt idx="3">
                  <c:v>80.440122836678171</c:v>
                </c:pt>
                <c:pt idx="4">
                  <c:v>98.714944276710753</c:v>
                </c:pt>
                <c:pt idx="5">
                  <c:v>98.420460100304993</c:v>
                </c:pt>
                <c:pt idx="6">
                  <c:v>97.894670885679375</c:v>
                </c:pt>
                <c:pt idx="7">
                  <c:v>97.530306302927627</c:v>
                </c:pt>
                <c:pt idx="8">
                  <c:v>97.010659603283301</c:v>
                </c:pt>
                <c:pt idx="9">
                  <c:v>96.801501572099795</c:v>
                </c:pt>
                <c:pt idx="10">
                  <c:v>96.320678476450652</c:v>
                </c:pt>
                <c:pt idx="11">
                  <c:v>96.404158642104136</c:v>
                </c:pt>
                <c:pt idx="12">
                  <c:v>96.134072044355392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6F0-4FAD-9AE3-3990A913FD60}"/>
            </c:ext>
          </c:extLst>
        </c:ser>
        <c:ser>
          <c:idx val="18"/>
          <c:order val="18"/>
          <c:tx>
            <c:v>MCR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10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Lbls>
            <c:dLbl>
              <c:idx val="12"/>
              <c:layout>
                <c:manualLayout>
                  <c:x val="2.0727203078444303E-2"/>
                  <c:y val="2.694812485964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A5E-4C69-A946-CF53939CA691}"/>
                </c:ext>
              </c:extLst>
            </c:dLbl>
            <c:spPr>
              <a:solidFill>
                <a:schemeClr val="lt1"/>
              </a:solidFill>
              <a:ln w="19050" cap="flat" cmpd="sng" algn="ctr">
                <a:solidFill>
                  <a:schemeClr val="accent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Template'!$F$230:$AA$230</c:f>
              <c:numCache>
                <c:formatCode>0.00</c:formatCode>
                <c:ptCount val="22"/>
                <c:pt idx="0">
                  <c:v>54.319879670531634</c:v>
                </c:pt>
                <c:pt idx="1">
                  <c:v>52.147203807922267</c:v>
                </c:pt>
                <c:pt idx="2">
                  <c:v>49.477786017117467</c:v>
                </c:pt>
                <c:pt idx="3">
                  <c:v>49.272730566014246</c:v>
                </c:pt>
                <c:pt idx="4">
                  <c:v>78.552417199708088</c:v>
                </c:pt>
                <c:pt idx="5">
                  <c:v>78.400462920135425</c:v>
                </c:pt>
                <c:pt idx="6">
                  <c:v>75.658491414669342</c:v>
                </c:pt>
                <c:pt idx="7">
                  <c:v>74.518313571684345</c:v>
                </c:pt>
                <c:pt idx="8">
                  <c:v>73.468038731480178</c:v>
                </c:pt>
                <c:pt idx="9">
                  <c:v>72.979876659450639</c:v>
                </c:pt>
                <c:pt idx="10">
                  <c:v>72.10174054834097</c:v>
                </c:pt>
                <c:pt idx="11">
                  <c:v>70.403480504793393</c:v>
                </c:pt>
                <c:pt idx="12">
                  <c:v>70.875527144471249</c:v>
                </c:pt>
                <c:pt idx="13" formatCode="0.0">
                  <c:v>0</c:v>
                </c:pt>
                <c:pt idx="14" formatCode="0.0">
                  <c:v>0</c:v>
                </c:pt>
                <c:pt idx="15" formatCode="0.0">
                  <c:v>0</c:v>
                </c:pt>
                <c:pt idx="16" formatCode="0.0">
                  <c:v>0</c:v>
                </c:pt>
                <c:pt idx="17" formatCode="0.0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6F0-4FAD-9AE3-3990A913FD60}"/>
            </c:ext>
          </c:extLst>
        </c:ser>
        <c:ser>
          <c:idx val="19"/>
          <c:order val="19"/>
          <c:tx>
            <c:v>HDN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dLbls>
            <c:dLbl>
              <c:idx val="12"/>
              <c:layout>
                <c:manualLayout>
                  <c:x val="2.2207717584047468E-2"/>
                  <c:y val="1.3474062429822509E-2"/>
                </c:manualLayout>
              </c:layout>
              <c:spPr>
                <a:solidFill>
                  <a:schemeClr val="lt1"/>
                </a:solidFill>
                <a:ln w="19050" cap="flat" cmpd="sng" algn="ctr">
                  <a:solidFill>
                    <a:schemeClr val="accent2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A5E-4C69-A946-CF53939CA6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Template'!$F$218:$AA$218</c:f>
              <c:numCache>
                <c:formatCode>0.00</c:formatCode>
                <c:ptCount val="22"/>
                <c:pt idx="0">
                  <c:v>33.796811410187729</c:v>
                </c:pt>
                <c:pt idx="1">
                  <c:v>35.590094259568701</c:v>
                </c:pt>
                <c:pt idx="2">
                  <c:v>29.462279141827107</c:v>
                </c:pt>
                <c:pt idx="3">
                  <c:v>31.044840543417891</c:v>
                </c:pt>
                <c:pt idx="4">
                  <c:v>52.700197050373099</c:v>
                </c:pt>
                <c:pt idx="5">
                  <c:v>50.289742314490923</c:v>
                </c:pt>
                <c:pt idx="6">
                  <c:v>46.338833666972768</c:v>
                </c:pt>
                <c:pt idx="7">
                  <c:v>49.040691671668171</c:v>
                </c:pt>
                <c:pt idx="8">
                  <c:v>48.064929704309975</c:v>
                </c:pt>
                <c:pt idx="9">
                  <c:v>49.465450385312188</c:v>
                </c:pt>
                <c:pt idx="10">
                  <c:v>45.062302840345147</c:v>
                </c:pt>
                <c:pt idx="11">
                  <c:v>49.035402076370161</c:v>
                </c:pt>
                <c:pt idx="12">
                  <c:v>46.998497671309515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6F0-4FAD-9AE3-3990A913FD60}"/>
            </c:ext>
          </c:extLst>
        </c:ser>
        <c:ser>
          <c:idx val="20"/>
          <c:order val="20"/>
          <c:tx>
            <c:v>CRACKING</c:v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FF505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Lbl>
              <c:idx val="12"/>
              <c:layout>
                <c:manualLayout>
                  <c:x val="2.0727203078444303E-2"/>
                  <c:y val="-8.2340541421732713E-17"/>
                </c:manualLayout>
              </c:layout>
              <c:spPr>
                <a:solidFill>
                  <a:schemeClr val="lt1"/>
                </a:solidFill>
                <a:ln w="19050" cap="flat" cmpd="sng" algn="ctr">
                  <a:solidFill>
                    <a:srgbClr val="FF5050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A5E-4C69-A946-CF53939CA691}"/>
                </c:ext>
              </c:extLst>
            </c:dLbl>
            <c:spPr>
              <a:noFill/>
              <a:ln>
                <a:solidFill>
                  <a:srgbClr val="FF505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('Master Template'!$F$156:$P$156,'Master Template'!$Q$157:$AA$157)</c:f>
              <c:numCache>
                <c:formatCode>0.00</c:formatCode>
                <c:ptCount val="22"/>
                <c:pt idx="0">
                  <c:v>42.185727696615224</c:v>
                </c:pt>
                <c:pt idx="1">
                  <c:v>43.348591507915046</c:v>
                </c:pt>
                <c:pt idx="2">
                  <c:v>40.23733372864649</c:v>
                </c:pt>
                <c:pt idx="3">
                  <c:v>42.439858919770643</c:v>
                </c:pt>
                <c:pt idx="4">
                  <c:v>75.495532663000404</c:v>
                </c:pt>
                <c:pt idx="5">
                  <c:v>78.204495724447966</c:v>
                </c:pt>
                <c:pt idx="6">
                  <c:v>76.489027330311615</c:v>
                </c:pt>
                <c:pt idx="7">
                  <c:v>75.221581231638794</c:v>
                </c:pt>
                <c:pt idx="8">
                  <c:v>73.55200533003125</c:v>
                </c:pt>
                <c:pt idx="9">
                  <c:v>74.035778185959884</c:v>
                </c:pt>
                <c:pt idx="10">
                  <c:v>74.568120457965094</c:v>
                </c:pt>
                <c:pt idx="11">
                  <c:v>74.413332721959563</c:v>
                </c:pt>
                <c:pt idx="12">
                  <c:v>74.752923352810711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0C2-4B0C-A5DB-6AAE4B23E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Template'!$C$162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Template'!$F$162:$U$162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45.4</c:v>
                      </c:pt>
                      <c:pt idx="1">
                        <c:v>45</c:v>
                      </c:pt>
                      <c:pt idx="2">
                        <c:v>45.1</c:v>
                      </c:pt>
                      <c:pt idx="3">
                        <c:v>45.8</c:v>
                      </c:pt>
                      <c:pt idx="4">
                        <c:v>81.8</c:v>
                      </c:pt>
                      <c:pt idx="5">
                        <c:v>80.2</c:v>
                      </c:pt>
                      <c:pt idx="6">
                        <c:v>79.8</c:v>
                      </c:pt>
                      <c:pt idx="7">
                        <c:v>78.5</c:v>
                      </c:pt>
                      <c:pt idx="8">
                        <c:v>76.8</c:v>
                      </c:pt>
                      <c:pt idx="9">
                        <c:v>76.400000000000006</c:v>
                      </c:pt>
                      <c:pt idx="10">
                        <c:v>77.400000000000006</c:v>
                      </c:pt>
                      <c:pt idx="11">
                        <c:v>76.86666666666666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Template'!$F$212:$U$212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72</c:v>
                      </c:pt>
                      <c:pt idx="1">
                        <c:v>68</c:v>
                      </c:pt>
                      <c:pt idx="2">
                        <c:v>66</c:v>
                      </c:pt>
                      <c:pt idx="3">
                        <c:v>65.599999999999994</c:v>
                      </c:pt>
                      <c:pt idx="4">
                        <c:v>86</c:v>
                      </c:pt>
                      <c:pt idx="5">
                        <c:v>87</c:v>
                      </c:pt>
                      <c:pt idx="6">
                        <c:v>86</c:v>
                      </c:pt>
                      <c:pt idx="7">
                        <c:v>85.5</c:v>
                      </c:pt>
                      <c:pt idx="8">
                        <c:v>85</c:v>
                      </c:pt>
                      <c:pt idx="9">
                        <c:v>84.6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Template'!$F$211:$V$211</c15:sqref>
                        </c15:formulaRef>
                      </c:ext>
                    </c:extLst>
                    <c:numCache>
                      <c:formatCode>0.00</c:formatCode>
                      <c:ptCount val="17"/>
                      <c:pt idx="0">
                        <c:v>69.721114131735945</c:v>
                      </c:pt>
                      <c:pt idx="1">
                        <c:v>69.771809222142551</c:v>
                      </c:pt>
                      <c:pt idx="2">
                        <c:v>65.922034958745556</c:v>
                      </c:pt>
                      <c:pt idx="3">
                        <c:v>66.402544175827117</c:v>
                      </c:pt>
                      <c:pt idx="4">
                        <c:v>88.026117668562591</c:v>
                      </c:pt>
                      <c:pt idx="5">
                        <c:v>87.188491509400862</c:v>
                      </c:pt>
                      <c:pt idx="6">
                        <c:v>85.979058902118339</c:v>
                      </c:pt>
                      <c:pt idx="7">
                        <c:v>84.993673789191547</c:v>
                      </c:pt>
                      <c:pt idx="8">
                        <c:v>84.26128439793392</c:v>
                      </c:pt>
                      <c:pt idx="9">
                        <c:v>83.758194734907406</c:v>
                      </c:pt>
                      <c:pt idx="10">
                        <c:v>83.087048087569627</c:v>
                      </c:pt>
                      <c:pt idx="11">
                        <c:v>82.962508326538568</c:v>
                      </c:pt>
                      <c:pt idx="12">
                        <c:v>82.443809517519483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Template'!$G$163:$L$163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</c:v>
                      </c:pt>
                      <c:pt idx="1">
                        <c:v>39.1</c:v>
                      </c:pt>
                      <c:pt idx="2">
                        <c:v>39.799999999999997</c:v>
                      </c:pt>
                      <c:pt idx="3">
                        <c:v>75.8</c:v>
                      </c:pt>
                      <c:pt idx="4">
                        <c:v>74.2</c:v>
                      </c:pt>
                      <c:pt idx="5">
                        <c:v>73.8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Template'!$F$163:$U$163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39.4</c:v>
                      </c:pt>
                      <c:pt idx="1">
                        <c:v>39</c:v>
                      </c:pt>
                      <c:pt idx="2">
                        <c:v>39.1</c:v>
                      </c:pt>
                      <c:pt idx="3">
                        <c:v>39.799999999999997</c:v>
                      </c:pt>
                      <c:pt idx="4">
                        <c:v>75.8</c:v>
                      </c:pt>
                      <c:pt idx="5">
                        <c:v>74.2</c:v>
                      </c:pt>
                      <c:pt idx="6">
                        <c:v>73.8</c:v>
                      </c:pt>
                      <c:pt idx="7">
                        <c:v>72.5</c:v>
                      </c:pt>
                      <c:pt idx="8">
                        <c:v>70.8</c:v>
                      </c:pt>
                      <c:pt idx="9">
                        <c:v>70.400000000000006</c:v>
                      </c:pt>
                      <c:pt idx="10">
                        <c:v>71.400000000000006</c:v>
                      </c:pt>
                      <c:pt idx="11">
                        <c:v>70.86666666666666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Aging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2"/>
                    <c:pt idx="0">
                      <c:v>4.5</c:v>
                    </c:pt>
                    <c:pt idx="1">
                      <c:v>4.5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CDE-4375-A824-3D397EB046E7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TOP Repro+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 (repro+)'!$F$186:$U$186</c15:sqref>
                        </c15:formulaRef>
                      </c:ext>
                    </c:extLst>
                    <c:numCache>
                      <c:formatCode>0.0000</c:formatCode>
                      <c:ptCount val="1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8A17-4046-9F89-C3C6FBFA378D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TOP Repro-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 (repro-)'!$F$186:$V$186</c15:sqref>
                        </c15:formulaRef>
                      </c:ext>
                    </c:extLst>
                    <c:numCache>
                      <c:formatCode>0.0000</c:formatCode>
                      <c:ptCount val="1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 formatCode="0.00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A17-4046-9F89-C3C6FBFA378D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MEBU25001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4">
                        <a:lumMod val="60000"/>
                      </a:schemeClr>
                    </a:solidFill>
                    <a:ln w="38100">
                      <a:solidFill>
                        <a:srgbClr val="FF0000"/>
                      </a:solidFill>
                      <a:prstDash val="solid"/>
                    </a:ln>
                    <a:effectLst/>
                  </c:spPr>
                </c:marker>
                <c:dPt>
                  <c:idx val="1"/>
                  <c:marker>
                    <c:symbol val="circle"/>
                    <c:size val="8"/>
                    <c:spPr>
                      <a:solidFill>
                        <a:schemeClr val="accent4">
                          <a:lumMod val="60000"/>
                        </a:schemeClr>
                      </a:solidFill>
                      <a:ln w="38100">
                        <a:solidFill>
                          <a:srgbClr val="FF0000"/>
                        </a:solidFill>
                        <a:prstDash val="solid"/>
                      </a:ln>
                      <a:effectLst/>
                    </c:spPr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2-4E57-460D-ACCA-CA3EA3CCE4B4}"/>
                    </c:ext>
                  </c:extLst>
                </c:dPt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'LSHS Master Template'!$F$186:$O$186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64.498987612700304</c:v>
                      </c:pt>
                      <c:pt idx="1">
                        <c:v>66.260538076075704</c:v>
                      </c:pt>
                      <c:pt idx="2">
                        <c:v>65.200068088983215</c:v>
                      </c:pt>
                      <c:pt idx="3">
                        <c:v>65.178077797459792</c:v>
                      </c:pt>
                      <c:pt idx="4">
                        <c:v>84.167966673459233</c:v>
                      </c:pt>
                      <c:pt idx="5">
                        <c:v>82.092170846131438</c:v>
                      </c:pt>
                      <c:pt idx="6">
                        <c:v>78.012112349376224</c:v>
                      </c:pt>
                      <c:pt idx="7">
                        <c:v>78.680928642779847</c:v>
                      </c:pt>
                      <c:pt idx="8">
                        <c:v>77.873998304433286</c:v>
                      </c:pt>
                      <c:pt idx="9">
                        <c:v>77.130923025345879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49E-4863-92E6-8F98AA216994}"/>
                  </c:ext>
                </c:extLst>
              </c15:ser>
            </c15:filteredScatterSeries>
            <c15:filteredScatterSeries>
              <c15:ser>
                <c:idx val="11"/>
                <c:order val="10"/>
                <c:tx>
                  <c:v>ART Acceptance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fixedVal"/>
                  <c:noEndCap val="0"/>
                  <c:val val="3"/>
                  <c:spPr>
                    <a:noFill/>
                    <a:ln w="9525" cap="flat" cmpd="sng" algn="ctr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round/>
                    </a:ln>
                    <a:effectLst/>
                  </c:spPr>
                </c:errBar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Template'!$F$6:$P$6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Template'!$F$214:$P$214</c15:sqref>
                        </c15:formulaRef>
                      </c:ext>
                    </c:extLst>
                    <c:numCache>
                      <c:formatCode>0.00</c:formatCode>
                      <c:ptCount val="11"/>
                      <c:pt idx="0">
                        <c:v>70</c:v>
                      </c:pt>
                      <c:pt idx="1">
                        <c:v>68.400000000000006</c:v>
                      </c:pt>
                      <c:pt idx="2">
                        <c:v>66.3</c:v>
                      </c:pt>
                      <c:pt idx="3">
                        <c:v>65.099999999999994</c:v>
                      </c:pt>
                      <c:pt idx="4">
                        <c:v>89.2</c:v>
                      </c:pt>
                      <c:pt idx="5">
                        <c:v>87.8</c:v>
                      </c:pt>
                      <c:pt idx="6">
                        <c:v>86.5</c:v>
                      </c:pt>
                      <c:pt idx="7">
                        <c:v>85.7</c:v>
                      </c:pt>
                      <c:pt idx="8">
                        <c:v>85</c:v>
                      </c:pt>
                      <c:pt idx="9">
                        <c:v>84.9</c:v>
                      </c:pt>
                      <c:pt idx="10">
                        <c:v>84.4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38A-44FD-B86A-CD516D59EE6A}"/>
                  </c:ext>
                </c:extLst>
              </c15:ser>
            </c15:filteredScatterSeries>
            <c15:filteredScatterSeries>
              <c15:ser>
                <c:idx val="10"/>
                <c:order val="11"/>
                <c:tx>
                  <c:v>TOP Acceptance'24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8"/>
                  <c:spPr>
                    <a:solidFill>
                      <a:srgbClr val="FFC00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Template'!$F$6:$P$6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Template'!$F$213:$P$213</c15:sqref>
                        </c15:formulaRef>
                      </c:ext>
                    </c:extLst>
                    <c:numCache>
                      <c:formatCode>0.00</c:formatCode>
                      <c:ptCount val="11"/>
                      <c:pt idx="5">
                        <c:v>87.232387014622091</c:v>
                      </c:pt>
                      <c:pt idx="6">
                        <c:v>85.740414279929411</c:v>
                      </c:pt>
                      <c:pt idx="7">
                        <c:v>85.163821870077811</c:v>
                      </c:pt>
                      <c:pt idx="8">
                        <c:v>83.485441424068696</c:v>
                      </c:pt>
                      <c:pt idx="9">
                        <c:v>82.714810991905594</c:v>
                      </c:pt>
                      <c:pt idx="10">
                        <c:v>82.183990148317633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96C-4806-8441-5D7D4B8DEC40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v>3% Abs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Template'!$F$6:$AA$6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Template'!$F$215:$AA$215</c15:sqref>
                        </c15:formulaRef>
                      </c:ext>
                    </c:extLst>
                    <c:numCache>
                      <c:formatCode>0.00</c:formatCode>
                      <c:ptCount val="22"/>
                      <c:pt idx="0">
                        <c:v>73</c:v>
                      </c:pt>
                      <c:pt idx="1">
                        <c:v>71.400000000000006</c:v>
                      </c:pt>
                      <c:pt idx="2">
                        <c:v>69.3</c:v>
                      </c:pt>
                      <c:pt idx="3">
                        <c:v>68.099999999999994</c:v>
                      </c:pt>
                      <c:pt idx="4">
                        <c:v>92.2</c:v>
                      </c:pt>
                      <c:pt idx="5">
                        <c:v>90.8</c:v>
                      </c:pt>
                      <c:pt idx="6">
                        <c:v>89.5</c:v>
                      </c:pt>
                      <c:pt idx="7">
                        <c:v>88.7</c:v>
                      </c:pt>
                      <c:pt idx="8">
                        <c:v>88</c:v>
                      </c:pt>
                      <c:pt idx="9">
                        <c:v>87.9</c:v>
                      </c:pt>
                      <c:pt idx="10">
                        <c:v>87.4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3</c:v>
                      </c:pt>
                      <c:pt idx="21">
                        <c:v>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C93-4D1D-862E-CD250621EF0C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v>-3% Abs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Template'!$F$6:$AA$6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Template'!$F$216:$AA$216</c15:sqref>
                        </c15:formulaRef>
                      </c:ext>
                    </c:extLst>
                    <c:numCache>
                      <c:formatCode>0.00</c:formatCode>
                      <c:ptCount val="22"/>
                      <c:pt idx="0">
                        <c:v>67</c:v>
                      </c:pt>
                      <c:pt idx="1">
                        <c:v>65.400000000000006</c:v>
                      </c:pt>
                      <c:pt idx="2">
                        <c:v>63.3</c:v>
                      </c:pt>
                      <c:pt idx="3">
                        <c:v>62.099999999999994</c:v>
                      </c:pt>
                      <c:pt idx="4">
                        <c:v>86.2</c:v>
                      </c:pt>
                      <c:pt idx="5">
                        <c:v>84.8</c:v>
                      </c:pt>
                      <c:pt idx="6">
                        <c:v>83.5</c:v>
                      </c:pt>
                      <c:pt idx="7">
                        <c:v>82.7</c:v>
                      </c:pt>
                      <c:pt idx="8">
                        <c:v>82</c:v>
                      </c:pt>
                      <c:pt idx="9">
                        <c:v>81.900000000000006</c:v>
                      </c:pt>
                      <c:pt idx="10">
                        <c:v>81.400000000000006</c:v>
                      </c:pt>
                      <c:pt idx="11">
                        <c:v>-3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  <c:pt idx="16">
                        <c:v>-3</c:v>
                      </c:pt>
                      <c:pt idx="17">
                        <c:v>-3</c:v>
                      </c:pt>
                      <c:pt idx="18">
                        <c:v>-3</c:v>
                      </c:pt>
                      <c:pt idx="19">
                        <c:v>-3</c:v>
                      </c:pt>
                      <c:pt idx="20">
                        <c:v>-3</c:v>
                      </c:pt>
                      <c:pt idx="21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C93-4D1D-862E-CD250621EF0C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v>TOP MEBU001</c:v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diamond"/>
                  <c:size val="8"/>
                  <c:spPr>
                    <a:noFill/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'Lab Results Summary'!$E$157:$H$157</c15:sqref>
                        </c15:formulaRef>
                      </c:ext>
                    </c:extLst>
                    <c:strCache>
                      <c:ptCount val="4"/>
                      <c:pt idx="0">
                        <c:v>D1</c:v>
                      </c:pt>
                      <c:pt idx="1">
                        <c:v>D2</c:v>
                      </c:pt>
                      <c:pt idx="2">
                        <c:v>D3</c:v>
                      </c:pt>
                      <c:pt idx="3">
                        <c:v>D4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'Lab Results Summary'!$E$161:$H$161</c15:sqref>
                        </c15:formulaRef>
                      </c:ext>
                    </c:extLst>
                    <c:numCache>
                      <c:formatCode>0.00</c:formatCode>
                      <c:ptCount val="4"/>
                      <c:pt idx="0">
                        <c:v>64.498987612700304</c:v>
                      </c:pt>
                      <c:pt idx="1">
                        <c:v>66.260538076075704</c:v>
                      </c:pt>
                      <c:pt idx="2">
                        <c:v>65.200068088983215</c:v>
                      </c:pt>
                      <c:pt idx="3">
                        <c:v>65.178077797459792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0EE-42B0-8804-46AEC9BD7D44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v>TOP MEBU002</c:v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diamond"/>
                  <c:size val="8"/>
                  <c:spPr>
                    <a:noFill/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'Lab Results Summary'!$J$157:$M$157</c15:sqref>
                        </c15:formulaRef>
                      </c:ext>
                    </c:extLst>
                    <c:strCache>
                      <c:ptCount val="4"/>
                      <c:pt idx="0">
                        <c:v>D1</c:v>
                      </c:pt>
                      <c:pt idx="1">
                        <c:v>D2</c:v>
                      </c:pt>
                      <c:pt idx="2">
                        <c:v>D3</c:v>
                      </c:pt>
                      <c:pt idx="3">
                        <c:v>D4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'Lab Results Summary'!$J$161:$M$161</c15:sqref>
                        </c15:formulaRef>
                      </c:ext>
                    </c:extLst>
                    <c:numCache>
                      <c:formatCode>0.00</c:formatCode>
                      <c:ptCount val="4"/>
                      <c:pt idx="0">
                        <c:v>67.617686959423224</c:v>
                      </c:pt>
                      <c:pt idx="1">
                        <c:v>64.246703911659267</c:v>
                      </c:pt>
                      <c:pt idx="2">
                        <c:v>63.811025586716383</c:v>
                      </c:pt>
                      <c:pt idx="3">
                        <c:v>64.098664157327704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0EE-42B0-8804-46AEC9BD7D44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105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</a:p>
            </c:rich>
          </c:tx>
          <c:layout>
            <c:manualLayout>
              <c:xMode val="edge"/>
              <c:yMode val="edge"/>
              <c:x val="1.4602536063060128E-2"/>
              <c:y val="0.461827910406326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76888893656404833"/>
          <c:y val="0.24745151017362443"/>
          <c:w val="0.10928547996077424"/>
          <c:h val="0.2302199172105508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MEBU</a:t>
            </a:r>
            <a:r>
              <a:rPr lang="en-US" b="1" baseline="0"/>
              <a:t> TBP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148530239858728E-2"/>
          <c:y val="8.572117501901709E-2"/>
          <c:w val="0.80608729730155115"/>
          <c:h val="0.81184027107984258"/>
        </c:manualLayout>
      </c:layout>
      <c:scatterChart>
        <c:scatterStyle val="smoothMarker"/>
        <c:varyColors val="0"/>
        <c:ser>
          <c:idx val="18"/>
          <c:order val="0"/>
          <c:tx>
            <c:v>ABQ3358 Aging</c:v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  <c:extLst xmlns:c15="http://schemas.microsoft.com/office/drawing/2012/chart"/>
            </c:numRef>
          </c:xVal>
          <c:yVal>
            <c:numRef>
              <c:f>'HPS LTO DAILY '!$G$10:$G$74</c:f>
              <c:numCache>
                <c:formatCode>General</c:formatCode>
                <c:ptCount val="65"/>
                <c:pt idx="0">
                  <c:v>312.8</c:v>
                </c:pt>
                <c:pt idx="1">
                  <c:v>351.4</c:v>
                </c:pt>
                <c:pt idx="2">
                  <c:v>389.4</c:v>
                </c:pt>
                <c:pt idx="3">
                  <c:v>417.2</c:v>
                </c:pt>
                <c:pt idx="4">
                  <c:v>443.3</c:v>
                </c:pt>
                <c:pt idx="5">
                  <c:v>468.2</c:v>
                </c:pt>
                <c:pt idx="6">
                  <c:v>490.8</c:v>
                </c:pt>
                <c:pt idx="7">
                  <c:v>507.6</c:v>
                </c:pt>
                <c:pt idx="8">
                  <c:v>519.5</c:v>
                </c:pt>
                <c:pt idx="9">
                  <c:v>528.6</c:v>
                </c:pt>
                <c:pt idx="10">
                  <c:v>535.79999999999995</c:v>
                </c:pt>
                <c:pt idx="11">
                  <c:v>541.1</c:v>
                </c:pt>
                <c:pt idx="12">
                  <c:v>546</c:v>
                </c:pt>
                <c:pt idx="13">
                  <c:v>551.1</c:v>
                </c:pt>
                <c:pt idx="14">
                  <c:v>555.70000000000005</c:v>
                </c:pt>
                <c:pt idx="15">
                  <c:v>559.6</c:v>
                </c:pt>
                <c:pt idx="16">
                  <c:v>563.20000000000005</c:v>
                </c:pt>
                <c:pt idx="17">
                  <c:v>566.6</c:v>
                </c:pt>
                <c:pt idx="18">
                  <c:v>569.70000000000005</c:v>
                </c:pt>
                <c:pt idx="19">
                  <c:v>572.70000000000005</c:v>
                </c:pt>
                <c:pt idx="20">
                  <c:v>575.6</c:v>
                </c:pt>
                <c:pt idx="21">
                  <c:v>578.6</c:v>
                </c:pt>
                <c:pt idx="22">
                  <c:v>581.5</c:v>
                </c:pt>
                <c:pt idx="23">
                  <c:v>584.4</c:v>
                </c:pt>
                <c:pt idx="24">
                  <c:v>587.29999999999995</c:v>
                </c:pt>
                <c:pt idx="25">
                  <c:v>590.1</c:v>
                </c:pt>
                <c:pt idx="26">
                  <c:v>592.9</c:v>
                </c:pt>
                <c:pt idx="27">
                  <c:v>595.70000000000005</c:v>
                </c:pt>
                <c:pt idx="28">
                  <c:v>598.4</c:v>
                </c:pt>
                <c:pt idx="29">
                  <c:v>601.20000000000005</c:v>
                </c:pt>
                <c:pt idx="30">
                  <c:v>604.1</c:v>
                </c:pt>
                <c:pt idx="31">
                  <c:v>607</c:v>
                </c:pt>
                <c:pt idx="32">
                  <c:v>609.79999999999995</c:v>
                </c:pt>
                <c:pt idx="33">
                  <c:v>612.70000000000005</c:v>
                </c:pt>
                <c:pt idx="34">
                  <c:v>615.5</c:v>
                </c:pt>
                <c:pt idx="35">
                  <c:v>618.6</c:v>
                </c:pt>
                <c:pt idx="36">
                  <c:v>621.70000000000005</c:v>
                </c:pt>
                <c:pt idx="37">
                  <c:v>624.70000000000005</c:v>
                </c:pt>
                <c:pt idx="38">
                  <c:v>627.6</c:v>
                </c:pt>
                <c:pt idx="39">
                  <c:v>630.5</c:v>
                </c:pt>
                <c:pt idx="40">
                  <c:v>633.5</c:v>
                </c:pt>
                <c:pt idx="41">
                  <c:v>636.5</c:v>
                </c:pt>
                <c:pt idx="42">
                  <c:v>639.5</c:v>
                </c:pt>
                <c:pt idx="43">
                  <c:v>642.70000000000005</c:v>
                </c:pt>
                <c:pt idx="44">
                  <c:v>646.1</c:v>
                </c:pt>
                <c:pt idx="45">
                  <c:v>649.29999999999995</c:v>
                </c:pt>
                <c:pt idx="46">
                  <c:v>652.5</c:v>
                </c:pt>
                <c:pt idx="47">
                  <c:v>655.5</c:v>
                </c:pt>
                <c:pt idx="48">
                  <c:v>658.9</c:v>
                </c:pt>
                <c:pt idx="49">
                  <c:v>663</c:v>
                </c:pt>
                <c:pt idx="50">
                  <c:v>667.3</c:v>
                </c:pt>
                <c:pt idx="51">
                  <c:v>671.7</c:v>
                </c:pt>
                <c:pt idx="52">
                  <c:v>676.2</c:v>
                </c:pt>
                <c:pt idx="53">
                  <c:v>681.9</c:v>
                </c:pt>
                <c:pt idx="54">
                  <c:v>687.6</c:v>
                </c:pt>
                <c:pt idx="55">
                  <c:v>694</c:v>
                </c:pt>
                <c:pt idx="56">
                  <c:v>702.4</c:v>
                </c:pt>
                <c:pt idx="57">
                  <c:v>712.9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3EE7-42F8-9B0B-A07A8C1580B4}"/>
            </c:ext>
          </c:extLst>
        </c:ser>
        <c:ser>
          <c:idx val="25"/>
          <c:order val="1"/>
          <c:tx>
            <c:v>LOW SEDIMENT FEED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  <c:extLst xmlns:c15="http://schemas.microsoft.com/office/drawing/2012/chart"/>
            </c:numRef>
          </c:xVal>
          <c:yVal>
            <c:numRef>
              <c:f>'HPS LTO DAILY 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8-3EE7-42F8-9B0B-A07A8C1580B4}"/>
            </c:ext>
          </c:extLst>
        </c:ser>
        <c:ser>
          <c:idx val="30"/>
          <c:order val="2"/>
          <c:tx>
            <c:v>HIGH SEDIMENT FEED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  <c:extLst xmlns:c15="http://schemas.microsoft.com/office/drawing/2012/chart"/>
            </c:numRef>
          </c:xVal>
          <c:yVal>
            <c:numRef>
              <c:f>'HPS LTO DAILY 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23-3EE7-42F8-9B0B-A07A8C1580B4}"/>
            </c:ext>
          </c:extLst>
        </c:ser>
        <c:ser>
          <c:idx val="0"/>
          <c:order val="3"/>
          <c:tx>
            <c:v>HPS Aging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  <c:extLst xmlns:c15="http://schemas.microsoft.com/office/drawing/2012/chart"/>
            </c:numRef>
          </c:xVal>
          <c:yVal>
            <c:numRef>
              <c:f>'HPS LTO DAILY '!$H$10:$H$89</c:f>
              <c:numCache>
                <c:formatCode>General</c:formatCode>
                <c:ptCount val="80"/>
                <c:pt idx="0">
                  <c:v>153.4</c:v>
                </c:pt>
                <c:pt idx="1">
                  <c:v>188.1</c:v>
                </c:pt>
                <c:pt idx="2">
                  <c:v>226.9</c:v>
                </c:pt>
                <c:pt idx="3">
                  <c:v>256</c:v>
                </c:pt>
                <c:pt idx="4">
                  <c:v>281.5</c:v>
                </c:pt>
                <c:pt idx="5">
                  <c:v>301.5</c:v>
                </c:pt>
                <c:pt idx="6">
                  <c:v>318.3</c:v>
                </c:pt>
                <c:pt idx="7">
                  <c:v>332.8</c:v>
                </c:pt>
                <c:pt idx="8">
                  <c:v>345.8</c:v>
                </c:pt>
                <c:pt idx="9">
                  <c:v>357</c:v>
                </c:pt>
                <c:pt idx="10">
                  <c:v>367.4</c:v>
                </c:pt>
                <c:pt idx="11">
                  <c:v>376.4</c:v>
                </c:pt>
                <c:pt idx="12">
                  <c:v>384.1</c:v>
                </c:pt>
                <c:pt idx="13">
                  <c:v>391.4</c:v>
                </c:pt>
                <c:pt idx="14">
                  <c:v>399.5</c:v>
                </c:pt>
                <c:pt idx="15">
                  <c:v>407.7</c:v>
                </c:pt>
                <c:pt idx="16">
                  <c:v>414.8</c:v>
                </c:pt>
                <c:pt idx="17">
                  <c:v>421.2</c:v>
                </c:pt>
                <c:pt idx="18">
                  <c:v>427.5</c:v>
                </c:pt>
                <c:pt idx="19">
                  <c:v>433.9</c:v>
                </c:pt>
                <c:pt idx="20">
                  <c:v>440.4</c:v>
                </c:pt>
                <c:pt idx="21">
                  <c:v>446.9</c:v>
                </c:pt>
                <c:pt idx="22">
                  <c:v>453.1</c:v>
                </c:pt>
                <c:pt idx="23">
                  <c:v>458.9</c:v>
                </c:pt>
                <c:pt idx="24">
                  <c:v>464.7</c:v>
                </c:pt>
                <c:pt idx="25">
                  <c:v>471.1</c:v>
                </c:pt>
                <c:pt idx="26">
                  <c:v>477.3</c:v>
                </c:pt>
                <c:pt idx="27">
                  <c:v>483.3</c:v>
                </c:pt>
                <c:pt idx="28">
                  <c:v>488.9</c:v>
                </c:pt>
                <c:pt idx="29">
                  <c:v>494.4</c:v>
                </c:pt>
                <c:pt idx="30">
                  <c:v>499.9</c:v>
                </c:pt>
                <c:pt idx="31">
                  <c:v>505.3</c:v>
                </c:pt>
                <c:pt idx="32">
                  <c:v>510.5</c:v>
                </c:pt>
                <c:pt idx="33">
                  <c:v>515.5</c:v>
                </c:pt>
                <c:pt idx="34">
                  <c:v>520.29999999999995</c:v>
                </c:pt>
                <c:pt idx="35">
                  <c:v>525.1</c:v>
                </c:pt>
                <c:pt idx="36">
                  <c:v>529.9</c:v>
                </c:pt>
                <c:pt idx="37">
                  <c:v>534.4</c:v>
                </c:pt>
                <c:pt idx="38">
                  <c:v>538.29999999999995</c:v>
                </c:pt>
                <c:pt idx="39">
                  <c:v>542</c:v>
                </c:pt>
                <c:pt idx="40">
                  <c:v>545.79999999999995</c:v>
                </c:pt>
                <c:pt idx="41">
                  <c:v>550.1</c:v>
                </c:pt>
                <c:pt idx="42">
                  <c:v>554.29999999999995</c:v>
                </c:pt>
                <c:pt idx="43">
                  <c:v>558.20000000000005</c:v>
                </c:pt>
                <c:pt idx="44">
                  <c:v>561.70000000000005</c:v>
                </c:pt>
                <c:pt idx="45">
                  <c:v>565.20000000000005</c:v>
                </c:pt>
                <c:pt idx="46">
                  <c:v>568.5</c:v>
                </c:pt>
                <c:pt idx="47">
                  <c:v>571.6</c:v>
                </c:pt>
                <c:pt idx="48">
                  <c:v>574.79999999999995</c:v>
                </c:pt>
                <c:pt idx="49">
                  <c:v>578.1</c:v>
                </c:pt>
                <c:pt idx="50">
                  <c:v>581.4</c:v>
                </c:pt>
                <c:pt idx="51">
                  <c:v>584.70000000000005</c:v>
                </c:pt>
                <c:pt idx="52">
                  <c:v>588</c:v>
                </c:pt>
                <c:pt idx="53">
                  <c:v>591.4</c:v>
                </c:pt>
                <c:pt idx="54">
                  <c:v>594.6</c:v>
                </c:pt>
                <c:pt idx="55">
                  <c:v>597.9</c:v>
                </c:pt>
                <c:pt idx="56">
                  <c:v>601.4</c:v>
                </c:pt>
                <c:pt idx="57">
                  <c:v>604.9</c:v>
                </c:pt>
                <c:pt idx="58">
                  <c:v>608.6</c:v>
                </c:pt>
                <c:pt idx="59">
                  <c:v>612.20000000000005</c:v>
                </c:pt>
                <c:pt idx="60">
                  <c:v>615.9</c:v>
                </c:pt>
                <c:pt idx="61">
                  <c:v>619.70000000000005</c:v>
                </c:pt>
                <c:pt idx="62">
                  <c:v>623.6</c:v>
                </c:pt>
                <c:pt idx="63">
                  <c:v>627.6</c:v>
                </c:pt>
                <c:pt idx="64">
                  <c:v>631.6</c:v>
                </c:pt>
                <c:pt idx="65">
                  <c:v>635.6</c:v>
                </c:pt>
                <c:pt idx="66">
                  <c:v>639.9</c:v>
                </c:pt>
                <c:pt idx="67">
                  <c:v>644.5</c:v>
                </c:pt>
                <c:pt idx="68">
                  <c:v>649.1</c:v>
                </c:pt>
                <c:pt idx="69">
                  <c:v>653.9</c:v>
                </c:pt>
                <c:pt idx="70">
                  <c:v>658.9</c:v>
                </c:pt>
                <c:pt idx="71">
                  <c:v>665.5</c:v>
                </c:pt>
                <c:pt idx="72">
                  <c:v>672.5</c:v>
                </c:pt>
                <c:pt idx="73">
                  <c:v>681</c:v>
                </c:pt>
                <c:pt idx="74">
                  <c:v>690.6</c:v>
                </c:pt>
                <c:pt idx="75">
                  <c:v>704.6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8AFB-4FCE-B367-E1B6F071C83C}"/>
            </c:ext>
          </c:extLst>
        </c:ser>
        <c:ser>
          <c:idx val="10"/>
          <c:order val="13"/>
          <c:tx>
            <c:v>HPS D11 HS1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'!$R$10:$R$97</c:f>
              <c:numCache>
                <c:formatCode>General</c:formatCode>
                <c:ptCount val="88"/>
                <c:pt idx="0">
                  <c:v>133.1</c:v>
                </c:pt>
                <c:pt idx="1">
                  <c:v>152.30000000000001</c:v>
                </c:pt>
                <c:pt idx="2">
                  <c:v>176.4</c:v>
                </c:pt>
                <c:pt idx="3">
                  <c:v>194.2</c:v>
                </c:pt>
                <c:pt idx="4">
                  <c:v>205.5</c:v>
                </c:pt>
                <c:pt idx="5">
                  <c:v>216.9</c:v>
                </c:pt>
                <c:pt idx="6">
                  <c:v>225.3</c:v>
                </c:pt>
                <c:pt idx="7">
                  <c:v>233.4</c:v>
                </c:pt>
                <c:pt idx="8">
                  <c:v>243.3</c:v>
                </c:pt>
                <c:pt idx="9">
                  <c:v>251.2</c:v>
                </c:pt>
                <c:pt idx="10">
                  <c:v>259.2</c:v>
                </c:pt>
                <c:pt idx="11">
                  <c:v>266</c:v>
                </c:pt>
                <c:pt idx="12">
                  <c:v>273.7</c:v>
                </c:pt>
                <c:pt idx="13">
                  <c:v>281.3</c:v>
                </c:pt>
                <c:pt idx="14">
                  <c:v>288.3</c:v>
                </c:pt>
                <c:pt idx="15">
                  <c:v>294.8</c:v>
                </c:pt>
                <c:pt idx="16">
                  <c:v>300.8</c:v>
                </c:pt>
                <c:pt idx="17">
                  <c:v>307.39999999999998</c:v>
                </c:pt>
                <c:pt idx="18">
                  <c:v>313.2</c:v>
                </c:pt>
                <c:pt idx="19">
                  <c:v>319.39999999999998</c:v>
                </c:pt>
                <c:pt idx="20">
                  <c:v>325.8</c:v>
                </c:pt>
                <c:pt idx="21">
                  <c:v>331.1</c:v>
                </c:pt>
                <c:pt idx="22">
                  <c:v>337</c:v>
                </c:pt>
                <c:pt idx="23">
                  <c:v>342.1</c:v>
                </c:pt>
                <c:pt idx="24">
                  <c:v>347.5</c:v>
                </c:pt>
                <c:pt idx="25">
                  <c:v>352.4</c:v>
                </c:pt>
                <c:pt idx="26">
                  <c:v>356.5</c:v>
                </c:pt>
                <c:pt idx="27">
                  <c:v>361.1</c:v>
                </c:pt>
                <c:pt idx="28">
                  <c:v>365.4</c:v>
                </c:pt>
                <c:pt idx="29">
                  <c:v>370.1</c:v>
                </c:pt>
                <c:pt idx="30">
                  <c:v>375.6</c:v>
                </c:pt>
                <c:pt idx="31">
                  <c:v>380.6</c:v>
                </c:pt>
                <c:pt idx="32">
                  <c:v>385.8</c:v>
                </c:pt>
                <c:pt idx="33">
                  <c:v>390.7</c:v>
                </c:pt>
                <c:pt idx="34">
                  <c:v>395.3</c:v>
                </c:pt>
                <c:pt idx="35">
                  <c:v>399.6</c:v>
                </c:pt>
                <c:pt idx="36">
                  <c:v>404.1</c:v>
                </c:pt>
                <c:pt idx="37">
                  <c:v>408.5</c:v>
                </c:pt>
                <c:pt idx="38">
                  <c:v>412.8</c:v>
                </c:pt>
                <c:pt idx="39">
                  <c:v>417.7</c:v>
                </c:pt>
                <c:pt idx="40">
                  <c:v>422.4</c:v>
                </c:pt>
                <c:pt idx="41">
                  <c:v>427.2</c:v>
                </c:pt>
                <c:pt idx="42">
                  <c:v>431.8</c:v>
                </c:pt>
                <c:pt idx="43">
                  <c:v>436.3</c:v>
                </c:pt>
                <c:pt idx="44">
                  <c:v>440.6</c:v>
                </c:pt>
                <c:pt idx="45">
                  <c:v>445</c:v>
                </c:pt>
                <c:pt idx="46">
                  <c:v>449.3</c:v>
                </c:pt>
                <c:pt idx="47">
                  <c:v>453.9</c:v>
                </c:pt>
                <c:pt idx="48">
                  <c:v>458.4</c:v>
                </c:pt>
                <c:pt idx="49">
                  <c:v>463.2</c:v>
                </c:pt>
                <c:pt idx="50">
                  <c:v>467.6</c:v>
                </c:pt>
                <c:pt idx="51">
                  <c:v>472.3</c:v>
                </c:pt>
                <c:pt idx="52">
                  <c:v>476.9</c:v>
                </c:pt>
                <c:pt idx="53">
                  <c:v>481.5</c:v>
                </c:pt>
                <c:pt idx="54">
                  <c:v>486</c:v>
                </c:pt>
                <c:pt idx="55">
                  <c:v>490.5</c:v>
                </c:pt>
                <c:pt idx="56">
                  <c:v>495</c:v>
                </c:pt>
                <c:pt idx="57">
                  <c:v>499.4</c:v>
                </c:pt>
                <c:pt idx="58">
                  <c:v>503.8</c:v>
                </c:pt>
                <c:pt idx="59">
                  <c:v>508.2</c:v>
                </c:pt>
                <c:pt idx="60">
                  <c:v>512.6</c:v>
                </c:pt>
                <c:pt idx="61">
                  <c:v>517</c:v>
                </c:pt>
                <c:pt idx="62">
                  <c:v>521.4</c:v>
                </c:pt>
                <c:pt idx="63">
                  <c:v>525.9</c:v>
                </c:pt>
                <c:pt idx="64">
                  <c:v>530.4</c:v>
                </c:pt>
                <c:pt idx="65">
                  <c:v>534.70000000000005</c:v>
                </c:pt>
                <c:pt idx="66">
                  <c:v>538.6</c:v>
                </c:pt>
                <c:pt idx="67">
                  <c:v>542.5</c:v>
                </c:pt>
                <c:pt idx="68">
                  <c:v>546.70000000000005</c:v>
                </c:pt>
                <c:pt idx="69">
                  <c:v>551.5</c:v>
                </c:pt>
                <c:pt idx="70">
                  <c:v>556.29999999999995</c:v>
                </c:pt>
                <c:pt idx="71">
                  <c:v>560.5</c:v>
                </c:pt>
                <c:pt idx="72">
                  <c:v>564.70000000000005</c:v>
                </c:pt>
                <c:pt idx="73">
                  <c:v>568.79999999999995</c:v>
                </c:pt>
                <c:pt idx="74">
                  <c:v>572.79999999999995</c:v>
                </c:pt>
                <c:pt idx="75">
                  <c:v>577</c:v>
                </c:pt>
                <c:pt idx="76">
                  <c:v>581.4</c:v>
                </c:pt>
                <c:pt idx="77">
                  <c:v>585.9</c:v>
                </c:pt>
                <c:pt idx="78">
                  <c:v>590.4</c:v>
                </c:pt>
                <c:pt idx="79">
                  <c:v>595.1</c:v>
                </c:pt>
                <c:pt idx="80">
                  <c:v>599.9</c:v>
                </c:pt>
                <c:pt idx="81">
                  <c:v>605.1</c:v>
                </c:pt>
                <c:pt idx="82">
                  <c:v>610.5</c:v>
                </c:pt>
                <c:pt idx="83">
                  <c:v>616.1</c:v>
                </c:pt>
                <c:pt idx="84">
                  <c:v>622.4</c:v>
                </c:pt>
                <c:pt idx="85">
                  <c:v>628.5</c:v>
                </c:pt>
                <c:pt idx="86">
                  <c:v>635</c:v>
                </c:pt>
                <c:pt idx="87">
                  <c:v>642.29999999999995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AFB-4FCE-B367-E1B6F071C83C}"/>
            </c:ext>
          </c:extLst>
        </c:ser>
        <c:ser>
          <c:idx val="11"/>
          <c:order val="14"/>
          <c:tx>
            <c:v>HPS D12 HS2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'!$S$10:$S$92</c:f>
              <c:numCache>
                <c:formatCode>General</c:formatCode>
                <c:ptCount val="83"/>
                <c:pt idx="0">
                  <c:v>136.19999999999999</c:v>
                </c:pt>
                <c:pt idx="1">
                  <c:v>155.9</c:v>
                </c:pt>
                <c:pt idx="2">
                  <c:v>179.2</c:v>
                </c:pt>
                <c:pt idx="3">
                  <c:v>196.9</c:v>
                </c:pt>
                <c:pt idx="4">
                  <c:v>207.9</c:v>
                </c:pt>
                <c:pt idx="5">
                  <c:v>218.6</c:v>
                </c:pt>
                <c:pt idx="6">
                  <c:v>227.2</c:v>
                </c:pt>
                <c:pt idx="7">
                  <c:v>235.7</c:v>
                </c:pt>
                <c:pt idx="8">
                  <c:v>244.8</c:v>
                </c:pt>
                <c:pt idx="9">
                  <c:v>253.5</c:v>
                </c:pt>
                <c:pt idx="10">
                  <c:v>261.2</c:v>
                </c:pt>
                <c:pt idx="11">
                  <c:v>268.39999999999998</c:v>
                </c:pt>
                <c:pt idx="12">
                  <c:v>276.2</c:v>
                </c:pt>
                <c:pt idx="13">
                  <c:v>283.2</c:v>
                </c:pt>
                <c:pt idx="14">
                  <c:v>290.60000000000002</c:v>
                </c:pt>
                <c:pt idx="15">
                  <c:v>297.3</c:v>
                </c:pt>
                <c:pt idx="16">
                  <c:v>303.7</c:v>
                </c:pt>
                <c:pt idx="17">
                  <c:v>310</c:v>
                </c:pt>
                <c:pt idx="18">
                  <c:v>315.5</c:v>
                </c:pt>
                <c:pt idx="19">
                  <c:v>321.7</c:v>
                </c:pt>
                <c:pt idx="20">
                  <c:v>327.3</c:v>
                </c:pt>
                <c:pt idx="21">
                  <c:v>333.2</c:v>
                </c:pt>
                <c:pt idx="22">
                  <c:v>339</c:v>
                </c:pt>
                <c:pt idx="23">
                  <c:v>343.9</c:v>
                </c:pt>
                <c:pt idx="24">
                  <c:v>348.8</c:v>
                </c:pt>
                <c:pt idx="25">
                  <c:v>353.2</c:v>
                </c:pt>
                <c:pt idx="26">
                  <c:v>357.6</c:v>
                </c:pt>
                <c:pt idx="27">
                  <c:v>362.2</c:v>
                </c:pt>
                <c:pt idx="28">
                  <c:v>366.4</c:v>
                </c:pt>
                <c:pt idx="29">
                  <c:v>371.1</c:v>
                </c:pt>
                <c:pt idx="30">
                  <c:v>376.2</c:v>
                </c:pt>
                <c:pt idx="31">
                  <c:v>381.4</c:v>
                </c:pt>
                <c:pt idx="32">
                  <c:v>386.6</c:v>
                </c:pt>
                <c:pt idx="33">
                  <c:v>391.3</c:v>
                </c:pt>
                <c:pt idx="34">
                  <c:v>395.7</c:v>
                </c:pt>
                <c:pt idx="35">
                  <c:v>399.8</c:v>
                </c:pt>
                <c:pt idx="36">
                  <c:v>404.4</c:v>
                </c:pt>
                <c:pt idx="37">
                  <c:v>408.6</c:v>
                </c:pt>
                <c:pt idx="38">
                  <c:v>412.9</c:v>
                </c:pt>
                <c:pt idx="39">
                  <c:v>417.8</c:v>
                </c:pt>
                <c:pt idx="40">
                  <c:v>422.4</c:v>
                </c:pt>
                <c:pt idx="41">
                  <c:v>427.2</c:v>
                </c:pt>
                <c:pt idx="42">
                  <c:v>431.7</c:v>
                </c:pt>
                <c:pt idx="43">
                  <c:v>436.1</c:v>
                </c:pt>
                <c:pt idx="44">
                  <c:v>440.3</c:v>
                </c:pt>
                <c:pt idx="45">
                  <c:v>444.7</c:v>
                </c:pt>
                <c:pt idx="46">
                  <c:v>449</c:v>
                </c:pt>
                <c:pt idx="47">
                  <c:v>453.6</c:v>
                </c:pt>
                <c:pt idx="48">
                  <c:v>457.9</c:v>
                </c:pt>
                <c:pt idx="49">
                  <c:v>462.6</c:v>
                </c:pt>
                <c:pt idx="50">
                  <c:v>467</c:v>
                </c:pt>
                <c:pt idx="51">
                  <c:v>471.5</c:v>
                </c:pt>
                <c:pt idx="52">
                  <c:v>476.1</c:v>
                </c:pt>
                <c:pt idx="53">
                  <c:v>480.6</c:v>
                </c:pt>
                <c:pt idx="54">
                  <c:v>485.1</c:v>
                </c:pt>
                <c:pt idx="55">
                  <c:v>489.5</c:v>
                </c:pt>
                <c:pt idx="56">
                  <c:v>493.9</c:v>
                </c:pt>
                <c:pt idx="57">
                  <c:v>498.3</c:v>
                </c:pt>
                <c:pt idx="58">
                  <c:v>502.6</c:v>
                </c:pt>
                <c:pt idx="59">
                  <c:v>507</c:v>
                </c:pt>
                <c:pt idx="60">
                  <c:v>511.3</c:v>
                </c:pt>
                <c:pt idx="61">
                  <c:v>515.6</c:v>
                </c:pt>
                <c:pt idx="62">
                  <c:v>519.9</c:v>
                </c:pt>
                <c:pt idx="63">
                  <c:v>524.29999999999995</c:v>
                </c:pt>
                <c:pt idx="64">
                  <c:v>528.70000000000005</c:v>
                </c:pt>
                <c:pt idx="65">
                  <c:v>533.20000000000005</c:v>
                </c:pt>
                <c:pt idx="66">
                  <c:v>537.1</c:v>
                </c:pt>
                <c:pt idx="67">
                  <c:v>540.9</c:v>
                </c:pt>
                <c:pt idx="68">
                  <c:v>544.79999999999995</c:v>
                </c:pt>
                <c:pt idx="69">
                  <c:v>549.5</c:v>
                </c:pt>
                <c:pt idx="70">
                  <c:v>554.20000000000005</c:v>
                </c:pt>
                <c:pt idx="71">
                  <c:v>558.6</c:v>
                </c:pt>
                <c:pt idx="72">
                  <c:v>562.79999999999995</c:v>
                </c:pt>
                <c:pt idx="73">
                  <c:v>567</c:v>
                </c:pt>
                <c:pt idx="74">
                  <c:v>570.9</c:v>
                </c:pt>
                <c:pt idx="75">
                  <c:v>575</c:v>
                </c:pt>
                <c:pt idx="76">
                  <c:v>579.29999999999995</c:v>
                </c:pt>
                <c:pt idx="77">
                  <c:v>583.79999999999995</c:v>
                </c:pt>
                <c:pt idx="78">
                  <c:v>588.29999999999995</c:v>
                </c:pt>
                <c:pt idx="79">
                  <c:v>592.9</c:v>
                </c:pt>
                <c:pt idx="80">
                  <c:v>597.6</c:v>
                </c:pt>
                <c:pt idx="81">
                  <c:v>602.70000000000005</c:v>
                </c:pt>
                <c:pt idx="82">
                  <c:v>608.1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8AFB-4FCE-B367-E1B6F071C83C}"/>
            </c:ext>
          </c:extLst>
        </c:ser>
        <c:ser>
          <c:idx val="31"/>
          <c:order val="15"/>
          <c:tx>
            <c:v>HPS D13 HS3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'!$T$10:$T$98</c:f>
              <c:numCache>
                <c:formatCode>General</c:formatCode>
                <c:ptCount val="89"/>
                <c:pt idx="0">
                  <c:v>132.6</c:v>
                </c:pt>
                <c:pt idx="1">
                  <c:v>154.1</c:v>
                </c:pt>
                <c:pt idx="2">
                  <c:v>177.9</c:v>
                </c:pt>
                <c:pt idx="3">
                  <c:v>195.8</c:v>
                </c:pt>
                <c:pt idx="4">
                  <c:v>207.2</c:v>
                </c:pt>
                <c:pt idx="5">
                  <c:v>218.2</c:v>
                </c:pt>
                <c:pt idx="6">
                  <c:v>226.7</c:v>
                </c:pt>
                <c:pt idx="7">
                  <c:v>235.3</c:v>
                </c:pt>
                <c:pt idx="8">
                  <c:v>244.2</c:v>
                </c:pt>
                <c:pt idx="9">
                  <c:v>252</c:v>
                </c:pt>
                <c:pt idx="10">
                  <c:v>258.8</c:v>
                </c:pt>
                <c:pt idx="11">
                  <c:v>264.89999999999998</c:v>
                </c:pt>
                <c:pt idx="12">
                  <c:v>271.7</c:v>
                </c:pt>
                <c:pt idx="13">
                  <c:v>278.60000000000002</c:v>
                </c:pt>
                <c:pt idx="14">
                  <c:v>285.10000000000002</c:v>
                </c:pt>
                <c:pt idx="15">
                  <c:v>291.5</c:v>
                </c:pt>
                <c:pt idx="16">
                  <c:v>297.39999999999998</c:v>
                </c:pt>
                <c:pt idx="17">
                  <c:v>304.10000000000002</c:v>
                </c:pt>
                <c:pt idx="18">
                  <c:v>310.5</c:v>
                </c:pt>
                <c:pt idx="19">
                  <c:v>315.89999999999998</c:v>
                </c:pt>
                <c:pt idx="20">
                  <c:v>322.10000000000002</c:v>
                </c:pt>
                <c:pt idx="21">
                  <c:v>327.5</c:v>
                </c:pt>
                <c:pt idx="22">
                  <c:v>333.7</c:v>
                </c:pt>
                <c:pt idx="23">
                  <c:v>339.7</c:v>
                </c:pt>
                <c:pt idx="24">
                  <c:v>344.7</c:v>
                </c:pt>
                <c:pt idx="25">
                  <c:v>350.3</c:v>
                </c:pt>
                <c:pt idx="26">
                  <c:v>355.4</c:v>
                </c:pt>
                <c:pt idx="27">
                  <c:v>360.5</c:v>
                </c:pt>
                <c:pt idx="28">
                  <c:v>365.9</c:v>
                </c:pt>
                <c:pt idx="29">
                  <c:v>370.5</c:v>
                </c:pt>
                <c:pt idx="30">
                  <c:v>374.9</c:v>
                </c:pt>
                <c:pt idx="31">
                  <c:v>379.1</c:v>
                </c:pt>
                <c:pt idx="32">
                  <c:v>383.4</c:v>
                </c:pt>
                <c:pt idx="33">
                  <c:v>387.8</c:v>
                </c:pt>
                <c:pt idx="34">
                  <c:v>391.9</c:v>
                </c:pt>
                <c:pt idx="35">
                  <c:v>396.3</c:v>
                </c:pt>
                <c:pt idx="36">
                  <c:v>400.5</c:v>
                </c:pt>
                <c:pt idx="37">
                  <c:v>405.1</c:v>
                </c:pt>
                <c:pt idx="38">
                  <c:v>409.5</c:v>
                </c:pt>
                <c:pt idx="39">
                  <c:v>413.9</c:v>
                </c:pt>
                <c:pt idx="40">
                  <c:v>418.9</c:v>
                </c:pt>
                <c:pt idx="41">
                  <c:v>423.4</c:v>
                </c:pt>
                <c:pt idx="42">
                  <c:v>428.1</c:v>
                </c:pt>
                <c:pt idx="43">
                  <c:v>432.5</c:v>
                </c:pt>
                <c:pt idx="44">
                  <c:v>436.5</c:v>
                </c:pt>
                <c:pt idx="45">
                  <c:v>440.4</c:v>
                </c:pt>
                <c:pt idx="46">
                  <c:v>444.5</c:v>
                </c:pt>
                <c:pt idx="47">
                  <c:v>448.4</c:v>
                </c:pt>
                <c:pt idx="48">
                  <c:v>453.4</c:v>
                </c:pt>
                <c:pt idx="49">
                  <c:v>458.1</c:v>
                </c:pt>
                <c:pt idx="50">
                  <c:v>463.2</c:v>
                </c:pt>
                <c:pt idx="51">
                  <c:v>467.7</c:v>
                </c:pt>
                <c:pt idx="52">
                  <c:v>472.1</c:v>
                </c:pt>
                <c:pt idx="53">
                  <c:v>476.5</c:v>
                </c:pt>
                <c:pt idx="54">
                  <c:v>480.8</c:v>
                </c:pt>
                <c:pt idx="55">
                  <c:v>485.5</c:v>
                </c:pt>
                <c:pt idx="56">
                  <c:v>490.1</c:v>
                </c:pt>
                <c:pt idx="57">
                  <c:v>494.7</c:v>
                </c:pt>
                <c:pt idx="58">
                  <c:v>499.2</c:v>
                </c:pt>
                <c:pt idx="59">
                  <c:v>503.5</c:v>
                </c:pt>
                <c:pt idx="60">
                  <c:v>508</c:v>
                </c:pt>
                <c:pt idx="61">
                  <c:v>512.20000000000005</c:v>
                </c:pt>
                <c:pt idx="62">
                  <c:v>516.29999999999995</c:v>
                </c:pt>
                <c:pt idx="63">
                  <c:v>520.5</c:v>
                </c:pt>
                <c:pt idx="64">
                  <c:v>525</c:v>
                </c:pt>
                <c:pt idx="65">
                  <c:v>529.6</c:v>
                </c:pt>
                <c:pt idx="66">
                  <c:v>534.20000000000005</c:v>
                </c:pt>
                <c:pt idx="67">
                  <c:v>537.9</c:v>
                </c:pt>
                <c:pt idx="68">
                  <c:v>541.5</c:v>
                </c:pt>
                <c:pt idx="69">
                  <c:v>545.1</c:v>
                </c:pt>
                <c:pt idx="70">
                  <c:v>550.20000000000005</c:v>
                </c:pt>
                <c:pt idx="71">
                  <c:v>555.20000000000005</c:v>
                </c:pt>
                <c:pt idx="72">
                  <c:v>559.5</c:v>
                </c:pt>
                <c:pt idx="73">
                  <c:v>563.6</c:v>
                </c:pt>
                <c:pt idx="74">
                  <c:v>567.70000000000005</c:v>
                </c:pt>
                <c:pt idx="75">
                  <c:v>571.70000000000005</c:v>
                </c:pt>
                <c:pt idx="76">
                  <c:v>575.79999999999995</c:v>
                </c:pt>
                <c:pt idx="77">
                  <c:v>580</c:v>
                </c:pt>
                <c:pt idx="78">
                  <c:v>584.4</c:v>
                </c:pt>
                <c:pt idx="79">
                  <c:v>588.79999999999995</c:v>
                </c:pt>
                <c:pt idx="80">
                  <c:v>593.4</c:v>
                </c:pt>
                <c:pt idx="81">
                  <c:v>598.1</c:v>
                </c:pt>
                <c:pt idx="82">
                  <c:v>603.20000000000005</c:v>
                </c:pt>
                <c:pt idx="83">
                  <c:v>608.5</c:v>
                </c:pt>
                <c:pt idx="84">
                  <c:v>614</c:v>
                </c:pt>
                <c:pt idx="85">
                  <c:v>619.9</c:v>
                </c:pt>
                <c:pt idx="86">
                  <c:v>626.20000000000005</c:v>
                </c:pt>
                <c:pt idx="87">
                  <c:v>632.6</c:v>
                </c:pt>
                <c:pt idx="88">
                  <c:v>639.5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4-3EE7-42F8-9B0B-A07A8C1580B4}"/>
            </c:ext>
          </c:extLst>
        </c:ser>
        <c:ser>
          <c:idx val="32"/>
          <c:order val="16"/>
          <c:tx>
            <c:v>HPS D14 HS4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'!$U$10:$U$99</c:f>
              <c:numCache>
                <c:formatCode>General</c:formatCode>
                <c:ptCount val="9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5-3EE7-42F8-9B0B-A07A8C1580B4}"/>
            </c:ext>
          </c:extLst>
        </c:ser>
        <c:ser>
          <c:idx val="33"/>
          <c:order val="17"/>
          <c:tx>
            <c:v>HPS D15 HS5</c:v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'!$V$10:$V$100</c:f>
              <c:numCache>
                <c:formatCode>General</c:formatCode>
                <c:ptCount val="9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6-3EE7-42F8-9B0B-A07A8C1580B4}"/>
            </c:ext>
          </c:extLst>
        </c:ser>
        <c:ser>
          <c:idx val="34"/>
          <c:order val="18"/>
          <c:tx>
            <c:v>HPS D16_1 HS6</c:v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'!$W$10:$W$92</c:f>
              <c:numCache>
                <c:formatCode>General</c:formatCode>
                <c:ptCount val="8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7-3EE7-42F8-9B0B-A07A8C1580B4}"/>
            </c:ext>
          </c:extLst>
        </c:ser>
        <c:ser>
          <c:idx val="35"/>
          <c:order val="19"/>
          <c:tx>
            <c:v>HPS D16_2 HS6</c:v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'!$X$10:$X$87</c:f>
              <c:numCache>
                <c:formatCode>General</c:formatCode>
                <c:ptCount val="7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8-3EE7-42F8-9B0B-A07A8C1580B4}"/>
            </c:ext>
          </c:extLst>
        </c:ser>
        <c:ser>
          <c:idx val="13"/>
          <c:order val="21"/>
          <c:tx>
            <c:v>560</c:v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'!$AT$10:$AT$11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Ref>
              <c:f>'HPS LTO DAILY '!$AU$10:$AU$11</c:f>
              <c:numCache>
                <c:formatCode>General</c:formatCode>
                <c:ptCount val="2"/>
                <c:pt idx="0">
                  <c:v>560</c:v>
                </c:pt>
                <c:pt idx="1">
                  <c:v>560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BF-4AB3-9821-3A7844A12570}"/>
            </c:ext>
          </c:extLst>
        </c:ser>
        <c:ser>
          <c:idx val="16"/>
          <c:order val="28"/>
          <c:tx>
            <c:v>ISV D12 HS2</c:v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'!$S$223:$S$288</c:f>
              <c:numCache>
                <c:formatCode>General</c:formatCode>
                <c:ptCount val="6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B-3EE7-42F8-9B0B-A07A8C1580B4}"/>
            </c:ext>
          </c:extLst>
        </c:ser>
        <c:ser>
          <c:idx val="22"/>
          <c:order val="29"/>
          <c:tx>
            <c:v>ISV D13 HS3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'!$T$223:$T$295</c:f>
              <c:numCache>
                <c:formatCode>General</c:formatCode>
                <c:ptCount val="7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C-3EE7-42F8-9B0B-A07A8C1580B4}"/>
            </c:ext>
          </c:extLst>
        </c:ser>
        <c:ser>
          <c:idx val="41"/>
          <c:order val="40"/>
          <c:tx>
            <c:v>LTO D11 HS1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'!$R$116:$R$216</c:f>
              <c:numCache>
                <c:formatCode>General</c:formatCode>
                <c:ptCount val="101"/>
                <c:pt idx="0">
                  <c:v>57.5</c:v>
                </c:pt>
                <c:pt idx="1">
                  <c:v>69.8</c:v>
                </c:pt>
                <c:pt idx="2">
                  <c:v>89.6</c:v>
                </c:pt>
                <c:pt idx="3">
                  <c:v>99</c:v>
                </c:pt>
                <c:pt idx="4">
                  <c:v>104.3</c:v>
                </c:pt>
                <c:pt idx="5">
                  <c:v>115.5</c:v>
                </c:pt>
                <c:pt idx="6">
                  <c:v>118.4</c:v>
                </c:pt>
                <c:pt idx="7">
                  <c:v>125.3</c:v>
                </c:pt>
                <c:pt idx="8">
                  <c:v>127.4</c:v>
                </c:pt>
                <c:pt idx="9">
                  <c:v>129.4</c:v>
                </c:pt>
                <c:pt idx="10">
                  <c:v>134.9</c:v>
                </c:pt>
                <c:pt idx="11">
                  <c:v>140</c:v>
                </c:pt>
                <c:pt idx="12">
                  <c:v>142.5</c:v>
                </c:pt>
                <c:pt idx="13">
                  <c:v>144.69999999999999</c:v>
                </c:pt>
                <c:pt idx="14">
                  <c:v>147.30000000000001</c:v>
                </c:pt>
                <c:pt idx="15">
                  <c:v>151.9</c:v>
                </c:pt>
                <c:pt idx="16">
                  <c:v>152.9</c:v>
                </c:pt>
                <c:pt idx="17">
                  <c:v>153.69999999999999</c:v>
                </c:pt>
                <c:pt idx="18">
                  <c:v>158.30000000000001</c:v>
                </c:pt>
                <c:pt idx="19">
                  <c:v>161.1</c:v>
                </c:pt>
                <c:pt idx="20">
                  <c:v>163.6</c:v>
                </c:pt>
                <c:pt idx="21">
                  <c:v>165.6</c:v>
                </c:pt>
                <c:pt idx="22">
                  <c:v>167.5</c:v>
                </c:pt>
                <c:pt idx="23">
                  <c:v>168.6</c:v>
                </c:pt>
                <c:pt idx="24">
                  <c:v>171.1</c:v>
                </c:pt>
                <c:pt idx="25">
                  <c:v>174.2</c:v>
                </c:pt>
                <c:pt idx="26">
                  <c:v>175.9</c:v>
                </c:pt>
                <c:pt idx="27">
                  <c:v>176.6</c:v>
                </c:pt>
                <c:pt idx="28">
                  <c:v>178.2</c:v>
                </c:pt>
                <c:pt idx="29">
                  <c:v>180.8</c:v>
                </c:pt>
                <c:pt idx="30">
                  <c:v>183.2</c:v>
                </c:pt>
                <c:pt idx="31">
                  <c:v>185.1</c:v>
                </c:pt>
                <c:pt idx="32">
                  <c:v>187.4</c:v>
                </c:pt>
                <c:pt idx="33">
                  <c:v>189.6</c:v>
                </c:pt>
                <c:pt idx="34">
                  <c:v>190.9</c:v>
                </c:pt>
                <c:pt idx="35">
                  <c:v>193.8</c:v>
                </c:pt>
                <c:pt idx="36">
                  <c:v>196.6</c:v>
                </c:pt>
                <c:pt idx="37">
                  <c:v>197.7</c:v>
                </c:pt>
                <c:pt idx="38">
                  <c:v>198.4</c:v>
                </c:pt>
                <c:pt idx="39">
                  <c:v>201.3</c:v>
                </c:pt>
                <c:pt idx="40">
                  <c:v>203.6</c:v>
                </c:pt>
                <c:pt idx="41">
                  <c:v>205.2</c:v>
                </c:pt>
                <c:pt idx="42">
                  <c:v>207.1</c:v>
                </c:pt>
                <c:pt idx="43">
                  <c:v>209.1</c:v>
                </c:pt>
                <c:pt idx="44">
                  <c:v>211.4</c:v>
                </c:pt>
                <c:pt idx="45">
                  <c:v>213.7</c:v>
                </c:pt>
                <c:pt idx="46">
                  <c:v>216.3</c:v>
                </c:pt>
                <c:pt idx="47">
                  <c:v>217.7</c:v>
                </c:pt>
                <c:pt idx="48">
                  <c:v>218.7</c:v>
                </c:pt>
                <c:pt idx="49">
                  <c:v>220.9</c:v>
                </c:pt>
                <c:pt idx="50">
                  <c:v>223.5</c:v>
                </c:pt>
                <c:pt idx="51">
                  <c:v>226.2</c:v>
                </c:pt>
                <c:pt idx="52">
                  <c:v>228.3</c:v>
                </c:pt>
                <c:pt idx="53">
                  <c:v>230.4</c:v>
                </c:pt>
                <c:pt idx="54">
                  <c:v>232.2</c:v>
                </c:pt>
                <c:pt idx="55">
                  <c:v>235.5</c:v>
                </c:pt>
                <c:pt idx="56">
                  <c:v>237</c:v>
                </c:pt>
                <c:pt idx="57">
                  <c:v>238.1</c:v>
                </c:pt>
                <c:pt idx="58">
                  <c:v>240.7</c:v>
                </c:pt>
                <c:pt idx="59">
                  <c:v>243.9</c:v>
                </c:pt>
                <c:pt idx="60">
                  <c:v>246.8</c:v>
                </c:pt>
                <c:pt idx="61">
                  <c:v>249.3</c:v>
                </c:pt>
                <c:pt idx="62">
                  <c:v>251.8</c:v>
                </c:pt>
                <c:pt idx="63">
                  <c:v>255</c:v>
                </c:pt>
                <c:pt idx="64">
                  <c:v>256.2</c:v>
                </c:pt>
                <c:pt idx="65">
                  <c:v>258.2</c:v>
                </c:pt>
                <c:pt idx="66">
                  <c:v>261.39999999999998</c:v>
                </c:pt>
                <c:pt idx="67">
                  <c:v>264.7</c:v>
                </c:pt>
                <c:pt idx="68">
                  <c:v>266.8</c:v>
                </c:pt>
                <c:pt idx="69">
                  <c:v>270</c:v>
                </c:pt>
                <c:pt idx="70">
                  <c:v>272.60000000000002</c:v>
                </c:pt>
                <c:pt idx="71">
                  <c:v>274.5</c:v>
                </c:pt>
                <c:pt idx="72">
                  <c:v>278.3</c:v>
                </c:pt>
                <c:pt idx="73">
                  <c:v>281.60000000000002</c:v>
                </c:pt>
                <c:pt idx="74">
                  <c:v>284.60000000000002</c:v>
                </c:pt>
                <c:pt idx="75">
                  <c:v>288.10000000000002</c:v>
                </c:pt>
                <c:pt idx="76">
                  <c:v>290</c:v>
                </c:pt>
                <c:pt idx="77">
                  <c:v>294.39999999999998</c:v>
                </c:pt>
                <c:pt idx="78">
                  <c:v>297.8</c:v>
                </c:pt>
                <c:pt idx="79">
                  <c:v>301.7</c:v>
                </c:pt>
                <c:pt idx="80">
                  <c:v>304.2</c:v>
                </c:pt>
                <c:pt idx="81">
                  <c:v>308.2</c:v>
                </c:pt>
                <c:pt idx="82">
                  <c:v>312.10000000000002</c:v>
                </c:pt>
                <c:pt idx="83">
                  <c:v>316.60000000000002</c:v>
                </c:pt>
                <c:pt idx="84">
                  <c:v>319.60000000000002</c:v>
                </c:pt>
                <c:pt idx="85">
                  <c:v>324.8</c:v>
                </c:pt>
                <c:pt idx="86">
                  <c:v>329.8</c:v>
                </c:pt>
                <c:pt idx="87">
                  <c:v>333.9</c:v>
                </c:pt>
                <c:pt idx="88">
                  <c:v>339.9</c:v>
                </c:pt>
                <c:pt idx="89">
                  <c:v>345.4</c:v>
                </c:pt>
                <c:pt idx="90">
                  <c:v>351.1</c:v>
                </c:pt>
                <c:pt idx="91">
                  <c:v>357.4</c:v>
                </c:pt>
                <c:pt idx="92">
                  <c:v>363.9</c:v>
                </c:pt>
                <c:pt idx="93">
                  <c:v>370.5</c:v>
                </c:pt>
                <c:pt idx="94">
                  <c:v>378.9</c:v>
                </c:pt>
                <c:pt idx="95">
                  <c:v>387.2</c:v>
                </c:pt>
                <c:pt idx="96">
                  <c:v>396.6</c:v>
                </c:pt>
                <c:pt idx="97">
                  <c:v>407.8</c:v>
                </c:pt>
                <c:pt idx="98">
                  <c:v>422.2</c:v>
                </c:pt>
                <c:pt idx="99">
                  <c:v>443.4</c:v>
                </c:pt>
                <c:pt idx="100">
                  <c:v>461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6-3EE7-42F8-9B0B-A07A8C1580B4}"/>
            </c:ext>
          </c:extLst>
        </c:ser>
        <c:ser>
          <c:idx val="42"/>
          <c:order val="41"/>
          <c:tx>
            <c:v>LTO D12 HS2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'!$S$116:$S$216</c:f>
              <c:numCache>
                <c:formatCode>General</c:formatCode>
                <c:ptCount val="101"/>
                <c:pt idx="0">
                  <c:v>60.4</c:v>
                </c:pt>
                <c:pt idx="1">
                  <c:v>70.5</c:v>
                </c:pt>
                <c:pt idx="2">
                  <c:v>90.4</c:v>
                </c:pt>
                <c:pt idx="3">
                  <c:v>99.1</c:v>
                </c:pt>
                <c:pt idx="4">
                  <c:v>104.8</c:v>
                </c:pt>
                <c:pt idx="5">
                  <c:v>115.8</c:v>
                </c:pt>
                <c:pt idx="6">
                  <c:v>118.8</c:v>
                </c:pt>
                <c:pt idx="7">
                  <c:v>126.1</c:v>
                </c:pt>
                <c:pt idx="8">
                  <c:v>127.5</c:v>
                </c:pt>
                <c:pt idx="9">
                  <c:v>130.5</c:v>
                </c:pt>
                <c:pt idx="10">
                  <c:v>135.19999999999999</c:v>
                </c:pt>
                <c:pt idx="11">
                  <c:v>140.30000000000001</c:v>
                </c:pt>
                <c:pt idx="12">
                  <c:v>142.69999999999999</c:v>
                </c:pt>
                <c:pt idx="13">
                  <c:v>144.9</c:v>
                </c:pt>
                <c:pt idx="14">
                  <c:v>147.5</c:v>
                </c:pt>
                <c:pt idx="15">
                  <c:v>152</c:v>
                </c:pt>
                <c:pt idx="16">
                  <c:v>152.9</c:v>
                </c:pt>
                <c:pt idx="17">
                  <c:v>153.69999999999999</c:v>
                </c:pt>
                <c:pt idx="18">
                  <c:v>158.1</c:v>
                </c:pt>
                <c:pt idx="19">
                  <c:v>161</c:v>
                </c:pt>
                <c:pt idx="20">
                  <c:v>163.4</c:v>
                </c:pt>
                <c:pt idx="21">
                  <c:v>165.2</c:v>
                </c:pt>
                <c:pt idx="22">
                  <c:v>167.4</c:v>
                </c:pt>
                <c:pt idx="23">
                  <c:v>168.4</c:v>
                </c:pt>
                <c:pt idx="24">
                  <c:v>170.7</c:v>
                </c:pt>
                <c:pt idx="25">
                  <c:v>172.5</c:v>
                </c:pt>
                <c:pt idx="26">
                  <c:v>175.7</c:v>
                </c:pt>
                <c:pt idx="27">
                  <c:v>176.4</c:v>
                </c:pt>
                <c:pt idx="28">
                  <c:v>177.7</c:v>
                </c:pt>
                <c:pt idx="29">
                  <c:v>179.9</c:v>
                </c:pt>
                <c:pt idx="30">
                  <c:v>182</c:v>
                </c:pt>
                <c:pt idx="31">
                  <c:v>184.2</c:v>
                </c:pt>
                <c:pt idx="32">
                  <c:v>186.1</c:v>
                </c:pt>
                <c:pt idx="33">
                  <c:v>188.8</c:v>
                </c:pt>
                <c:pt idx="34">
                  <c:v>190.1</c:v>
                </c:pt>
                <c:pt idx="35">
                  <c:v>191.4</c:v>
                </c:pt>
                <c:pt idx="36">
                  <c:v>194.9</c:v>
                </c:pt>
                <c:pt idx="37">
                  <c:v>197.1</c:v>
                </c:pt>
                <c:pt idx="38">
                  <c:v>198</c:v>
                </c:pt>
                <c:pt idx="39">
                  <c:v>198.7</c:v>
                </c:pt>
                <c:pt idx="40">
                  <c:v>201.8</c:v>
                </c:pt>
                <c:pt idx="41">
                  <c:v>203.8</c:v>
                </c:pt>
                <c:pt idx="42">
                  <c:v>205.4</c:v>
                </c:pt>
                <c:pt idx="43">
                  <c:v>207.3</c:v>
                </c:pt>
                <c:pt idx="44">
                  <c:v>209.2</c:v>
                </c:pt>
                <c:pt idx="45">
                  <c:v>211.4</c:v>
                </c:pt>
                <c:pt idx="46">
                  <c:v>213.6</c:v>
                </c:pt>
                <c:pt idx="47">
                  <c:v>216.1</c:v>
                </c:pt>
                <c:pt idx="48">
                  <c:v>217.7</c:v>
                </c:pt>
                <c:pt idx="49">
                  <c:v>218.5</c:v>
                </c:pt>
                <c:pt idx="50">
                  <c:v>220.6</c:v>
                </c:pt>
                <c:pt idx="51">
                  <c:v>222.8</c:v>
                </c:pt>
                <c:pt idx="52">
                  <c:v>225.4</c:v>
                </c:pt>
                <c:pt idx="53">
                  <c:v>227.7</c:v>
                </c:pt>
                <c:pt idx="54">
                  <c:v>229.7</c:v>
                </c:pt>
                <c:pt idx="55">
                  <c:v>231.5</c:v>
                </c:pt>
                <c:pt idx="56">
                  <c:v>233.9</c:v>
                </c:pt>
                <c:pt idx="57">
                  <c:v>236.7</c:v>
                </c:pt>
                <c:pt idx="58">
                  <c:v>237.6</c:v>
                </c:pt>
                <c:pt idx="59">
                  <c:v>239.3</c:v>
                </c:pt>
                <c:pt idx="60">
                  <c:v>242.1</c:v>
                </c:pt>
                <c:pt idx="61">
                  <c:v>245.1</c:v>
                </c:pt>
                <c:pt idx="62">
                  <c:v>247.7</c:v>
                </c:pt>
                <c:pt idx="63">
                  <c:v>250.2</c:v>
                </c:pt>
                <c:pt idx="64">
                  <c:v>252.9</c:v>
                </c:pt>
                <c:pt idx="65">
                  <c:v>255.5</c:v>
                </c:pt>
                <c:pt idx="66">
                  <c:v>256.60000000000002</c:v>
                </c:pt>
                <c:pt idx="67">
                  <c:v>258.89999999999998</c:v>
                </c:pt>
                <c:pt idx="68">
                  <c:v>262.3</c:v>
                </c:pt>
                <c:pt idx="69">
                  <c:v>265.2</c:v>
                </c:pt>
                <c:pt idx="70">
                  <c:v>267.3</c:v>
                </c:pt>
                <c:pt idx="71">
                  <c:v>270.5</c:v>
                </c:pt>
                <c:pt idx="72">
                  <c:v>272.89999999999998</c:v>
                </c:pt>
                <c:pt idx="73">
                  <c:v>274.89999999999998</c:v>
                </c:pt>
                <c:pt idx="74">
                  <c:v>278.7</c:v>
                </c:pt>
                <c:pt idx="75">
                  <c:v>281.89999999999998</c:v>
                </c:pt>
                <c:pt idx="76">
                  <c:v>284.89999999999998</c:v>
                </c:pt>
                <c:pt idx="77">
                  <c:v>288.3</c:v>
                </c:pt>
                <c:pt idx="78">
                  <c:v>290.3</c:v>
                </c:pt>
                <c:pt idx="79">
                  <c:v>294.7</c:v>
                </c:pt>
                <c:pt idx="80">
                  <c:v>298</c:v>
                </c:pt>
                <c:pt idx="81">
                  <c:v>302</c:v>
                </c:pt>
                <c:pt idx="82">
                  <c:v>304.39999999999998</c:v>
                </c:pt>
                <c:pt idx="83">
                  <c:v>308.39999999999998</c:v>
                </c:pt>
                <c:pt idx="84">
                  <c:v>312.3</c:v>
                </c:pt>
                <c:pt idx="85">
                  <c:v>316.8</c:v>
                </c:pt>
                <c:pt idx="86">
                  <c:v>320</c:v>
                </c:pt>
                <c:pt idx="87">
                  <c:v>325.2</c:v>
                </c:pt>
                <c:pt idx="88">
                  <c:v>330.3</c:v>
                </c:pt>
                <c:pt idx="89">
                  <c:v>334.7</c:v>
                </c:pt>
                <c:pt idx="90">
                  <c:v>340.8</c:v>
                </c:pt>
                <c:pt idx="91">
                  <c:v>346.1</c:v>
                </c:pt>
                <c:pt idx="92">
                  <c:v>352.8</c:v>
                </c:pt>
                <c:pt idx="93">
                  <c:v>359.1</c:v>
                </c:pt>
                <c:pt idx="94">
                  <c:v>367.2</c:v>
                </c:pt>
                <c:pt idx="95">
                  <c:v>375.5</c:v>
                </c:pt>
                <c:pt idx="96">
                  <c:v>385.4</c:v>
                </c:pt>
                <c:pt idx="97">
                  <c:v>397.6</c:v>
                </c:pt>
                <c:pt idx="98">
                  <c:v>413</c:v>
                </c:pt>
                <c:pt idx="99">
                  <c:v>436.9</c:v>
                </c:pt>
                <c:pt idx="100">
                  <c:v>456.6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7-3EE7-42F8-9B0B-A07A8C1580B4}"/>
            </c:ext>
          </c:extLst>
        </c:ser>
        <c:ser>
          <c:idx val="43"/>
          <c:order val="42"/>
          <c:tx>
            <c:v>LTO D13 HS3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'!$T$116:$T$216</c:f>
              <c:numCache>
                <c:formatCode>General</c:formatCode>
                <c:ptCount val="101"/>
                <c:pt idx="0">
                  <c:v>68.099999999999994</c:v>
                </c:pt>
                <c:pt idx="1">
                  <c:v>82.3</c:v>
                </c:pt>
                <c:pt idx="2">
                  <c:v>97.1</c:v>
                </c:pt>
                <c:pt idx="3">
                  <c:v>101</c:v>
                </c:pt>
                <c:pt idx="4">
                  <c:v>113.3</c:v>
                </c:pt>
                <c:pt idx="5">
                  <c:v>117.3</c:v>
                </c:pt>
                <c:pt idx="6">
                  <c:v>122.6</c:v>
                </c:pt>
                <c:pt idx="7">
                  <c:v>127.1</c:v>
                </c:pt>
                <c:pt idx="8">
                  <c:v>128.1</c:v>
                </c:pt>
                <c:pt idx="9">
                  <c:v>134.19999999999999</c:v>
                </c:pt>
                <c:pt idx="10">
                  <c:v>138.80000000000001</c:v>
                </c:pt>
                <c:pt idx="11">
                  <c:v>141.80000000000001</c:v>
                </c:pt>
                <c:pt idx="12">
                  <c:v>144</c:v>
                </c:pt>
                <c:pt idx="13">
                  <c:v>146.6</c:v>
                </c:pt>
                <c:pt idx="14">
                  <c:v>149.80000000000001</c:v>
                </c:pt>
                <c:pt idx="15">
                  <c:v>152.6</c:v>
                </c:pt>
                <c:pt idx="16">
                  <c:v>153.30000000000001</c:v>
                </c:pt>
                <c:pt idx="17">
                  <c:v>156.19999999999999</c:v>
                </c:pt>
                <c:pt idx="18">
                  <c:v>160.1</c:v>
                </c:pt>
                <c:pt idx="19">
                  <c:v>162.5</c:v>
                </c:pt>
                <c:pt idx="20">
                  <c:v>164.3</c:v>
                </c:pt>
                <c:pt idx="21">
                  <c:v>166.9</c:v>
                </c:pt>
                <c:pt idx="22">
                  <c:v>168</c:v>
                </c:pt>
                <c:pt idx="23">
                  <c:v>169.4</c:v>
                </c:pt>
                <c:pt idx="24">
                  <c:v>171.6</c:v>
                </c:pt>
                <c:pt idx="25">
                  <c:v>175.1</c:v>
                </c:pt>
                <c:pt idx="26">
                  <c:v>176.1</c:v>
                </c:pt>
                <c:pt idx="27">
                  <c:v>176.9</c:v>
                </c:pt>
                <c:pt idx="28">
                  <c:v>178.8</c:v>
                </c:pt>
                <c:pt idx="29">
                  <c:v>181.1</c:v>
                </c:pt>
                <c:pt idx="30">
                  <c:v>183.5</c:v>
                </c:pt>
                <c:pt idx="31">
                  <c:v>185.3</c:v>
                </c:pt>
                <c:pt idx="32">
                  <c:v>187.5</c:v>
                </c:pt>
                <c:pt idx="33">
                  <c:v>189.6</c:v>
                </c:pt>
                <c:pt idx="34">
                  <c:v>190.9</c:v>
                </c:pt>
                <c:pt idx="35">
                  <c:v>193.3</c:v>
                </c:pt>
                <c:pt idx="36">
                  <c:v>196.2</c:v>
                </c:pt>
                <c:pt idx="37">
                  <c:v>197.6</c:v>
                </c:pt>
                <c:pt idx="38">
                  <c:v>198.3</c:v>
                </c:pt>
                <c:pt idx="39">
                  <c:v>200.2</c:v>
                </c:pt>
                <c:pt idx="40">
                  <c:v>203</c:v>
                </c:pt>
                <c:pt idx="41">
                  <c:v>204.6</c:v>
                </c:pt>
                <c:pt idx="42">
                  <c:v>206.2</c:v>
                </c:pt>
                <c:pt idx="43">
                  <c:v>208.2</c:v>
                </c:pt>
                <c:pt idx="44">
                  <c:v>210.2</c:v>
                </c:pt>
                <c:pt idx="45">
                  <c:v>212.4</c:v>
                </c:pt>
                <c:pt idx="46">
                  <c:v>214.7</c:v>
                </c:pt>
                <c:pt idx="47">
                  <c:v>217.1</c:v>
                </c:pt>
                <c:pt idx="48">
                  <c:v>218.1</c:v>
                </c:pt>
                <c:pt idx="49">
                  <c:v>219.6</c:v>
                </c:pt>
                <c:pt idx="50">
                  <c:v>221.5</c:v>
                </c:pt>
                <c:pt idx="51">
                  <c:v>223.9</c:v>
                </c:pt>
                <c:pt idx="52">
                  <c:v>226.4</c:v>
                </c:pt>
                <c:pt idx="53">
                  <c:v>228.6</c:v>
                </c:pt>
                <c:pt idx="54">
                  <c:v>230.5</c:v>
                </c:pt>
                <c:pt idx="55">
                  <c:v>232.3</c:v>
                </c:pt>
                <c:pt idx="56">
                  <c:v>235.3</c:v>
                </c:pt>
                <c:pt idx="57">
                  <c:v>237.1</c:v>
                </c:pt>
                <c:pt idx="58">
                  <c:v>238</c:v>
                </c:pt>
                <c:pt idx="59">
                  <c:v>240.3</c:v>
                </c:pt>
                <c:pt idx="60">
                  <c:v>243.3</c:v>
                </c:pt>
                <c:pt idx="61">
                  <c:v>246.3</c:v>
                </c:pt>
                <c:pt idx="62">
                  <c:v>248.6</c:v>
                </c:pt>
                <c:pt idx="63">
                  <c:v>251.1</c:v>
                </c:pt>
                <c:pt idx="64">
                  <c:v>254.1</c:v>
                </c:pt>
                <c:pt idx="65">
                  <c:v>255.9</c:v>
                </c:pt>
                <c:pt idx="66">
                  <c:v>257.10000000000002</c:v>
                </c:pt>
                <c:pt idx="67">
                  <c:v>260</c:v>
                </c:pt>
                <c:pt idx="68">
                  <c:v>263.3</c:v>
                </c:pt>
                <c:pt idx="69">
                  <c:v>265.8</c:v>
                </c:pt>
                <c:pt idx="70">
                  <c:v>268</c:v>
                </c:pt>
                <c:pt idx="71">
                  <c:v>271.5</c:v>
                </c:pt>
                <c:pt idx="72">
                  <c:v>273.2</c:v>
                </c:pt>
                <c:pt idx="73">
                  <c:v>275.8</c:v>
                </c:pt>
                <c:pt idx="74">
                  <c:v>279.60000000000002</c:v>
                </c:pt>
                <c:pt idx="75">
                  <c:v>282.60000000000002</c:v>
                </c:pt>
                <c:pt idx="76">
                  <c:v>285.7</c:v>
                </c:pt>
                <c:pt idx="77">
                  <c:v>288.60000000000002</c:v>
                </c:pt>
                <c:pt idx="78">
                  <c:v>291.10000000000002</c:v>
                </c:pt>
                <c:pt idx="79">
                  <c:v>295.5</c:v>
                </c:pt>
                <c:pt idx="80">
                  <c:v>298.60000000000002</c:v>
                </c:pt>
                <c:pt idx="81">
                  <c:v>302.60000000000002</c:v>
                </c:pt>
                <c:pt idx="82">
                  <c:v>304.8</c:v>
                </c:pt>
                <c:pt idx="83">
                  <c:v>309.10000000000002</c:v>
                </c:pt>
                <c:pt idx="84">
                  <c:v>312.8</c:v>
                </c:pt>
                <c:pt idx="85">
                  <c:v>317.2</c:v>
                </c:pt>
                <c:pt idx="86">
                  <c:v>320.60000000000002</c:v>
                </c:pt>
                <c:pt idx="87">
                  <c:v>325.60000000000002</c:v>
                </c:pt>
                <c:pt idx="88">
                  <c:v>330.8</c:v>
                </c:pt>
                <c:pt idx="89">
                  <c:v>335.3</c:v>
                </c:pt>
                <c:pt idx="90">
                  <c:v>341.3</c:v>
                </c:pt>
                <c:pt idx="91">
                  <c:v>346.5</c:v>
                </c:pt>
                <c:pt idx="92">
                  <c:v>353.1</c:v>
                </c:pt>
                <c:pt idx="93">
                  <c:v>359.5</c:v>
                </c:pt>
                <c:pt idx="94">
                  <c:v>367.6</c:v>
                </c:pt>
                <c:pt idx="95">
                  <c:v>375.8</c:v>
                </c:pt>
                <c:pt idx="96">
                  <c:v>385.7</c:v>
                </c:pt>
                <c:pt idx="97">
                  <c:v>397.9</c:v>
                </c:pt>
                <c:pt idx="98">
                  <c:v>413.3</c:v>
                </c:pt>
                <c:pt idx="99">
                  <c:v>437.2</c:v>
                </c:pt>
                <c:pt idx="100">
                  <c:v>456.9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8-3EE7-42F8-9B0B-A07A8C1580B4}"/>
            </c:ext>
          </c:extLst>
        </c:ser>
        <c:ser>
          <c:idx val="44"/>
          <c:order val="43"/>
          <c:tx>
            <c:v>LTO D14 HS4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'!$U$116:$U$216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9-3EE7-42F8-9B0B-A07A8C1580B4}"/>
            </c:ext>
          </c:extLst>
        </c:ser>
        <c:ser>
          <c:idx val="45"/>
          <c:order val="44"/>
          <c:tx>
            <c:v>LTO D15 HS5</c:v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'!$V$116:$V$216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A-3EE7-42F8-9B0B-A07A8C1580B4}"/>
            </c:ext>
          </c:extLst>
        </c:ser>
        <c:ser>
          <c:idx val="46"/>
          <c:order val="45"/>
          <c:tx>
            <c:v>LTO D16_1 HS6</c:v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'!$W$116:$W$216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B-3EE7-42F8-9B0B-A07A8C1580B4}"/>
            </c:ext>
          </c:extLst>
        </c:ser>
        <c:ser>
          <c:idx val="47"/>
          <c:order val="46"/>
          <c:tx>
            <c:v>LTO D16_2 HS6</c:v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'!$X$116:$X$216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C-3EE7-42F8-9B0B-A07A8C158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1948943"/>
        <c:axId val="1611934063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4"/>
                <c:tx>
                  <c:v>HPS Aging 2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'HPS LTO DAILY '!$I$10:$I$90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140.19999999999999</c:v>
                      </c:pt>
                      <c:pt idx="1">
                        <c:v>179</c:v>
                      </c:pt>
                      <c:pt idx="2">
                        <c:v>220.7</c:v>
                      </c:pt>
                      <c:pt idx="3">
                        <c:v>247.3</c:v>
                      </c:pt>
                      <c:pt idx="4">
                        <c:v>269.8</c:v>
                      </c:pt>
                      <c:pt idx="5">
                        <c:v>290.8</c:v>
                      </c:pt>
                      <c:pt idx="6">
                        <c:v>307.5</c:v>
                      </c:pt>
                      <c:pt idx="7">
                        <c:v>322.5</c:v>
                      </c:pt>
                      <c:pt idx="8">
                        <c:v>336</c:v>
                      </c:pt>
                      <c:pt idx="9">
                        <c:v>348.4</c:v>
                      </c:pt>
                      <c:pt idx="10">
                        <c:v>359.3</c:v>
                      </c:pt>
                      <c:pt idx="11">
                        <c:v>369.5</c:v>
                      </c:pt>
                      <c:pt idx="12">
                        <c:v>378.5</c:v>
                      </c:pt>
                      <c:pt idx="13">
                        <c:v>386.6</c:v>
                      </c:pt>
                      <c:pt idx="14">
                        <c:v>394.8</c:v>
                      </c:pt>
                      <c:pt idx="15">
                        <c:v>403</c:v>
                      </c:pt>
                      <c:pt idx="16">
                        <c:v>411.5</c:v>
                      </c:pt>
                      <c:pt idx="17">
                        <c:v>418.5</c:v>
                      </c:pt>
                      <c:pt idx="18">
                        <c:v>425.2</c:v>
                      </c:pt>
                      <c:pt idx="19">
                        <c:v>431.6</c:v>
                      </c:pt>
                      <c:pt idx="20">
                        <c:v>438.9</c:v>
                      </c:pt>
                      <c:pt idx="21">
                        <c:v>445.8</c:v>
                      </c:pt>
                      <c:pt idx="22">
                        <c:v>452.2</c:v>
                      </c:pt>
                      <c:pt idx="23">
                        <c:v>458.4</c:v>
                      </c:pt>
                      <c:pt idx="24">
                        <c:v>464.7</c:v>
                      </c:pt>
                      <c:pt idx="25">
                        <c:v>471.2</c:v>
                      </c:pt>
                      <c:pt idx="26">
                        <c:v>477.8</c:v>
                      </c:pt>
                      <c:pt idx="27">
                        <c:v>483.9</c:v>
                      </c:pt>
                      <c:pt idx="28">
                        <c:v>489.7</c:v>
                      </c:pt>
                      <c:pt idx="29">
                        <c:v>495.4</c:v>
                      </c:pt>
                      <c:pt idx="30">
                        <c:v>500.9</c:v>
                      </c:pt>
                      <c:pt idx="31">
                        <c:v>506.3</c:v>
                      </c:pt>
                      <c:pt idx="32">
                        <c:v>511.4</c:v>
                      </c:pt>
                      <c:pt idx="33">
                        <c:v>516.29999999999995</c:v>
                      </c:pt>
                      <c:pt idx="34">
                        <c:v>521.1</c:v>
                      </c:pt>
                      <c:pt idx="35">
                        <c:v>525.9</c:v>
                      </c:pt>
                      <c:pt idx="36">
                        <c:v>530.6</c:v>
                      </c:pt>
                      <c:pt idx="37">
                        <c:v>535</c:v>
                      </c:pt>
                      <c:pt idx="38">
                        <c:v>538.79999999999995</c:v>
                      </c:pt>
                      <c:pt idx="39">
                        <c:v>542.4</c:v>
                      </c:pt>
                      <c:pt idx="40">
                        <c:v>546.20000000000005</c:v>
                      </c:pt>
                      <c:pt idx="41">
                        <c:v>550.5</c:v>
                      </c:pt>
                      <c:pt idx="42">
                        <c:v>554.6</c:v>
                      </c:pt>
                      <c:pt idx="43">
                        <c:v>558.4</c:v>
                      </c:pt>
                      <c:pt idx="44">
                        <c:v>561.79999999999995</c:v>
                      </c:pt>
                      <c:pt idx="45">
                        <c:v>565.29999999999995</c:v>
                      </c:pt>
                      <c:pt idx="46">
                        <c:v>568.4</c:v>
                      </c:pt>
                      <c:pt idx="47">
                        <c:v>571.6</c:v>
                      </c:pt>
                      <c:pt idx="48">
                        <c:v>574.6</c:v>
                      </c:pt>
                      <c:pt idx="49">
                        <c:v>577.79999999999995</c:v>
                      </c:pt>
                      <c:pt idx="50">
                        <c:v>581</c:v>
                      </c:pt>
                      <c:pt idx="51">
                        <c:v>584.20000000000005</c:v>
                      </c:pt>
                      <c:pt idx="52">
                        <c:v>587.29999999999995</c:v>
                      </c:pt>
                      <c:pt idx="53">
                        <c:v>590.5</c:v>
                      </c:pt>
                      <c:pt idx="54">
                        <c:v>593.70000000000005</c:v>
                      </c:pt>
                      <c:pt idx="55">
                        <c:v>596.79999999999995</c:v>
                      </c:pt>
                      <c:pt idx="56">
                        <c:v>600</c:v>
                      </c:pt>
                      <c:pt idx="57">
                        <c:v>603.4</c:v>
                      </c:pt>
                      <c:pt idx="58">
                        <c:v>606.9</c:v>
                      </c:pt>
                      <c:pt idx="59">
                        <c:v>610.29999999999995</c:v>
                      </c:pt>
                      <c:pt idx="60">
                        <c:v>613.70000000000005</c:v>
                      </c:pt>
                      <c:pt idx="61">
                        <c:v>617.29999999999995</c:v>
                      </c:pt>
                      <c:pt idx="62">
                        <c:v>621.1</c:v>
                      </c:pt>
                      <c:pt idx="63">
                        <c:v>624.79999999999995</c:v>
                      </c:pt>
                      <c:pt idx="64">
                        <c:v>628.70000000000005</c:v>
                      </c:pt>
                      <c:pt idx="65">
                        <c:v>632.4</c:v>
                      </c:pt>
                      <c:pt idx="66">
                        <c:v>636.20000000000005</c:v>
                      </c:pt>
                      <c:pt idx="67">
                        <c:v>640.20000000000005</c:v>
                      </c:pt>
                      <c:pt idx="68">
                        <c:v>644.5</c:v>
                      </c:pt>
                      <c:pt idx="69">
                        <c:v>648.9</c:v>
                      </c:pt>
                      <c:pt idx="70">
                        <c:v>653.29999999999995</c:v>
                      </c:pt>
                      <c:pt idx="71">
                        <c:v>657.6</c:v>
                      </c:pt>
                      <c:pt idx="72">
                        <c:v>663.1</c:v>
                      </c:pt>
                      <c:pt idx="73">
                        <c:v>669.2</c:v>
                      </c:pt>
                      <c:pt idx="74">
                        <c:v>674.8</c:v>
                      </c:pt>
                      <c:pt idx="75">
                        <c:v>682.1</c:v>
                      </c:pt>
                      <c:pt idx="76">
                        <c:v>689</c:v>
                      </c:pt>
                      <c:pt idx="77">
                        <c:v>695.7</c:v>
                      </c:pt>
                      <c:pt idx="78">
                        <c:v>703.8</c:v>
                      </c:pt>
                      <c:pt idx="79">
                        <c:v>713.1</c:v>
                      </c:pt>
                      <c:pt idx="80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8AFB-4FCE-B367-E1B6F071C83C}"/>
                  </c:ext>
                </c:extLst>
              </c15:ser>
            </c15:filteredScatterSeries>
            <c15:filteredScatterSeries>
              <c15:ser>
                <c:idx val="2"/>
                <c:order val="5"/>
                <c:tx>
                  <c:v>HPS Aging 3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'!$J$10:$J$102</c15:sqref>
                        </c15:formulaRef>
                      </c:ext>
                    </c:extLst>
                    <c:numCache>
                      <c:formatCode>General</c:formatCode>
                      <c:ptCount val="93"/>
                      <c:pt idx="0">
                        <c:v>158.69999999999999</c:v>
                      </c:pt>
                      <c:pt idx="1">
                        <c:v>192.8</c:v>
                      </c:pt>
                      <c:pt idx="2">
                        <c:v>227.2</c:v>
                      </c:pt>
                      <c:pt idx="3">
                        <c:v>252.8</c:v>
                      </c:pt>
                      <c:pt idx="4">
                        <c:v>275.39999999999998</c:v>
                      </c:pt>
                      <c:pt idx="5">
                        <c:v>295.8</c:v>
                      </c:pt>
                      <c:pt idx="6">
                        <c:v>312.89999999999998</c:v>
                      </c:pt>
                      <c:pt idx="7">
                        <c:v>327.9</c:v>
                      </c:pt>
                      <c:pt idx="8">
                        <c:v>341.7</c:v>
                      </c:pt>
                      <c:pt idx="9">
                        <c:v>354.5</c:v>
                      </c:pt>
                      <c:pt idx="10">
                        <c:v>365.9</c:v>
                      </c:pt>
                      <c:pt idx="11">
                        <c:v>375.7</c:v>
                      </c:pt>
                      <c:pt idx="12">
                        <c:v>384.8</c:v>
                      </c:pt>
                      <c:pt idx="13">
                        <c:v>393.7</c:v>
                      </c:pt>
                      <c:pt idx="14">
                        <c:v>403</c:v>
                      </c:pt>
                      <c:pt idx="15">
                        <c:v>411.9</c:v>
                      </c:pt>
                      <c:pt idx="16">
                        <c:v>419.9</c:v>
                      </c:pt>
                      <c:pt idx="17">
                        <c:v>427.2</c:v>
                      </c:pt>
                      <c:pt idx="18">
                        <c:v>434.8</c:v>
                      </c:pt>
                      <c:pt idx="19">
                        <c:v>442.4</c:v>
                      </c:pt>
                      <c:pt idx="20">
                        <c:v>449.8</c:v>
                      </c:pt>
                      <c:pt idx="21">
                        <c:v>456.7</c:v>
                      </c:pt>
                      <c:pt idx="22">
                        <c:v>463.4</c:v>
                      </c:pt>
                      <c:pt idx="23">
                        <c:v>470.3</c:v>
                      </c:pt>
                      <c:pt idx="24">
                        <c:v>477.3</c:v>
                      </c:pt>
                      <c:pt idx="25">
                        <c:v>483.9</c:v>
                      </c:pt>
                      <c:pt idx="26">
                        <c:v>489.9</c:v>
                      </c:pt>
                      <c:pt idx="27">
                        <c:v>495.8</c:v>
                      </c:pt>
                      <c:pt idx="28">
                        <c:v>501.6</c:v>
                      </c:pt>
                      <c:pt idx="29">
                        <c:v>507.1</c:v>
                      </c:pt>
                      <c:pt idx="30">
                        <c:v>512.29999999999995</c:v>
                      </c:pt>
                      <c:pt idx="31">
                        <c:v>517.29999999999995</c:v>
                      </c:pt>
                      <c:pt idx="32">
                        <c:v>522.1</c:v>
                      </c:pt>
                      <c:pt idx="33">
                        <c:v>527</c:v>
                      </c:pt>
                      <c:pt idx="34">
                        <c:v>531.70000000000005</c:v>
                      </c:pt>
                      <c:pt idx="35">
                        <c:v>535.79999999999995</c:v>
                      </c:pt>
                      <c:pt idx="36">
                        <c:v>539.6</c:v>
                      </c:pt>
                      <c:pt idx="37">
                        <c:v>543.20000000000005</c:v>
                      </c:pt>
                      <c:pt idx="38">
                        <c:v>547.1</c:v>
                      </c:pt>
                      <c:pt idx="39">
                        <c:v>551.29999999999995</c:v>
                      </c:pt>
                      <c:pt idx="40">
                        <c:v>555.4</c:v>
                      </c:pt>
                      <c:pt idx="41">
                        <c:v>559</c:v>
                      </c:pt>
                      <c:pt idx="42">
                        <c:v>562.29999999999995</c:v>
                      </c:pt>
                      <c:pt idx="43">
                        <c:v>565.70000000000005</c:v>
                      </c:pt>
                      <c:pt idx="44">
                        <c:v>568.79999999999995</c:v>
                      </c:pt>
                      <c:pt idx="45">
                        <c:v>571.79999999999995</c:v>
                      </c:pt>
                      <c:pt idx="46">
                        <c:v>574.79999999999995</c:v>
                      </c:pt>
                      <c:pt idx="47">
                        <c:v>578</c:v>
                      </c:pt>
                      <c:pt idx="48">
                        <c:v>581.1</c:v>
                      </c:pt>
                      <c:pt idx="49">
                        <c:v>584.29999999999995</c:v>
                      </c:pt>
                      <c:pt idx="50">
                        <c:v>587.4</c:v>
                      </c:pt>
                      <c:pt idx="51">
                        <c:v>590.5</c:v>
                      </c:pt>
                      <c:pt idx="52">
                        <c:v>593.6</c:v>
                      </c:pt>
                      <c:pt idx="53">
                        <c:v>596.70000000000005</c:v>
                      </c:pt>
                      <c:pt idx="54">
                        <c:v>599.9</c:v>
                      </c:pt>
                      <c:pt idx="55">
                        <c:v>603.20000000000005</c:v>
                      </c:pt>
                      <c:pt idx="56">
                        <c:v>606.70000000000005</c:v>
                      </c:pt>
                      <c:pt idx="57">
                        <c:v>610</c:v>
                      </c:pt>
                      <c:pt idx="58">
                        <c:v>613.5</c:v>
                      </c:pt>
                      <c:pt idx="59">
                        <c:v>617.1</c:v>
                      </c:pt>
                      <c:pt idx="60">
                        <c:v>620.79999999999995</c:v>
                      </c:pt>
                      <c:pt idx="61">
                        <c:v>624.6</c:v>
                      </c:pt>
                      <c:pt idx="62">
                        <c:v>628.4</c:v>
                      </c:pt>
                      <c:pt idx="63">
                        <c:v>632.1</c:v>
                      </c:pt>
                      <c:pt idx="64">
                        <c:v>636</c:v>
                      </c:pt>
                      <c:pt idx="65">
                        <c:v>640</c:v>
                      </c:pt>
                      <c:pt idx="66">
                        <c:v>644.29999999999995</c:v>
                      </c:pt>
                      <c:pt idx="67">
                        <c:v>648.79999999999995</c:v>
                      </c:pt>
                      <c:pt idx="68">
                        <c:v>653.20000000000005</c:v>
                      </c:pt>
                      <c:pt idx="69">
                        <c:v>657.5</c:v>
                      </c:pt>
                      <c:pt idx="70">
                        <c:v>663.1</c:v>
                      </c:pt>
                      <c:pt idx="71">
                        <c:v>669.2</c:v>
                      </c:pt>
                      <c:pt idx="72">
                        <c:v>674.8</c:v>
                      </c:pt>
                      <c:pt idx="73">
                        <c:v>682.2</c:v>
                      </c:pt>
                      <c:pt idx="74">
                        <c:v>689.1</c:v>
                      </c:pt>
                      <c:pt idx="75">
                        <c:v>695.9</c:v>
                      </c:pt>
                      <c:pt idx="76">
                        <c:v>703.9</c:v>
                      </c:pt>
                      <c:pt idx="77">
                        <c:v>713.1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AFB-4FCE-B367-E1B6F071C83C}"/>
                  </c:ext>
                </c:extLst>
              </c15:ser>
            </c15:filteredScatterSeries>
            <c15:filteredScatterSeries>
              <c15:ser>
                <c:idx val="3"/>
                <c:order val="6"/>
                <c:tx>
                  <c:v>HPS Aging 4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'!$K$10:$K$97</c15:sqref>
                        </c15:formulaRef>
                      </c:ext>
                    </c:extLst>
                    <c:numCache>
                      <c:formatCode>General</c:formatCode>
                      <c:ptCount val="88"/>
                      <c:pt idx="0">
                        <c:v>156</c:v>
                      </c:pt>
                      <c:pt idx="1">
                        <c:v>188.3</c:v>
                      </c:pt>
                      <c:pt idx="2">
                        <c:v>222</c:v>
                      </c:pt>
                      <c:pt idx="3">
                        <c:v>244.3</c:v>
                      </c:pt>
                      <c:pt idx="4">
                        <c:v>264.89999999999998</c:v>
                      </c:pt>
                      <c:pt idx="5">
                        <c:v>283.3</c:v>
                      </c:pt>
                      <c:pt idx="6">
                        <c:v>299.89999999999998</c:v>
                      </c:pt>
                      <c:pt idx="7">
                        <c:v>314.60000000000002</c:v>
                      </c:pt>
                      <c:pt idx="8">
                        <c:v>328.2</c:v>
                      </c:pt>
                      <c:pt idx="9">
                        <c:v>340.8</c:v>
                      </c:pt>
                      <c:pt idx="10">
                        <c:v>352.6</c:v>
                      </c:pt>
                      <c:pt idx="11">
                        <c:v>363</c:v>
                      </c:pt>
                      <c:pt idx="12">
                        <c:v>372.7</c:v>
                      </c:pt>
                      <c:pt idx="13">
                        <c:v>381.3</c:v>
                      </c:pt>
                      <c:pt idx="14">
                        <c:v>389.4</c:v>
                      </c:pt>
                      <c:pt idx="15">
                        <c:v>398.3</c:v>
                      </c:pt>
                      <c:pt idx="16">
                        <c:v>407</c:v>
                      </c:pt>
                      <c:pt idx="17">
                        <c:v>415</c:v>
                      </c:pt>
                      <c:pt idx="18">
                        <c:v>422.2</c:v>
                      </c:pt>
                      <c:pt idx="19">
                        <c:v>429</c:v>
                      </c:pt>
                      <c:pt idx="20">
                        <c:v>436.5</c:v>
                      </c:pt>
                      <c:pt idx="21">
                        <c:v>443.7</c:v>
                      </c:pt>
                      <c:pt idx="22">
                        <c:v>450.7</c:v>
                      </c:pt>
                      <c:pt idx="23">
                        <c:v>457.1</c:v>
                      </c:pt>
                      <c:pt idx="24">
                        <c:v>463.4</c:v>
                      </c:pt>
                      <c:pt idx="25">
                        <c:v>470</c:v>
                      </c:pt>
                      <c:pt idx="26">
                        <c:v>476.5</c:v>
                      </c:pt>
                      <c:pt idx="27">
                        <c:v>482.8</c:v>
                      </c:pt>
                      <c:pt idx="28">
                        <c:v>488.5</c:v>
                      </c:pt>
                      <c:pt idx="29">
                        <c:v>494</c:v>
                      </c:pt>
                      <c:pt idx="30">
                        <c:v>499.3</c:v>
                      </c:pt>
                      <c:pt idx="31">
                        <c:v>504.5</c:v>
                      </c:pt>
                      <c:pt idx="32">
                        <c:v>509.5</c:v>
                      </c:pt>
                      <c:pt idx="33">
                        <c:v>514.20000000000005</c:v>
                      </c:pt>
                      <c:pt idx="34">
                        <c:v>518.70000000000005</c:v>
                      </c:pt>
                      <c:pt idx="35">
                        <c:v>523.1</c:v>
                      </c:pt>
                      <c:pt idx="36">
                        <c:v>527.5</c:v>
                      </c:pt>
                      <c:pt idx="37">
                        <c:v>531.79999999999995</c:v>
                      </c:pt>
                      <c:pt idx="38">
                        <c:v>535.6</c:v>
                      </c:pt>
                      <c:pt idx="39">
                        <c:v>539</c:v>
                      </c:pt>
                      <c:pt idx="40">
                        <c:v>542.29999999999995</c:v>
                      </c:pt>
                      <c:pt idx="41">
                        <c:v>545.5</c:v>
                      </c:pt>
                      <c:pt idx="42">
                        <c:v>549.4</c:v>
                      </c:pt>
                      <c:pt idx="43">
                        <c:v>553.1</c:v>
                      </c:pt>
                      <c:pt idx="44">
                        <c:v>556.6</c:v>
                      </c:pt>
                      <c:pt idx="45">
                        <c:v>559.79999999999995</c:v>
                      </c:pt>
                      <c:pt idx="46">
                        <c:v>562.79999999999995</c:v>
                      </c:pt>
                      <c:pt idx="47">
                        <c:v>565.79999999999995</c:v>
                      </c:pt>
                      <c:pt idx="48">
                        <c:v>568.6</c:v>
                      </c:pt>
                      <c:pt idx="49">
                        <c:v>571.4</c:v>
                      </c:pt>
                      <c:pt idx="50">
                        <c:v>574.1</c:v>
                      </c:pt>
                      <c:pt idx="51">
                        <c:v>576.9</c:v>
                      </c:pt>
                      <c:pt idx="52">
                        <c:v>579.70000000000005</c:v>
                      </c:pt>
                      <c:pt idx="53">
                        <c:v>582.6</c:v>
                      </c:pt>
                      <c:pt idx="54">
                        <c:v>585.5</c:v>
                      </c:pt>
                      <c:pt idx="55">
                        <c:v>588.29999999999995</c:v>
                      </c:pt>
                      <c:pt idx="56">
                        <c:v>591.1</c:v>
                      </c:pt>
                      <c:pt idx="57">
                        <c:v>594</c:v>
                      </c:pt>
                      <c:pt idx="58">
                        <c:v>596.79999999999995</c:v>
                      </c:pt>
                      <c:pt idx="59">
                        <c:v>599.70000000000005</c:v>
                      </c:pt>
                      <c:pt idx="60">
                        <c:v>602.70000000000005</c:v>
                      </c:pt>
                      <c:pt idx="61">
                        <c:v>605.79999999999995</c:v>
                      </c:pt>
                      <c:pt idx="62">
                        <c:v>608.9</c:v>
                      </c:pt>
                      <c:pt idx="63">
                        <c:v>612</c:v>
                      </c:pt>
                      <c:pt idx="64">
                        <c:v>615.20000000000005</c:v>
                      </c:pt>
                      <c:pt idx="65">
                        <c:v>618.5</c:v>
                      </c:pt>
                      <c:pt idx="66">
                        <c:v>622</c:v>
                      </c:pt>
                      <c:pt idx="67">
                        <c:v>625.4</c:v>
                      </c:pt>
                      <c:pt idx="68">
                        <c:v>628.9</c:v>
                      </c:pt>
                      <c:pt idx="69">
                        <c:v>632.29999999999995</c:v>
                      </c:pt>
                      <c:pt idx="70">
                        <c:v>635.79999999999995</c:v>
                      </c:pt>
                      <c:pt idx="71">
                        <c:v>639.6</c:v>
                      </c:pt>
                      <c:pt idx="72">
                        <c:v>643.6</c:v>
                      </c:pt>
                      <c:pt idx="73">
                        <c:v>647.79999999999995</c:v>
                      </c:pt>
                      <c:pt idx="74">
                        <c:v>652</c:v>
                      </c:pt>
                      <c:pt idx="75">
                        <c:v>656.2</c:v>
                      </c:pt>
                      <c:pt idx="76">
                        <c:v>661.4</c:v>
                      </c:pt>
                      <c:pt idx="77">
                        <c:v>667.6</c:v>
                      </c:pt>
                      <c:pt idx="78">
                        <c:v>674</c:v>
                      </c:pt>
                      <c:pt idx="79">
                        <c:v>682.9</c:v>
                      </c:pt>
                      <c:pt idx="80">
                        <c:v>693.6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AFB-4FCE-B367-E1B6F071C83C}"/>
                  </c:ext>
                </c:extLst>
              </c15:ser>
            </c15:filteredScatterSeries>
            <c15:filteredScatterSeries>
              <c15:ser>
                <c:idx val="4"/>
                <c:order val="7"/>
                <c:tx>
                  <c:v>HPS D5 LS1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'!$L$10:$L$98</c15:sqref>
                        </c15:formulaRef>
                      </c:ext>
                    </c:extLst>
                    <c:numCache>
                      <c:formatCode>General</c:formatCode>
                      <c:ptCount val="89"/>
                      <c:pt idx="0">
                        <c:v>114.8</c:v>
                      </c:pt>
                      <c:pt idx="1">
                        <c:v>136.6</c:v>
                      </c:pt>
                      <c:pt idx="2">
                        <c:v>162.6</c:v>
                      </c:pt>
                      <c:pt idx="3">
                        <c:v>182.5</c:v>
                      </c:pt>
                      <c:pt idx="4">
                        <c:v>198.3</c:v>
                      </c:pt>
                      <c:pt idx="5">
                        <c:v>209.6</c:v>
                      </c:pt>
                      <c:pt idx="6">
                        <c:v>219.3</c:v>
                      </c:pt>
                      <c:pt idx="7">
                        <c:v>227.7</c:v>
                      </c:pt>
                      <c:pt idx="8">
                        <c:v>235.7</c:v>
                      </c:pt>
                      <c:pt idx="9">
                        <c:v>244.4</c:v>
                      </c:pt>
                      <c:pt idx="10">
                        <c:v>252.5</c:v>
                      </c:pt>
                      <c:pt idx="11">
                        <c:v>260.3</c:v>
                      </c:pt>
                      <c:pt idx="12">
                        <c:v>267.7</c:v>
                      </c:pt>
                      <c:pt idx="13">
                        <c:v>275.39999999999998</c:v>
                      </c:pt>
                      <c:pt idx="14">
                        <c:v>282.60000000000002</c:v>
                      </c:pt>
                      <c:pt idx="15">
                        <c:v>289.89999999999998</c:v>
                      </c:pt>
                      <c:pt idx="16">
                        <c:v>296.8</c:v>
                      </c:pt>
                      <c:pt idx="17">
                        <c:v>303.39999999999998</c:v>
                      </c:pt>
                      <c:pt idx="18">
                        <c:v>310.10000000000002</c:v>
                      </c:pt>
                      <c:pt idx="19">
                        <c:v>315.8</c:v>
                      </c:pt>
                      <c:pt idx="20">
                        <c:v>322.3</c:v>
                      </c:pt>
                      <c:pt idx="21">
                        <c:v>328</c:v>
                      </c:pt>
                      <c:pt idx="22">
                        <c:v>334.2</c:v>
                      </c:pt>
                      <c:pt idx="23">
                        <c:v>339.9</c:v>
                      </c:pt>
                      <c:pt idx="24">
                        <c:v>345.7</c:v>
                      </c:pt>
                      <c:pt idx="25">
                        <c:v>351.5</c:v>
                      </c:pt>
                      <c:pt idx="26">
                        <c:v>356.4</c:v>
                      </c:pt>
                      <c:pt idx="27">
                        <c:v>362</c:v>
                      </c:pt>
                      <c:pt idx="28">
                        <c:v>367.1</c:v>
                      </c:pt>
                      <c:pt idx="29">
                        <c:v>372.3</c:v>
                      </c:pt>
                      <c:pt idx="30">
                        <c:v>377.2</c:v>
                      </c:pt>
                      <c:pt idx="31">
                        <c:v>381.8</c:v>
                      </c:pt>
                      <c:pt idx="32">
                        <c:v>386.8</c:v>
                      </c:pt>
                      <c:pt idx="33">
                        <c:v>391.4</c:v>
                      </c:pt>
                      <c:pt idx="34">
                        <c:v>396.5</c:v>
                      </c:pt>
                      <c:pt idx="35">
                        <c:v>401.7</c:v>
                      </c:pt>
                      <c:pt idx="36">
                        <c:v>407</c:v>
                      </c:pt>
                      <c:pt idx="37">
                        <c:v>412</c:v>
                      </c:pt>
                      <c:pt idx="38">
                        <c:v>416.8</c:v>
                      </c:pt>
                      <c:pt idx="39">
                        <c:v>421.3</c:v>
                      </c:pt>
                      <c:pt idx="40">
                        <c:v>425.8</c:v>
                      </c:pt>
                      <c:pt idx="41">
                        <c:v>430.2</c:v>
                      </c:pt>
                      <c:pt idx="42">
                        <c:v>435.4</c:v>
                      </c:pt>
                      <c:pt idx="43">
                        <c:v>440.2</c:v>
                      </c:pt>
                      <c:pt idx="44">
                        <c:v>445.4</c:v>
                      </c:pt>
                      <c:pt idx="45">
                        <c:v>450.2</c:v>
                      </c:pt>
                      <c:pt idx="46">
                        <c:v>454.8</c:v>
                      </c:pt>
                      <c:pt idx="47">
                        <c:v>459.4</c:v>
                      </c:pt>
                      <c:pt idx="48">
                        <c:v>464.1</c:v>
                      </c:pt>
                      <c:pt idx="49">
                        <c:v>469.2</c:v>
                      </c:pt>
                      <c:pt idx="50">
                        <c:v>474.3</c:v>
                      </c:pt>
                      <c:pt idx="51">
                        <c:v>479.5</c:v>
                      </c:pt>
                      <c:pt idx="52">
                        <c:v>484.5</c:v>
                      </c:pt>
                      <c:pt idx="53">
                        <c:v>489.3</c:v>
                      </c:pt>
                      <c:pt idx="54">
                        <c:v>494</c:v>
                      </c:pt>
                      <c:pt idx="55">
                        <c:v>498.9</c:v>
                      </c:pt>
                      <c:pt idx="56">
                        <c:v>503.8</c:v>
                      </c:pt>
                      <c:pt idx="57">
                        <c:v>508.7</c:v>
                      </c:pt>
                      <c:pt idx="58">
                        <c:v>513.5</c:v>
                      </c:pt>
                      <c:pt idx="59">
                        <c:v>518.20000000000005</c:v>
                      </c:pt>
                      <c:pt idx="60">
                        <c:v>522.9</c:v>
                      </c:pt>
                      <c:pt idx="61">
                        <c:v>527.9</c:v>
                      </c:pt>
                      <c:pt idx="62">
                        <c:v>532.9</c:v>
                      </c:pt>
                      <c:pt idx="63">
                        <c:v>537.29999999999995</c:v>
                      </c:pt>
                      <c:pt idx="64">
                        <c:v>541.6</c:v>
                      </c:pt>
                      <c:pt idx="65">
                        <c:v>546.1</c:v>
                      </c:pt>
                      <c:pt idx="66">
                        <c:v>551.4</c:v>
                      </c:pt>
                      <c:pt idx="67">
                        <c:v>556.6</c:v>
                      </c:pt>
                      <c:pt idx="68">
                        <c:v>561.29999999999995</c:v>
                      </c:pt>
                      <c:pt idx="69">
                        <c:v>566.1</c:v>
                      </c:pt>
                      <c:pt idx="70">
                        <c:v>570.6</c:v>
                      </c:pt>
                      <c:pt idx="71">
                        <c:v>575.20000000000005</c:v>
                      </c:pt>
                      <c:pt idx="72">
                        <c:v>580.1</c:v>
                      </c:pt>
                      <c:pt idx="73">
                        <c:v>585.20000000000005</c:v>
                      </c:pt>
                      <c:pt idx="74">
                        <c:v>590.29999999999995</c:v>
                      </c:pt>
                      <c:pt idx="75">
                        <c:v>595.6</c:v>
                      </c:pt>
                      <c:pt idx="76">
                        <c:v>601.20000000000005</c:v>
                      </c:pt>
                      <c:pt idx="77">
                        <c:v>607.20000000000005</c:v>
                      </c:pt>
                      <c:pt idx="78">
                        <c:v>613.29999999999995</c:v>
                      </c:pt>
                      <c:pt idx="79">
                        <c:v>620</c:v>
                      </c:pt>
                      <c:pt idx="80">
                        <c:v>627.20000000000005</c:v>
                      </c:pt>
                      <c:pt idx="81">
                        <c:v>634.5</c:v>
                      </c:pt>
                      <c:pt idx="82">
                        <c:v>642.79999999999995</c:v>
                      </c:pt>
                      <c:pt idx="83">
                        <c:v>652</c:v>
                      </c:pt>
                      <c:pt idx="84">
                        <c:v>662.7</c:v>
                      </c:pt>
                      <c:pt idx="85">
                        <c:v>677.1</c:v>
                      </c:pt>
                      <c:pt idx="86">
                        <c:v>695.1</c:v>
                      </c:pt>
                      <c:pt idx="87">
                        <c:v>0</c:v>
                      </c:pt>
                      <c:pt idx="88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AFB-4FCE-B367-E1B6F071C83C}"/>
                  </c:ext>
                </c:extLst>
              </c15:ser>
            </c15:filteredScatterSeries>
            <c15:filteredScatterSeries>
              <c15:ser>
                <c:idx val="5"/>
                <c:order val="8"/>
                <c:tx>
                  <c:v>HPS D6 LS2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'!$M$10:$M$97</c15:sqref>
                        </c15:formulaRef>
                      </c:ext>
                    </c:extLst>
                    <c:numCache>
                      <c:formatCode>General</c:formatCode>
                      <c:ptCount val="88"/>
                      <c:pt idx="0">
                        <c:v>130.69999999999999</c:v>
                      </c:pt>
                      <c:pt idx="1">
                        <c:v>148.30000000000001</c:v>
                      </c:pt>
                      <c:pt idx="2">
                        <c:v>169.4</c:v>
                      </c:pt>
                      <c:pt idx="3">
                        <c:v>185</c:v>
                      </c:pt>
                      <c:pt idx="4">
                        <c:v>198.7</c:v>
                      </c:pt>
                      <c:pt idx="5">
                        <c:v>208.3</c:v>
                      </c:pt>
                      <c:pt idx="6">
                        <c:v>218</c:v>
                      </c:pt>
                      <c:pt idx="7">
                        <c:v>225.5</c:v>
                      </c:pt>
                      <c:pt idx="8">
                        <c:v>232.6</c:v>
                      </c:pt>
                      <c:pt idx="9">
                        <c:v>241.6</c:v>
                      </c:pt>
                      <c:pt idx="10">
                        <c:v>249.7</c:v>
                      </c:pt>
                      <c:pt idx="11">
                        <c:v>257.5</c:v>
                      </c:pt>
                      <c:pt idx="12">
                        <c:v>264.7</c:v>
                      </c:pt>
                      <c:pt idx="13">
                        <c:v>271.2</c:v>
                      </c:pt>
                      <c:pt idx="14">
                        <c:v>278</c:v>
                      </c:pt>
                      <c:pt idx="15">
                        <c:v>284.8</c:v>
                      </c:pt>
                      <c:pt idx="16">
                        <c:v>291.2</c:v>
                      </c:pt>
                      <c:pt idx="17">
                        <c:v>297.8</c:v>
                      </c:pt>
                      <c:pt idx="18">
                        <c:v>303.2</c:v>
                      </c:pt>
                      <c:pt idx="19">
                        <c:v>309.10000000000002</c:v>
                      </c:pt>
                      <c:pt idx="20">
                        <c:v>314.39999999999998</c:v>
                      </c:pt>
                      <c:pt idx="21">
                        <c:v>320.39999999999998</c:v>
                      </c:pt>
                      <c:pt idx="22">
                        <c:v>326.2</c:v>
                      </c:pt>
                      <c:pt idx="23">
                        <c:v>331</c:v>
                      </c:pt>
                      <c:pt idx="24">
                        <c:v>336.5</c:v>
                      </c:pt>
                      <c:pt idx="25">
                        <c:v>341.8</c:v>
                      </c:pt>
                      <c:pt idx="26">
                        <c:v>346.3</c:v>
                      </c:pt>
                      <c:pt idx="27">
                        <c:v>350.8</c:v>
                      </c:pt>
                      <c:pt idx="28">
                        <c:v>354.8</c:v>
                      </c:pt>
                      <c:pt idx="29">
                        <c:v>359.1</c:v>
                      </c:pt>
                      <c:pt idx="30">
                        <c:v>363.5</c:v>
                      </c:pt>
                      <c:pt idx="31">
                        <c:v>367.5</c:v>
                      </c:pt>
                      <c:pt idx="32">
                        <c:v>372.2</c:v>
                      </c:pt>
                      <c:pt idx="33">
                        <c:v>377.3</c:v>
                      </c:pt>
                      <c:pt idx="34">
                        <c:v>382</c:v>
                      </c:pt>
                      <c:pt idx="35">
                        <c:v>387</c:v>
                      </c:pt>
                      <c:pt idx="36">
                        <c:v>391.6</c:v>
                      </c:pt>
                      <c:pt idx="37">
                        <c:v>395.8</c:v>
                      </c:pt>
                      <c:pt idx="38">
                        <c:v>400.1</c:v>
                      </c:pt>
                      <c:pt idx="39">
                        <c:v>404.2</c:v>
                      </c:pt>
                      <c:pt idx="40">
                        <c:v>408.4</c:v>
                      </c:pt>
                      <c:pt idx="41">
                        <c:v>412.4</c:v>
                      </c:pt>
                      <c:pt idx="42">
                        <c:v>417.1</c:v>
                      </c:pt>
                      <c:pt idx="43">
                        <c:v>421.5</c:v>
                      </c:pt>
                      <c:pt idx="44">
                        <c:v>426.1</c:v>
                      </c:pt>
                      <c:pt idx="45">
                        <c:v>430.7</c:v>
                      </c:pt>
                      <c:pt idx="46">
                        <c:v>434.9</c:v>
                      </c:pt>
                      <c:pt idx="47">
                        <c:v>439.1</c:v>
                      </c:pt>
                      <c:pt idx="48">
                        <c:v>443.1</c:v>
                      </c:pt>
                      <c:pt idx="49">
                        <c:v>447.4</c:v>
                      </c:pt>
                      <c:pt idx="50">
                        <c:v>451.5</c:v>
                      </c:pt>
                      <c:pt idx="51">
                        <c:v>456</c:v>
                      </c:pt>
                      <c:pt idx="52">
                        <c:v>460.3</c:v>
                      </c:pt>
                      <c:pt idx="53">
                        <c:v>464.7</c:v>
                      </c:pt>
                      <c:pt idx="54">
                        <c:v>469.1</c:v>
                      </c:pt>
                      <c:pt idx="55">
                        <c:v>473.6</c:v>
                      </c:pt>
                      <c:pt idx="56">
                        <c:v>478</c:v>
                      </c:pt>
                      <c:pt idx="57">
                        <c:v>482.4</c:v>
                      </c:pt>
                      <c:pt idx="58">
                        <c:v>486.8</c:v>
                      </c:pt>
                      <c:pt idx="59">
                        <c:v>491.2</c:v>
                      </c:pt>
                      <c:pt idx="60">
                        <c:v>495.5</c:v>
                      </c:pt>
                      <c:pt idx="61">
                        <c:v>499.8</c:v>
                      </c:pt>
                      <c:pt idx="62">
                        <c:v>504</c:v>
                      </c:pt>
                      <c:pt idx="63">
                        <c:v>508.4</c:v>
                      </c:pt>
                      <c:pt idx="64">
                        <c:v>512.6</c:v>
                      </c:pt>
                      <c:pt idx="65">
                        <c:v>516.79999999999995</c:v>
                      </c:pt>
                      <c:pt idx="66">
                        <c:v>521.1</c:v>
                      </c:pt>
                      <c:pt idx="67">
                        <c:v>525.5</c:v>
                      </c:pt>
                      <c:pt idx="68">
                        <c:v>529.9</c:v>
                      </c:pt>
                      <c:pt idx="69">
                        <c:v>534.29999999999995</c:v>
                      </c:pt>
                      <c:pt idx="70">
                        <c:v>538.1</c:v>
                      </c:pt>
                      <c:pt idx="71">
                        <c:v>541.79999999999995</c:v>
                      </c:pt>
                      <c:pt idx="72">
                        <c:v>545.79999999999995</c:v>
                      </c:pt>
                      <c:pt idx="73">
                        <c:v>550.5</c:v>
                      </c:pt>
                      <c:pt idx="74">
                        <c:v>555.29999999999995</c:v>
                      </c:pt>
                      <c:pt idx="75">
                        <c:v>559.5</c:v>
                      </c:pt>
                      <c:pt idx="76">
                        <c:v>563.6</c:v>
                      </c:pt>
                      <c:pt idx="77">
                        <c:v>567.70000000000005</c:v>
                      </c:pt>
                      <c:pt idx="78">
                        <c:v>571.70000000000005</c:v>
                      </c:pt>
                      <c:pt idx="79">
                        <c:v>575.70000000000005</c:v>
                      </c:pt>
                      <c:pt idx="80">
                        <c:v>580</c:v>
                      </c:pt>
                      <c:pt idx="81">
                        <c:v>584.5</c:v>
                      </c:pt>
                      <c:pt idx="82">
                        <c:v>588.9</c:v>
                      </c:pt>
                      <c:pt idx="83">
                        <c:v>593.5</c:v>
                      </c:pt>
                      <c:pt idx="84">
                        <c:v>598.20000000000005</c:v>
                      </c:pt>
                      <c:pt idx="85">
                        <c:v>603.20000000000005</c:v>
                      </c:pt>
                      <c:pt idx="86">
                        <c:v>608.6</c:v>
                      </c:pt>
                      <c:pt idx="87">
                        <c:v>614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AFB-4FCE-B367-E1B6F071C83C}"/>
                  </c:ext>
                </c:extLst>
              </c15:ser>
            </c15:filteredScatterSeries>
            <c15:filteredScatterSeries>
              <c15:ser>
                <c:idx val="6"/>
                <c:order val="9"/>
                <c:tx>
                  <c:v>HPS D7 LS3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'!$N$10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130.1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AFB-4FCE-B367-E1B6F071C83C}"/>
                  </c:ext>
                </c:extLst>
              </c15:ser>
            </c15:filteredScatterSeries>
            <c15:filteredScatterSeries>
              <c15:ser>
                <c:idx val="7"/>
                <c:order val="10"/>
                <c:tx>
                  <c:v>HPS D8 LS4</c:v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'!$O$10:$O$101</c15:sqref>
                        </c15:formulaRef>
                      </c:ext>
                    </c:extLst>
                    <c:numCache>
                      <c:formatCode>General</c:formatCode>
                      <c:ptCount val="92"/>
                      <c:pt idx="0">
                        <c:v>131.80000000000001</c:v>
                      </c:pt>
                      <c:pt idx="1">
                        <c:v>150.6</c:v>
                      </c:pt>
                      <c:pt idx="2">
                        <c:v>173</c:v>
                      </c:pt>
                      <c:pt idx="3">
                        <c:v>187.1</c:v>
                      </c:pt>
                      <c:pt idx="4">
                        <c:v>200.7</c:v>
                      </c:pt>
                      <c:pt idx="5">
                        <c:v>212.7</c:v>
                      </c:pt>
                      <c:pt idx="6">
                        <c:v>221.5</c:v>
                      </c:pt>
                      <c:pt idx="7">
                        <c:v>229.7</c:v>
                      </c:pt>
                      <c:pt idx="8">
                        <c:v>238.2</c:v>
                      </c:pt>
                      <c:pt idx="9">
                        <c:v>247.1</c:v>
                      </c:pt>
                      <c:pt idx="10">
                        <c:v>255.4</c:v>
                      </c:pt>
                      <c:pt idx="11">
                        <c:v>263.10000000000002</c:v>
                      </c:pt>
                      <c:pt idx="12">
                        <c:v>270.10000000000002</c:v>
                      </c:pt>
                      <c:pt idx="13">
                        <c:v>277.60000000000002</c:v>
                      </c:pt>
                      <c:pt idx="14">
                        <c:v>284.8</c:v>
                      </c:pt>
                      <c:pt idx="15">
                        <c:v>291.60000000000002</c:v>
                      </c:pt>
                      <c:pt idx="16">
                        <c:v>298.10000000000002</c:v>
                      </c:pt>
                      <c:pt idx="17">
                        <c:v>304.60000000000002</c:v>
                      </c:pt>
                      <c:pt idx="18">
                        <c:v>310.89999999999998</c:v>
                      </c:pt>
                      <c:pt idx="19">
                        <c:v>316.2</c:v>
                      </c:pt>
                      <c:pt idx="20">
                        <c:v>322.39999999999998</c:v>
                      </c:pt>
                      <c:pt idx="21">
                        <c:v>328</c:v>
                      </c:pt>
                      <c:pt idx="22">
                        <c:v>333.7</c:v>
                      </c:pt>
                      <c:pt idx="23">
                        <c:v>339.6</c:v>
                      </c:pt>
                      <c:pt idx="24">
                        <c:v>344.4</c:v>
                      </c:pt>
                      <c:pt idx="25">
                        <c:v>349.3</c:v>
                      </c:pt>
                      <c:pt idx="26">
                        <c:v>353.8</c:v>
                      </c:pt>
                      <c:pt idx="27">
                        <c:v>358</c:v>
                      </c:pt>
                      <c:pt idx="28">
                        <c:v>362.6</c:v>
                      </c:pt>
                      <c:pt idx="29">
                        <c:v>366.8</c:v>
                      </c:pt>
                      <c:pt idx="30">
                        <c:v>371.7</c:v>
                      </c:pt>
                      <c:pt idx="31">
                        <c:v>376.9</c:v>
                      </c:pt>
                      <c:pt idx="32">
                        <c:v>381.9</c:v>
                      </c:pt>
                      <c:pt idx="33">
                        <c:v>387.2</c:v>
                      </c:pt>
                      <c:pt idx="34">
                        <c:v>391.9</c:v>
                      </c:pt>
                      <c:pt idx="35">
                        <c:v>396.2</c:v>
                      </c:pt>
                      <c:pt idx="36">
                        <c:v>400.4</c:v>
                      </c:pt>
                      <c:pt idx="37">
                        <c:v>404.9</c:v>
                      </c:pt>
                      <c:pt idx="38">
                        <c:v>409.3</c:v>
                      </c:pt>
                      <c:pt idx="39">
                        <c:v>413.6</c:v>
                      </c:pt>
                      <c:pt idx="40">
                        <c:v>418.4</c:v>
                      </c:pt>
                      <c:pt idx="41">
                        <c:v>423</c:v>
                      </c:pt>
                      <c:pt idx="42">
                        <c:v>427.7</c:v>
                      </c:pt>
                      <c:pt idx="43">
                        <c:v>432.2</c:v>
                      </c:pt>
                      <c:pt idx="44">
                        <c:v>436.6</c:v>
                      </c:pt>
                      <c:pt idx="45">
                        <c:v>440.8</c:v>
                      </c:pt>
                      <c:pt idx="46">
                        <c:v>445.1</c:v>
                      </c:pt>
                      <c:pt idx="47">
                        <c:v>449.4</c:v>
                      </c:pt>
                      <c:pt idx="48">
                        <c:v>453.9</c:v>
                      </c:pt>
                      <c:pt idx="49">
                        <c:v>458.4</c:v>
                      </c:pt>
                      <c:pt idx="50">
                        <c:v>462.9</c:v>
                      </c:pt>
                      <c:pt idx="51">
                        <c:v>467.4</c:v>
                      </c:pt>
                      <c:pt idx="52">
                        <c:v>472</c:v>
                      </c:pt>
                      <c:pt idx="53">
                        <c:v>476.5</c:v>
                      </c:pt>
                      <c:pt idx="54">
                        <c:v>481</c:v>
                      </c:pt>
                      <c:pt idx="55">
                        <c:v>485.5</c:v>
                      </c:pt>
                      <c:pt idx="56">
                        <c:v>489.9</c:v>
                      </c:pt>
                      <c:pt idx="57">
                        <c:v>494.4</c:v>
                      </c:pt>
                      <c:pt idx="58">
                        <c:v>498.7</c:v>
                      </c:pt>
                      <c:pt idx="59">
                        <c:v>503.1</c:v>
                      </c:pt>
                      <c:pt idx="60">
                        <c:v>507.4</c:v>
                      </c:pt>
                      <c:pt idx="61">
                        <c:v>511.7</c:v>
                      </c:pt>
                      <c:pt idx="62">
                        <c:v>516</c:v>
                      </c:pt>
                      <c:pt idx="63">
                        <c:v>520.4</c:v>
                      </c:pt>
                      <c:pt idx="64">
                        <c:v>524.70000000000005</c:v>
                      </c:pt>
                      <c:pt idx="65">
                        <c:v>529.20000000000005</c:v>
                      </c:pt>
                      <c:pt idx="66">
                        <c:v>533.70000000000005</c:v>
                      </c:pt>
                      <c:pt idx="67">
                        <c:v>537.5</c:v>
                      </c:pt>
                      <c:pt idx="68">
                        <c:v>541.29999999999995</c:v>
                      </c:pt>
                      <c:pt idx="69">
                        <c:v>545.20000000000005</c:v>
                      </c:pt>
                      <c:pt idx="70">
                        <c:v>549.9</c:v>
                      </c:pt>
                      <c:pt idx="71">
                        <c:v>554.70000000000005</c:v>
                      </c:pt>
                      <c:pt idx="72">
                        <c:v>559</c:v>
                      </c:pt>
                      <c:pt idx="73">
                        <c:v>563.1</c:v>
                      </c:pt>
                      <c:pt idx="74">
                        <c:v>567.20000000000005</c:v>
                      </c:pt>
                      <c:pt idx="75">
                        <c:v>571.20000000000005</c:v>
                      </c:pt>
                      <c:pt idx="76">
                        <c:v>575.20000000000005</c:v>
                      </c:pt>
                      <c:pt idx="77">
                        <c:v>579.5</c:v>
                      </c:pt>
                      <c:pt idx="78">
                        <c:v>583.9</c:v>
                      </c:pt>
                      <c:pt idx="79">
                        <c:v>588.4</c:v>
                      </c:pt>
                      <c:pt idx="80">
                        <c:v>592.9</c:v>
                      </c:pt>
                      <c:pt idx="81">
                        <c:v>597.6</c:v>
                      </c:pt>
                      <c:pt idx="82">
                        <c:v>602.6</c:v>
                      </c:pt>
                      <c:pt idx="83">
                        <c:v>607.9</c:v>
                      </c:pt>
                      <c:pt idx="84">
                        <c:v>613.29999999999995</c:v>
                      </c:pt>
                      <c:pt idx="85">
                        <c:v>619.20000000000005</c:v>
                      </c:pt>
                      <c:pt idx="86">
                        <c:v>625.29999999999995</c:v>
                      </c:pt>
                      <c:pt idx="87">
                        <c:v>631.5</c:v>
                      </c:pt>
                      <c:pt idx="88">
                        <c:v>638.20000000000005</c:v>
                      </c:pt>
                      <c:pt idx="89">
                        <c:v>645.70000000000005</c:v>
                      </c:pt>
                      <c:pt idx="90">
                        <c:v>653.5</c:v>
                      </c:pt>
                      <c:pt idx="91">
                        <c:v>662.4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AFB-4FCE-B367-E1B6F071C83C}"/>
                  </c:ext>
                </c:extLst>
              </c15:ser>
            </c15:filteredScatterSeries>
            <c15:filteredScatterSeries>
              <c15:ser>
                <c:idx val="8"/>
                <c:order val="11"/>
                <c:tx>
                  <c:v>HPS D9 LS5</c:v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'!$P$10:$P$99</c15:sqref>
                        </c15:formulaRef>
                      </c:ext>
                    </c:extLst>
                    <c:numCache>
                      <c:formatCode>General</c:formatCode>
                      <c:ptCount val="90"/>
                      <c:pt idx="0">
                        <c:v>149.30000000000001</c:v>
                      </c:pt>
                      <c:pt idx="1">
                        <c:v>165.4</c:v>
                      </c:pt>
                      <c:pt idx="2">
                        <c:v>186.9</c:v>
                      </c:pt>
                      <c:pt idx="3">
                        <c:v>202.1</c:v>
                      </c:pt>
                      <c:pt idx="4">
                        <c:v>214.3</c:v>
                      </c:pt>
                      <c:pt idx="5">
                        <c:v>223.4</c:v>
                      </c:pt>
                      <c:pt idx="6">
                        <c:v>231.3</c:v>
                      </c:pt>
                      <c:pt idx="7">
                        <c:v>241.2</c:v>
                      </c:pt>
                      <c:pt idx="8">
                        <c:v>249.7</c:v>
                      </c:pt>
                      <c:pt idx="9">
                        <c:v>258.60000000000002</c:v>
                      </c:pt>
                      <c:pt idx="10">
                        <c:v>266.3</c:v>
                      </c:pt>
                      <c:pt idx="11">
                        <c:v>274.10000000000002</c:v>
                      </c:pt>
                      <c:pt idx="12">
                        <c:v>282</c:v>
                      </c:pt>
                      <c:pt idx="13">
                        <c:v>289</c:v>
                      </c:pt>
                      <c:pt idx="14">
                        <c:v>295.8</c:v>
                      </c:pt>
                      <c:pt idx="15">
                        <c:v>301.60000000000002</c:v>
                      </c:pt>
                      <c:pt idx="16">
                        <c:v>308.2</c:v>
                      </c:pt>
                      <c:pt idx="17">
                        <c:v>314</c:v>
                      </c:pt>
                      <c:pt idx="18">
                        <c:v>320.39999999999998</c:v>
                      </c:pt>
                      <c:pt idx="19">
                        <c:v>326.8</c:v>
                      </c:pt>
                      <c:pt idx="20">
                        <c:v>332</c:v>
                      </c:pt>
                      <c:pt idx="21">
                        <c:v>337.9</c:v>
                      </c:pt>
                      <c:pt idx="22">
                        <c:v>342.9</c:v>
                      </c:pt>
                      <c:pt idx="23">
                        <c:v>348.2</c:v>
                      </c:pt>
                      <c:pt idx="24">
                        <c:v>353.1</c:v>
                      </c:pt>
                      <c:pt idx="25">
                        <c:v>357.1</c:v>
                      </c:pt>
                      <c:pt idx="26">
                        <c:v>361.8</c:v>
                      </c:pt>
                      <c:pt idx="27">
                        <c:v>366.1</c:v>
                      </c:pt>
                      <c:pt idx="28">
                        <c:v>370.9</c:v>
                      </c:pt>
                      <c:pt idx="29">
                        <c:v>376.4</c:v>
                      </c:pt>
                      <c:pt idx="30">
                        <c:v>381.4</c:v>
                      </c:pt>
                      <c:pt idx="31">
                        <c:v>386.6</c:v>
                      </c:pt>
                      <c:pt idx="32">
                        <c:v>391.5</c:v>
                      </c:pt>
                      <c:pt idx="33">
                        <c:v>396</c:v>
                      </c:pt>
                      <c:pt idx="34">
                        <c:v>400.3</c:v>
                      </c:pt>
                      <c:pt idx="35">
                        <c:v>404.8</c:v>
                      </c:pt>
                      <c:pt idx="36">
                        <c:v>409.2</c:v>
                      </c:pt>
                      <c:pt idx="37">
                        <c:v>413.5</c:v>
                      </c:pt>
                      <c:pt idx="38">
                        <c:v>418.4</c:v>
                      </c:pt>
                      <c:pt idx="39">
                        <c:v>423.1</c:v>
                      </c:pt>
                      <c:pt idx="40">
                        <c:v>427.9</c:v>
                      </c:pt>
                      <c:pt idx="41">
                        <c:v>432.5</c:v>
                      </c:pt>
                      <c:pt idx="42">
                        <c:v>436.9</c:v>
                      </c:pt>
                      <c:pt idx="43">
                        <c:v>441.1</c:v>
                      </c:pt>
                      <c:pt idx="44">
                        <c:v>445.5</c:v>
                      </c:pt>
                      <c:pt idx="45">
                        <c:v>449.9</c:v>
                      </c:pt>
                      <c:pt idx="46">
                        <c:v>454.4</c:v>
                      </c:pt>
                      <c:pt idx="47">
                        <c:v>458.9</c:v>
                      </c:pt>
                      <c:pt idx="48">
                        <c:v>463.5</c:v>
                      </c:pt>
                      <c:pt idx="49">
                        <c:v>468</c:v>
                      </c:pt>
                      <c:pt idx="50">
                        <c:v>472.7</c:v>
                      </c:pt>
                      <c:pt idx="51">
                        <c:v>477.2</c:v>
                      </c:pt>
                      <c:pt idx="52">
                        <c:v>481.8</c:v>
                      </c:pt>
                      <c:pt idx="53">
                        <c:v>486.3</c:v>
                      </c:pt>
                      <c:pt idx="54">
                        <c:v>490.8</c:v>
                      </c:pt>
                      <c:pt idx="55">
                        <c:v>495.3</c:v>
                      </c:pt>
                      <c:pt idx="56">
                        <c:v>499.6</c:v>
                      </c:pt>
                      <c:pt idx="57">
                        <c:v>504</c:v>
                      </c:pt>
                      <c:pt idx="58">
                        <c:v>508.4</c:v>
                      </c:pt>
                      <c:pt idx="59">
                        <c:v>512.70000000000005</c:v>
                      </c:pt>
                      <c:pt idx="60">
                        <c:v>517</c:v>
                      </c:pt>
                      <c:pt idx="61">
                        <c:v>521.4</c:v>
                      </c:pt>
                      <c:pt idx="62">
                        <c:v>525.9</c:v>
                      </c:pt>
                      <c:pt idx="63">
                        <c:v>530.29999999999995</c:v>
                      </c:pt>
                      <c:pt idx="64">
                        <c:v>534.70000000000005</c:v>
                      </c:pt>
                      <c:pt idx="65">
                        <c:v>538.6</c:v>
                      </c:pt>
                      <c:pt idx="66">
                        <c:v>542.4</c:v>
                      </c:pt>
                      <c:pt idx="67">
                        <c:v>546.5</c:v>
                      </c:pt>
                      <c:pt idx="68">
                        <c:v>551.29999999999995</c:v>
                      </c:pt>
                      <c:pt idx="69">
                        <c:v>556.1</c:v>
                      </c:pt>
                      <c:pt idx="70">
                        <c:v>560.29999999999995</c:v>
                      </c:pt>
                      <c:pt idx="71">
                        <c:v>564.4</c:v>
                      </c:pt>
                      <c:pt idx="72">
                        <c:v>568.4</c:v>
                      </c:pt>
                      <c:pt idx="73">
                        <c:v>572.4</c:v>
                      </c:pt>
                      <c:pt idx="74">
                        <c:v>576.5</c:v>
                      </c:pt>
                      <c:pt idx="75">
                        <c:v>580.79999999999995</c:v>
                      </c:pt>
                      <c:pt idx="76">
                        <c:v>585.20000000000005</c:v>
                      </c:pt>
                      <c:pt idx="77">
                        <c:v>589.70000000000005</c:v>
                      </c:pt>
                      <c:pt idx="78">
                        <c:v>594.20000000000005</c:v>
                      </c:pt>
                      <c:pt idx="79">
                        <c:v>598.9</c:v>
                      </c:pt>
                      <c:pt idx="80">
                        <c:v>603.9</c:v>
                      </c:pt>
                      <c:pt idx="81">
                        <c:v>609.1</c:v>
                      </c:pt>
                      <c:pt idx="82">
                        <c:v>614.5</c:v>
                      </c:pt>
                      <c:pt idx="83">
                        <c:v>620.4</c:v>
                      </c:pt>
                      <c:pt idx="84">
                        <c:v>626.4</c:v>
                      </c:pt>
                      <c:pt idx="85">
                        <c:v>632.5</c:v>
                      </c:pt>
                      <c:pt idx="86">
                        <c:v>639.29999999999995</c:v>
                      </c:pt>
                      <c:pt idx="87">
                        <c:v>646.70000000000005</c:v>
                      </c:pt>
                      <c:pt idx="88">
                        <c:v>654.29999999999995</c:v>
                      </c:pt>
                      <c:pt idx="89">
                        <c:v>663.4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AFB-4FCE-B367-E1B6F071C83C}"/>
                  </c:ext>
                </c:extLst>
              </c15:ser>
            </c15:filteredScatterSeries>
            <c15:filteredScatterSeries>
              <c15:ser>
                <c:idx val="9"/>
                <c:order val="12"/>
                <c:tx>
                  <c:v>HPS D10 LS6</c:v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'!$Q$10:$Q$93</c15:sqref>
                        </c15:formulaRef>
                      </c:ext>
                    </c:extLst>
                    <c:numCache>
                      <c:formatCode>General</c:formatCode>
                      <c:ptCount val="84"/>
                      <c:pt idx="0">
                        <c:v>135</c:v>
                      </c:pt>
                      <c:pt idx="1">
                        <c:v>153.6</c:v>
                      </c:pt>
                      <c:pt idx="2">
                        <c:v>177.2</c:v>
                      </c:pt>
                      <c:pt idx="3">
                        <c:v>195</c:v>
                      </c:pt>
                      <c:pt idx="4">
                        <c:v>206.3</c:v>
                      </c:pt>
                      <c:pt idx="5">
                        <c:v>217.4</c:v>
                      </c:pt>
                      <c:pt idx="6">
                        <c:v>225.6</c:v>
                      </c:pt>
                      <c:pt idx="7">
                        <c:v>233.7</c:v>
                      </c:pt>
                      <c:pt idx="8">
                        <c:v>243.5</c:v>
                      </c:pt>
                      <c:pt idx="9">
                        <c:v>251.8</c:v>
                      </c:pt>
                      <c:pt idx="10">
                        <c:v>260.10000000000002</c:v>
                      </c:pt>
                      <c:pt idx="11">
                        <c:v>267.5</c:v>
                      </c:pt>
                      <c:pt idx="12">
                        <c:v>275.7</c:v>
                      </c:pt>
                      <c:pt idx="13">
                        <c:v>283</c:v>
                      </c:pt>
                      <c:pt idx="14">
                        <c:v>290.5</c:v>
                      </c:pt>
                      <c:pt idx="15">
                        <c:v>297.60000000000002</c:v>
                      </c:pt>
                      <c:pt idx="16">
                        <c:v>304.10000000000002</c:v>
                      </c:pt>
                      <c:pt idx="17">
                        <c:v>310.7</c:v>
                      </c:pt>
                      <c:pt idx="18">
                        <c:v>316.3</c:v>
                      </c:pt>
                      <c:pt idx="19">
                        <c:v>322.7</c:v>
                      </c:pt>
                      <c:pt idx="20">
                        <c:v>328.4</c:v>
                      </c:pt>
                      <c:pt idx="21">
                        <c:v>334.6</c:v>
                      </c:pt>
                      <c:pt idx="22">
                        <c:v>340.7</c:v>
                      </c:pt>
                      <c:pt idx="23">
                        <c:v>345.7</c:v>
                      </c:pt>
                      <c:pt idx="24">
                        <c:v>350.7</c:v>
                      </c:pt>
                      <c:pt idx="25">
                        <c:v>355.1</c:v>
                      </c:pt>
                      <c:pt idx="26">
                        <c:v>359.7</c:v>
                      </c:pt>
                      <c:pt idx="27">
                        <c:v>364.6</c:v>
                      </c:pt>
                      <c:pt idx="28">
                        <c:v>369</c:v>
                      </c:pt>
                      <c:pt idx="29">
                        <c:v>374.4</c:v>
                      </c:pt>
                      <c:pt idx="30">
                        <c:v>379.5</c:v>
                      </c:pt>
                      <c:pt idx="31">
                        <c:v>384.9</c:v>
                      </c:pt>
                      <c:pt idx="32">
                        <c:v>390.1</c:v>
                      </c:pt>
                      <c:pt idx="33">
                        <c:v>394.8</c:v>
                      </c:pt>
                      <c:pt idx="34">
                        <c:v>399.4</c:v>
                      </c:pt>
                      <c:pt idx="35">
                        <c:v>403.8</c:v>
                      </c:pt>
                      <c:pt idx="36">
                        <c:v>408.3</c:v>
                      </c:pt>
                      <c:pt idx="37">
                        <c:v>412.6</c:v>
                      </c:pt>
                      <c:pt idx="38">
                        <c:v>417.7</c:v>
                      </c:pt>
                      <c:pt idx="39">
                        <c:v>422.4</c:v>
                      </c:pt>
                      <c:pt idx="40">
                        <c:v>427.3</c:v>
                      </c:pt>
                      <c:pt idx="41">
                        <c:v>432</c:v>
                      </c:pt>
                      <c:pt idx="42">
                        <c:v>436.5</c:v>
                      </c:pt>
                      <c:pt idx="43">
                        <c:v>440.8</c:v>
                      </c:pt>
                      <c:pt idx="44">
                        <c:v>445.3</c:v>
                      </c:pt>
                      <c:pt idx="45">
                        <c:v>449.7</c:v>
                      </c:pt>
                      <c:pt idx="46">
                        <c:v>454.3</c:v>
                      </c:pt>
                      <c:pt idx="47">
                        <c:v>458.9</c:v>
                      </c:pt>
                      <c:pt idx="48">
                        <c:v>463.6</c:v>
                      </c:pt>
                      <c:pt idx="49">
                        <c:v>468.1</c:v>
                      </c:pt>
                      <c:pt idx="50">
                        <c:v>472.8</c:v>
                      </c:pt>
                      <c:pt idx="51">
                        <c:v>477.5</c:v>
                      </c:pt>
                      <c:pt idx="52">
                        <c:v>482.1</c:v>
                      </c:pt>
                      <c:pt idx="53">
                        <c:v>486.7</c:v>
                      </c:pt>
                      <c:pt idx="54">
                        <c:v>491.2</c:v>
                      </c:pt>
                      <c:pt idx="55">
                        <c:v>495.8</c:v>
                      </c:pt>
                      <c:pt idx="56">
                        <c:v>500.2</c:v>
                      </c:pt>
                      <c:pt idx="57">
                        <c:v>504.6</c:v>
                      </c:pt>
                      <c:pt idx="58">
                        <c:v>509.1</c:v>
                      </c:pt>
                      <c:pt idx="59">
                        <c:v>513.5</c:v>
                      </c:pt>
                      <c:pt idx="60">
                        <c:v>517.9</c:v>
                      </c:pt>
                      <c:pt idx="61">
                        <c:v>522.29999999999995</c:v>
                      </c:pt>
                      <c:pt idx="62">
                        <c:v>526.9</c:v>
                      </c:pt>
                      <c:pt idx="63">
                        <c:v>531.4</c:v>
                      </c:pt>
                      <c:pt idx="64">
                        <c:v>535.70000000000005</c:v>
                      </c:pt>
                      <c:pt idx="65">
                        <c:v>539.6</c:v>
                      </c:pt>
                      <c:pt idx="66">
                        <c:v>543.5</c:v>
                      </c:pt>
                      <c:pt idx="67">
                        <c:v>548</c:v>
                      </c:pt>
                      <c:pt idx="68">
                        <c:v>552.79999999999995</c:v>
                      </c:pt>
                      <c:pt idx="69">
                        <c:v>557.4</c:v>
                      </c:pt>
                      <c:pt idx="70">
                        <c:v>561.6</c:v>
                      </c:pt>
                      <c:pt idx="71">
                        <c:v>565.9</c:v>
                      </c:pt>
                      <c:pt idx="72">
                        <c:v>569.9</c:v>
                      </c:pt>
                      <c:pt idx="73">
                        <c:v>574</c:v>
                      </c:pt>
                      <c:pt idx="74">
                        <c:v>578.20000000000005</c:v>
                      </c:pt>
                      <c:pt idx="75">
                        <c:v>582.70000000000005</c:v>
                      </c:pt>
                      <c:pt idx="76">
                        <c:v>587.1</c:v>
                      </c:pt>
                      <c:pt idx="77">
                        <c:v>591.70000000000005</c:v>
                      </c:pt>
                      <c:pt idx="78">
                        <c:v>596.29999999999995</c:v>
                      </c:pt>
                      <c:pt idx="79">
                        <c:v>601.1</c:v>
                      </c:pt>
                      <c:pt idx="80">
                        <c:v>606.29999999999995</c:v>
                      </c:pt>
                      <c:pt idx="81">
                        <c:v>611.70000000000005</c:v>
                      </c:pt>
                      <c:pt idx="82">
                        <c:v>617.4</c:v>
                      </c:pt>
                      <c:pt idx="83">
                        <c:v>623.5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AFB-4FCE-B367-E1B6F071C83C}"/>
                  </c:ext>
                </c:extLst>
              </c15:ser>
            </c15:filteredScatterSeries>
            <c15:filteredScatterSeries>
              <c15:ser>
                <c:idx val="12"/>
                <c:order val="20"/>
                <c:tx>
                  <c:v>D3_ART</c:v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triang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'!$AY$6:$AY$104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'!$AZ$6:$AZ$104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170.44444444444446</c:v>
                      </c:pt>
                      <c:pt idx="1">
                        <c:v>197.11111111111111</c:v>
                      </c:pt>
                      <c:pt idx="2">
                        <c:v>216.05555555555554</c:v>
                      </c:pt>
                      <c:pt idx="3">
                        <c:v>230.11111111111111</c:v>
                      </c:pt>
                      <c:pt idx="4">
                        <c:v>243.72222222222223</c:v>
                      </c:pt>
                      <c:pt idx="5">
                        <c:v>254.66666666666666</c:v>
                      </c:pt>
                      <c:pt idx="6">
                        <c:v>265.83333333333331</c:v>
                      </c:pt>
                      <c:pt idx="7">
                        <c:v>275.55555555555554</c:v>
                      </c:pt>
                      <c:pt idx="8">
                        <c:v>285.94444444444446</c:v>
                      </c:pt>
                      <c:pt idx="9">
                        <c:v>293.94444444444446</c:v>
                      </c:pt>
                      <c:pt idx="10">
                        <c:v>301.94444444444446</c:v>
                      </c:pt>
                      <c:pt idx="11">
                        <c:v>309.33333333333331</c:v>
                      </c:pt>
                      <c:pt idx="12">
                        <c:v>316.44444444444446</c:v>
                      </c:pt>
                      <c:pt idx="13">
                        <c:v>323.94444444444446</c:v>
                      </c:pt>
                      <c:pt idx="14">
                        <c:v>330.77777777777777</c:v>
                      </c:pt>
                      <c:pt idx="15">
                        <c:v>338.05555555555554</c:v>
                      </c:pt>
                      <c:pt idx="16">
                        <c:v>344.66666666666669</c:v>
                      </c:pt>
                      <c:pt idx="17">
                        <c:v>351.44444444444446</c:v>
                      </c:pt>
                      <c:pt idx="18">
                        <c:v>357.22222222222223</c:v>
                      </c:pt>
                      <c:pt idx="19">
                        <c:v>363.72222222222223</c:v>
                      </c:pt>
                      <c:pt idx="20">
                        <c:v>369.5</c:v>
                      </c:pt>
                      <c:pt idx="21">
                        <c:v>375.66666666666669</c:v>
                      </c:pt>
                      <c:pt idx="22">
                        <c:v>381.33333333333331</c:v>
                      </c:pt>
                      <c:pt idx="23">
                        <c:v>387.44444444444446</c:v>
                      </c:pt>
                      <c:pt idx="24">
                        <c:v>392.88888888888891</c:v>
                      </c:pt>
                      <c:pt idx="25">
                        <c:v>398.72222222222223</c:v>
                      </c:pt>
                      <c:pt idx="26">
                        <c:v>403.88888888888891</c:v>
                      </c:pt>
                      <c:pt idx="27">
                        <c:v>409.44444444444446</c:v>
                      </c:pt>
                      <c:pt idx="28">
                        <c:v>414.61111111111109</c:v>
                      </c:pt>
                      <c:pt idx="29">
                        <c:v>420</c:v>
                      </c:pt>
                      <c:pt idx="30">
                        <c:v>424.94444444444446</c:v>
                      </c:pt>
                      <c:pt idx="31">
                        <c:v>430.27777777777777</c:v>
                      </c:pt>
                      <c:pt idx="32">
                        <c:v>435.33333333333331</c:v>
                      </c:pt>
                      <c:pt idx="33">
                        <c:v>440.5</c:v>
                      </c:pt>
                      <c:pt idx="34">
                        <c:v>445.77777777777777</c:v>
                      </c:pt>
                      <c:pt idx="35">
                        <c:v>450.83333333333331</c:v>
                      </c:pt>
                      <c:pt idx="36">
                        <c:v>456.16666666666669</c:v>
                      </c:pt>
                      <c:pt idx="37">
                        <c:v>461.22222222222223</c:v>
                      </c:pt>
                      <c:pt idx="38">
                        <c:v>466.33333333333331</c:v>
                      </c:pt>
                      <c:pt idx="39">
                        <c:v>471.27777777777777</c:v>
                      </c:pt>
                      <c:pt idx="40">
                        <c:v>476.05555555555554</c:v>
                      </c:pt>
                      <c:pt idx="41">
                        <c:v>480.88888888888891</c:v>
                      </c:pt>
                      <c:pt idx="42">
                        <c:v>485.66666666666669</c:v>
                      </c:pt>
                      <c:pt idx="43">
                        <c:v>490.38888888888891</c:v>
                      </c:pt>
                      <c:pt idx="44">
                        <c:v>495.16666666666669</c:v>
                      </c:pt>
                      <c:pt idx="45">
                        <c:v>499.66666666666669</c:v>
                      </c:pt>
                      <c:pt idx="46">
                        <c:v>504.16666666666669</c:v>
                      </c:pt>
                      <c:pt idx="47">
                        <c:v>508.66666666666669</c:v>
                      </c:pt>
                      <c:pt idx="48">
                        <c:v>513.11111111111109</c:v>
                      </c:pt>
                      <c:pt idx="49">
                        <c:v>517.5</c:v>
                      </c:pt>
                      <c:pt idx="50">
                        <c:v>521.83333333333337</c:v>
                      </c:pt>
                      <c:pt idx="51">
                        <c:v>526.16666666666663</c:v>
                      </c:pt>
                      <c:pt idx="52">
                        <c:v>530.44444444444446</c:v>
                      </c:pt>
                      <c:pt idx="53">
                        <c:v>534.61111111111109</c:v>
                      </c:pt>
                      <c:pt idx="54">
                        <c:v>538.66666666666663</c:v>
                      </c:pt>
                      <c:pt idx="55">
                        <c:v>542.72222222222217</c:v>
                      </c:pt>
                      <c:pt idx="56">
                        <c:v>546.72222222222217</c:v>
                      </c:pt>
                      <c:pt idx="57">
                        <c:v>550.88888888888891</c:v>
                      </c:pt>
                      <c:pt idx="58">
                        <c:v>554.94444444444446</c:v>
                      </c:pt>
                      <c:pt idx="59">
                        <c:v>558.83333333333337</c:v>
                      </c:pt>
                      <c:pt idx="60">
                        <c:v>562.55555555555554</c:v>
                      </c:pt>
                      <c:pt idx="61">
                        <c:v>566.27777777777783</c:v>
                      </c:pt>
                      <c:pt idx="62">
                        <c:v>569.77777777777783</c:v>
                      </c:pt>
                      <c:pt idx="63">
                        <c:v>573.22222222222217</c:v>
                      </c:pt>
                      <c:pt idx="64">
                        <c:v>576.77777777777783</c:v>
                      </c:pt>
                      <c:pt idx="65">
                        <c:v>580.33333333333337</c:v>
                      </c:pt>
                      <c:pt idx="66">
                        <c:v>583.94444444444446</c:v>
                      </c:pt>
                      <c:pt idx="67">
                        <c:v>587.33333333333337</c:v>
                      </c:pt>
                      <c:pt idx="68">
                        <c:v>590.66666666666663</c:v>
                      </c:pt>
                      <c:pt idx="69">
                        <c:v>594.16666666666663</c:v>
                      </c:pt>
                      <c:pt idx="70">
                        <c:v>597.77777777777783</c:v>
                      </c:pt>
                      <c:pt idx="71">
                        <c:v>601.5</c:v>
                      </c:pt>
                      <c:pt idx="72">
                        <c:v>605.33333333333337</c:v>
                      </c:pt>
                      <c:pt idx="73">
                        <c:v>609.22222222222217</c:v>
                      </c:pt>
                      <c:pt idx="74">
                        <c:v>612.88888888888891</c:v>
                      </c:pt>
                      <c:pt idx="75">
                        <c:v>616.77777777777783</c:v>
                      </c:pt>
                      <c:pt idx="76">
                        <c:v>620.83333333333337</c:v>
                      </c:pt>
                      <c:pt idx="77">
                        <c:v>625.16666666666663</c:v>
                      </c:pt>
                      <c:pt idx="78">
                        <c:v>629.61111111111109</c:v>
                      </c:pt>
                      <c:pt idx="79">
                        <c:v>633.88888888888891</c:v>
                      </c:pt>
                      <c:pt idx="80">
                        <c:v>638.44444444444446</c:v>
                      </c:pt>
                      <c:pt idx="81">
                        <c:v>643.33333333333337</c:v>
                      </c:pt>
                      <c:pt idx="82">
                        <c:v>648.66666666666663</c:v>
                      </c:pt>
                      <c:pt idx="83">
                        <c:v>654.22222222222217</c:v>
                      </c:pt>
                      <c:pt idx="84">
                        <c:v>659.88888888888891</c:v>
                      </c:pt>
                      <c:pt idx="85">
                        <c:v>667.05555555555554</c:v>
                      </c:pt>
                      <c:pt idx="86">
                        <c:v>674.27777777777783</c:v>
                      </c:pt>
                      <c:pt idx="87">
                        <c:v>683.27777777777783</c:v>
                      </c:pt>
                      <c:pt idx="88">
                        <c:v>692.83333333333337</c:v>
                      </c:pt>
                      <c:pt idx="89">
                        <c:v>705.27777777777783</c:v>
                      </c:pt>
                      <c:pt idx="90">
                        <c:v>726.05555555555554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46BF-4AB3-9821-3A7844A12570}"/>
                  </c:ext>
                </c:extLst>
              </c15:ser>
            </c15:filteredScatterSeries>
            <c15:filteredScatterSeries>
              <c15:ser>
                <c:idx val="17"/>
                <c:order val="22"/>
                <c:tx>
                  <c:v>ISV Aging 1</c:v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'!$H$223:$H$315</c15:sqref>
                        </c15:formulaRef>
                      </c:ext>
                    </c:extLst>
                    <c:numCache>
                      <c:formatCode>General</c:formatCode>
                      <c:ptCount val="93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3EE7-42F8-9B0B-A07A8C1580B4}"/>
                  </c:ext>
                </c:extLst>
              </c15:ser>
            </c15:filteredScatterSeries>
            <c15:filteredScatterSeries>
              <c15:ser>
                <c:idx val="20"/>
                <c:order val="23"/>
                <c:tx>
                  <c:v>ISV Aging 2</c:v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'!$I$223:$I$299</c15:sqref>
                        </c15:formulaRef>
                      </c:ext>
                    </c:extLst>
                    <c:numCache>
                      <c:formatCode>General</c:formatCode>
                      <c:ptCount val="77"/>
                      <c:pt idx="0">
                        <c:v>99.5</c:v>
                      </c:pt>
                      <c:pt idx="1">
                        <c:v>104.7</c:v>
                      </c:pt>
                      <c:pt idx="2">
                        <c:v>106.6</c:v>
                      </c:pt>
                      <c:pt idx="3">
                        <c:v>107.6</c:v>
                      </c:pt>
                      <c:pt idx="4">
                        <c:v>107.8</c:v>
                      </c:pt>
                      <c:pt idx="5">
                        <c:v>108.7</c:v>
                      </c:pt>
                      <c:pt idx="6">
                        <c:v>109.7</c:v>
                      </c:pt>
                      <c:pt idx="7">
                        <c:v>110.6</c:v>
                      </c:pt>
                      <c:pt idx="8">
                        <c:v>110.8</c:v>
                      </c:pt>
                      <c:pt idx="9">
                        <c:v>111.8</c:v>
                      </c:pt>
                      <c:pt idx="10">
                        <c:v>112.8</c:v>
                      </c:pt>
                      <c:pt idx="11">
                        <c:v>114.9</c:v>
                      </c:pt>
                      <c:pt idx="12">
                        <c:v>124.9</c:v>
                      </c:pt>
                      <c:pt idx="13">
                        <c:v>181.1</c:v>
                      </c:pt>
                      <c:pt idx="14">
                        <c:v>235.7</c:v>
                      </c:pt>
                      <c:pt idx="15">
                        <c:v>289.3</c:v>
                      </c:pt>
                      <c:pt idx="16">
                        <c:v>327</c:v>
                      </c:pt>
                      <c:pt idx="17">
                        <c:v>355.3</c:v>
                      </c:pt>
                      <c:pt idx="18">
                        <c:v>376.4</c:v>
                      </c:pt>
                      <c:pt idx="19">
                        <c:v>392</c:v>
                      </c:pt>
                      <c:pt idx="20">
                        <c:v>408.4</c:v>
                      </c:pt>
                      <c:pt idx="21">
                        <c:v>422.1</c:v>
                      </c:pt>
                      <c:pt idx="22">
                        <c:v>435.2</c:v>
                      </c:pt>
                      <c:pt idx="23">
                        <c:v>448.4</c:v>
                      </c:pt>
                      <c:pt idx="24">
                        <c:v>460.4</c:v>
                      </c:pt>
                      <c:pt idx="25">
                        <c:v>472.4</c:v>
                      </c:pt>
                      <c:pt idx="26">
                        <c:v>484.1</c:v>
                      </c:pt>
                      <c:pt idx="27">
                        <c:v>494.2</c:v>
                      </c:pt>
                      <c:pt idx="28">
                        <c:v>503.7</c:v>
                      </c:pt>
                      <c:pt idx="29">
                        <c:v>512.29999999999995</c:v>
                      </c:pt>
                      <c:pt idx="30">
                        <c:v>519.9</c:v>
                      </c:pt>
                      <c:pt idx="31">
                        <c:v>527</c:v>
                      </c:pt>
                      <c:pt idx="32">
                        <c:v>533.6</c:v>
                      </c:pt>
                      <c:pt idx="33">
                        <c:v>538.79999999999995</c:v>
                      </c:pt>
                      <c:pt idx="34">
                        <c:v>543.6</c:v>
                      </c:pt>
                      <c:pt idx="35">
                        <c:v>548.79999999999995</c:v>
                      </c:pt>
                      <c:pt idx="36">
                        <c:v>553.9</c:v>
                      </c:pt>
                      <c:pt idx="37">
                        <c:v>558.5</c:v>
                      </c:pt>
                      <c:pt idx="38">
                        <c:v>562.5</c:v>
                      </c:pt>
                      <c:pt idx="39">
                        <c:v>566.5</c:v>
                      </c:pt>
                      <c:pt idx="40">
                        <c:v>570.1</c:v>
                      </c:pt>
                      <c:pt idx="41">
                        <c:v>573.6</c:v>
                      </c:pt>
                      <c:pt idx="42">
                        <c:v>577.20000000000005</c:v>
                      </c:pt>
                      <c:pt idx="43">
                        <c:v>580.79999999999995</c:v>
                      </c:pt>
                      <c:pt idx="44">
                        <c:v>584.29999999999995</c:v>
                      </c:pt>
                      <c:pt idx="45">
                        <c:v>587.79999999999995</c:v>
                      </c:pt>
                      <c:pt idx="46">
                        <c:v>591.4</c:v>
                      </c:pt>
                      <c:pt idx="47">
                        <c:v>594.79999999999995</c:v>
                      </c:pt>
                      <c:pt idx="48">
                        <c:v>598.29999999999995</c:v>
                      </c:pt>
                      <c:pt idx="49">
                        <c:v>601.9</c:v>
                      </c:pt>
                      <c:pt idx="50">
                        <c:v>605.6</c:v>
                      </c:pt>
                      <c:pt idx="51">
                        <c:v>609.29999999999995</c:v>
                      </c:pt>
                      <c:pt idx="52">
                        <c:v>613</c:v>
                      </c:pt>
                      <c:pt idx="53">
                        <c:v>616.79999999999995</c:v>
                      </c:pt>
                      <c:pt idx="54">
                        <c:v>620.6</c:v>
                      </c:pt>
                      <c:pt idx="55">
                        <c:v>624.5</c:v>
                      </c:pt>
                      <c:pt idx="56">
                        <c:v>628.5</c:v>
                      </c:pt>
                      <c:pt idx="57">
                        <c:v>632.29999999999995</c:v>
                      </c:pt>
                      <c:pt idx="58">
                        <c:v>636.20000000000005</c:v>
                      </c:pt>
                      <c:pt idx="59">
                        <c:v>640.4</c:v>
                      </c:pt>
                      <c:pt idx="60">
                        <c:v>644.79999999999995</c:v>
                      </c:pt>
                      <c:pt idx="61">
                        <c:v>649.1</c:v>
                      </c:pt>
                      <c:pt idx="62">
                        <c:v>653.5</c:v>
                      </c:pt>
                      <c:pt idx="63">
                        <c:v>657.7</c:v>
                      </c:pt>
                      <c:pt idx="64">
                        <c:v>663.3</c:v>
                      </c:pt>
                      <c:pt idx="65">
                        <c:v>669.1</c:v>
                      </c:pt>
                      <c:pt idx="66">
                        <c:v>674.4</c:v>
                      </c:pt>
                      <c:pt idx="67">
                        <c:v>681.2</c:v>
                      </c:pt>
                      <c:pt idx="68">
                        <c:v>687.4</c:v>
                      </c:pt>
                      <c:pt idx="69">
                        <c:v>693.5</c:v>
                      </c:pt>
                      <c:pt idx="70">
                        <c:v>700.5</c:v>
                      </c:pt>
                      <c:pt idx="71">
                        <c:v>707.3</c:v>
                      </c:pt>
                      <c:pt idx="72">
                        <c:v>716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EE7-42F8-9B0B-A07A8C1580B4}"/>
                  </c:ext>
                </c:extLst>
              </c15:ser>
            </c15:filteredScatterSeries>
            <c15:filteredScatterSeries>
              <c15:ser>
                <c:idx val="21"/>
                <c:order val="24"/>
                <c:tx>
                  <c:v>ISV Aging 3</c:v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'!$J$223:$J$301</c15:sqref>
                        </c15:formulaRef>
                      </c:ext>
                    </c:extLst>
                    <c:numCache>
                      <c:formatCode>General</c:formatCode>
                      <c:ptCount val="79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EE7-42F8-9B0B-A07A8C1580B4}"/>
                  </c:ext>
                </c:extLst>
              </c15:ser>
            </c15:filteredScatterSeries>
            <c15:filteredScatterSeries>
              <c15:ser>
                <c:idx val="28"/>
                <c:order val="25"/>
                <c:tx>
                  <c:v>ISV D6 LS2</c:v>
                </c:tx>
                <c:spPr>
                  <a:ln w="19050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'!$M$223:$M$303</c15:sqref>
                        </c15:formulaRef>
                      </c:ext>
                    </c:extLst>
                    <c:numCache>
                      <c:formatCode>General</c:formatCode>
                      <c:ptCount val="81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3EE7-42F8-9B0B-A07A8C1580B4}"/>
                  </c:ext>
                </c:extLst>
              </c15:ser>
            </c15:filteredScatterSeries>
            <c15:filteredScatterSeries>
              <c15:ser>
                <c:idx val="14"/>
                <c:order val="26"/>
                <c:tx>
                  <c:v>ISV D7 LS3</c:v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'!$N$223:$N$295</c15:sqref>
                        </c15:formulaRef>
                      </c:ext>
                    </c:extLst>
                    <c:numCache>
                      <c:formatCode>General</c:formatCode>
                      <c:ptCount val="73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9-3EE7-42F8-9B0B-A07A8C1580B4}"/>
                  </c:ext>
                </c:extLst>
              </c15:ser>
            </c15:filteredScatterSeries>
            <c15:filteredScatterSeries>
              <c15:ser>
                <c:idx val="15"/>
                <c:order val="27"/>
                <c:tx>
                  <c:v>ISV D8 LS4</c:v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'!$O$223:$O$290</c15:sqref>
                        </c15:formulaRef>
                      </c:ext>
                    </c:extLst>
                    <c:numCache>
                      <c:formatCode>General</c:formatCode>
                      <c:ptCount val="68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A-3EE7-42F8-9B0B-A07A8C1580B4}"/>
                  </c:ext>
                </c:extLst>
              </c15:ser>
            </c15:filteredScatterSeries>
            <c15:filteredScatterSeries>
              <c15:ser>
                <c:idx val="19"/>
                <c:order val="30"/>
                <c:tx>
                  <c:v>LTO Aging 1</c:v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'!$H$116:$H$216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EE7-42F8-9B0B-A07A8C1580B4}"/>
                  </c:ext>
                </c:extLst>
              </c15:ser>
            </c15:filteredScatterSeries>
            <c15:filteredScatterSeries>
              <c15:ser>
                <c:idx val="23"/>
                <c:order val="31"/>
                <c:tx>
                  <c:v>LTO Aging 2</c:v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'!$I$116:$I$216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71.400000000000006</c:v>
                      </c:pt>
                      <c:pt idx="1">
                        <c:v>88.1</c:v>
                      </c:pt>
                      <c:pt idx="2">
                        <c:v>98.5</c:v>
                      </c:pt>
                      <c:pt idx="3">
                        <c:v>99.2</c:v>
                      </c:pt>
                      <c:pt idx="4">
                        <c:v>99.6</c:v>
                      </c:pt>
                      <c:pt idx="5">
                        <c:v>99.9</c:v>
                      </c:pt>
                      <c:pt idx="6">
                        <c:v>100.3</c:v>
                      </c:pt>
                      <c:pt idx="7">
                        <c:v>104.2</c:v>
                      </c:pt>
                      <c:pt idx="8">
                        <c:v>113.8</c:v>
                      </c:pt>
                      <c:pt idx="9">
                        <c:v>117.1</c:v>
                      </c:pt>
                      <c:pt idx="10">
                        <c:v>121.8</c:v>
                      </c:pt>
                      <c:pt idx="11">
                        <c:v>127.2</c:v>
                      </c:pt>
                      <c:pt idx="12">
                        <c:v>128.9</c:v>
                      </c:pt>
                      <c:pt idx="13">
                        <c:v>134.80000000000001</c:v>
                      </c:pt>
                      <c:pt idx="14">
                        <c:v>140.4</c:v>
                      </c:pt>
                      <c:pt idx="15">
                        <c:v>142.80000000000001</c:v>
                      </c:pt>
                      <c:pt idx="16">
                        <c:v>145.4</c:v>
                      </c:pt>
                      <c:pt idx="17">
                        <c:v>149.30000000000001</c:v>
                      </c:pt>
                      <c:pt idx="18">
                        <c:v>152.6</c:v>
                      </c:pt>
                      <c:pt idx="19">
                        <c:v>153.69999999999999</c:v>
                      </c:pt>
                      <c:pt idx="20">
                        <c:v>158.6</c:v>
                      </c:pt>
                      <c:pt idx="21">
                        <c:v>161.6</c:v>
                      </c:pt>
                      <c:pt idx="22">
                        <c:v>163.9</c:v>
                      </c:pt>
                      <c:pt idx="23">
                        <c:v>166.7</c:v>
                      </c:pt>
                      <c:pt idx="24">
                        <c:v>168.2</c:v>
                      </c:pt>
                      <c:pt idx="25">
                        <c:v>170.9</c:v>
                      </c:pt>
                      <c:pt idx="26">
                        <c:v>174.5</c:v>
                      </c:pt>
                      <c:pt idx="27">
                        <c:v>175.9</c:v>
                      </c:pt>
                      <c:pt idx="28">
                        <c:v>177.2</c:v>
                      </c:pt>
                      <c:pt idx="29">
                        <c:v>180</c:v>
                      </c:pt>
                      <c:pt idx="30">
                        <c:v>182.8</c:v>
                      </c:pt>
                      <c:pt idx="31">
                        <c:v>185.2</c:v>
                      </c:pt>
                      <c:pt idx="32">
                        <c:v>188.4</c:v>
                      </c:pt>
                      <c:pt idx="33">
                        <c:v>190.2</c:v>
                      </c:pt>
                      <c:pt idx="34">
                        <c:v>193.5</c:v>
                      </c:pt>
                      <c:pt idx="35">
                        <c:v>196.7</c:v>
                      </c:pt>
                      <c:pt idx="36">
                        <c:v>197.7</c:v>
                      </c:pt>
                      <c:pt idx="37">
                        <c:v>199.4</c:v>
                      </c:pt>
                      <c:pt idx="38">
                        <c:v>203</c:v>
                      </c:pt>
                      <c:pt idx="39">
                        <c:v>205</c:v>
                      </c:pt>
                      <c:pt idx="40">
                        <c:v>207.5</c:v>
                      </c:pt>
                      <c:pt idx="41">
                        <c:v>210.1</c:v>
                      </c:pt>
                      <c:pt idx="42">
                        <c:v>213</c:v>
                      </c:pt>
                      <c:pt idx="43">
                        <c:v>216</c:v>
                      </c:pt>
                      <c:pt idx="44">
                        <c:v>217.7</c:v>
                      </c:pt>
                      <c:pt idx="45">
                        <c:v>219.6</c:v>
                      </c:pt>
                      <c:pt idx="46">
                        <c:v>222.2</c:v>
                      </c:pt>
                      <c:pt idx="47">
                        <c:v>225.5</c:v>
                      </c:pt>
                      <c:pt idx="48">
                        <c:v>228.2</c:v>
                      </c:pt>
                      <c:pt idx="49">
                        <c:v>230.7</c:v>
                      </c:pt>
                      <c:pt idx="50">
                        <c:v>233.3</c:v>
                      </c:pt>
                      <c:pt idx="51">
                        <c:v>236.5</c:v>
                      </c:pt>
                      <c:pt idx="52">
                        <c:v>237.7</c:v>
                      </c:pt>
                      <c:pt idx="53">
                        <c:v>240.6</c:v>
                      </c:pt>
                      <c:pt idx="54">
                        <c:v>244.2</c:v>
                      </c:pt>
                      <c:pt idx="55">
                        <c:v>247.4</c:v>
                      </c:pt>
                      <c:pt idx="56">
                        <c:v>250.3</c:v>
                      </c:pt>
                      <c:pt idx="57">
                        <c:v>253.8</c:v>
                      </c:pt>
                      <c:pt idx="58">
                        <c:v>255.8</c:v>
                      </c:pt>
                      <c:pt idx="59">
                        <c:v>257.8</c:v>
                      </c:pt>
                      <c:pt idx="60">
                        <c:v>261.3</c:v>
                      </c:pt>
                      <c:pt idx="61">
                        <c:v>264.8</c:v>
                      </c:pt>
                      <c:pt idx="62">
                        <c:v>267.2</c:v>
                      </c:pt>
                      <c:pt idx="63">
                        <c:v>270.7</c:v>
                      </c:pt>
                      <c:pt idx="64">
                        <c:v>273</c:v>
                      </c:pt>
                      <c:pt idx="65">
                        <c:v>276.10000000000002</c:v>
                      </c:pt>
                      <c:pt idx="66">
                        <c:v>280</c:v>
                      </c:pt>
                      <c:pt idx="67">
                        <c:v>283.2</c:v>
                      </c:pt>
                      <c:pt idx="68">
                        <c:v>287.10000000000002</c:v>
                      </c:pt>
                      <c:pt idx="69">
                        <c:v>289.2</c:v>
                      </c:pt>
                      <c:pt idx="70">
                        <c:v>293.2</c:v>
                      </c:pt>
                      <c:pt idx="71">
                        <c:v>296.89999999999998</c:v>
                      </c:pt>
                      <c:pt idx="72">
                        <c:v>300.7</c:v>
                      </c:pt>
                      <c:pt idx="73">
                        <c:v>303.89999999999998</c:v>
                      </c:pt>
                      <c:pt idx="74">
                        <c:v>307.3</c:v>
                      </c:pt>
                      <c:pt idx="75">
                        <c:v>311.39999999999998</c:v>
                      </c:pt>
                      <c:pt idx="76">
                        <c:v>315.60000000000002</c:v>
                      </c:pt>
                      <c:pt idx="77">
                        <c:v>318.7</c:v>
                      </c:pt>
                      <c:pt idx="78">
                        <c:v>323.10000000000002</c:v>
                      </c:pt>
                      <c:pt idx="79">
                        <c:v>327.5</c:v>
                      </c:pt>
                      <c:pt idx="80">
                        <c:v>331.7</c:v>
                      </c:pt>
                      <c:pt idx="81">
                        <c:v>336.1</c:v>
                      </c:pt>
                      <c:pt idx="82">
                        <c:v>341</c:v>
                      </c:pt>
                      <c:pt idx="83">
                        <c:v>345.6</c:v>
                      </c:pt>
                      <c:pt idx="84">
                        <c:v>350</c:v>
                      </c:pt>
                      <c:pt idx="85">
                        <c:v>355</c:v>
                      </c:pt>
                      <c:pt idx="86">
                        <c:v>359.3</c:v>
                      </c:pt>
                      <c:pt idx="87">
                        <c:v>364.6</c:v>
                      </c:pt>
                      <c:pt idx="88">
                        <c:v>369.7</c:v>
                      </c:pt>
                      <c:pt idx="89">
                        <c:v>374.7</c:v>
                      </c:pt>
                      <c:pt idx="90">
                        <c:v>380.5</c:v>
                      </c:pt>
                      <c:pt idx="91">
                        <c:v>385.5</c:v>
                      </c:pt>
                      <c:pt idx="92">
                        <c:v>391.8</c:v>
                      </c:pt>
                      <c:pt idx="93">
                        <c:v>397.6</c:v>
                      </c:pt>
                      <c:pt idx="94">
                        <c:v>404</c:v>
                      </c:pt>
                      <c:pt idx="95">
                        <c:v>412.1</c:v>
                      </c:pt>
                      <c:pt idx="96">
                        <c:v>420.5</c:v>
                      </c:pt>
                      <c:pt idx="97">
                        <c:v>430.8</c:v>
                      </c:pt>
                      <c:pt idx="98">
                        <c:v>443.5</c:v>
                      </c:pt>
                      <c:pt idx="99">
                        <c:v>463.3</c:v>
                      </c:pt>
                      <c:pt idx="100">
                        <c:v>479.3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D-3EE7-42F8-9B0B-A07A8C1580B4}"/>
                  </c:ext>
                </c:extLst>
              </c15:ser>
            </c15:filteredScatterSeries>
            <c15:filteredScatterSeries>
              <c15:ser>
                <c:idx val="24"/>
                <c:order val="32"/>
                <c:tx>
                  <c:v>LTO Aging 3</c:v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'!$J$116:$J$216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39</c:v>
                      </c:pt>
                      <c:pt idx="1">
                        <c:v>57.6</c:v>
                      </c:pt>
                      <c:pt idx="2">
                        <c:v>69.5</c:v>
                      </c:pt>
                      <c:pt idx="3">
                        <c:v>83.9</c:v>
                      </c:pt>
                      <c:pt idx="4">
                        <c:v>88.6</c:v>
                      </c:pt>
                      <c:pt idx="5">
                        <c:v>95.1</c:v>
                      </c:pt>
                      <c:pt idx="6">
                        <c:v>99</c:v>
                      </c:pt>
                      <c:pt idx="7">
                        <c:v>102.8</c:v>
                      </c:pt>
                      <c:pt idx="8">
                        <c:v>106.3</c:v>
                      </c:pt>
                      <c:pt idx="9">
                        <c:v>114.5</c:v>
                      </c:pt>
                      <c:pt idx="10">
                        <c:v>117.2</c:v>
                      </c:pt>
                      <c:pt idx="11">
                        <c:v>119.7</c:v>
                      </c:pt>
                      <c:pt idx="12">
                        <c:v>126.6</c:v>
                      </c:pt>
                      <c:pt idx="13">
                        <c:v>127.5</c:v>
                      </c:pt>
                      <c:pt idx="14">
                        <c:v>132.6</c:v>
                      </c:pt>
                      <c:pt idx="15">
                        <c:v>135.1</c:v>
                      </c:pt>
                      <c:pt idx="16">
                        <c:v>140</c:v>
                      </c:pt>
                      <c:pt idx="17">
                        <c:v>142.30000000000001</c:v>
                      </c:pt>
                      <c:pt idx="18">
                        <c:v>144.69999999999999</c:v>
                      </c:pt>
                      <c:pt idx="19">
                        <c:v>147.6</c:v>
                      </c:pt>
                      <c:pt idx="20">
                        <c:v>152.19999999999999</c:v>
                      </c:pt>
                      <c:pt idx="21">
                        <c:v>152.9</c:v>
                      </c:pt>
                      <c:pt idx="22">
                        <c:v>156.1</c:v>
                      </c:pt>
                      <c:pt idx="23">
                        <c:v>160.1</c:v>
                      </c:pt>
                      <c:pt idx="24">
                        <c:v>162.69999999999999</c:v>
                      </c:pt>
                      <c:pt idx="25">
                        <c:v>164.8</c:v>
                      </c:pt>
                      <c:pt idx="26">
                        <c:v>167.2</c:v>
                      </c:pt>
                      <c:pt idx="27">
                        <c:v>168.8</c:v>
                      </c:pt>
                      <c:pt idx="28">
                        <c:v>171.3</c:v>
                      </c:pt>
                      <c:pt idx="29">
                        <c:v>175.1</c:v>
                      </c:pt>
                      <c:pt idx="30">
                        <c:v>176.1</c:v>
                      </c:pt>
                      <c:pt idx="31">
                        <c:v>177.8</c:v>
                      </c:pt>
                      <c:pt idx="32">
                        <c:v>180.6</c:v>
                      </c:pt>
                      <c:pt idx="33">
                        <c:v>183.4</c:v>
                      </c:pt>
                      <c:pt idx="34">
                        <c:v>185.6</c:v>
                      </c:pt>
                      <c:pt idx="35">
                        <c:v>188.7</c:v>
                      </c:pt>
                      <c:pt idx="36">
                        <c:v>190.5</c:v>
                      </c:pt>
                      <c:pt idx="37">
                        <c:v>194</c:v>
                      </c:pt>
                      <c:pt idx="38">
                        <c:v>196.7</c:v>
                      </c:pt>
                      <c:pt idx="39">
                        <c:v>197.7</c:v>
                      </c:pt>
                      <c:pt idx="40">
                        <c:v>199.5</c:v>
                      </c:pt>
                      <c:pt idx="41">
                        <c:v>202.9</c:v>
                      </c:pt>
                      <c:pt idx="42">
                        <c:v>204.8</c:v>
                      </c:pt>
                      <c:pt idx="43">
                        <c:v>207.3</c:v>
                      </c:pt>
                      <c:pt idx="44">
                        <c:v>209.7</c:v>
                      </c:pt>
                      <c:pt idx="45">
                        <c:v>212.4</c:v>
                      </c:pt>
                      <c:pt idx="46">
                        <c:v>215.2</c:v>
                      </c:pt>
                      <c:pt idx="47">
                        <c:v>217.4</c:v>
                      </c:pt>
                      <c:pt idx="48">
                        <c:v>218.7</c:v>
                      </c:pt>
                      <c:pt idx="49">
                        <c:v>221.2</c:v>
                      </c:pt>
                      <c:pt idx="50">
                        <c:v>224.2</c:v>
                      </c:pt>
                      <c:pt idx="51">
                        <c:v>227.2</c:v>
                      </c:pt>
                      <c:pt idx="52">
                        <c:v>229.6</c:v>
                      </c:pt>
                      <c:pt idx="53">
                        <c:v>231.8</c:v>
                      </c:pt>
                      <c:pt idx="54">
                        <c:v>235.3</c:v>
                      </c:pt>
                      <c:pt idx="55">
                        <c:v>237</c:v>
                      </c:pt>
                      <c:pt idx="56">
                        <c:v>238.7</c:v>
                      </c:pt>
                      <c:pt idx="57">
                        <c:v>241.9</c:v>
                      </c:pt>
                      <c:pt idx="58">
                        <c:v>245.6</c:v>
                      </c:pt>
                      <c:pt idx="59">
                        <c:v>248.4</c:v>
                      </c:pt>
                      <c:pt idx="60">
                        <c:v>251.3</c:v>
                      </c:pt>
                      <c:pt idx="61">
                        <c:v>254.7</c:v>
                      </c:pt>
                      <c:pt idx="62">
                        <c:v>256.10000000000002</c:v>
                      </c:pt>
                      <c:pt idx="63">
                        <c:v>258.60000000000002</c:v>
                      </c:pt>
                      <c:pt idx="64">
                        <c:v>262.10000000000002</c:v>
                      </c:pt>
                      <c:pt idx="65">
                        <c:v>265.2</c:v>
                      </c:pt>
                      <c:pt idx="66">
                        <c:v>267.60000000000002</c:v>
                      </c:pt>
                      <c:pt idx="67">
                        <c:v>271.3</c:v>
                      </c:pt>
                      <c:pt idx="68">
                        <c:v>273.10000000000002</c:v>
                      </c:pt>
                      <c:pt idx="69">
                        <c:v>276.3</c:v>
                      </c:pt>
                      <c:pt idx="70">
                        <c:v>280.10000000000002</c:v>
                      </c:pt>
                      <c:pt idx="71">
                        <c:v>283.3</c:v>
                      </c:pt>
                      <c:pt idx="72">
                        <c:v>287.2</c:v>
                      </c:pt>
                      <c:pt idx="73">
                        <c:v>289.10000000000002</c:v>
                      </c:pt>
                      <c:pt idx="74">
                        <c:v>293.10000000000002</c:v>
                      </c:pt>
                      <c:pt idx="75">
                        <c:v>296.8</c:v>
                      </c:pt>
                      <c:pt idx="76">
                        <c:v>300.60000000000002</c:v>
                      </c:pt>
                      <c:pt idx="77">
                        <c:v>303.8</c:v>
                      </c:pt>
                      <c:pt idx="78">
                        <c:v>307.2</c:v>
                      </c:pt>
                      <c:pt idx="79">
                        <c:v>311.3</c:v>
                      </c:pt>
                      <c:pt idx="80">
                        <c:v>315.60000000000002</c:v>
                      </c:pt>
                      <c:pt idx="81">
                        <c:v>318.7</c:v>
                      </c:pt>
                      <c:pt idx="82">
                        <c:v>323.39999999999998</c:v>
                      </c:pt>
                      <c:pt idx="83">
                        <c:v>328</c:v>
                      </c:pt>
                      <c:pt idx="84">
                        <c:v>332.2</c:v>
                      </c:pt>
                      <c:pt idx="85">
                        <c:v>337.4</c:v>
                      </c:pt>
                      <c:pt idx="86">
                        <c:v>342.9</c:v>
                      </c:pt>
                      <c:pt idx="87">
                        <c:v>347.3</c:v>
                      </c:pt>
                      <c:pt idx="88">
                        <c:v>353</c:v>
                      </c:pt>
                      <c:pt idx="89">
                        <c:v>358.2</c:v>
                      </c:pt>
                      <c:pt idx="90">
                        <c:v>364.3</c:v>
                      </c:pt>
                      <c:pt idx="91">
                        <c:v>370</c:v>
                      </c:pt>
                      <c:pt idx="92">
                        <c:v>376.7</c:v>
                      </c:pt>
                      <c:pt idx="93">
                        <c:v>383</c:v>
                      </c:pt>
                      <c:pt idx="94">
                        <c:v>390.9</c:v>
                      </c:pt>
                      <c:pt idx="95">
                        <c:v>398.6</c:v>
                      </c:pt>
                      <c:pt idx="96">
                        <c:v>407.6</c:v>
                      </c:pt>
                      <c:pt idx="97">
                        <c:v>418.6</c:v>
                      </c:pt>
                      <c:pt idx="98">
                        <c:v>432.6</c:v>
                      </c:pt>
                      <c:pt idx="99">
                        <c:v>454.3</c:v>
                      </c:pt>
                      <c:pt idx="100">
                        <c:v>472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E-3EE7-42F8-9B0B-A07A8C1580B4}"/>
                  </c:ext>
                </c:extLst>
              </c15:ser>
            </c15:filteredScatterSeries>
            <c15:filteredScatterSeries>
              <c15:ser>
                <c:idx val="26"/>
                <c:order val="33"/>
                <c:tx>
                  <c:v>LTO Aging 4</c:v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'!$K$116:$K$216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43.8</c:v>
                      </c:pt>
                      <c:pt idx="1">
                        <c:v>60.6</c:v>
                      </c:pt>
                      <c:pt idx="2">
                        <c:v>70</c:v>
                      </c:pt>
                      <c:pt idx="3">
                        <c:v>85</c:v>
                      </c:pt>
                      <c:pt idx="4">
                        <c:v>89.4</c:v>
                      </c:pt>
                      <c:pt idx="5">
                        <c:v>96.1</c:v>
                      </c:pt>
                      <c:pt idx="6">
                        <c:v>99.2</c:v>
                      </c:pt>
                      <c:pt idx="7">
                        <c:v>102.5</c:v>
                      </c:pt>
                      <c:pt idx="8">
                        <c:v>105.7</c:v>
                      </c:pt>
                      <c:pt idx="9">
                        <c:v>114.1</c:v>
                      </c:pt>
                      <c:pt idx="10">
                        <c:v>117</c:v>
                      </c:pt>
                      <c:pt idx="11">
                        <c:v>119.2</c:v>
                      </c:pt>
                      <c:pt idx="12">
                        <c:v>125.2</c:v>
                      </c:pt>
                      <c:pt idx="13">
                        <c:v>127.4</c:v>
                      </c:pt>
                      <c:pt idx="14">
                        <c:v>128.1</c:v>
                      </c:pt>
                      <c:pt idx="15">
                        <c:v>133.80000000000001</c:v>
                      </c:pt>
                      <c:pt idx="16">
                        <c:v>136.4</c:v>
                      </c:pt>
                      <c:pt idx="17">
                        <c:v>140.80000000000001</c:v>
                      </c:pt>
                      <c:pt idx="18">
                        <c:v>142.9</c:v>
                      </c:pt>
                      <c:pt idx="19">
                        <c:v>145.1</c:v>
                      </c:pt>
                      <c:pt idx="20">
                        <c:v>147.80000000000001</c:v>
                      </c:pt>
                      <c:pt idx="21">
                        <c:v>152.30000000000001</c:v>
                      </c:pt>
                      <c:pt idx="22">
                        <c:v>153</c:v>
                      </c:pt>
                      <c:pt idx="23">
                        <c:v>155.1</c:v>
                      </c:pt>
                      <c:pt idx="24">
                        <c:v>159.30000000000001</c:v>
                      </c:pt>
                      <c:pt idx="25">
                        <c:v>161.80000000000001</c:v>
                      </c:pt>
                      <c:pt idx="26">
                        <c:v>164</c:v>
                      </c:pt>
                      <c:pt idx="27">
                        <c:v>166.7</c:v>
                      </c:pt>
                      <c:pt idx="28">
                        <c:v>168</c:v>
                      </c:pt>
                      <c:pt idx="29">
                        <c:v>170.6</c:v>
                      </c:pt>
                      <c:pt idx="30">
                        <c:v>173</c:v>
                      </c:pt>
                      <c:pt idx="31">
                        <c:v>175.7</c:v>
                      </c:pt>
                      <c:pt idx="32">
                        <c:v>176.5</c:v>
                      </c:pt>
                      <c:pt idx="33">
                        <c:v>178.6</c:v>
                      </c:pt>
                      <c:pt idx="34">
                        <c:v>181.1</c:v>
                      </c:pt>
                      <c:pt idx="35">
                        <c:v>183.8</c:v>
                      </c:pt>
                      <c:pt idx="36">
                        <c:v>186.1</c:v>
                      </c:pt>
                      <c:pt idx="37">
                        <c:v>189.1</c:v>
                      </c:pt>
                      <c:pt idx="38">
                        <c:v>190.6</c:v>
                      </c:pt>
                      <c:pt idx="39">
                        <c:v>194.2</c:v>
                      </c:pt>
                      <c:pt idx="40">
                        <c:v>196.8</c:v>
                      </c:pt>
                      <c:pt idx="41">
                        <c:v>197.8</c:v>
                      </c:pt>
                      <c:pt idx="42">
                        <c:v>199.1</c:v>
                      </c:pt>
                      <c:pt idx="43">
                        <c:v>202.6</c:v>
                      </c:pt>
                      <c:pt idx="44">
                        <c:v>204.6</c:v>
                      </c:pt>
                      <c:pt idx="45">
                        <c:v>206.7</c:v>
                      </c:pt>
                      <c:pt idx="46">
                        <c:v>209.1</c:v>
                      </c:pt>
                      <c:pt idx="47">
                        <c:v>211.7</c:v>
                      </c:pt>
                      <c:pt idx="48">
                        <c:v>214.4</c:v>
                      </c:pt>
                      <c:pt idx="49">
                        <c:v>217.1</c:v>
                      </c:pt>
                      <c:pt idx="50">
                        <c:v>218.1</c:v>
                      </c:pt>
                      <c:pt idx="51">
                        <c:v>220.4</c:v>
                      </c:pt>
                      <c:pt idx="52">
                        <c:v>223</c:v>
                      </c:pt>
                      <c:pt idx="53">
                        <c:v>226.1</c:v>
                      </c:pt>
                      <c:pt idx="54">
                        <c:v>228.7</c:v>
                      </c:pt>
                      <c:pt idx="55">
                        <c:v>230.9</c:v>
                      </c:pt>
                      <c:pt idx="56">
                        <c:v>233.5</c:v>
                      </c:pt>
                      <c:pt idx="57">
                        <c:v>236.5</c:v>
                      </c:pt>
                      <c:pt idx="58">
                        <c:v>237.5</c:v>
                      </c:pt>
                      <c:pt idx="59">
                        <c:v>240.3</c:v>
                      </c:pt>
                      <c:pt idx="60">
                        <c:v>243.8</c:v>
                      </c:pt>
                      <c:pt idx="61">
                        <c:v>246.9</c:v>
                      </c:pt>
                      <c:pt idx="62">
                        <c:v>249.8</c:v>
                      </c:pt>
                      <c:pt idx="63">
                        <c:v>252.8</c:v>
                      </c:pt>
                      <c:pt idx="64">
                        <c:v>255.5</c:v>
                      </c:pt>
                      <c:pt idx="65">
                        <c:v>256.89999999999998</c:v>
                      </c:pt>
                      <c:pt idx="66">
                        <c:v>260.2</c:v>
                      </c:pt>
                      <c:pt idx="67">
                        <c:v>263.8</c:v>
                      </c:pt>
                      <c:pt idx="68">
                        <c:v>266.3</c:v>
                      </c:pt>
                      <c:pt idx="69">
                        <c:v>269.3</c:v>
                      </c:pt>
                      <c:pt idx="70">
                        <c:v>272.39999999999998</c:v>
                      </c:pt>
                      <c:pt idx="71">
                        <c:v>274.5</c:v>
                      </c:pt>
                      <c:pt idx="72">
                        <c:v>278.39999999999998</c:v>
                      </c:pt>
                      <c:pt idx="73">
                        <c:v>281.89999999999998</c:v>
                      </c:pt>
                      <c:pt idx="74">
                        <c:v>285.3</c:v>
                      </c:pt>
                      <c:pt idx="75">
                        <c:v>288.5</c:v>
                      </c:pt>
                      <c:pt idx="76">
                        <c:v>291.5</c:v>
                      </c:pt>
                      <c:pt idx="77">
                        <c:v>295.8</c:v>
                      </c:pt>
                      <c:pt idx="78">
                        <c:v>299.2</c:v>
                      </c:pt>
                      <c:pt idx="79">
                        <c:v>303.2</c:v>
                      </c:pt>
                      <c:pt idx="80">
                        <c:v>306</c:v>
                      </c:pt>
                      <c:pt idx="81">
                        <c:v>310.39999999999998</c:v>
                      </c:pt>
                      <c:pt idx="82">
                        <c:v>314.60000000000002</c:v>
                      </c:pt>
                      <c:pt idx="83">
                        <c:v>318.2</c:v>
                      </c:pt>
                      <c:pt idx="84">
                        <c:v>323</c:v>
                      </c:pt>
                      <c:pt idx="85">
                        <c:v>327.8</c:v>
                      </c:pt>
                      <c:pt idx="86">
                        <c:v>332.2</c:v>
                      </c:pt>
                      <c:pt idx="87">
                        <c:v>337.9</c:v>
                      </c:pt>
                      <c:pt idx="88">
                        <c:v>343.8</c:v>
                      </c:pt>
                      <c:pt idx="89">
                        <c:v>348.8</c:v>
                      </c:pt>
                      <c:pt idx="90">
                        <c:v>355</c:v>
                      </c:pt>
                      <c:pt idx="91">
                        <c:v>361</c:v>
                      </c:pt>
                      <c:pt idx="92">
                        <c:v>368.1</c:v>
                      </c:pt>
                      <c:pt idx="93">
                        <c:v>375.1</c:v>
                      </c:pt>
                      <c:pt idx="94">
                        <c:v>382.9</c:v>
                      </c:pt>
                      <c:pt idx="95">
                        <c:v>392</c:v>
                      </c:pt>
                      <c:pt idx="96">
                        <c:v>402.2</c:v>
                      </c:pt>
                      <c:pt idx="97">
                        <c:v>414.1</c:v>
                      </c:pt>
                      <c:pt idx="98">
                        <c:v>430.1</c:v>
                      </c:pt>
                      <c:pt idx="99">
                        <c:v>453.1</c:v>
                      </c:pt>
                      <c:pt idx="100">
                        <c:v>471.4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F-3EE7-42F8-9B0B-A07A8C1580B4}"/>
                  </c:ext>
                </c:extLst>
              </c15:ser>
            </c15:filteredScatterSeries>
            <c15:filteredScatterSeries>
              <c15:ser>
                <c:idx val="27"/>
                <c:order val="34"/>
                <c:tx>
                  <c:v>LTO D5 LS1</c:v>
                </c:tx>
                <c:spPr>
                  <a:ln w="190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'!$L$116:$L$216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69.400000000000006</c:v>
                      </c:pt>
                      <c:pt idx="1">
                        <c:v>85.8</c:v>
                      </c:pt>
                      <c:pt idx="2">
                        <c:v>98.2</c:v>
                      </c:pt>
                      <c:pt idx="3">
                        <c:v>102.7</c:v>
                      </c:pt>
                      <c:pt idx="4">
                        <c:v>112.6</c:v>
                      </c:pt>
                      <c:pt idx="5">
                        <c:v>116.7</c:v>
                      </c:pt>
                      <c:pt idx="6">
                        <c:v>119.7</c:v>
                      </c:pt>
                      <c:pt idx="7">
                        <c:v>126.7</c:v>
                      </c:pt>
                      <c:pt idx="8">
                        <c:v>127.6</c:v>
                      </c:pt>
                      <c:pt idx="9">
                        <c:v>133.19999999999999</c:v>
                      </c:pt>
                      <c:pt idx="10">
                        <c:v>135.9</c:v>
                      </c:pt>
                      <c:pt idx="11">
                        <c:v>140.6</c:v>
                      </c:pt>
                      <c:pt idx="12">
                        <c:v>142.69999999999999</c:v>
                      </c:pt>
                      <c:pt idx="13">
                        <c:v>144.9</c:v>
                      </c:pt>
                      <c:pt idx="14">
                        <c:v>147.5</c:v>
                      </c:pt>
                      <c:pt idx="15">
                        <c:v>152</c:v>
                      </c:pt>
                      <c:pt idx="16">
                        <c:v>152.80000000000001</c:v>
                      </c:pt>
                      <c:pt idx="17">
                        <c:v>154.4</c:v>
                      </c:pt>
                      <c:pt idx="18">
                        <c:v>158.5</c:v>
                      </c:pt>
                      <c:pt idx="19">
                        <c:v>161.19999999999999</c:v>
                      </c:pt>
                      <c:pt idx="20">
                        <c:v>163.5</c:v>
                      </c:pt>
                      <c:pt idx="21">
                        <c:v>165.5</c:v>
                      </c:pt>
                      <c:pt idx="22">
                        <c:v>167.4</c:v>
                      </c:pt>
                      <c:pt idx="23">
                        <c:v>168.7</c:v>
                      </c:pt>
                      <c:pt idx="24">
                        <c:v>171.1</c:v>
                      </c:pt>
                      <c:pt idx="25">
                        <c:v>174.6</c:v>
                      </c:pt>
                      <c:pt idx="26">
                        <c:v>175.8</c:v>
                      </c:pt>
                      <c:pt idx="27">
                        <c:v>176.7</c:v>
                      </c:pt>
                      <c:pt idx="28">
                        <c:v>178.6</c:v>
                      </c:pt>
                      <c:pt idx="29">
                        <c:v>180.9</c:v>
                      </c:pt>
                      <c:pt idx="30">
                        <c:v>183.4</c:v>
                      </c:pt>
                      <c:pt idx="31">
                        <c:v>185.3</c:v>
                      </c:pt>
                      <c:pt idx="32">
                        <c:v>187.9</c:v>
                      </c:pt>
                      <c:pt idx="33">
                        <c:v>189.7</c:v>
                      </c:pt>
                      <c:pt idx="34">
                        <c:v>191.2</c:v>
                      </c:pt>
                      <c:pt idx="35">
                        <c:v>194.8</c:v>
                      </c:pt>
                      <c:pt idx="36">
                        <c:v>197</c:v>
                      </c:pt>
                      <c:pt idx="37">
                        <c:v>197.8</c:v>
                      </c:pt>
                      <c:pt idx="38">
                        <c:v>198.9</c:v>
                      </c:pt>
                      <c:pt idx="39">
                        <c:v>202.1</c:v>
                      </c:pt>
                      <c:pt idx="40">
                        <c:v>204</c:v>
                      </c:pt>
                      <c:pt idx="41">
                        <c:v>205.8</c:v>
                      </c:pt>
                      <c:pt idx="42">
                        <c:v>207.9</c:v>
                      </c:pt>
                      <c:pt idx="43">
                        <c:v>210</c:v>
                      </c:pt>
                      <c:pt idx="44">
                        <c:v>212.4</c:v>
                      </c:pt>
                      <c:pt idx="45">
                        <c:v>214.8</c:v>
                      </c:pt>
                      <c:pt idx="46">
                        <c:v>217.1</c:v>
                      </c:pt>
                      <c:pt idx="47">
                        <c:v>218</c:v>
                      </c:pt>
                      <c:pt idx="48">
                        <c:v>220.1</c:v>
                      </c:pt>
                      <c:pt idx="49">
                        <c:v>222.3</c:v>
                      </c:pt>
                      <c:pt idx="50">
                        <c:v>225</c:v>
                      </c:pt>
                      <c:pt idx="51">
                        <c:v>227.4</c:v>
                      </c:pt>
                      <c:pt idx="52">
                        <c:v>229.6</c:v>
                      </c:pt>
                      <c:pt idx="53">
                        <c:v>231.5</c:v>
                      </c:pt>
                      <c:pt idx="54">
                        <c:v>234.2</c:v>
                      </c:pt>
                      <c:pt idx="55">
                        <c:v>236.6</c:v>
                      </c:pt>
                      <c:pt idx="56">
                        <c:v>237.6</c:v>
                      </c:pt>
                      <c:pt idx="57">
                        <c:v>240</c:v>
                      </c:pt>
                      <c:pt idx="58">
                        <c:v>243</c:v>
                      </c:pt>
                      <c:pt idx="59">
                        <c:v>246.1</c:v>
                      </c:pt>
                      <c:pt idx="60">
                        <c:v>248.6</c:v>
                      </c:pt>
                      <c:pt idx="61">
                        <c:v>251.2</c:v>
                      </c:pt>
                      <c:pt idx="62">
                        <c:v>254.3</c:v>
                      </c:pt>
                      <c:pt idx="63">
                        <c:v>255.8</c:v>
                      </c:pt>
                      <c:pt idx="64">
                        <c:v>257.60000000000002</c:v>
                      </c:pt>
                      <c:pt idx="65">
                        <c:v>260.60000000000002</c:v>
                      </c:pt>
                      <c:pt idx="66">
                        <c:v>263.89999999999998</c:v>
                      </c:pt>
                      <c:pt idx="67">
                        <c:v>266.2</c:v>
                      </c:pt>
                      <c:pt idx="68">
                        <c:v>268.89999999999998</c:v>
                      </c:pt>
                      <c:pt idx="69">
                        <c:v>272.10000000000002</c:v>
                      </c:pt>
                      <c:pt idx="70">
                        <c:v>273.60000000000002</c:v>
                      </c:pt>
                      <c:pt idx="71">
                        <c:v>277.10000000000002</c:v>
                      </c:pt>
                      <c:pt idx="72">
                        <c:v>280.5</c:v>
                      </c:pt>
                      <c:pt idx="73">
                        <c:v>283.39999999999998</c:v>
                      </c:pt>
                      <c:pt idx="74">
                        <c:v>287</c:v>
                      </c:pt>
                      <c:pt idx="75">
                        <c:v>289.10000000000002</c:v>
                      </c:pt>
                      <c:pt idx="76">
                        <c:v>292.7</c:v>
                      </c:pt>
                      <c:pt idx="77">
                        <c:v>296.39999999999998</c:v>
                      </c:pt>
                      <c:pt idx="78">
                        <c:v>299.8</c:v>
                      </c:pt>
                      <c:pt idx="79">
                        <c:v>303.39999999999998</c:v>
                      </c:pt>
                      <c:pt idx="80">
                        <c:v>306</c:v>
                      </c:pt>
                      <c:pt idx="81">
                        <c:v>310.2</c:v>
                      </c:pt>
                      <c:pt idx="82">
                        <c:v>314</c:v>
                      </c:pt>
                      <c:pt idx="83">
                        <c:v>317.8</c:v>
                      </c:pt>
                      <c:pt idx="84">
                        <c:v>321.89999999999998</c:v>
                      </c:pt>
                      <c:pt idx="85">
                        <c:v>326.5</c:v>
                      </c:pt>
                      <c:pt idx="86">
                        <c:v>331.3</c:v>
                      </c:pt>
                      <c:pt idx="87">
                        <c:v>335.9</c:v>
                      </c:pt>
                      <c:pt idx="88">
                        <c:v>341.4</c:v>
                      </c:pt>
                      <c:pt idx="89">
                        <c:v>346.3</c:v>
                      </c:pt>
                      <c:pt idx="90">
                        <c:v>352.3</c:v>
                      </c:pt>
                      <c:pt idx="91">
                        <c:v>358.1</c:v>
                      </c:pt>
                      <c:pt idx="92">
                        <c:v>364.9</c:v>
                      </c:pt>
                      <c:pt idx="93">
                        <c:v>371.7</c:v>
                      </c:pt>
                      <c:pt idx="94">
                        <c:v>380.2</c:v>
                      </c:pt>
                      <c:pt idx="95">
                        <c:v>389</c:v>
                      </c:pt>
                      <c:pt idx="96">
                        <c:v>399.3</c:v>
                      </c:pt>
                      <c:pt idx="97">
                        <c:v>411.8</c:v>
                      </c:pt>
                      <c:pt idx="98">
                        <c:v>427.7</c:v>
                      </c:pt>
                      <c:pt idx="99">
                        <c:v>451.5</c:v>
                      </c:pt>
                      <c:pt idx="100">
                        <c:v>470.4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0-3EE7-42F8-9B0B-A07A8C1580B4}"/>
                  </c:ext>
                </c:extLst>
              </c15:ser>
            </c15:filteredScatterSeries>
            <c15:filteredScatterSeries>
              <c15:ser>
                <c:idx val="36"/>
                <c:order val="35"/>
                <c:tx>
                  <c:v>LTO D6 LS2</c:v>
                </c:tx>
                <c:spPr>
                  <a:ln w="19050" cap="rnd">
                    <a:solidFill>
                      <a:schemeClr val="accent1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'!$M$116:$M$216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38.700000000000003</c:v>
                      </c:pt>
                      <c:pt idx="1">
                        <c:v>57.5</c:v>
                      </c:pt>
                      <c:pt idx="2">
                        <c:v>69.7</c:v>
                      </c:pt>
                      <c:pt idx="3">
                        <c:v>84.4</c:v>
                      </c:pt>
                      <c:pt idx="4">
                        <c:v>89.3</c:v>
                      </c:pt>
                      <c:pt idx="5">
                        <c:v>97.5</c:v>
                      </c:pt>
                      <c:pt idx="6">
                        <c:v>99.3</c:v>
                      </c:pt>
                      <c:pt idx="7">
                        <c:v>103.2</c:v>
                      </c:pt>
                      <c:pt idx="8">
                        <c:v>106.9</c:v>
                      </c:pt>
                      <c:pt idx="9">
                        <c:v>115.3</c:v>
                      </c:pt>
                      <c:pt idx="10">
                        <c:v>117.6</c:v>
                      </c:pt>
                      <c:pt idx="11">
                        <c:v>120.1</c:v>
                      </c:pt>
                      <c:pt idx="12">
                        <c:v>126.8</c:v>
                      </c:pt>
                      <c:pt idx="13">
                        <c:v>127.7</c:v>
                      </c:pt>
                      <c:pt idx="14">
                        <c:v>129.5</c:v>
                      </c:pt>
                      <c:pt idx="15">
                        <c:v>134.6</c:v>
                      </c:pt>
                      <c:pt idx="16">
                        <c:v>139.1</c:v>
                      </c:pt>
                      <c:pt idx="17">
                        <c:v>141.69999999999999</c:v>
                      </c:pt>
                      <c:pt idx="18">
                        <c:v>143.69999999999999</c:v>
                      </c:pt>
                      <c:pt idx="19">
                        <c:v>146.19999999999999</c:v>
                      </c:pt>
                      <c:pt idx="20">
                        <c:v>148.9</c:v>
                      </c:pt>
                      <c:pt idx="21">
                        <c:v>152.6</c:v>
                      </c:pt>
                      <c:pt idx="22">
                        <c:v>153.19999999999999</c:v>
                      </c:pt>
                      <c:pt idx="23">
                        <c:v>156.1</c:v>
                      </c:pt>
                      <c:pt idx="24">
                        <c:v>160.1</c:v>
                      </c:pt>
                      <c:pt idx="25">
                        <c:v>162.69999999999999</c:v>
                      </c:pt>
                      <c:pt idx="26">
                        <c:v>164.4</c:v>
                      </c:pt>
                      <c:pt idx="27">
                        <c:v>167</c:v>
                      </c:pt>
                      <c:pt idx="28">
                        <c:v>168.1</c:v>
                      </c:pt>
                      <c:pt idx="29">
                        <c:v>170.6</c:v>
                      </c:pt>
                      <c:pt idx="30">
                        <c:v>172.3</c:v>
                      </c:pt>
                      <c:pt idx="31">
                        <c:v>175.6</c:v>
                      </c:pt>
                      <c:pt idx="32">
                        <c:v>176.4</c:v>
                      </c:pt>
                      <c:pt idx="33">
                        <c:v>177.9</c:v>
                      </c:pt>
                      <c:pt idx="34">
                        <c:v>180.6</c:v>
                      </c:pt>
                      <c:pt idx="35">
                        <c:v>183</c:v>
                      </c:pt>
                      <c:pt idx="36">
                        <c:v>185</c:v>
                      </c:pt>
                      <c:pt idx="37">
                        <c:v>187.2</c:v>
                      </c:pt>
                      <c:pt idx="38">
                        <c:v>189.6</c:v>
                      </c:pt>
                      <c:pt idx="39">
                        <c:v>191</c:v>
                      </c:pt>
                      <c:pt idx="40">
                        <c:v>194.2</c:v>
                      </c:pt>
                      <c:pt idx="41">
                        <c:v>196.8</c:v>
                      </c:pt>
                      <c:pt idx="42">
                        <c:v>197.8</c:v>
                      </c:pt>
                      <c:pt idx="43">
                        <c:v>198.7</c:v>
                      </c:pt>
                      <c:pt idx="44">
                        <c:v>202</c:v>
                      </c:pt>
                      <c:pt idx="45">
                        <c:v>204</c:v>
                      </c:pt>
                      <c:pt idx="46">
                        <c:v>205.8</c:v>
                      </c:pt>
                      <c:pt idx="47">
                        <c:v>207.9</c:v>
                      </c:pt>
                      <c:pt idx="48">
                        <c:v>210</c:v>
                      </c:pt>
                      <c:pt idx="49">
                        <c:v>212.4</c:v>
                      </c:pt>
                      <c:pt idx="50">
                        <c:v>214.9</c:v>
                      </c:pt>
                      <c:pt idx="51">
                        <c:v>217.3</c:v>
                      </c:pt>
                      <c:pt idx="52">
                        <c:v>218.2</c:v>
                      </c:pt>
                      <c:pt idx="53">
                        <c:v>220.4</c:v>
                      </c:pt>
                      <c:pt idx="54">
                        <c:v>222.7</c:v>
                      </c:pt>
                      <c:pt idx="55">
                        <c:v>225.6</c:v>
                      </c:pt>
                      <c:pt idx="56">
                        <c:v>227.8</c:v>
                      </c:pt>
                      <c:pt idx="57">
                        <c:v>230</c:v>
                      </c:pt>
                      <c:pt idx="58">
                        <c:v>231.9</c:v>
                      </c:pt>
                      <c:pt idx="59">
                        <c:v>235.2</c:v>
                      </c:pt>
                      <c:pt idx="60">
                        <c:v>237</c:v>
                      </c:pt>
                      <c:pt idx="61">
                        <c:v>238.1</c:v>
                      </c:pt>
                      <c:pt idx="62">
                        <c:v>240.8</c:v>
                      </c:pt>
                      <c:pt idx="63">
                        <c:v>244.1</c:v>
                      </c:pt>
                      <c:pt idx="64">
                        <c:v>247</c:v>
                      </c:pt>
                      <c:pt idx="65">
                        <c:v>249.7</c:v>
                      </c:pt>
                      <c:pt idx="66">
                        <c:v>252.5</c:v>
                      </c:pt>
                      <c:pt idx="67">
                        <c:v>255.4</c:v>
                      </c:pt>
                      <c:pt idx="68">
                        <c:v>256.5</c:v>
                      </c:pt>
                      <c:pt idx="69">
                        <c:v>259.39999999999998</c:v>
                      </c:pt>
                      <c:pt idx="70">
                        <c:v>263</c:v>
                      </c:pt>
                      <c:pt idx="71">
                        <c:v>265.8</c:v>
                      </c:pt>
                      <c:pt idx="72">
                        <c:v>268.2</c:v>
                      </c:pt>
                      <c:pt idx="73">
                        <c:v>271.8</c:v>
                      </c:pt>
                      <c:pt idx="74">
                        <c:v>273.39999999999998</c:v>
                      </c:pt>
                      <c:pt idx="75">
                        <c:v>277.10000000000002</c:v>
                      </c:pt>
                      <c:pt idx="76">
                        <c:v>280.7</c:v>
                      </c:pt>
                      <c:pt idx="77">
                        <c:v>283.8</c:v>
                      </c:pt>
                      <c:pt idx="78">
                        <c:v>287.60000000000002</c:v>
                      </c:pt>
                      <c:pt idx="79">
                        <c:v>289.60000000000002</c:v>
                      </c:pt>
                      <c:pt idx="80">
                        <c:v>294.2</c:v>
                      </c:pt>
                      <c:pt idx="81">
                        <c:v>297.8</c:v>
                      </c:pt>
                      <c:pt idx="82">
                        <c:v>301.89999999999998</c:v>
                      </c:pt>
                      <c:pt idx="83">
                        <c:v>304.39999999999998</c:v>
                      </c:pt>
                      <c:pt idx="84">
                        <c:v>308.89999999999998</c:v>
                      </c:pt>
                      <c:pt idx="85">
                        <c:v>312.89999999999998</c:v>
                      </c:pt>
                      <c:pt idx="86">
                        <c:v>317.39999999999998</c:v>
                      </c:pt>
                      <c:pt idx="87">
                        <c:v>321.7</c:v>
                      </c:pt>
                      <c:pt idx="88">
                        <c:v>326.8</c:v>
                      </c:pt>
                      <c:pt idx="89">
                        <c:v>331.8</c:v>
                      </c:pt>
                      <c:pt idx="90">
                        <c:v>337.8</c:v>
                      </c:pt>
                      <c:pt idx="91">
                        <c:v>344.4</c:v>
                      </c:pt>
                      <c:pt idx="92">
                        <c:v>350.1</c:v>
                      </c:pt>
                      <c:pt idx="93">
                        <c:v>357.2</c:v>
                      </c:pt>
                      <c:pt idx="94">
                        <c:v>364.8</c:v>
                      </c:pt>
                      <c:pt idx="95">
                        <c:v>373.3</c:v>
                      </c:pt>
                      <c:pt idx="96">
                        <c:v>383.3</c:v>
                      </c:pt>
                      <c:pt idx="97">
                        <c:v>395.8</c:v>
                      </c:pt>
                      <c:pt idx="98">
                        <c:v>411.8</c:v>
                      </c:pt>
                      <c:pt idx="99">
                        <c:v>435</c:v>
                      </c:pt>
                      <c:pt idx="100">
                        <c:v>454.1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1-3EE7-42F8-9B0B-A07A8C1580B4}"/>
                  </c:ext>
                </c:extLst>
              </c15:ser>
            </c15:filteredScatterSeries>
            <c15:filteredScatterSeries>
              <c15:ser>
                <c:idx val="37"/>
                <c:order val="36"/>
                <c:tx>
                  <c:v>LTO D7 LS3</c:v>
                </c:tx>
                <c:spPr>
                  <a:ln w="19050" cap="rnd">
                    <a:solidFill>
                      <a:schemeClr val="accent2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'!$N$116:$N$216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70.2</c:v>
                      </c:pt>
                      <c:pt idx="1">
                        <c:v>88.9</c:v>
                      </c:pt>
                      <c:pt idx="2">
                        <c:v>99.8</c:v>
                      </c:pt>
                      <c:pt idx="3">
                        <c:v>114</c:v>
                      </c:pt>
                      <c:pt idx="4">
                        <c:v>118.4</c:v>
                      </c:pt>
                      <c:pt idx="5">
                        <c:v>126.6</c:v>
                      </c:pt>
                      <c:pt idx="6">
                        <c:v>127.6</c:v>
                      </c:pt>
                      <c:pt idx="7">
                        <c:v>133.9</c:v>
                      </c:pt>
                      <c:pt idx="8">
                        <c:v>138.69999999999999</c:v>
                      </c:pt>
                      <c:pt idx="9">
                        <c:v>141.80000000000001</c:v>
                      </c:pt>
                      <c:pt idx="10">
                        <c:v>144.19999999999999</c:v>
                      </c:pt>
                      <c:pt idx="11">
                        <c:v>147</c:v>
                      </c:pt>
                      <c:pt idx="12">
                        <c:v>151.80000000000001</c:v>
                      </c:pt>
                      <c:pt idx="13">
                        <c:v>152.80000000000001</c:v>
                      </c:pt>
                      <c:pt idx="14">
                        <c:v>153.5</c:v>
                      </c:pt>
                      <c:pt idx="15">
                        <c:v>158.19999999999999</c:v>
                      </c:pt>
                      <c:pt idx="16">
                        <c:v>161.1</c:v>
                      </c:pt>
                      <c:pt idx="17">
                        <c:v>163.5</c:v>
                      </c:pt>
                      <c:pt idx="18">
                        <c:v>165.3</c:v>
                      </c:pt>
                      <c:pt idx="19">
                        <c:v>167.4</c:v>
                      </c:pt>
                      <c:pt idx="20">
                        <c:v>168.4</c:v>
                      </c:pt>
                      <c:pt idx="21">
                        <c:v>171</c:v>
                      </c:pt>
                      <c:pt idx="22">
                        <c:v>172.9</c:v>
                      </c:pt>
                      <c:pt idx="23">
                        <c:v>175.7</c:v>
                      </c:pt>
                      <c:pt idx="24">
                        <c:v>176.5</c:v>
                      </c:pt>
                      <c:pt idx="25">
                        <c:v>177.8</c:v>
                      </c:pt>
                      <c:pt idx="26">
                        <c:v>180.2</c:v>
                      </c:pt>
                      <c:pt idx="27">
                        <c:v>182.2</c:v>
                      </c:pt>
                      <c:pt idx="28">
                        <c:v>184.4</c:v>
                      </c:pt>
                      <c:pt idx="29">
                        <c:v>186.1</c:v>
                      </c:pt>
                      <c:pt idx="30">
                        <c:v>188.8</c:v>
                      </c:pt>
                      <c:pt idx="31">
                        <c:v>190.1</c:v>
                      </c:pt>
                      <c:pt idx="32">
                        <c:v>191.4</c:v>
                      </c:pt>
                      <c:pt idx="33">
                        <c:v>194.9</c:v>
                      </c:pt>
                      <c:pt idx="34">
                        <c:v>197.1</c:v>
                      </c:pt>
                      <c:pt idx="35">
                        <c:v>197.9</c:v>
                      </c:pt>
                      <c:pt idx="36">
                        <c:v>198.6</c:v>
                      </c:pt>
                      <c:pt idx="37">
                        <c:v>201.6</c:v>
                      </c:pt>
                      <c:pt idx="38">
                        <c:v>203.7</c:v>
                      </c:pt>
                      <c:pt idx="39">
                        <c:v>205.2</c:v>
                      </c:pt>
                      <c:pt idx="40">
                        <c:v>206.8</c:v>
                      </c:pt>
                      <c:pt idx="41">
                        <c:v>208.7</c:v>
                      </c:pt>
                      <c:pt idx="42">
                        <c:v>210.8</c:v>
                      </c:pt>
                      <c:pt idx="43">
                        <c:v>213</c:v>
                      </c:pt>
                      <c:pt idx="44">
                        <c:v>215.1</c:v>
                      </c:pt>
                      <c:pt idx="45">
                        <c:v>217.3</c:v>
                      </c:pt>
                      <c:pt idx="46">
                        <c:v>218.2</c:v>
                      </c:pt>
                      <c:pt idx="47">
                        <c:v>220</c:v>
                      </c:pt>
                      <c:pt idx="48">
                        <c:v>221.8</c:v>
                      </c:pt>
                      <c:pt idx="49">
                        <c:v>224.2</c:v>
                      </c:pt>
                      <c:pt idx="50">
                        <c:v>226.6</c:v>
                      </c:pt>
                      <c:pt idx="51">
                        <c:v>228.6</c:v>
                      </c:pt>
                      <c:pt idx="52">
                        <c:v>230.5</c:v>
                      </c:pt>
                      <c:pt idx="53">
                        <c:v>232.1</c:v>
                      </c:pt>
                      <c:pt idx="54">
                        <c:v>235</c:v>
                      </c:pt>
                      <c:pt idx="55">
                        <c:v>237</c:v>
                      </c:pt>
                      <c:pt idx="56">
                        <c:v>237.8</c:v>
                      </c:pt>
                      <c:pt idx="57">
                        <c:v>239.8</c:v>
                      </c:pt>
                      <c:pt idx="58">
                        <c:v>242.5</c:v>
                      </c:pt>
                      <c:pt idx="59">
                        <c:v>245.4</c:v>
                      </c:pt>
                      <c:pt idx="60">
                        <c:v>247.8</c:v>
                      </c:pt>
                      <c:pt idx="61">
                        <c:v>250.2</c:v>
                      </c:pt>
                      <c:pt idx="62">
                        <c:v>252.8</c:v>
                      </c:pt>
                      <c:pt idx="63">
                        <c:v>255.4</c:v>
                      </c:pt>
                      <c:pt idx="64">
                        <c:v>256.39999999999998</c:v>
                      </c:pt>
                      <c:pt idx="65">
                        <c:v>258.39999999999998</c:v>
                      </c:pt>
                      <c:pt idx="66">
                        <c:v>261.5</c:v>
                      </c:pt>
                      <c:pt idx="67">
                        <c:v>264.60000000000002</c:v>
                      </c:pt>
                      <c:pt idx="68">
                        <c:v>266.60000000000002</c:v>
                      </c:pt>
                      <c:pt idx="69">
                        <c:v>269.3</c:v>
                      </c:pt>
                      <c:pt idx="70">
                        <c:v>272.3</c:v>
                      </c:pt>
                      <c:pt idx="71">
                        <c:v>273.60000000000002</c:v>
                      </c:pt>
                      <c:pt idx="72">
                        <c:v>276.89999999999998</c:v>
                      </c:pt>
                      <c:pt idx="73">
                        <c:v>280.2</c:v>
                      </c:pt>
                      <c:pt idx="74">
                        <c:v>283</c:v>
                      </c:pt>
                      <c:pt idx="75">
                        <c:v>286.2</c:v>
                      </c:pt>
                      <c:pt idx="76">
                        <c:v>288.7</c:v>
                      </c:pt>
                      <c:pt idx="77">
                        <c:v>291.3</c:v>
                      </c:pt>
                      <c:pt idx="78">
                        <c:v>295.39999999999998</c:v>
                      </c:pt>
                      <c:pt idx="79">
                        <c:v>298.39999999999998</c:v>
                      </c:pt>
                      <c:pt idx="80">
                        <c:v>302.10000000000002</c:v>
                      </c:pt>
                      <c:pt idx="81">
                        <c:v>304.3</c:v>
                      </c:pt>
                      <c:pt idx="82">
                        <c:v>308.2</c:v>
                      </c:pt>
                      <c:pt idx="83">
                        <c:v>311.8</c:v>
                      </c:pt>
                      <c:pt idx="84">
                        <c:v>316.10000000000002</c:v>
                      </c:pt>
                      <c:pt idx="85">
                        <c:v>319</c:v>
                      </c:pt>
                      <c:pt idx="86">
                        <c:v>323.89999999999998</c:v>
                      </c:pt>
                      <c:pt idx="87">
                        <c:v>328.5</c:v>
                      </c:pt>
                      <c:pt idx="88">
                        <c:v>332.6</c:v>
                      </c:pt>
                      <c:pt idx="89">
                        <c:v>338.3</c:v>
                      </c:pt>
                      <c:pt idx="90">
                        <c:v>344.3</c:v>
                      </c:pt>
                      <c:pt idx="91">
                        <c:v>349.3</c:v>
                      </c:pt>
                      <c:pt idx="92">
                        <c:v>355.6</c:v>
                      </c:pt>
                      <c:pt idx="93">
                        <c:v>362.2</c:v>
                      </c:pt>
                      <c:pt idx="94">
                        <c:v>369.5</c:v>
                      </c:pt>
                      <c:pt idx="95">
                        <c:v>378.1</c:v>
                      </c:pt>
                      <c:pt idx="96">
                        <c:v>388</c:v>
                      </c:pt>
                      <c:pt idx="97">
                        <c:v>400.1</c:v>
                      </c:pt>
                      <c:pt idx="98">
                        <c:v>415.5</c:v>
                      </c:pt>
                      <c:pt idx="99">
                        <c:v>439.2</c:v>
                      </c:pt>
                      <c:pt idx="100">
                        <c:v>458.4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2-3EE7-42F8-9B0B-A07A8C1580B4}"/>
                  </c:ext>
                </c:extLst>
              </c15:ser>
            </c15:filteredScatterSeries>
            <c15:filteredScatterSeries>
              <c15:ser>
                <c:idx val="38"/>
                <c:order val="37"/>
                <c:tx>
                  <c:v>LTO D8 LS4</c:v>
                </c:tx>
                <c:spPr>
                  <a:ln w="19050" cap="rnd">
                    <a:solidFill>
                      <a:schemeClr val="accent3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'!$O$116:$O$216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55.8</c:v>
                      </c:pt>
                      <c:pt idx="1">
                        <c:v>69.3</c:v>
                      </c:pt>
                      <c:pt idx="2">
                        <c:v>88.4</c:v>
                      </c:pt>
                      <c:pt idx="3">
                        <c:v>98.7</c:v>
                      </c:pt>
                      <c:pt idx="4">
                        <c:v>103.7</c:v>
                      </c:pt>
                      <c:pt idx="5">
                        <c:v>114.8</c:v>
                      </c:pt>
                      <c:pt idx="6">
                        <c:v>118.1</c:v>
                      </c:pt>
                      <c:pt idx="7">
                        <c:v>124.2</c:v>
                      </c:pt>
                      <c:pt idx="8">
                        <c:v>127.3</c:v>
                      </c:pt>
                      <c:pt idx="9">
                        <c:v>128.80000000000001</c:v>
                      </c:pt>
                      <c:pt idx="10">
                        <c:v>134.69999999999999</c:v>
                      </c:pt>
                      <c:pt idx="11">
                        <c:v>139.4</c:v>
                      </c:pt>
                      <c:pt idx="12">
                        <c:v>142.1</c:v>
                      </c:pt>
                      <c:pt idx="13">
                        <c:v>144.4</c:v>
                      </c:pt>
                      <c:pt idx="14">
                        <c:v>146.9</c:v>
                      </c:pt>
                      <c:pt idx="15">
                        <c:v>151.19999999999999</c:v>
                      </c:pt>
                      <c:pt idx="16">
                        <c:v>152.69999999999999</c:v>
                      </c:pt>
                      <c:pt idx="17">
                        <c:v>153.4</c:v>
                      </c:pt>
                      <c:pt idx="18">
                        <c:v>157.30000000000001</c:v>
                      </c:pt>
                      <c:pt idx="19">
                        <c:v>160.5</c:v>
                      </c:pt>
                      <c:pt idx="20">
                        <c:v>163.1</c:v>
                      </c:pt>
                      <c:pt idx="21">
                        <c:v>164.7</c:v>
                      </c:pt>
                      <c:pt idx="22">
                        <c:v>167.1</c:v>
                      </c:pt>
                      <c:pt idx="23">
                        <c:v>168.2</c:v>
                      </c:pt>
                      <c:pt idx="24">
                        <c:v>170.3</c:v>
                      </c:pt>
                      <c:pt idx="25">
                        <c:v>172</c:v>
                      </c:pt>
                      <c:pt idx="26">
                        <c:v>175.5</c:v>
                      </c:pt>
                      <c:pt idx="27">
                        <c:v>176.3</c:v>
                      </c:pt>
                      <c:pt idx="28">
                        <c:v>177.4</c:v>
                      </c:pt>
                      <c:pt idx="29">
                        <c:v>179.6</c:v>
                      </c:pt>
                      <c:pt idx="30">
                        <c:v>181.8</c:v>
                      </c:pt>
                      <c:pt idx="31">
                        <c:v>184.1</c:v>
                      </c:pt>
                      <c:pt idx="32">
                        <c:v>185.9</c:v>
                      </c:pt>
                      <c:pt idx="33">
                        <c:v>188.6</c:v>
                      </c:pt>
                      <c:pt idx="34">
                        <c:v>190.1</c:v>
                      </c:pt>
                      <c:pt idx="35">
                        <c:v>191.4</c:v>
                      </c:pt>
                      <c:pt idx="36">
                        <c:v>194.8</c:v>
                      </c:pt>
                      <c:pt idx="37">
                        <c:v>197.1</c:v>
                      </c:pt>
                      <c:pt idx="38">
                        <c:v>198</c:v>
                      </c:pt>
                      <c:pt idx="39">
                        <c:v>198.7</c:v>
                      </c:pt>
                      <c:pt idx="40">
                        <c:v>201.9</c:v>
                      </c:pt>
                      <c:pt idx="41">
                        <c:v>203.9</c:v>
                      </c:pt>
                      <c:pt idx="42">
                        <c:v>205.5</c:v>
                      </c:pt>
                      <c:pt idx="43">
                        <c:v>207.3</c:v>
                      </c:pt>
                      <c:pt idx="44">
                        <c:v>209.3</c:v>
                      </c:pt>
                      <c:pt idx="45">
                        <c:v>211.5</c:v>
                      </c:pt>
                      <c:pt idx="46">
                        <c:v>213.8</c:v>
                      </c:pt>
                      <c:pt idx="47">
                        <c:v>216.4</c:v>
                      </c:pt>
                      <c:pt idx="48">
                        <c:v>217.8</c:v>
                      </c:pt>
                      <c:pt idx="49">
                        <c:v>218.7</c:v>
                      </c:pt>
                      <c:pt idx="50">
                        <c:v>220.9</c:v>
                      </c:pt>
                      <c:pt idx="51">
                        <c:v>223.3</c:v>
                      </c:pt>
                      <c:pt idx="52">
                        <c:v>225.9</c:v>
                      </c:pt>
                      <c:pt idx="53">
                        <c:v>228</c:v>
                      </c:pt>
                      <c:pt idx="54">
                        <c:v>230</c:v>
                      </c:pt>
                      <c:pt idx="55">
                        <c:v>231.8</c:v>
                      </c:pt>
                      <c:pt idx="56">
                        <c:v>234.5</c:v>
                      </c:pt>
                      <c:pt idx="57">
                        <c:v>236.9</c:v>
                      </c:pt>
                      <c:pt idx="58">
                        <c:v>237.8</c:v>
                      </c:pt>
                      <c:pt idx="59">
                        <c:v>239.8</c:v>
                      </c:pt>
                      <c:pt idx="60">
                        <c:v>242.7</c:v>
                      </c:pt>
                      <c:pt idx="61">
                        <c:v>245.8</c:v>
                      </c:pt>
                      <c:pt idx="62">
                        <c:v>248.2</c:v>
                      </c:pt>
                      <c:pt idx="63">
                        <c:v>250.8</c:v>
                      </c:pt>
                      <c:pt idx="64">
                        <c:v>253.7</c:v>
                      </c:pt>
                      <c:pt idx="65">
                        <c:v>255.8</c:v>
                      </c:pt>
                      <c:pt idx="66">
                        <c:v>256.89999999999998</c:v>
                      </c:pt>
                      <c:pt idx="67">
                        <c:v>259.7</c:v>
                      </c:pt>
                      <c:pt idx="68">
                        <c:v>263.10000000000002</c:v>
                      </c:pt>
                      <c:pt idx="69">
                        <c:v>265.7</c:v>
                      </c:pt>
                      <c:pt idx="70">
                        <c:v>267.8</c:v>
                      </c:pt>
                      <c:pt idx="71">
                        <c:v>271.3</c:v>
                      </c:pt>
                      <c:pt idx="72">
                        <c:v>273.2</c:v>
                      </c:pt>
                      <c:pt idx="73">
                        <c:v>275.7</c:v>
                      </c:pt>
                      <c:pt idx="74">
                        <c:v>279.5</c:v>
                      </c:pt>
                      <c:pt idx="75">
                        <c:v>282.5</c:v>
                      </c:pt>
                      <c:pt idx="76">
                        <c:v>285.5</c:v>
                      </c:pt>
                      <c:pt idx="77">
                        <c:v>288.60000000000002</c:v>
                      </c:pt>
                      <c:pt idx="78">
                        <c:v>290.89999999999998</c:v>
                      </c:pt>
                      <c:pt idx="79">
                        <c:v>295.3</c:v>
                      </c:pt>
                      <c:pt idx="80">
                        <c:v>298.5</c:v>
                      </c:pt>
                      <c:pt idx="81">
                        <c:v>302.39999999999998</c:v>
                      </c:pt>
                      <c:pt idx="82">
                        <c:v>304.7</c:v>
                      </c:pt>
                      <c:pt idx="83">
                        <c:v>308.89999999999998</c:v>
                      </c:pt>
                      <c:pt idx="84">
                        <c:v>312.60000000000002</c:v>
                      </c:pt>
                      <c:pt idx="85">
                        <c:v>317.10000000000002</c:v>
                      </c:pt>
                      <c:pt idx="86">
                        <c:v>320.39999999999998</c:v>
                      </c:pt>
                      <c:pt idx="87">
                        <c:v>325.5</c:v>
                      </c:pt>
                      <c:pt idx="88">
                        <c:v>330.6</c:v>
                      </c:pt>
                      <c:pt idx="89">
                        <c:v>335</c:v>
                      </c:pt>
                      <c:pt idx="90">
                        <c:v>341</c:v>
                      </c:pt>
                      <c:pt idx="91">
                        <c:v>346.3</c:v>
                      </c:pt>
                      <c:pt idx="92">
                        <c:v>352.9</c:v>
                      </c:pt>
                      <c:pt idx="93">
                        <c:v>359.2</c:v>
                      </c:pt>
                      <c:pt idx="94">
                        <c:v>367.2</c:v>
                      </c:pt>
                      <c:pt idx="95">
                        <c:v>375.4</c:v>
                      </c:pt>
                      <c:pt idx="96">
                        <c:v>385.3</c:v>
                      </c:pt>
                      <c:pt idx="97">
                        <c:v>397.5</c:v>
                      </c:pt>
                      <c:pt idx="98">
                        <c:v>412.9</c:v>
                      </c:pt>
                      <c:pt idx="99">
                        <c:v>436.8</c:v>
                      </c:pt>
                      <c:pt idx="100">
                        <c:v>456.5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3-3EE7-42F8-9B0B-A07A8C1580B4}"/>
                  </c:ext>
                </c:extLst>
              </c15:ser>
            </c15:filteredScatterSeries>
            <c15:filteredScatterSeries>
              <c15:ser>
                <c:idx val="39"/>
                <c:order val="38"/>
                <c:tx>
                  <c:v>LTO D9 LS5</c:v>
                </c:tx>
                <c:spPr>
                  <a:ln w="19050" cap="rnd">
                    <a:solidFill>
                      <a:schemeClr val="accent4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'!$P$116:$P$216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69.099999999999994</c:v>
                      </c:pt>
                      <c:pt idx="1">
                        <c:v>78.2</c:v>
                      </c:pt>
                      <c:pt idx="2">
                        <c:v>93.4</c:v>
                      </c:pt>
                      <c:pt idx="3">
                        <c:v>99.5</c:v>
                      </c:pt>
                      <c:pt idx="4">
                        <c:v>105.8</c:v>
                      </c:pt>
                      <c:pt idx="5">
                        <c:v>115.7</c:v>
                      </c:pt>
                      <c:pt idx="6">
                        <c:v>118.5</c:v>
                      </c:pt>
                      <c:pt idx="7">
                        <c:v>123.8</c:v>
                      </c:pt>
                      <c:pt idx="8">
                        <c:v>127.3</c:v>
                      </c:pt>
                      <c:pt idx="9">
                        <c:v>128.30000000000001</c:v>
                      </c:pt>
                      <c:pt idx="10">
                        <c:v>133.9</c:v>
                      </c:pt>
                      <c:pt idx="11">
                        <c:v>137.6</c:v>
                      </c:pt>
                      <c:pt idx="12">
                        <c:v>141.19999999999999</c:v>
                      </c:pt>
                      <c:pt idx="13">
                        <c:v>143.30000000000001</c:v>
                      </c:pt>
                      <c:pt idx="14">
                        <c:v>145.4</c:v>
                      </c:pt>
                      <c:pt idx="15">
                        <c:v>147.9</c:v>
                      </c:pt>
                      <c:pt idx="16">
                        <c:v>152.1</c:v>
                      </c:pt>
                      <c:pt idx="17">
                        <c:v>153</c:v>
                      </c:pt>
                      <c:pt idx="18">
                        <c:v>154.19999999999999</c:v>
                      </c:pt>
                      <c:pt idx="19">
                        <c:v>158.1</c:v>
                      </c:pt>
                      <c:pt idx="20">
                        <c:v>161</c:v>
                      </c:pt>
                      <c:pt idx="21">
                        <c:v>163.5</c:v>
                      </c:pt>
                      <c:pt idx="22">
                        <c:v>165.2</c:v>
                      </c:pt>
                      <c:pt idx="23">
                        <c:v>167.4</c:v>
                      </c:pt>
                      <c:pt idx="24">
                        <c:v>168.4</c:v>
                      </c:pt>
                      <c:pt idx="25">
                        <c:v>170.7</c:v>
                      </c:pt>
                      <c:pt idx="26">
                        <c:v>172.4</c:v>
                      </c:pt>
                      <c:pt idx="27">
                        <c:v>175.6</c:v>
                      </c:pt>
                      <c:pt idx="28">
                        <c:v>176.4</c:v>
                      </c:pt>
                      <c:pt idx="29">
                        <c:v>177.7</c:v>
                      </c:pt>
                      <c:pt idx="30">
                        <c:v>179.8</c:v>
                      </c:pt>
                      <c:pt idx="31">
                        <c:v>182</c:v>
                      </c:pt>
                      <c:pt idx="32">
                        <c:v>184.2</c:v>
                      </c:pt>
                      <c:pt idx="33">
                        <c:v>186.1</c:v>
                      </c:pt>
                      <c:pt idx="34">
                        <c:v>188.8</c:v>
                      </c:pt>
                      <c:pt idx="35">
                        <c:v>190.2</c:v>
                      </c:pt>
                      <c:pt idx="36">
                        <c:v>191.6</c:v>
                      </c:pt>
                      <c:pt idx="37">
                        <c:v>195</c:v>
                      </c:pt>
                      <c:pt idx="38">
                        <c:v>197.2</c:v>
                      </c:pt>
                      <c:pt idx="39">
                        <c:v>198</c:v>
                      </c:pt>
                      <c:pt idx="40">
                        <c:v>199</c:v>
                      </c:pt>
                      <c:pt idx="41">
                        <c:v>202.1</c:v>
                      </c:pt>
                      <c:pt idx="42">
                        <c:v>204</c:v>
                      </c:pt>
                      <c:pt idx="43">
                        <c:v>205.7</c:v>
                      </c:pt>
                      <c:pt idx="44">
                        <c:v>207.7</c:v>
                      </c:pt>
                      <c:pt idx="45">
                        <c:v>209.7</c:v>
                      </c:pt>
                      <c:pt idx="46">
                        <c:v>211.8</c:v>
                      </c:pt>
                      <c:pt idx="47">
                        <c:v>214.2</c:v>
                      </c:pt>
                      <c:pt idx="48">
                        <c:v>216.8</c:v>
                      </c:pt>
                      <c:pt idx="49">
                        <c:v>218</c:v>
                      </c:pt>
                      <c:pt idx="50">
                        <c:v>219.3</c:v>
                      </c:pt>
                      <c:pt idx="51">
                        <c:v>221.3</c:v>
                      </c:pt>
                      <c:pt idx="52">
                        <c:v>223.8</c:v>
                      </c:pt>
                      <c:pt idx="53">
                        <c:v>226.4</c:v>
                      </c:pt>
                      <c:pt idx="54">
                        <c:v>228.6</c:v>
                      </c:pt>
                      <c:pt idx="55">
                        <c:v>230.6</c:v>
                      </c:pt>
                      <c:pt idx="56">
                        <c:v>232.4</c:v>
                      </c:pt>
                      <c:pt idx="57">
                        <c:v>235.6</c:v>
                      </c:pt>
                      <c:pt idx="58">
                        <c:v>237.1</c:v>
                      </c:pt>
                      <c:pt idx="59">
                        <c:v>238.3</c:v>
                      </c:pt>
                      <c:pt idx="60">
                        <c:v>240.7</c:v>
                      </c:pt>
                      <c:pt idx="61">
                        <c:v>243.9</c:v>
                      </c:pt>
                      <c:pt idx="62">
                        <c:v>246.8</c:v>
                      </c:pt>
                      <c:pt idx="63">
                        <c:v>249.2</c:v>
                      </c:pt>
                      <c:pt idx="64">
                        <c:v>251.7</c:v>
                      </c:pt>
                      <c:pt idx="65">
                        <c:v>254.9</c:v>
                      </c:pt>
                      <c:pt idx="66">
                        <c:v>256.2</c:v>
                      </c:pt>
                      <c:pt idx="67">
                        <c:v>258</c:v>
                      </c:pt>
                      <c:pt idx="68">
                        <c:v>261.10000000000002</c:v>
                      </c:pt>
                      <c:pt idx="69">
                        <c:v>264.39999999999998</c:v>
                      </c:pt>
                      <c:pt idx="70">
                        <c:v>266.60000000000002</c:v>
                      </c:pt>
                      <c:pt idx="71">
                        <c:v>269.5</c:v>
                      </c:pt>
                      <c:pt idx="72">
                        <c:v>272.5</c:v>
                      </c:pt>
                      <c:pt idx="73">
                        <c:v>274.10000000000002</c:v>
                      </c:pt>
                      <c:pt idx="74">
                        <c:v>277.8</c:v>
                      </c:pt>
                      <c:pt idx="75">
                        <c:v>281.2</c:v>
                      </c:pt>
                      <c:pt idx="76">
                        <c:v>284.10000000000002</c:v>
                      </c:pt>
                      <c:pt idx="77">
                        <c:v>287.8</c:v>
                      </c:pt>
                      <c:pt idx="78">
                        <c:v>289.60000000000002</c:v>
                      </c:pt>
                      <c:pt idx="79">
                        <c:v>293.8</c:v>
                      </c:pt>
                      <c:pt idx="80">
                        <c:v>297.39999999999998</c:v>
                      </c:pt>
                      <c:pt idx="81">
                        <c:v>301.2</c:v>
                      </c:pt>
                      <c:pt idx="82">
                        <c:v>304</c:v>
                      </c:pt>
                      <c:pt idx="83">
                        <c:v>307.60000000000002</c:v>
                      </c:pt>
                      <c:pt idx="84">
                        <c:v>311.60000000000002</c:v>
                      </c:pt>
                      <c:pt idx="85">
                        <c:v>316.10000000000002</c:v>
                      </c:pt>
                      <c:pt idx="86">
                        <c:v>319.3</c:v>
                      </c:pt>
                      <c:pt idx="87">
                        <c:v>324.5</c:v>
                      </c:pt>
                      <c:pt idx="88">
                        <c:v>329.6</c:v>
                      </c:pt>
                      <c:pt idx="89">
                        <c:v>334</c:v>
                      </c:pt>
                      <c:pt idx="90">
                        <c:v>340.2</c:v>
                      </c:pt>
                      <c:pt idx="91">
                        <c:v>345.7</c:v>
                      </c:pt>
                      <c:pt idx="92">
                        <c:v>352.2</c:v>
                      </c:pt>
                      <c:pt idx="93">
                        <c:v>358.5</c:v>
                      </c:pt>
                      <c:pt idx="94">
                        <c:v>366.6</c:v>
                      </c:pt>
                      <c:pt idx="95">
                        <c:v>374.8</c:v>
                      </c:pt>
                      <c:pt idx="96">
                        <c:v>384.8</c:v>
                      </c:pt>
                      <c:pt idx="97">
                        <c:v>397</c:v>
                      </c:pt>
                      <c:pt idx="98">
                        <c:v>412.7</c:v>
                      </c:pt>
                      <c:pt idx="99">
                        <c:v>436.6</c:v>
                      </c:pt>
                      <c:pt idx="100">
                        <c:v>456.5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4-3EE7-42F8-9B0B-A07A8C1580B4}"/>
                  </c:ext>
                </c:extLst>
              </c15:ser>
            </c15:filteredScatterSeries>
            <c15:filteredScatterSeries>
              <c15:ser>
                <c:idx val="40"/>
                <c:order val="39"/>
                <c:tx>
                  <c:v>LTO D10 LS6</c:v>
                </c:tx>
                <c:spPr>
                  <a:ln w="19050" cap="rnd">
                    <a:solidFill>
                      <a:schemeClr val="accent5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'!$Q$116:$Q$216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75.8</c:v>
                      </c:pt>
                      <c:pt idx="1">
                        <c:v>90.8</c:v>
                      </c:pt>
                      <c:pt idx="2">
                        <c:v>102.6</c:v>
                      </c:pt>
                      <c:pt idx="3">
                        <c:v>114.5</c:v>
                      </c:pt>
                      <c:pt idx="4">
                        <c:v>118.8</c:v>
                      </c:pt>
                      <c:pt idx="5">
                        <c:v>126.5</c:v>
                      </c:pt>
                      <c:pt idx="6">
                        <c:v>127.8</c:v>
                      </c:pt>
                      <c:pt idx="7">
                        <c:v>133.9</c:v>
                      </c:pt>
                      <c:pt idx="8">
                        <c:v>138.69999999999999</c:v>
                      </c:pt>
                      <c:pt idx="9">
                        <c:v>142</c:v>
                      </c:pt>
                      <c:pt idx="10">
                        <c:v>144.6</c:v>
                      </c:pt>
                      <c:pt idx="11">
                        <c:v>147.5</c:v>
                      </c:pt>
                      <c:pt idx="12">
                        <c:v>152</c:v>
                      </c:pt>
                      <c:pt idx="13">
                        <c:v>153</c:v>
                      </c:pt>
                      <c:pt idx="14">
                        <c:v>155.5</c:v>
                      </c:pt>
                      <c:pt idx="15">
                        <c:v>159.80000000000001</c:v>
                      </c:pt>
                      <c:pt idx="16">
                        <c:v>162.6</c:v>
                      </c:pt>
                      <c:pt idx="17">
                        <c:v>164.6</c:v>
                      </c:pt>
                      <c:pt idx="18">
                        <c:v>167.1</c:v>
                      </c:pt>
                      <c:pt idx="19">
                        <c:v>168.4</c:v>
                      </c:pt>
                      <c:pt idx="20">
                        <c:v>170.9</c:v>
                      </c:pt>
                      <c:pt idx="21">
                        <c:v>174.1</c:v>
                      </c:pt>
                      <c:pt idx="22">
                        <c:v>175.8</c:v>
                      </c:pt>
                      <c:pt idx="23">
                        <c:v>176.9</c:v>
                      </c:pt>
                      <c:pt idx="24">
                        <c:v>179</c:v>
                      </c:pt>
                      <c:pt idx="25">
                        <c:v>181.5</c:v>
                      </c:pt>
                      <c:pt idx="26">
                        <c:v>184</c:v>
                      </c:pt>
                      <c:pt idx="27">
                        <c:v>186.2</c:v>
                      </c:pt>
                      <c:pt idx="28">
                        <c:v>189</c:v>
                      </c:pt>
                      <c:pt idx="29">
                        <c:v>190.5</c:v>
                      </c:pt>
                      <c:pt idx="30">
                        <c:v>193.1</c:v>
                      </c:pt>
                      <c:pt idx="31">
                        <c:v>196.4</c:v>
                      </c:pt>
                      <c:pt idx="32">
                        <c:v>197.6</c:v>
                      </c:pt>
                      <c:pt idx="33">
                        <c:v>198.6</c:v>
                      </c:pt>
                      <c:pt idx="34">
                        <c:v>201.7</c:v>
                      </c:pt>
                      <c:pt idx="35">
                        <c:v>203.9</c:v>
                      </c:pt>
                      <c:pt idx="36">
                        <c:v>205.8</c:v>
                      </c:pt>
                      <c:pt idx="37">
                        <c:v>208.1</c:v>
                      </c:pt>
                      <c:pt idx="38">
                        <c:v>210.3</c:v>
                      </c:pt>
                      <c:pt idx="39">
                        <c:v>212.9</c:v>
                      </c:pt>
                      <c:pt idx="40">
                        <c:v>215.5</c:v>
                      </c:pt>
                      <c:pt idx="41">
                        <c:v>217.5</c:v>
                      </c:pt>
                      <c:pt idx="42">
                        <c:v>218.7</c:v>
                      </c:pt>
                      <c:pt idx="43">
                        <c:v>220.9</c:v>
                      </c:pt>
                      <c:pt idx="44">
                        <c:v>223.5</c:v>
                      </c:pt>
                      <c:pt idx="45">
                        <c:v>226.3</c:v>
                      </c:pt>
                      <c:pt idx="46">
                        <c:v>228.7</c:v>
                      </c:pt>
                      <c:pt idx="47">
                        <c:v>230.9</c:v>
                      </c:pt>
                      <c:pt idx="48">
                        <c:v>233.2</c:v>
                      </c:pt>
                      <c:pt idx="49">
                        <c:v>236.3</c:v>
                      </c:pt>
                      <c:pt idx="50">
                        <c:v>237.4</c:v>
                      </c:pt>
                      <c:pt idx="51">
                        <c:v>239.4</c:v>
                      </c:pt>
                      <c:pt idx="52">
                        <c:v>242.5</c:v>
                      </c:pt>
                      <c:pt idx="53">
                        <c:v>245.9</c:v>
                      </c:pt>
                      <c:pt idx="54">
                        <c:v>248.5</c:v>
                      </c:pt>
                      <c:pt idx="55">
                        <c:v>251.2</c:v>
                      </c:pt>
                      <c:pt idx="56">
                        <c:v>254.4</c:v>
                      </c:pt>
                      <c:pt idx="57">
                        <c:v>256</c:v>
                      </c:pt>
                      <c:pt idx="58">
                        <c:v>257.8</c:v>
                      </c:pt>
                      <c:pt idx="59">
                        <c:v>260.89999999999998</c:v>
                      </c:pt>
                      <c:pt idx="60">
                        <c:v>264.39999999999998</c:v>
                      </c:pt>
                      <c:pt idx="61">
                        <c:v>266.7</c:v>
                      </c:pt>
                      <c:pt idx="62">
                        <c:v>269.7</c:v>
                      </c:pt>
                      <c:pt idx="63">
                        <c:v>272.5</c:v>
                      </c:pt>
                      <c:pt idx="64">
                        <c:v>274.3</c:v>
                      </c:pt>
                      <c:pt idx="65">
                        <c:v>278</c:v>
                      </c:pt>
                      <c:pt idx="66">
                        <c:v>281.39999999999998</c:v>
                      </c:pt>
                      <c:pt idx="67">
                        <c:v>284.39999999999998</c:v>
                      </c:pt>
                      <c:pt idx="68">
                        <c:v>288</c:v>
                      </c:pt>
                      <c:pt idx="69">
                        <c:v>289.60000000000002</c:v>
                      </c:pt>
                      <c:pt idx="70">
                        <c:v>293.39999999999998</c:v>
                      </c:pt>
                      <c:pt idx="71">
                        <c:v>297</c:v>
                      </c:pt>
                      <c:pt idx="72">
                        <c:v>300.60000000000002</c:v>
                      </c:pt>
                      <c:pt idx="73">
                        <c:v>303.7</c:v>
                      </c:pt>
                      <c:pt idx="74">
                        <c:v>306.60000000000002</c:v>
                      </c:pt>
                      <c:pt idx="75">
                        <c:v>310.7</c:v>
                      </c:pt>
                      <c:pt idx="76">
                        <c:v>314.60000000000002</c:v>
                      </c:pt>
                      <c:pt idx="77">
                        <c:v>317.89999999999998</c:v>
                      </c:pt>
                      <c:pt idx="78">
                        <c:v>321.7</c:v>
                      </c:pt>
                      <c:pt idx="79">
                        <c:v>326.10000000000002</c:v>
                      </c:pt>
                      <c:pt idx="80">
                        <c:v>330.8</c:v>
                      </c:pt>
                      <c:pt idx="81">
                        <c:v>334.5</c:v>
                      </c:pt>
                      <c:pt idx="82">
                        <c:v>339.8</c:v>
                      </c:pt>
                      <c:pt idx="83">
                        <c:v>344.9</c:v>
                      </c:pt>
                      <c:pt idx="84">
                        <c:v>349</c:v>
                      </c:pt>
                      <c:pt idx="85">
                        <c:v>354.2</c:v>
                      </c:pt>
                      <c:pt idx="86">
                        <c:v>358.6</c:v>
                      </c:pt>
                      <c:pt idx="87">
                        <c:v>364.1</c:v>
                      </c:pt>
                      <c:pt idx="88">
                        <c:v>369.4</c:v>
                      </c:pt>
                      <c:pt idx="89">
                        <c:v>374.3</c:v>
                      </c:pt>
                      <c:pt idx="90">
                        <c:v>380.1</c:v>
                      </c:pt>
                      <c:pt idx="91">
                        <c:v>384.9</c:v>
                      </c:pt>
                      <c:pt idx="92">
                        <c:v>391.1</c:v>
                      </c:pt>
                      <c:pt idx="93">
                        <c:v>396.3</c:v>
                      </c:pt>
                      <c:pt idx="94">
                        <c:v>402.8</c:v>
                      </c:pt>
                      <c:pt idx="95">
                        <c:v>409.6</c:v>
                      </c:pt>
                      <c:pt idx="96">
                        <c:v>417.3</c:v>
                      </c:pt>
                      <c:pt idx="97">
                        <c:v>426.6</c:v>
                      </c:pt>
                      <c:pt idx="98">
                        <c:v>438.9</c:v>
                      </c:pt>
                      <c:pt idx="99">
                        <c:v>456.8</c:v>
                      </c:pt>
                      <c:pt idx="100">
                        <c:v>471.8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5-3EE7-42F8-9B0B-A07A8C1580B4}"/>
                  </c:ext>
                </c:extLst>
              </c15:ser>
            </c15:filteredScatterSeries>
          </c:ext>
        </c:extLst>
      </c:scatterChart>
      <c:valAx>
        <c:axId val="1611948943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934063"/>
        <c:crosses val="autoZero"/>
        <c:crossBetween val="midCat"/>
      </c:valAx>
      <c:valAx>
        <c:axId val="161193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deg.C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948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ayout>
        <c:manualLayout>
          <c:xMode val="edge"/>
          <c:yMode val="edge"/>
          <c:x val="0.87723486624381386"/>
          <c:y val="0.22008907278083809"/>
          <c:w val="0.12136578572014912"/>
          <c:h val="6.67275315810153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375505850010674"/>
          <c:y val="0.15925020645829546"/>
          <c:w val="0.68488713097585896"/>
          <c:h val="0.71150274519547052"/>
        </c:manualLayout>
      </c:layout>
      <c:scatterChart>
        <c:scatterStyle val="smoothMarker"/>
        <c:varyColors val="0"/>
        <c:ser>
          <c:idx val="2"/>
          <c:order val="2"/>
          <c:tx>
            <c:v>Low Sedimentation VR Feed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  <c:extLst xmlns:c15="http://schemas.microsoft.com/office/drawing/2012/chart"/>
            </c:numRef>
          </c:xVal>
          <c:yVal>
            <c:numRef>
              <c:f>'HPS LTO DAILY 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E29C-460D-9626-D125B23F4421}"/>
            </c:ext>
          </c:extLst>
        </c:ser>
        <c:ser>
          <c:idx val="3"/>
          <c:order val="3"/>
          <c:tx>
            <c:v>High Sedimentation VR Feed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29C-460D-9626-D125B23F4421}"/>
            </c:ext>
          </c:extLst>
        </c:ser>
        <c:ser>
          <c:idx val="7"/>
          <c:order val="7"/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bg1">
                    <a:lumMod val="50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B4FF-41FC-AD64-9E81A2B15D58}"/>
              </c:ext>
            </c:extLst>
          </c:dPt>
          <c:xVal>
            <c:numRef>
              <c:f>'HPS LTO DAILY '!$AT$20:$AT$21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560</c:v>
              </c:pt>
              <c:pt idx="1">
                <c:v>560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7-E29C-460D-9626-D125B23F4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13088"/>
        <c:axId val="190791419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5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'HPS LTO DAILY '!$D$223:$D$323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'HPS LTO DAILY '!$L$223:$L$323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E29C-460D-9626-D125B23F4421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'!$T$220</c15:sqref>
                        </c15:formulaRef>
                      </c:ext>
                    </c:extLst>
                    <c:strCache>
                      <c:ptCount val="1"/>
                      <c:pt idx="0">
                        <c:v>13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'!$D$223:$D$323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'!$T$223:$T$295</c15:sqref>
                        </c15:formulaRef>
                      </c:ext>
                    </c:extLst>
                    <c:numCache>
                      <c:formatCode>General</c:formatCode>
                      <c:ptCount val="73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29C-460D-9626-D125B23F4421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HPS 13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'!$T$10:$T$98</c15:sqref>
                        </c15:formulaRef>
                      </c:ext>
                    </c:extLst>
                    <c:numCache>
                      <c:formatCode>General</c:formatCode>
                      <c:ptCount val="89"/>
                      <c:pt idx="0">
                        <c:v>132.6</c:v>
                      </c:pt>
                      <c:pt idx="1">
                        <c:v>154.1</c:v>
                      </c:pt>
                      <c:pt idx="2">
                        <c:v>177.9</c:v>
                      </c:pt>
                      <c:pt idx="3">
                        <c:v>195.8</c:v>
                      </c:pt>
                      <c:pt idx="4">
                        <c:v>207.2</c:v>
                      </c:pt>
                      <c:pt idx="5">
                        <c:v>218.2</c:v>
                      </c:pt>
                      <c:pt idx="6">
                        <c:v>226.7</c:v>
                      </c:pt>
                      <c:pt idx="7">
                        <c:v>235.3</c:v>
                      </c:pt>
                      <c:pt idx="8">
                        <c:v>244.2</c:v>
                      </c:pt>
                      <c:pt idx="9">
                        <c:v>252</c:v>
                      </c:pt>
                      <c:pt idx="10">
                        <c:v>258.8</c:v>
                      </c:pt>
                      <c:pt idx="11">
                        <c:v>264.89999999999998</c:v>
                      </c:pt>
                      <c:pt idx="12">
                        <c:v>271.7</c:v>
                      </c:pt>
                      <c:pt idx="13">
                        <c:v>278.60000000000002</c:v>
                      </c:pt>
                      <c:pt idx="14">
                        <c:v>285.10000000000002</c:v>
                      </c:pt>
                      <c:pt idx="15">
                        <c:v>291.5</c:v>
                      </c:pt>
                      <c:pt idx="16">
                        <c:v>297.39999999999998</c:v>
                      </c:pt>
                      <c:pt idx="17">
                        <c:v>304.10000000000002</c:v>
                      </c:pt>
                      <c:pt idx="18">
                        <c:v>310.5</c:v>
                      </c:pt>
                      <c:pt idx="19">
                        <c:v>315.89999999999998</c:v>
                      </c:pt>
                      <c:pt idx="20">
                        <c:v>322.10000000000002</c:v>
                      </c:pt>
                      <c:pt idx="21">
                        <c:v>327.5</c:v>
                      </c:pt>
                      <c:pt idx="22">
                        <c:v>333.7</c:v>
                      </c:pt>
                      <c:pt idx="23">
                        <c:v>339.7</c:v>
                      </c:pt>
                      <c:pt idx="24">
                        <c:v>344.7</c:v>
                      </c:pt>
                      <c:pt idx="25">
                        <c:v>350.3</c:v>
                      </c:pt>
                      <c:pt idx="26">
                        <c:v>355.4</c:v>
                      </c:pt>
                      <c:pt idx="27">
                        <c:v>360.5</c:v>
                      </c:pt>
                      <c:pt idx="28">
                        <c:v>365.9</c:v>
                      </c:pt>
                      <c:pt idx="29">
                        <c:v>370.5</c:v>
                      </c:pt>
                      <c:pt idx="30">
                        <c:v>374.9</c:v>
                      </c:pt>
                      <c:pt idx="31">
                        <c:v>379.1</c:v>
                      </c:pt>
                      <c:pt idx="32">
                        <c:v>383.4</c:v>
                      </c:pt>
                      <c:pt idx="33">
                        <c:v>387.8</c:v>
                      </c:pt>
                      <c:pt idx="34">
                        <c:v>391.9</c:v>
                      </c:pt>
                      <c:pt idx="35">
                        <c:v>396.3</c:v>
                      </c:pt>
                      <c:pt idx="36">
                        <c:v>400.5</c:v>
                      </c:pt>
                      <c:pt idx="37">
                        <c:v>405.1</c:v>
                      </c:pt>
                      <c:pt idx="38">
                        <c:v>409.5</c:v>
                      </c:pt>
                      <c:pt idx="39">
                        <c:v>413.9</c:v>
                      </c:pt>
                      <c:pt idx="40">
                        <c:v>418.9</c:v>
                      </c:pt>
                      <c:pt idx="41">
                        <c:v>423.4</c:v>
                      </c:pt>
                      <c:pt idx="42">
                        <c:v>428.1</c:v>
                      </c:pt>
                      <c:pt idx="43">
                        <c:v>432.5</c:v>
                      </c:pt>
                      <c:pt idx="44">
                        <c:v>436.5</c:v>
                      </c:pt>
                      <c:pt idx="45">
                        <c:v>440.4</c:v>
                      </c:pt>
                      <c:pt idx="46">
                        <c:v>444.5</c:v>
                      </c:pt>
                      <c:pt idx="47">
                        <c:v>448.4</c:v>
                      </c:pt>
                      <c:pt idx="48">
                        <c:v>453.4</c:v>
                      </c:pt>
                      <c:pt idx="49">
                        <c:v>458.1</c:v>
                      </c:pt>
                      <c:pt idx="50">
                        <c:v>463.2</c:v>
                      </c:pt>
                      <c:pt idx="51">
                        <c:v>467.7</c:v>
                      </c:pt>
                      <c:pt idx="52">
                        <c:v>472.1</c:v>
                      </c:pt>
                      <c:pt idx="53">
                        <c:v>476.5</c:v>
                      </c:pt>
                      <c:pt idx="54">
                        <c:v>480.8</c:v>
                      </c:pt>
                      <c:pt idx="55">
                        <c:v>485.5</c:v>
                      </c:pt>
                      <c:pt idx="56">
                        <c:v>490.1</c:v>
                      </c:pt>
                      <c:pt idx="57">
                        <c:v>494.7</c:v>
                      </c:pt>
                      <c:pt idx="58">
                        <c:v>499.2</c:v>
                      </c:pt>
                      <c:pt idx="59">
                        <c:v>503.5</c:v>
                      </c:pt>
                      <c:pt idx="60">
                        <c:v>508</c:v>
                      </c:pt>
                      <c:pt idx="61">
                        <c:v>512.20000000000005</c:v>
                      </c:pt>
                      <c:pt idx="62">
                        <c:v>516.29999999999995</c:v>
                      </c:pt>
                      <c:pt idx="63">
                        <c:v>520.5</c:v>
                      </c:pt>
                      <c:pt idx="64">
                        <c:v>525</c:v>
                      </c:pt>
                      <c:pt idx="65">
                        <c:v>529.6</c:v>
                      </c:pt>
                      <c:pt idx="66">
                        <c:v>534.20000000000005</c:v>
                      </c:pt>
                      <c:pt idx="67">
                        <c:v>537.9</c:v>
                      </c:pt>
                      <c:pt idx="68">
                        <c:v>541.5</c:v>
                      </c:pt>
                      <c:pt idx="69">
                        <c:v>545.1</c:v>
                      </c:pt>
                      <c:pt idx="70">
                        <c:v>550.20000000000005</c:v>
                      </c:pt>
                      <c:pt idx="71">
                        <c:v>555.20000000000005</c:v>
                      </c:pt>
                      <c:pt idx="72">
                        <c:v>559.5</c:v>
                      </c:pt>
                      <c:pt idx="73">
                        <c:v>563.6</c:v>
                      </c:pt>
                      <c:pt idx="74">
                        <c:v>567.70000000000005</c:v>
                      </c:pt>
                      <c:pt idx="75">
                        <c:v>571.70000000000005</c:v>
                      </c:pt>
                      <c:pt idx="76">
                        <c:v>575.79999999999995</c:v>
                      </c:pt>
                      <c:pt idx="77">
                        <c:v>580</c:v>
                      </c:pt>
                      <c:pt idx="78">
                        <c:v>584.4</c:v>
                      </c:pt>
                      <c:pt idx="79">
                        <c:v>588.79999999999995</c:v>
                      </c:pt>
                      <c:pt idx="80">
                        <c:v>593.4</c:v>
                      </c:pt>
                      <c:pt idx="81">
                        <c:v>598.1</c:v>
                      </c:pt>
                      <c:pt idx="82">
                        <c:v>603.20000000000005</c:v>
                      </c:pt>
                      <c:pt idx="83">
                        <c:v>608.5</c:v>
                      </c:pt>
                      <c:pt idx="84">
                        <c:v>614</c:v>
                      </c:pt>
                      <c:pt idx="85">
                        <c:v>619.9</c:v>
                      </c:pt>
                      <c:pt idx="86">
                        <c:v>626.20000000000005</c:v>
                      </c:pt>
                      <c:pt idx="87">
                        <c:v>632.6</c:v>
                      </c:pt>
                      <c:pt idx="88">
                        <c:v>639.5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29C-460D-9626-D125B23F4421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HPS 5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'!$L$10:$L$98</c15:sqref>
                        </c15:formulaRef>
                      </c:ext>
                    </c:extLst>
                    <c:numCache>
                      <c:formatCode>General</c:formatCode>
                      <c:ptCount val="89"/>
                      <c:pt idx="0">
                        <c:v>114.8</c:v>
                      </c:pt>
                      <c:pt idx="1">
                        <c:v>136.6</c:v>
                      </c:pt>
                      <c:pt idx="2">
                        <c:v>162.6</c:v>
                      </c:pt>
                      <c:pt idx="3">
                        <c:v>182.5</c:v>
                      </c:pt>
                      <c:pt idx="4">
                        <c:v>198.3</c:v>
                      </c:pt>
                      <c:pt idx="5">
                        <c:v>209.6</c:v>
                      </c:pt>
                      <c:pt idx="6">
                        <c:v>219.3</c:v>
                      </c:pt>
                      <c:pt idx="7">
                        <c:v>227.7</c:v>
                      </c:pt>
                      <c:pt idx="8">
                        <c:v>235.7</c:v>
                      </c:pt>
                      <c:pt idx="9">
                        <c:v>244.4</c:v>
                      </c:pt>
                      <c:pt idx="10">
                        <c:v>252.5</c:v>
                      </c:pt>
                      <c:pt idx="11">
                        <c:v>260.3</c:v>
                      </c:pt>
                      <c:pt idx="12">
                        <c:v>267.7</c:v>
                      </c:pt>
                      <c:pt idx="13">
                        <c:v>275.39999999999998</c:v>
                      </c:pt>
                      <c:pt idx="14">
                        <c:v>282.60000000000002</c:v>
                      </c:pt>
                      <c:pt idx="15">
                        <c:v>289.89999999999998</c:v>
                      </c:pt>
                      <c:pt idx="16">
                        <c:v>296.8</c:v>
                      </c:pt>
                      <c:pt idx="17">
                        <c:v>303.39999999999998</c:v>
                      </c:pt>
                      <c:pt idx="18">
                        <c:v>310.10000000000002</c:v>
                      </c:pt>
                      <c:pt idx="19">
                        <c:v>315.8</c:v>
                      </c:pt>
                      <c:pt idx="20">
                        <c:v>322.3</c:v>
                      </c:pt>
                      <c:pt idx="21">
                        <c:v>328</c:v>
                      </c:pt>
                      <c:pt idx="22">
                        <c:v>334.2</c:v>
                      </c:pt>
                      <c:pt idx="23">
                        <c:v>339.9</c:v>
                      </c:pt>
                      <c:pt idx="24">
                        <c:v>345.7</c:v>
                      </c:pt>
                      <c:pt idx="25">
                        <c:v>351.5</c:v>
                      </c:pt>
                      <c:pt idx="26">
                        <c:v>356.4</c:v>
                      </c:pt>
                      <c:pt idx="27">
                        <c:v>362</c:v>
                      </c:pt>
                      <c:pt idx="28">
                        <c:v>367.1</c:v>
                      </c:pt>
                      <c:pt idx="29">
                        <c:v>372.3</c:v>
                      </c:pt>
                      <c:pt idx="30">
                        <c:v>377.2</c:v>
                      </c:pt>
                      <c:pt idx="31">
                        <c:v>381.8</c:v>
                      </c:pt>
                      <c:pt idx="32">
                        <c:v>386.8</c:v>
                      </c:pt>
                      <c:pt idx="33">
                        <c:v>391.4</c:v>
                      </c:pt>
                      <c:pt idx="34">
                        <c:v>396.5</c:v>
                      </c:pt>
                      <c:pt idx="35">
                        <c:v>401.7</c:v>
                      </c:pt>
                      <c:pt idx="36">
                        <c:v>407</c:v>
                      </c:pt>
                      <c:pt idx="37">
                        <c:v>412</c:v>
                      </c:pt>
                      <c:pt idx="38">
                        <c:v>416.8</c:v>
                      </c:pt>
                      <c:pt idx="39">
                        <c:v>421.3</c:v>
                      </c:pt>
                      <c:pt idx="40">
                        <c:v>425.8</c:v>
                      </c:pt>
                      <c:pt idx="41">
                        <c:v>430.2</c:v>
                      </c:pt>
                      <c:pt idx="42">
                        <c:v>435.4</c:v>
                      </c:pt>
                      <c:pt idx="43">
                        <c:v>440.2</c:v>
                      </c:pt>
                      <c:pt idx="44">
                        <c:v>445.4</c:v>
                      </c:pt>
                      <c:pt idx="45">
                        <c:v>450.2</c:v>
                      </c:pt>
                      <c:pt idx="46">
                        <c:v>454.8</c:v>
                      </c:pt>
                      <c:pt idx="47">
                        <c:v>459.4</c:v>
                      </c:pt>
                      <c:pt idx="48">
                        <c:v>464.1</c:v>
                      </c:pt>
                      <c:pt idx="49">
                        <c:v>469.2</c:v>
                      </c:pt>
                      <c:pt idx="50">
                        <c:v>474.3</c:v>
                      </c:pt>
                      <c:pt idx="51">
                        <c:v>479.5</c:v>
                      </c:pt>
                      <c:pt idx="52">
                        <c:v>484.5</c:v>
                      </c:pt>
                      <c:pt idx="53">
                        <c:v>489.3</c:v>
                      </c:pt>
                      <c:pt idx="54">
                        <c:v>494</c:v>
                      </c:pt>
                      <c:pt idx="55">
                        <c:v>498.9</c:v>
                      </c:pt>
                      <c:pt idx="56">
                        <c:v>503.8</c:v>
                      </c:pt>
                      <c:pt idx="57">
                        <c:v>508.7</c:v>
                      </c:pt>
                      <c:pt idx="58">
                        <c:v>513.5</c:v>
                      </c:pt>
                      <c:pt idx="59">
                        <c:v>518.20000000000005</c:v>
                      </c:pt>
                      <c:pt idx="60">
                        <c:v>522.9</c:v>
                      </c:pt>
                      <c:pt idx="61">
                        <c:v>527.9</c:v>
                      </c:pt>
                      <c:pt idx="62">
                        <c:v>532.9</c:v>
                      </c:pt>
                      <c:pt idx="63">
                        <c:v>537.29999999999995</c:v>
                      </c:pt>
                      <c:pt idx="64">
                        <c:v>541.6</c:v>
                      </c:pt>
                      <c:pt idx="65">
                        <c:v>546.1</c:v>
                      </c:pt>
                      <c:pt idx="66">
                        <c:v>551.4</c:v>
                      </c:pt>
                      <c:pt idx="67">
                        <c:v>556.6</c:v>
                      </c:pt>
                      <c:pt idx="68">
                        <c:v>561.29999999999995</c:v>
                      </c:pt>
                      <c:pt idx="69">
                        <c:v>566.1</c:v>
                      </c:pt>
                      <c:pt idx="70">
                        <c:v>570.6</c:v>
                      </c:pt>
                      <c:pt idx="71">
                        <c:v>575.20000000000005</c:v>
                      </c:pt>
                      <c:pt idx="72">
                        <c:v>580.1</c:v>
                      </c:pt>
                      <c:pt idx="73">
                        <c:v>585.20000000000005</c:v>
                      </c:pt>
                      <c:pt idx="74">
                        <c:v>590.29999999999995</c:v>
                      </c:pt>
                      <c:pt idx="75">
                        <c:v>595.6</c:v>
                      </c:pt>
                      <c:pt idx="76">
                        <c:v>601.20000000000005</c:v>
                      </c:pt>
                      <c:pt idx="77">
                        <c:v>607.20000000000005</c:v>
                      </c:pt>
                      <c:pt idx="78">
                        <c:v>613.29999999999995</c:v>
                      </c:pt>
                      <c:pt idx="79">
                        <c:v>620</c:v>
                      </c:pt>
                      <c:pt idx="80">
                        <c:v>627.20000000000005</c:v>
                      </c:pt>
                      <c:pt idx="81">
                        <c:v>634.5</c:v>
                      </c:pt>
                      <c:pt idx="82">
                        <c:v>642.79999999999995</c:v>
                      </c:pt>
                      <c:pt idx="83">
                        <c:v>652</c:v>
                      </c:pt>
                      <c:pt idx="84">
                        <c:v>662.7</c:v>
                      </c:pt>
                      <c:pt idx="85">
                        <c:v>677.1</c:v>
                      </c:pt>
                      <c:pt idx="86">
                        <c:v>695.1</c:v>
                      </c:pt>
                      <c:pt idx="87">
                        <c:v>0</c:v>
                      </c:pt>
                      <c:pt idx="88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29C-460D-9626-D125B23F4421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LTO 13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'!$T$116:$T$216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68.099999999999994</c:v>
                      </c:pt>
                      <c:pt idx="1">
                        <c:v>82.3</c:v>
                      </c:pt>
                      <c:pt idx="2">
                        <c:v>97.1</c:v>
                      </c:pt>
                      <c:pt idx="3">
                        <c:v>101</c:v>
                      </c:pt>
                      <c:pt idx="4">
                        <c:v>113.3</c:v>
                      </c:pt>
                      <c:pt idx="5">
                        <c:v>117.3</c:v>
                      </c:pt>
                      <c:pt idx="6">
                        <c:v>122.6</c:v>
                      </c:pt>
                      <c:pt idx="7">
                        <c:v>127.1</c:v>
                      </c:pt>
                      <c:pt idx="8">
                        <c:v>128.1</c:v>
                      </c:pt>
                      <c:pt idx="9">
                        <c:v>134.19999999999999</c:v>
                      </c:pt>
                      <c:pt idx="10">
                        <c:v>138.80000000000001</c:v>
                      </c:pt>
                      <c:pt idx="11">
                        <c:v>141.80000000000001</c:v>
                      </c:pt>
                      <c:pt idx="12">
                        <c:v>144</c:v>
                      </c:pt>
                      <c:pt idx="13">
                        <c:v>146.6</c:v>
                      </c:pt>
                      <c:pt idx="14">
                        <c:v>149.80000000000001</c:v>
                      </c:pt>
                      <c:pt idx="15">
                        <c:v>152.6</c:v>
                      </c:pt>
                      <c:pt idx="16">
                        <c:v>153.30000000000001</c:v>
                      </c:pt>
                      <c:pt idx="17">
                        <c:v>156.19999999999999</c:v>
                      </c:pt>
                      <c:pt idx="18">
                        <c:v>160.1</c:v>
                      </c:pt>
                      <c:pt idx="19">
                        <c:v>162.5</c:v>
                      </c:pt>
                      <c:pt idx="20">
                        <c:v>164.3</c:v>
                      </c:pt>
                      <c:pt idx="21">
                        <c:v>166.9</c:v>
                      </c:pt>
                      <c:pt idx="22">
                        <c:v>168</c:v>
                      </c:pt>
                      <c:pt idx="23">
                        <c:v>169.4</c:v>
                      </c:pt>
                      <c:pt idx="24">
                        <c:v>171.6</c:v>
                      </c:pt>
                      <c:pt idx="25">
                        <c:v>175.1</c:v>
                      </c:pt>
                      <c:pt idx="26">
                        <c:v>176.1</c:v>
                      </c:pt>
                      <c:pt idx="27">
                        <c:v>176.9</c:v>
                      </c:pt>
                      <c:pt idx="28">
                        <c:v>178.8</c:v>
                      </c:pt>
                      <c:pt idx="29">
                        <c:v>181.1</c:v>
                      </c:pt>
                      <c:pt idx="30">
                        <c:v>183.5</c:v>
                      </c:pt>
                      <c:pt idx="31">
                        <c:v>185.3</c:v>
                      </c:pt>
                      <c:pt idx="32">
                        <c:v>187.5</c:v>
                      </c:pt>
                      <c:pt idx="33">
                        <c:v>189.6</c:v>
                      </c:pt>
                      <c:pt idx="34">
                        <c:v>190.9</c:v>
                      </c:pt>
                      <c:pt idx="35">
                        <c:v>193.3</c:v>
                      </c:pt>
                      <c:pt idx="36">
                        <c:v>196.2</c:v>
                      </c:pt>
                      <c:pt idx="37">
                        <c:v>197.6</c:v>
                      </c:pt>
                      <c:pt idx="38">
                        <c:v>198.3</c:v>
                      </c:pt>
                      <c:pt idx="39">
                        <c:v>200.2</c:v>
                      </c:pt>
                      <c:pt idx="40">
                        <c:v>203</c:v>
                      </c:pt>
                      <c:pt idx="41">
                        <c:v>204.6</c:v>
                      </c:pt>
                      <c:pt idx="42">
                        <c:v>206.2</c:v>
                      </c:pt>
                      <c:pt idx="43">
                        <c:v>208.2</c:v>
                      </c:pt>
                      <c:pt idx="44">
                        <c:v>210.2</c:v>
                      </c:pt>
                      <c:pt idx="45">
                        <c:v>212.4</c:v>
                      </c:pt>
                      <c:pt idx="46">
                        <c:v>214.7</c:v>
                      </c:pt>
                      <c:pt idx="47">
                        <c:v>217.1</c:v>
                      </c:pt>
                      <c:pt idx="48">
                        <c:v>218.1</c:v>
                      </c:pt>
                      <c:pt idx="49">
                        <c:v>219.6</c:v>
                      </c:pt>
                      <c:pt idx="50">
                        <c:v>221.5</c:v>
                      </c:pt>
                      <c:pt idx="51">
                        <c:v>223.9</c:v>
                      </c:pt>
                      <c:pt idx="52">
                        <c:v>226.4</c:v>
                      </c:pt>
                      <c:pt idx="53">
                        <c:v>228.6</c:v>
                      </c:pt>
                      <c:pt idx="54">
                        <c:v>230.5</c:v>
                      </c:pt>
                      <c:pt idx="55">
                        <c:v>232.3</c:v>
                      </c:pt>
                      <c:pt idx="56">
                        <c:v>235.3</c:v>
                      </c:pt>
                      <c:pt idx="57">
                        <c:v>237.1</c:v>
                      </c:pt>
                      <c:pt idx="58">
                        <c:v>238</c:v>
                      </c:pt>
                      <c:pt idx="59">
                        <c:v>240.3</c:v>
                      </c:pt>
                      <c:pt idx="60">
                        <c:v>243.3</c:v>
                      </c:pt>
                      <c:pt idx="61">
                        <c:v>246.3</c:v>
                      </c:pt>
                      <c:pt idx="62">
                        <c:v>248.6</c:v>
                      </c:pt>
                      <c:pt idx="63">
                        <c:v>251.1</c:v>
                      </c:pt>
                      <c:pt idx="64">
                        <c:v>254.1</c:v>
                      </c:pt>
                      <c:pt idx="65">
                        <c:v>255.9</c:v>
                      </c:pt>
                      <c:pt idx="66">
                        <c:v>257.10000000000002</c:v>
                      </c:pt>
                      <c:pt idx="67">
                        <c:v>260</c:v>
                      </c:pt>
                      <c:pt idx="68">
                        <c:v>263.3</c:v>
                      </c:pt>
                      <c:pt idx="69">
                        <c:v>265.8</c:v>
                      </c:pt>
                      <c:pt idx="70">
                        <c:v>268</c:v>
                      </c:pt>
                      <c:pt idx="71">
                        <c:v>271.5</c:v>
                      </c:pt>
                      <c:pt idx="72">
                        <c:v>273.2</c:v>
                      </c:pt>
                      <c:pt idx="73">
                        <c:v>275.8</c:v>
                      </c:pt>
                      <c:pt idx="74">
                        <c:v>279.60000000000002</c:v>
                      </c:pt>
                      <c:pt idx="75">
                        <c:v>282.60000000000002</c:v>
                      </c:pt>
                      <c:pt idx="76">
                        <c:v>285.7</c:v>
                      </c:pt>
                      <c:pt idx="77">
                        <c:v>288.60000000000002</c:v>
                      </c:pt>
                      <c:pt idx="78">
                        <c:v>291.10000000000002</c:v>
                      </c:pt>
                      <c:pt idx="79">
                        <c:v>295.5</c:v>
                      </c:pt>
                      <c:pt idx="80">
                        <c:v>298.60000000000002</c:v>
                      </c:pt>
                      <c:pt idx="81">
                        <c:v>302.60000000000002</c:v>
                      </c:pt>
                      <c:pt idx="82">
                        <c:v>304.8</c:v>
                      </c:pt>
                      <c:pt idx="83">
                        <c:v>309.10000000000002</c:v>
                      </c:pt>
                      <c:pt idx="84">
                        <c:v>312.8</c:v>
                      </c:pt>
                      <c:pt idx="85">
                        <c:v>317.2</c:v>
                      </c:pt>
                      <c:pt idx="86">
                        <c:v>320.60000000000002</c:v>
                      </c:pt>
                      <c:pt idx="87">
                        <c:v>325.60000000000002</c:v>
                      </c:pt>
                      <c:pt idx="88">
                        <c:v>330.8</c:v>
                      </c:pt>
                      <c:pt idx="89">
                        <c:v>335.3</c:v>
                      </c:pt>
                      <c:pt idx="90">
                        <c:v>341.3</c:v>
                      </c:pt>
                      <c:pt idx="91">
                        <c:v>346.5</c:v>
                      </c:pt>
                      <c:pt idx="92">
                        <c:v>353.1</c:v>
                      </c:pt>
                      <c:pt idx="93">
                        <c:v>359.5</c:v>
                      </c:pt>
                      <c:pt idx="94">
                        <c:v>367.6</c:v>
                      </c:pt>
                      <c:pt idx="95">
                        <c:v>375.8</c:v>
                      </c:pt>
                      <c:pt idx="96">
                        <c:v>385.7</c:v>
                      </c:pt>
                      <c:pt idx="97">
                        <c:v>397.9</c:v>
                      </c:pt>
                      <c:pt idx="98">
                        <c:v>413.3</c:v>
                      </c:pt>
                      <c:pt idx="99">
                        <c:v>437.2</c:v>
                      </c:pt>
                      <c:pt idx="100">
                        <c:v>456.9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29C-460D-9626-D125B23F4421}"/>
                  </c:ext>
                </c:extLst>
              </c15:ser>
            </c15:filteredScatterSeries>
          </c:ext>
        </c:extLst>
      </c:scatterChart>
      <c:valAx>
        <c:axId val="480013088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%wt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914192"/>
        <c:crosses val="autoZero"/>
        <c:crossBetween val="midCat"/>
      </c:valAx>
      <c:valAx>
        <c:axId val="190791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/>
                  <a:t>Boiling Point, degC</a:t>
                </a:r>
              </a:p>
            </c:rich>
          </c:tx>
          <c:layout>
            <c:manualLayout>
              <c:xMode val="edge"/>
              <c:yMode val="edge"/>
              <c:x val="0.10860236771949351"/>
              <c:y val="0.279813540164886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013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57479650071859245"/>
          <c:y val="0.39178507287094483"/>
          <c:w val="0.27378162243270304"/>
          <c:h val="0.188722560295032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High Sediment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990859836933707E-2"/>
          <c:y val="0.10369882621883431"/>
          <c:w val="0.79347167744787084"/>
          <c:h val="0.75872124381441231"/>
        </c:manualLayout>
      </c:layout>
      <c:scatterChart>
        <c:scatterStyle val="smoothMarker"/>
        <c:varyColors val="0"/>
        <c:ser>
          <c:idx val="2"/>
          <c:order val="2"/>
          <c:tx>
            <c:strRef>
              <c:f>'HPS LTO DAILY 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  <c:extLst xmlns:c15="http://schemas.microsoft.com/office/drawing/2012/chart"/>
            </c:numRef>
          </c:xVal>
          <c:yVal>
            <c:numRef>
              <c:f>'HPS LTO DAILY 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8-E02A-48A8-B010-814E40297066}"/>
            </c:ext>
          </c:extLst>
        </c:ser>
        <c:ser>
          <c:idx val="3"/>
          <c:order val="3"/>
          <c:tx>
            <c:v>High Sedimentation VR Feed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2A-48A8-B010-814E40297066}"/>
            </c:ext>
          </c:extLst>
        </c:ser>
        <c:ser>
          <c:idx val="4"/>
          <c:order val="4"/>
          <c:tx>
            <c:v>HPS 13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'!$T$10:$T$98</c:f>
              <c:numCache>
                <c:formatCode>General</c:formatCode>
                <c:ptCount val="89"/>
                <c:pt idx="0">
                  <c:v>132.6</c:v>
                </c:pt>
                <c:pt idx="1">
                  <c:v>154.1</c:v>
                </c:pt>
                <c:pt idx="2">
                  <c:v>177.9</c:v>
                </c:pt>
                <c:pt idx="3">
                  <c:v>195.8</c:v>
                </c:pt>
                <c:pt idx="4">
                  <c:v>207.2</c:v>
                </c:pt>
                <c:pt idx="5">
                  <c:v>218.2</c:v>
                </c:pt>
                <c:pt idx="6">
                  <c:v>226.7</c:v>
                </c:pt>
                <c:pt idx="7">
                  <c:v>235.3</c:v>
                </c:pt>
                <c:pt idx="8">
                  <c:v>244.2</c:v>
                </c:pt>
                <c:pt idx="9">
                  <c:v>252</c:v>
                </c:pt>
                <c:pt idx="10">
                  <c:v>258.8</c:v>
                </c:pt>
                <c:pt idx="11">
                  <c:v>264.89999999999998</c:v>
                </c:pt>
                <c:pt idx="12">
                  <c:v>271.7</c:v>
                </c:pt>
                <c:pt idx="13">
                  <c:v>278.60000000000002</c:v>
                </c:pt>
                <c:pt idx="14">
                  <c:v>285.10000000000002</c:v>
                </c:pt>
                <c:pt idx="15">
                  <c:v>291.5</c:v>
                </c:pt>
                <c:pt idx="16">
                  <c:v>297.39999999999998</c:v>
                </c:pt>
                <c:pt idx="17">
                  <c:v>304.10000000000002</c:v>
                </c:pt>
                <c:pt idx="18">
                  <c:v>310.5</c:v>
                </c:pt>
                <c:pt idx="19">
                  <c:v>315.89999999999998</c:v>
                </c:pt>
                <c:pt idx="20">
                  <c:v>322.10000000000002</c:v>
                </c:pt>
                <c:pt idx="21">
                  <c:v>327.5</c:v>
                </c:pt>
                <c:pt idx="22">
                  <c:v>333.7</c:v>
                </c:pt>
                <c:pt idx="23">
                  <c:v>339.7</c:v>
                </c:pt>
                <c:pt idx="24">
                  <c:v>344.7</c:v>
                </c:pt>
                <c:pt idx="25">
                  <c:v>350.3</c:v>
                </c:pt>
                <c:pt idx="26">
                  <c:v>355.4</c:v>
                </c:pt>
                <c:pt idx="27">
                  <c:v>360.5</c:v>
                </c:pt>
                <c:pt idx="28">
                  <c:v>365.9</c:v>
                </c:pt>
                <c:pt idx="29">
                  <c:v>370.5</c:v>
                </c:pt>
                <c:pt idx="30">
                  <c:v>374.9</c:v>
                </c:pt>
                <c:pt idx="31">
                  <c:v>379.1</c:v>
                </c:pt>
                <c:pt idx="32">
                  <c:v>383.4</c:v>
                </c:pt>
                <c:pt idx="33">
                  <c:v>387.8</c:v>
                </c:pt>
                <c:pt idx="34">
                  <c:v>391.9</c:v>
                </c:pt>
                <c:pt idx="35">
                  <c:v>396.3</c:v>
                </c:pt>
                <c:pt idx="36">
                  <c:v>400.5</c:v>
                </c:pt>
                <c:pt idx="37">
                  <c:v>405.1</c:v>
                </c:pt>
                <c:pt idx="38">
                  <c:v>409.5</c:v>
                </c:pt>
                <c:pt idx="39">
                  <c:v>413.9</c:v>
                </c:pt>
                <c:pt idx="40">
                  <c:v>418.9</c:v>
                </c:pt>
                <c:pt idx="41">
                  <c:v>423.4</c:v>
                </c:pt>
                <c:pt idx="42">
                  <c:v>428.1</c:v>
                </c:pt>
                <c:pt idx="43">
                  <c:v>432.5</c:v>
                </c:pt>
                <c:pt idx="44">
                  <c:v>436.5</c:v>
                </c:pt>
                <c:pt idx="45">
                  <c:v>440.4</c:v>
                </c:pt>
                <c:pt idx="46">
                  <c:v>444.5</c:v>
                </c:pt>
                <c:pt idx="47">
                  <c:v>448.4</c:v>
                </c:pt>
                <c:pt idx="48">
                  <c:v>453.4</c:v>
                </c:pt>
                <c:pt idx="49">
                  <c:v>458.1</c:v>
                </c:pt>
                <c:pt idx="50">
                  <c:v>463.2</c:v>
                </c:pt>
                <c:pt idx="51">
                  <c:v>467.7</c:v>
                </c:pt>
                <c:pt idx="52">
                  <c:v>472.1</c:v>
                </c:pt>
                <c:pt idx="53">
                  <c:v>476.5</c:v>
                </c:pt>
                <c:pt idx="54">
                  <c:v>480.8</c:v>
                </c:pt>
                <c:pt idx="55">
                  <c:v>485.5</c:v>
                </c:pt>
                <c:pt idx="56">
                  <c:v>490.1</c:v>
                </c:pt>
                <c:pt idx="57">
                  <c:v>494.7</c:v>
                </c:pt>
                <c:pt idx="58">
                  <c:v>499.2</c:v>
                </c:pt>
                <c:pt idx="59">
                  <c:v>503.5</c:v>
                </c:pt>
                <c:pt idx="60">
                  <c:v>508</c:v>
                </c:pt>
                <c:pt idx="61">
                  <c:v>512.20000000000005</c:v>
                </c:pt>
                <c:pt idx="62">
                  <c:v>516.29999999999995</c:v>
                </c:pt>
                <c:pt idx="63">
                  <c:v>520.5</c:v>
                </c:pt>
                <c:pt idx="64">
                  <c:v>525</c:v>
                </c:pt>
                <c:pt idx="65">
                  <c:v>529.6</c:v>
                </c:pt>
                <c:pt idx="66">
                  <c:v>534.20000000000005</c:v>
                </c:pt>
                <c:pt idx="67">
                  <c:v>537.9</c:v>
                </c:pt>
                <c:pt idx="68">
                  <c:v>541.5</c:v>
                </c:pt>
                <c:pt idx="69">
                  <c:v>545.1</c:v>
                </c:pt>
                <c:pt idx="70">
                  <c:v>550.20000000000005</c:v>
                </c:pt>
                <c:pt idx="71">
                  <c:v>555.20000000000005</c:v>
                </c:pt>
                <c:pt idx="72">
                  <c:v>559.5</c:v>
                </c:pt>
                <c:pt idx="73">
                  <c:v>563.6</c:v>
                </c:pt>
                <c:pt idx="74">
                  <c:v>567.70000000000005</c:v>
                </c:pt>
                <c:pt idx="75">
                  <c:v>571.70000000000005</c:v>
                </c:pt>
                <c:pt idx="76">
                  <c:v>575.79999999999995</c:v>
                </c:pt>
                <c:pt idx="77">
                  <c:v>580</c:v>
                </c:pt>
                <c:pt idx="78">
                  <c:v>584.4</c:v>
                </c:pt>
                <c:pt idx="79">
                  <c:v>588.79999999999995</c:v>
                </c:pt>
                <c:pt idx="80">
                  <c:v>593.4</c:v>
                </c:pt>
                <c:pt idx="81">
                  <c:v>598.1</c:v>
                </c:pt>
                <c:pt idx="82">
                  <c:v>603.20000000000005</c:v>
                </c:pt>
                <c:pt idx="83">
                  <c:v>608.5</c:v>
                </c:pt>
                <c:pt idx="84">
                  <c:v>614</c:v>
                </c:pt>
                <c:pt idx="85">
                  <c:v>619.9</c:v>
                </c:pt>
                <c:pt idx="86">
                  <c:v>626.20000000000005</c:v>
                </c:pt>
                <c:pt idx="87">
                  <c:v>632.6</c:v>
                </c:pt>
                <c:pt idx="88">
                  <c:v>639.5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2A-48A8-B010-814E40297066}"/>
            </c:ext>
          </c:extLst>
        </c:ser>
        <c:ser>
          <c:idx val="6"/>
          <c:order val="6"/>
          <c:tx>
            <c:v>LTO 13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'!$T$116:$T$216</c:f>
              <c:numCache>
                <c:formatCode>General</c:formatCode>
                <c:ptCount val="101"/>
                <c:pt idx="0">
                  <c:v>68.099999999999994</c:v>
                </c:pt>
                <c:pt idx="1">
                  <c:v>82.3</c:v>
                </c:pt>
                <c:pt idx="2">
                  <c:v>97.1</c:v>
                </c:pt>
                <c:pt idx="3">
                  <c:v>101</c:v>
                </c:pt>
                <c:pt idx="4">
                  <c:v>113.3</c:v>
                </c:pt>
                <c:pt idx="5">
                  <c:v>117.3</c:v>
                </c:pt>
                <c:pt idx="6">
                  <c:v>122.6</c:v>
                </c:pt>
                <c:pt idx="7">
                  <c:v>127.1</c:v>
                </c:pt>
                <c:pt idx="8">
                  <c:v>128.1</c:v>
                </c:pt>
                <c:pt idx="9">
                  <c:v>134.19999999999999</c:v>
                </c:pt>
                <c:pt idx="10">
                  <c:v>138.80000000000001</c:v>
                </c:pt>
                <c:pt idx="11">
                  <c:v>141.80000000000001</c:v>
                </c:pt>
                <c:pt idx="12">
                  <c:v>144</c:v>
                </c:pt>
                <c:pt idx="13">
                  <c:v>146.6</c:v>
                </c:pt>
                <c:pt idx="14">
                  <c:v>149.80000000000001</c:v>
                </c:pt>
                <c:pt idx="15">
                  <c:v>152.6</c:v>
                </c:pt>
                <c:pt idx="16">
                  <c:v>153.30000000000001</c:v>
                </c:pt>
                <c:pt idx="17">
                  <c:v>156.19999999999999</c:v>
                </c:pt>
                <c:pt idx="18">
                  <c:v>160.1</c:v>
                </c:pt>
                <c:pt idx="19">
                  <c:v>162.5</c:v>
                </c:pt>
                <c:pt idx="20">
                  <c:v>164.3</c:v>
                </c:pt>
                <c:pt idx="21">
                  <c:v>166.9</c:v>
                </c:pt>
                <c:pt idx="22">
                  <c:v>168</c:v>
                </c:pt>
                <c:pt idx="23">
                  <c:v>169.4</c:v>
                </c:pt>
                <c:pt idx="24">
                  <c:v>171.6</c:v>
                </c:pt>
                <c:pt idx="25">
                  <c:v>175.1</c:v>
                </c:pt>
                <c:pt idx="26">
                  <c:v>176.1</c:v>
                </c:pt>
                <c:pt idx="27">
                  <c:v>176.9</c:v>
                </c:pt>
                <c:pt idx="28">
                  <c:v>178.8</c:v>
                </c:pt>
                <c:pt idx="29">
                  <c:v>181.1</c:v>
                </c:pt>
                <c:pt idx="30">
                  <c:v>183.5</c:v>
                </c:pt>
                <c:pt idx="31">
                  <c:v>185.3</c:v>
                </c:pt>
                <c:pt idx="32">
                  <c:v>187.5</c:v>
                </c:pt>
                <c:pt idx="33">
                  <c:v>189.6</c:v>
                </c:pt>
                <c:pt idx="34">
                  <c:v>190.9</c:v>
                </c:pt>
                <c:pt idx="35">
                  <c:v>193.3</c:v>
                </c:pt>
                <c:pt idx="36">
                  <c:v>196.2</c:v>
                </c:pt>
                <c:pt idx="37">
                  <c:v>197.6</c:v>
                </c:pt>
                <c:pt idx="38">
                  <c:v>198.3</c:v>
                </c:pt>
                <c:pt idx="39">
                  <c:v>200.2</c:v>
                </c:pt>
                <c:pt idx="40">
                  <c:v>203</c:v>
                </c:pt>
                <c:pt idx="41">
                  <c:v>204.6</c:v>
                </c:pt>
                <c:pt idx="42">
                  <c:v>206.2</c:v>
                </c:pt>
                <c:pt idx="43">
                  <c:v>208.2</c:v>
                </c:pt>
                <c:pt idx="44">
                  <c:v>210.2</c:v>
                </c:pt>
                <c:pt idx="45">
                  <c:v>212.4</c:v>
                </c:pt>
                <c:pt idx="46">
                  <c:v>214.7</c:v>
                </c:pt>
                <c:pt idx="47">
                  <c:v>217.1</c:v>
                </c:pt>
                <c:pt idx="48">
                  <c:v>218.1</c:v>
                </c:pt>
                <c:pt idx="49">
                  <c:v>219.6</c:v>
                </c:pt>
                <c:pt idx="50">
                  <c:v>221.5</c:v>
                </c:pt>
                <c:pt idx="51">
                  <c:v>223.9</c:v>
                </c:pt>
                <c:pt idx="52">
                  <c:v>226.4</c:v>
                </c:pt>
                <c:pt idx="53">
                  <c:v>228.6</c:v>
                </c:pt>
                <c:pt idx="54">
                  <c:v>230.5</c:v>
                </c:pt>
                <c:pt idx="55">
                  <c:v>232.3</c:v>
                </c:pt>
                <c:pt idx="56">
                  <c:v>235.3</c:v>
                </c:pt>
                <c:pt idx="57">
                  <c:v>237.1</c:v>
                </c:pt>
                <c:pt idx="58">
                  <c:v>238</c:v>
                </c:pt>
                <c:pt idx="59">
                  <c:v>240.3</c:v>
                </c:pt>
                <c:pt idx="60">
                  <c:v>243.3</c:v>
                </c:pt>
                <c:pt idx="61">
                  <c:v>246.3</c:v>
                </c:pt>
                <c:pt idx="62">
                  <c:v>248.6</c:v>
                </c:pt>
                <c:pt idx="63">
                  <c:v>251.1</c:v>
                </c:pt>
                <c:pt idx="64">
                  <c:v>254.1</c:v>
                </c:pt>
                <c:pt idx="65">
                  <c:v>255.9</c:v>
                </c:pt>
                <c:pt idx="66">
                  <c:v>257.10000000000002</c:v>
                </c:pt>
                <c:pt idx="67">
                  <c:v>260</c:v>
                </c:pt>
                <c:pt idx="68">
                  <c:v>263.3</c:v>
                </c:pt>
                <c:pt idx="69">
                  <c:v>265.8</c:v>
                </c:pt>
                <c:pt idx="70">
                  <c:v>268</c:v>
                </c:pt>
                <c:pt idx="71">
                  <c:v>271.5</c:v>
                </c:pt>
                <c:pt idx="72">
                  <c:v>273.2</c:v>
                </c:pt>
                <c:pt idx="73">
                  <c:v>275.8</c:v>
                </c:pt>
                <c:pt idx="74">
                  <c:v>279.60000000000002</c:v>
                </c:pt>
                <c:pt idx="75">
                  <c:v>282.60000000000002</c:v>
                </c:pt>
                <c:pt idx="76">
                  <c:v>285.7</c:v>
                </c:pt>
                <c:pt idx="77">
                  <c:v>288.60000000000002</c:v>
                </c:pt>
                <c:pt idx="78">
                  <c:v>291.10000000000002</c:v>
                </c:pt>
                <c:pt idx="79">
                  <c:v>295.5</c:v>
                </c:pt>
                <c:pt idx="80">
                  <c:v>298.60000000000002</c:v>
                </c:pt>
                <c:pt idx="81">
                  <c:v>302.60000000000002</c:v>
                </c:pt>
                <c:pt idx="82">
                  <c:v>304.8</c:v>
                </c:pt>
                <c:pt idx="83">
                  <c:v>309.10000000000002</c:v>
                </c:pt>
                <c:pt idx="84">
                  <c:v>312.8</c:v>
                </c:pt>
                <c:pt idx="85">
                  <c:v>317.2</c:v>
                </c:pt>
                <c:pt idx="86">
                  <c:v>320.60000000000002</c:v>
                </c:pt>
                <c:pt idx="87">
                  <c:v>325.60000000000002</c:v>
                </c:pt>
                <c:pt idx="88">
                  <c:v>330.8</c:v>
                </c:pt>
                <c:pt idx="89">
                  <c:v>335.3</c:v>
                </c:pt>
                <c:pt idx="90">
                  <c:v>341.3</c:v>
                </c:pt>
                <c:pt idx="91">
                  <c:v>346.5</c:v>
                </c:pt>
                <c:pt idx="92">
                  <c:v>353.1</c:v>
                </c:pt>
                <c:pt idx="93">
                  <c:v>359.5</c:v>
                </c:pt>
                <c:pt idx="94">
                  <c:v>367.6</c:v>
                </c:pt>
                <c:pt idx="95">
                  <c:v>375.8</c:v>
                </c:pt>
                <c:pt idx="96">
                  <c:v>385.7</c:v>
                </c:pt>
                <c:pt idx="97">
                  <c:v>397.9</c:v>
                </c:pt>
                <c:pt idx="98">
                  <c:v>413.3</c:v>
                </c:pt>
                <c:pt idx="99">
                  <c:v>437.2</c:v>
                </c:pt>
                <c:pt idx="100">
                  <c:v>456.9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02A-48A8-B010-814E40297066}"/>
            </c:ext>
          </c:extLst>
        </c:ser>
        <c:ser>
          <c:idx val="7"/>
          <c:order val="7"/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bg1">
                    <a:lumMod val="50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E02A-48A8-B010-814E40297066}"/>
              </c:ext>
            </c:extLst>
          </c:dPt>
          <c:xVal>
            <c:numRef>
              <c:f>'HPS LTO DAILY '!$AT$20:$AT$21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560</c:v>
              </c:pt>
              <c:pt idx="1">
                <c:v>560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E02A-48A8-B010-814E40297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13088"/>
        <c:axId val="190791419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5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'HPS LTO DAILY '!$D$223:$D$323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'HPS LTO DAILY '!$L$223:$L$323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6-E02A-48A8-B010-814E40297066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'!$T$220</c15:sqref>
                        </c15:formulaRef>
                      </c:ext>
                    </c:extLst>
                    <c:strCache>
                      <c:ptCount val="1"/>
                      <c:pt idx="0">
                        <c:v>13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'!$D$223:$D$323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'!$T$223:$T$295</c15:sqref>
                        </c15:formulaRef>
                      </c:ext>
                    </c:extLst>
                    <c:numCache>
                      <c:formatCode>General</c:formatCode>
                      <c:ptCount val="73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02A-48A8-B010-814E40297066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HPS 5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'!$L$10:$L$98</c15:sqref>
                        </c15:formulaRef>
                      </c:ext>
                    </c:extLst>
                    <c:numCache>
                      <c:formatCode>General</c:formatCode>
                      <c:ptCount val="89"/>
                      <c:pt idx="0">
                        <c:v>114.8</c:v>
                      </c:pt>
                      <c:pt idx="1">
                        <c:v>136.6</c:v>
                      </c:pt>
                      <c:pt idx="2">
                        <c:v>162.6</c:v>
                      </c:pt>
                      <c:pt idx="3">
                        <c:v>182.5</c:v>
                      </c:pt>
                      <c:pt idx="4">
                        <c:v>198.3</c:v>
                      </c:pt>
                      <c:pt idx="5">
                        <c:v>209.6</c:v>
                      </c:pt>
                      <c:pt idx="6">
                        <c:v>219.3</c:v>
                      </c:pt>
                      <c:pt idx="7">
                        <c:v>227.7</c:v>
                      </c:pt>
                      <c:pt idx="8">
                        <c:v>235.7</c:v>
                      </c:pt>
                      <c:pt idx="9">
                        <c:v>244.4</c:v>
                      </c:pt>
                      <c:pt idx="10">
                        <c:v>252.5</c:v>
                      </c:pt>
                      <c:pt idx="11">
                        <c:v>260.3</c:v>
                      </c:pt>
                      <c:pt idx="12">
                        <c:v>267.7</c:v>
                      </c:pt>
                      <c:pt idx="13">
                        <c:v>275.39999999999998</c:v>
                      </c:pt>
                      <c:pt idx="14">
                        <c:v>282.60000000000002</c:v>
                      </c:pt>
                      <c:pt idx="15">
                        <c:v>289.89999999999998</c:v>
                      </c:pt>
                      <c:pt idx="16">
                        <c:v>296.8</c:v>
                      </c:pt>
                      <c:pt idx="17">
                        <c:v>303.39999999999998</c:v>
                      </c:pt>
                      <c:pt idx="18">
                        <c:v>310.10000000000002</c:v>
                      </c:pt>
                      <c:pt idx="19">
                        <c:v>315.8</c:v>
                      </c:pt>
                      <c:pt idx="20">
                        <c:v>322.3</c:v>
                      </c:pt>
                      <c:pt idx="21">
                        <c:v>328</c:v>
                      </c:pt>
                      <c:pt idx="22">
                        <c:v>334.2</c:v>
                      </c:pt>
                      <c:pt idx="23">
                        <c:v>339.9</c:v>
                      </c:pt>
                      <c:pt idx="24">
                        <c:v>345.7</c:v>
                      </c:pt>
                      <c:pt idx="25">
                        <c:v>351.5</c:v>
                      </c:pt>
                      <c:pt idx="26">
                        <c:v>356.4</c:v>
                      </c:pt>
                      <c:pt idx="27">
                        <c:v>362</c:v>
                      </c:pt>
                      <c:pt idx="28">
                        <c:v>367.1</c:v>
                      </c:pt>
                      <c:pt idx="29">
                        <c:v>372.3</c:v>
                      </c:pt>
                      <c:pt idx="30">
                        <c:v>377.2</c:v>
                      </c:pt>
                      <c:pt idx="31">
                        <c:v>381.8</c:v>
                      </c:pt>
                      <c:pt idx="32">
                        <c:v>386.8</c:v>
                      </c:pt>
                      <c:pt idx="33">
                        <c:v>391.4</c:v>
                      </c:pt>
                      <c:pt idx="34">
                        <c:v>396.5</c:v>
                      </c:pt>
                      <c:pt idx="35">
                        <c:v>401.7</c:v>
                      </c:pt>
                      <c:pt idx="36">
                        <c:v>407</c:v>
                      </c:pt>
                      <c:pt idx="37">
                        <c:v>412</c:v>
                      </c:pt>
                      <c:pt idx="38">
                        <c:v>416.8</c:v>
                      </c:pt>
                      <c:pt idx="39">
                        <c:v>421.3</c:v>
                      </c:pt>
                      <c:pt idx="40">
                        <c:v>425.8</c:v>
                      </c:pt>
                      <c:pt idx="41">
                        <c:v>430.2</c:v>
                      </c:pt>
                      <c:pt idx="42">
                        <c:v>435.4</c:v>
                      </c:pt>
                      <c:pt idx="43">
                        <c:v>440.2</c:v>
                      </c:pt>
                      <c:pt idx="44">
                        <c:v>445.4</c:v>
                      </c:pt>
                      <c:pt idx="45">
                        <c:v>450.2</c:v>
                      </c:pt>
                      <c:pt idx="46">
                        <c:v>454.8</c:v>
                      </c:pt>
                      <c:pt idx="47">
                        <c:v>459.4</c:v>
                      </c:pt>
                      <c:pt idx="48">
                        <c:v>464.1</c:v>
                      </c:pt>
                      <c:pt idx="49">
                        <c:v>469.2</c:v>
                      </c:pt>
                      <c:pt idx="50">
                        <c:v>474.3</c:v>
                      </c:pt>
                      <c:pt idx="51">
                        <c:v>479.5</c:v>
                      </c:pt>
                      <c:pt idx="52">
                        <c:v>484.5</c:v>
                      </c:pt>
                      <c:pt idx="53">
                        <c:v>489.3</c:v>
                      </c:pt>
                      <c:pt idx="54">
                        <c:v>494</c:v>
                      </c:pt>
                      <c:pt idx="55">
                        <c:v>498.9</c:v>
                      </c:pt>
                      <c:pt idx="56">
                        <c:v>503.8</c:v>
                      </c:pt>
                      <c:pt idx="57">
                        <c:v>508.7</c:v>
                      </c:pt>
                      <c:pt idx="58">
                        <c:v>513.5</c:v>
                      </c:pt>
                      <c:pt idx="59">
                        <c:v>518.20000000000005</c:v>
                      </c:pt>
                      <c:pt idx="60">
                        <c:v>522.9</c:v>
                      </c:pt>
                      <c:pt idx="61">
                        <c:v>527.9</c:v>
                      </c:pt>
                      <c:pt idx="62">
                        <c:v>532.9</c:v>
                      </c:pt>
                      <c:pt idx="63">
                        <c:v>537.29999999999995</c:v>
                      </c:pt>
                      <c:pt idx="64">
                        <c:v>541.6</c:v>
                      </c:pt>
                      <c:pt idx="65">
                        <c:v>546.1</c:v>
                      </c:pt>
                      <c:pt idx="66">
                        <c:v>551.4</c:v>
                      </c:pt>
                      <c:pt idx="67">
                        <c:v>556.6</c:v>
                      </c:pt>
                      <c:pt idx="68">
                        <c:v>561.29999999999995</c:v>
                      </c:pt>
                      <c:pt idx="69">
                        <c:v>566.1</c:v>
                      </c:pt>
                      <c:pt idx="70">
                        <c:v>570.6</c:v>
                      </c:pt>
                      <c:pt idx="71">
                        <c:v>575.20000000000005</c:v>
                      </c:pt>
                      <c:pt idx="72">
                        <c:v>580.1</c:v>
                      </c:pt>
                      <c:pt idx="73">
                        <c:v>585.20000000000005</c:v>
                      </c:pt>
                      <c:pt idx="74">
                        <c:v>590.29999999999995</c:v>
                      </c:pt>
                      <c:pt idx="75">
                        <c:v>595.6</c:v>
                      </c:pt>
                      <c:pt idx="76">
                        <c:v>601.20000000000005</c:v>
                      </c:pt>
                      <c:pt idx="77">
                        <c:v>607.20000000000005</c:v>
                      </c:pt>
                      <c:pt idx="78">
                        <c:v>613.29999999999995</c:v>
                      </c:pt>
                      <c:pt idx="79">
                        <c:v>620</c:v>
                      </c:pt>
                      <c:pt idx="80">
                        <c:v>627.20000000000005</c:v>
                      </c:pt>
                      <c:pt idx="81">
                        <c:v>634.5</c:v>
                      </c:pt>
                      <c:pt idx="82">
                        <c:v>642.79999999999995</c:v>
                      </c:pt>
                      <c:pt idx="83">
                        <c:v>652</c:v>
                      </c:pt>
                      <c:pt idx="84">
                        <c:v>662.7</c:v>
                      </c:pt>
                      <c:pt idx="85">
                        <c:v>677.1</c:v>
                      </c:pt>
                      <c:pt idx="86">
                        <c:v>695.1</c:v>
                      </c:pt>
                      <c:pt idx="87">
                        <c:v>0</c:v>
                      </c:pt>
                      <c:pt idx="88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02A-48A8-B010-814E40297066}"/>
                  </c:ext>
                </c:extLst>
              </c15:ser>
            </c15:filteredScatterSeries>
          </c:ext>
        </c:extLst>
      </c:scatterChart>
      <c:valAx>
        <c:axId val="480013088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%wt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914192"/>
        <c:crosses val="autoZero"/>
        <c:crossBetween val="midCat"/>
      </c:valAx>
      <c:valAx>
        <c:axId val="190791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/>
                  <a:t>Boiling Point, degC</a:t>
                </a:r>
              </a:p>
            </c:rich>
          </c:tx>
          <c:layout>
            <c:manualLayout>
              <c:xMode val="edge"/>
              <c:yMode val="edge"/>
              <c:x val="1.2709496818456014E-2"/>
              <c:y val="0.279813552881793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013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ayout>
        <c:manualLayout>
          <c:xMode val="edge"/>
          <c:yMode val="edge"/>
          <c:x val="0.57479650071859245"/>
          <c:y val="0.39178507287094483"/>
          <c:w val="0.17525006185177258"/>
          <c:h val="0.188722560295032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68192084550427"/>
          <c:y val="0.22461953259118053"/>
          <c:w val="0.7913980998687985"/>
          <c:h val="0.65333304692758221"/>
        </c:manualLayout>
      </c:layout>
      <c:scatterChart>
        <c:scatterStyle val="lineMarker"/>
        <c:varyColors val="0"/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ysDot"/>
              </a:ln>
              <a:effectLst/>
            </c:spPr>
          </c:marker>
          <c:xVal>
            <c:numRef>
              <c:f>CrkConv!$J$49:$J$50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CrkConv!$K$49:$K$50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11D-4781-BA33-B2FF01F006B1}"/>
            </c:ext>
          </c:extLst>
        </c:ser>
        <c:ser>
          <c:idx val="4"/>
          <c:order val="4"/>
          <c:tx>
            <c:v>ART Acceptance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fixedVal"/>
            <c:noEndCap val="0"/>
            <c:val val="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Template'!$F$160:$P$160</c:f>
              <c:numCache>
                <c:formatCode>0.00</c:formatCode>
                <c:ptCount val="11"/>
                <c:pt idx="0">
                  <c:v>42.4</c:v>
                </c:pt>
                <c:pt idx="1">
                  <c:v>42</c:v>
                </c:pt>
                <c:pt idx="2">
                  <c:v>42.1</c:v>
                </c:pt>
                <c:pt idx="3">
                  <c:v>42.8</c:v>
                </c:pt>
                <c:pt idx="4">
                  <c:v>78.8</c:v>
                </c:pt>
                <c:pt idx="5">
                  <c:v>77.2</c:v>
                </c:pt>
                <c:pt idx="6">
                  <c:v>76.8</c:v>
                </c:pt>
                <c:pt idx="7">
                  <c:v>75.5</c:v>
                </c:pt>
                <c:pt idx="8">
                  <c:v>73.8</c:v>
                </c:pt>
                <c:pt idx="9">
                  <c:v>73.400000000000006</c:v>
                </c:pt>
                <c:pt idx="10">
                  <c:v>74.400000000000006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14-45D3-93AC-FE883335757C}"/>
            </c:ext>
          </c:extLst>
        </c:ser>
        <c:ser>
          <c:idx val="5"/>
          <c:order val="5"/>
          <c:tx>
            <c:v>TOP Acceptance'24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Template'!$F$159:$P$159</c:f>
              <c:numCache>
                <c:formatCode>0.00</c:formatCode>
                <c:ptCount val="11"/>
                <c:pt idx="5">
                  <c:v>76.5</c:v>
                </c:pt>
                <c:pt idx="6">
                  <c:v>72.709999999999994</c:v>
                </c:pt>
                <c:pt idx="7">
                  <c:v>74.63</c:v>
                </c:pt>
                <c:pt idx="8">
                  <c:v>73.63</c:v>
                </c:pt>
                <c:pt idx="9">
                  <c:v>71.959999999999994</c:v>
                </c:pt>
                <c:pt idx="10">
                  <c:v>73.09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14-45D3-93AC-FE883335757C}"/>
            </c:ext>
          </c:extLst>
        </c:ser>
        <c:ser>
          <c:idx val="6"/>
          <c:order val="6"/>
          <c:tx>
            <c:v>Condition Change</c:v>
          </c:tx>
          <c:spPr>
            <a:ln w="2540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ash"/>
              </a:ln>
              <a:effectLst/>
            </c:spPr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5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7014-45D3-93AC-FE883335757C}"/>
            </c:ext>
          </c:extLst>
        </c:ser>
        <c:ser>
          <c:idx val="7"/>
          <c:order val="7"/>
          <c:tx>
            <c:v>TOP Acceptance'26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('Master Template'!$F$156:$P$156,'Master Template'!$Q$157:$AA$157)</c:f>
              <c:numCache>
                <c:formatCode>0.00</c:formatCode>
                <c:ptCount val="22"/>
                <c:pt idx="0">
                  <c:v>42.185727696615224</c:v>
                </c:pt>
                <c:pt idx="1">
                  <c:v>43.348591507915046</c:v>
                </c:pt>
                <c:pt idx="2">
                  <c:v>40.23733372864649</c:v>
                </c:pt>
                <c:pt idx="3">
                  <c:v>42.439858919770643</c:v>
                </c:pt>
                <c:pt idx="4">
                  <c:v>75.495532663000404</c:v>
                </c:pt>
                <c:pt idx="5">
                  <c:v>78.204495724447966</c:v>
                </c:pt>
                <c:pt idx="6">
                  <c:v>76.489027330311615</c:v>
                </c:pt>
                <c:pt idx="7">
                  <c:v>75.221581231638794</c:v>
                </c:pt>
                <c:pt idx="8">
                  <c:v>73.55200533003125</c:v>
                </c:pt>
                <c:pt idx="9">
                  <c:v>74.035778185959884</c:v>
                </c:pt>
                <c:pt idx="10">
                  <c:v>74.568120457965094</c:v>
                </c:pt>
                <c:pt idx="11">
                  <c:v>74.413332721959563</c:v>
                </c:pt>
                <c:pt idx="12">
                  <c:v>74.752923352810711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14-45D3-93AC-FE8833357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496688"/>
        <c:axId val="1201497168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tx>
                  <c:v>ART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2857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dLbl>
                    <c:idx val="6"/>
                    <c:layout>
                      <c:manualLayout>
                        <c:x val="-6.920419624457429E-3"/>
                        <c:y val="-4.732220414456064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9AF9-4C77-9F09-0FA7CD57372F}"/>
                      </c:ext>
                    </c:extLst>
                  </c:dLbl>
                  <c:dLbl>
                    <c:idx val="8"/>
                    <c:layout>
                      <c:manualLayout>
                        <c:x val="-5.7670163537144534E-3"/>
                        <c:y val="-5.300086864190788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9AF9-4C77-9F09-0FA7CD57372F}"/>
                      </c:ext>
                    </c:extLst>
                  </c:dLbl>
                  <c:dLbl>
                    <c:idx val="13"/>
                    <c:layout>
                      <c:manualLayout>
                        <c:x val="-5.7670163537144534E-3"/>
                        <c:y val="-3.5964875149866099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9AF9-4C77-9F09-0FA7CD57372F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Template'!$F$158:$U$158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44</c:v>
                      </c:pt>
                      <c:pt idx="1">
                        <c:v>41.5</c:v>
                      </c:pt>
                      <c:pt idx="2">
                        <c:v>40.5</c:v>
                      </c:pt>
                      <c:pt idx="3">
                        <c:v>39.9</c:v>
                      </c:pt>
                      <c:pt idx="4">
                        <c:v>68</c:v>
                      </c:pt>
                      <c:pt idx="5">
                        <c:v>67.5</c:v>
                      </c:pt>
                      <c:pt idx="6">
                        <c:v>67.8</c:v>
                      </c:pt>
                      <c:pt idx="7">
                        <c:v>68.2</c:v>
                      </c:pt>
                      <c:pt idx="8">
                        <c:v>68</c:v>
                      </c:pt>
                      <c:pt idx="9">
                        <c:v>68.2</c:v>
                      </c:pt>
                      <c:pt idx="10">
                        <c:v>66.5</c:v>
                      </c:pt>
                      <c:pt idx="11">
                        <c:v>65.8</c:v>
                      </c:pt>
                      <c:pt idx="12">
                        <c:v>66.2</c:v>
                      </c:pt>
                      <c:pt idx="13">
                        <c:v>68.2</c:v>
                      </c:pt>
                      <c:pt idx="14">
                        <c:v>68.400000000000006</c:v>
                      </c:pt>
                      <c:pt idx="15">
                        <c:v>68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1-711D-4781-BA33-B2FF01F006B1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476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Lbl>
                    <c:idx val="6"/>
                    <c:layout>
                      <c:manualLayout>
                        <c:x val="-4.6136130829716477E-3"/>
                        <c:y val="3.0286210652518759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9AF9-4C77-9F09-0FA7CD57372F}"/>
                      </c:ext>
                    </c:extLst>
                  </c:dLbl>
                  <c:dLbl>
                    <c:idx val="8"/>
                    <c:layout>
                      <c:manualLayout>
                        <c:x val="-1.1534032707428907E-2"/>
                        <c:y val="3.9750651481430914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3-9AF9-4C77-9F09-0FA7CD57372F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Template'!$F$156:$U$156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42.185727696615224</c:v>
                      </c:pt>
                      <c:pt idx="1">
                        <c:v>43.348591507915046</c:v>
                      </c:pt>
                      <c:pt idx="2">
                        <c:v>40.23733372864649</c:v>
                      </c:pt>
                      <c:pt idx="3">
                        <c:v>42.439858919770643</c:v>
                      </c:pt>
                      <c:pt idx="4">
                        <c:v>75.495532663000404</c:v>
                      </c:pt>
                      <c:pt idx="5">
                        <c:v>78.204495724447966</c:v>
                      </c:pt>
                      <c:pt idx="6">
                        <c:v>76.489027330311615</c:v>
                      </c:pt>
                      <c:pt idx="7">
                        <c:v>75.221581231638794</c:v>
                      </c:pt>
                      <c:pt idx="8">
                        <c:v>73.55200533003125</c:v>
                      </c:pt>
                      <c:pt idx="9">
                        <c:v>74.035778185959884</c:v>
                      </c:pt>
                      <c:pt idx="10">
                        <c:v>74.568120457965094</c:v>
                      </c:pt>
                      <c:pt idx="11">
                        <c:v>74.691740966697267</c:v>
                      </c:pt>
                      <c:pt idx="12">
                        <c:v>75.062589607832905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711D-4781-BA33-B2FF01F006B1}"/>
                  </c:ext>
                </c:extLst>
              </c15:ser>
            </c15:filteredScatterSeries>
            <c15:filteredScatterSeries>
              <c15:ser>
                <c:idx val="3"/>
                <c:order val="3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  <a:prstDash val="sysDot"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CrkConv!$J$52:$J$53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10.5</c:v>
                      </c:pt>
                      <c:pt idx="1">
                        <c:v>10.5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CrkConv!$K$52:$K$53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120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711D-4781-BA33-B2FF01F006B1}"/>
                  </c:ext>
                </c:extLst>
              </c15:ser>
            </c15:filteredScatterSeries>
          </c:ext>
        </c:extLst>
      </c:scatterChart>
      <c:valAx>
        <c:axId val="1201496688"/>
        <c:scaling>
          <c:orientation val="minMax"/>
          <c:max val="2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Day on Stream</a:t>
                </a:r>
              </a:p>
            </c:rich>
          </c:tx>
          <c:layout>
            <c:manualLayout>
              <c:xMode val="edge"/>
              <c:yMode val="edge"/>
              <c:x val="0.40184477832751969"/>
              <c:y val="0.951057683420101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7168"/>
        <c:crosses val="autoZero"/>
        <c:crossBetween val="midCat"/>
        <c:majorUnit val="1"/>
      </c:valAx>
      <c:valAx>
        <c:axId val="1201497168"/>
        <c:scaling>
          <c:orientation val="minMax"/>
          <c:max val="90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%wt Conversion of 560 plus</a:t>
                </a:r>
              </a:p>
            </c:rich>
          </c:tx>
          <c:layout>
            <c:manualLayout>
              <c:xMode val="edge"/>
              <c:yMode val="edge"/>
              <c:x val="5.8862103662824232E-2"/>
              <c:y val="0.424505655667779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6688"/>
        <c:crosses val="autoZero"/>
        <c:crossBetween val="midCat"/>
        <c:majorUnit val="5"/>
      </c:valAx>
      <c:spPr>
        <a:noFill/>
        <a:ln w="25400"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64112364648652254"/>
          <c:y val="0.23716948462572324"/>
          <c:w val="0.13450416415977709"/>
          <c:h val="0.104375121336668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979469512189044"/>
          <c:y val="0.25394992271994971"/>
          <c:w val="0.78177524543095778"/>
          <c:h val="0.62945638667984671"/>
        </c:manualLayout>
      </c:layout>
      <c:scatterChart>
        <c:scatterStyle val="lineMarker"/>
        <c:varyColors val="0"/>
        <c:ser>
          <c:idx val="11"/>
          <c:order val="11"/>
          <c:spPr>
            <a:ln w="254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'MetConv(Ni+V)'!$I$61:$I$62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'MetConv(Ni+V)'!$J$61:$J$62</c:f>
              <c:numCache>
                <c:formatCode>General</c:formatCode>
                <c:ptCount val="2"/>
                <c:pt idx="0">
                  <c:v>-2</c:v>
                </c:pt>
                <c:pt idx="1">
                  <c:v>150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C-0E63-455A-8200-D2A588E33ED0}"/>
            </c:ext>
          </c:extLst>
        </c:ser>
        <c:ser>
          <c:idx val="13"/>
          <c:order val="13"/>
          <c:tx>
            <c:v>ART Aceeptance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fixedVal"/>
            <c:noEndCap val="0"/>
            <c:val val="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Template'!$F$204:$AA$204</c:f>
              <c:numCache>
                <c:formatCode>0.00</c:formatCode>
                <c:ptCount val="22"/>
                <c:pt idx="0">
                  <c:v>84.9</c:v>
                </c:pt>
                <c:pt idx="1">
                  <c:v>82.4</c:v>
                </c:pt>
                <c:pt idx="2">
                  <c:v>81.2</c:v>
                </c:pt>
                <c:pt idx="3">
                  <c:v>80.900000000000006</c:v>
                </c:pt>
                <c:pt idx="4">
                  <c:v>98.6</c:v>
                </c:pt>
                <c:pt idx="5">
                  <c:v>98</c:v>
                </c:pt>
                <c:pt idx="6">
                  <c:v>97.5</c:v>
                </c:pt>
                <c:pt idx="7">
                  <c:v>97</c:v>
                </c:pt>
                <c:pt idx="8">
                  <c:v>96.6</c:v>
                </c:pt>
                <c:pt idx="9">
                  <c:v>96.4</c:v>
                </c:pt>
                <c:pt idx="10">
                  <c:v>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0E63-455A-8200-D2A588E33ED0}"/>
            </c:ext>
          </c:extLst>
        </c:ser>
        <c:ser>
          <c:idx val="14"/>
          <c:order val="14"/>
          <c:tx>
            <c:v>TOP Acceptance'24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Template'!$F$203:$AA$203</c:f>
              <c:numCache>
                <c:formatCode>0.00</c:formatCode>
                <c:ptCount val="22"/>
                <c:pt idx="5">
                  <c:v>98.582294973994792</c:v>
                </c:pt>
                <c:pt idx="6">
                  <c:v>98.043266403249319</c:v>
                </c:pt>
                <c:pt idx="7">
                  <c:v>97.930876462986546</c:v>
                </c:pt>
                <c:pt idx="8">
                  <c:v>97.570373501296331</c:v>
                </c:pt>
                <c:pt idx="9">
                  <c:v>97.277349446508381</c:v>
                </c:pt>
                <c:pt idx="10">
                  <c:v>97.040053357818181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0E63-455A-8200-D2A588E33ED0}"/>
            </c:ext>
          </c:extLst>
        </c:ser>
        <c:ser>
          <c:idx val="15"/>
          <c:order val="15"/>
          <c:tx>
            <c:v>TOP Acceptance'26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Template'!$F$185:$AA$185</c:f>
              <c:numCache>
                <c:formatCode>0.00</c:formatCode>
                <c:ptCount val="22"/>
                <c:pt idx="0">
                  <c:v>84.090392001192257</c:v>
                </c:pt>
                <c:pt idx="1">
                  <c:v>83.440029681597395</c:v>
                </c:pt>
                <c:pt idx="2">
                  <c:v>80.044101931043414</c:v>
                </c:pt>
                <c:pt idx="3">
                  <c:v>80.440122836678171</c:v>
                </c:pt>
                <c:pt idx="4">
                  <c:v>98.714944276710753</c:v>
                </c:pt>
                <c:pt idx="5">
                  <c:v>98.420460100304993</c:v>
                </c:pt>
                <c:pt idx="6">
                  <c:v>97.894670885679375</c:v>
                </c:pt>
                <c:pt idx="7">
                  <c:v>97.530306302927627</c:v>
                </c:pt>
                <c:pt idx="8">
                  <c:v>97.010659603283301</c:v>
                </c:pt>
                <c:pt idx="9">
                  <c:v>96.801501572099795</c:v>
                </c:pt>
                <c:pt idx="10">
                  <c:v>96.320678476450652</c:v>
                </c:pt>
                <c:pt idx="11">
                  <c:v>96.404158642104136</c:v>
                </c:pt>
                <c:pt idx="12">
                  <c:v>96.134072044355392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0E63-455A-8200-D2A588E33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496688"/>
        <c:axId val="1201497168"/>
        <c:extLst>
          <c:ext xmlns:c15="http://schemas.microsoft.com/office/drawing/2012/chart" uri="{02D57815-91ED-43cb-92C2-25804820EDAC}">
            <c15:filteredScatterSeries>
              <c15:ser>
                <c:idx val="8"/>
                <c:order val="0"/>
                <c:tx>
                  <c:v>HDM(Ni+V)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tar"/>
                  <c:size val="10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5.7565033530045592E-3"/>
                        <c:y val="-2.620705756944722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0E63-455A-8200-D2A588E33ED0}"/>
                      </c:ext>
                    </c:extLst>
                  </c:dLbl>
                  <c:dLbl>
                    <c:idx val="11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0E63-455A-8200-D2A588E33ED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Template'!$F$185:$U$185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84.090392001192257</c:v>
                      </c:pt>
                      <c:pt idx="1">
                        <c:v>83.440029681597395</c:v>
                      </c:pt>
                      <c:pt idx="2">
                        <c:v>80.044101931043414</c:v>
                      </c:pt>
                      <c:pt idx="3">
                        <c:v>80.440122836678171</c:v>
                      </c:pt>
                      <c:pt idx="4">
                        <c:v>98.714944276710753</c:v>
                      </c:pt>
                      <c:pt idx="5">
                        <c:v>98.420460100304993</c:v>
                      </c:pt>
                      <c:pt idx="6">
                        <c:v>97.894670885679375</c:v>
                      </c:pt>
                      <c:pt idx="7">
                        <c:v>97.530306302927627</c:v>
                      </c:pt>
                      <c:pt idx="8">
                        <c:v>97.010659603283301</c:v>
                      </c:pt>
                      <c:pt idx="9">
                        <c:v>96.801501572099795</c:v>
                      </c:pt>
                      <c:pt idx="10">
                        <c:v>96.320678476450652</c:v>
                      </c:pt>
                      <c:pt idx="11">
                        <c:v>96.404158642104136</c:v>
                      </c:pt>
                      <c:pt idx="12">
                        <c:v>96.134072044355392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0E63-455A-8200-D2A588E33ED0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v>S Conversion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10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dPt>
                  <c:idx val="0"/>
                  <c:marker>
                    <c:symbol val="triangle"/>
                    <c:size val="10"/>
                    <c:spPr>
                      <a:solidFill>
                        <a:schemeClr val="accent2"/>
                      </a:solidFill>
                      <a:ln w="9525">
                        <a:noFill/>
                      </a:ln>
                      <a:effectLst/>
                    </c:spPr>
                  </c:marker>
                  <c:bubble3D val="0"/>
                  <c:spPr>
                    <a:ln w="25400" cap="rnd">
                      <a:noFill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5-0E63-455A-8200-D2A588E33ED0}"/>
                    </c:ext>
                  </c:extLst>
                </c:dPt>
                <c:dLbls>
                  <c:dLbl>
                    <c:idx val="5"/>
                    <c:layout>
                      <c:manualLayout>
                        <c:x val="-8.4602482855579219E-17"/>
                        <c:y val="-5.5857657681696428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6-0E63-455A-8200-D2A588E33ED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Template'!$F$212:$U$212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72</c:v>
                      </c:pt>
                      <c:pt idx="1">
                        <c:v>68</c:v>
                      </c:pt>
                      <c:pt idx="2">
                        <c:v>66</c:v>
                      </c:pt>
                      <c:pt idx="3">
                        <c:v>65.599999999999994</c:v>
                      </c:pt>
                      <c:pt idx="4">
                        <c:v>86</c:v>
                      </c:pt>
                      <c:pt idx="5">
                        <c:v>87</c:v>
                      </c:pt>
                      <c:pt idx="6">
                        <c:v>86</c:v>
                      </c:pt>
                      <c:pt idx="7">
                        <c:v>85.5</c:v>
                      </c:pt>
                      <c:pt idx="8">
                        <c:v>85</c:v>
                      </c:pt>
                      <c:pt idx="9">
                        <c:v>84.6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E63-455A-8200-D2A588E33ED0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v>S Conversion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11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9.9477202077705058E-7"/>
                        <c:y val="1.3534347710116981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8-0E63-455A-8200-D2A588E33ED0}"/>
                      </c:ext>
                    </c:extLst>
                  </c:dLbl>
                  <c:dLbl>
                    <c:idx val="12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9-0E63-455A-8200-D2A588E33ED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Template'!$F$211:$U$211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69.721114131735945</c:v>
                      </c:pt>
                      <c:pt idx="1">
                        <c:v>69.771809222142551</c:v>
                      </c:pt>
                      <c:pt idx="2">
                        <c:v>65.922034958745556</c:v>
                      </c:pt>
                      <c:pt idx="3">
                        <c:v>66.402544175827117</c:v>
                      </c:pt>
                      <c:pt idx="4">
                        <c:v>88.026117668562591</c:v>
                      </c:pt>
                      <c:pt idx="5">
                        <c:v>87.188491509400862</c:v>
                      </c:pt>
                      <c:pt idx="6">
                        <c:v>85.979058902118339</c:v>
                      </c:pt>
                      <c:pt idx="7">
                        <c:v>84.993673789191547</c:v>
                      </c:pt>
                      <c:pt idx="8">
                        <c:v>84.26128439793392</c:v>
                      </c:pt>
                      <c:pt idx="9">
                        <c:v>83.758194734907406</c:v>
                      </c:pt>
                      <c:pt idx="10">
                        <c:v>83.087048087569627</c:v>
                      </c:pt>
                      <c:pt idx="11">
                        <c:v>82.962508326538568</c:v>
                      </c:pt>
                      <c:pt idx="12">
                        <c:v>82.443809517519483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0E63-455A-8200-D2A588E33ED0}"/>
                  </c:ext>
                </c:extLst>
              </c15:ser>
            </c15:filteredScatterSeries>
            <c15:filteredScatterSeries>
              <c15:ser>
                <c:idx val="6"/>
                <c:order val="3"/>
                <c:tx>
                  <c:v>Asphaltene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1.6079133209921312E-2"/>
                        <c:y val="1.8124574625509895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B-0E63-455A-8200-D2A588E33ED0}"/>
                      </c:ext>
                    </c:extLst>
                  </c:dLbl>
                  <c:dLbl>
                    <c:idx val="12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C-0E63-455A-8200-D2A588E33ED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Template'!$F$238:$U$238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73.672790683094576</c:v>
                      </c:pt>
                      <c:pt idx="1">
                        <c:v>73.235515758677252</c:v>
                      </c:pt>
                      <c:pt idx="2">
                        <c:v>63.531888913929961</c:v>
                      </c:pt>
                      <c:pt idx="3">
                        <c:v>63.899900414364886</c:v>
                      </c:pt>
                      <c:pt idx="4">
                        <c:v>92.132563022830453</c:v>
                      </c:pt>
                      <c:pt idx="5">
                        <c:v>91.225775638809239</c:v>
                      </c:pt>
                      <c:pt idx="6">
                        <c:v>90.96521002508959</c:v>
                      </c:pt>
                      <c:pt idx="7">
                        <c:v>85.608373990340368</c:v>
                      </c:pt>
                      <c:pt idx="8">
                        <c:v>82.180513801057614</c:v>
                      </c:pt>
                      <c:pt idx="9">
                        <c:v>85.243069319847081</c:v>
                      </c:pt>
                      <c:pt idx="10">
                        <c:v>81.963594328949071</c:v>
                      </c:pt>
                      <c:pt idx="11">
                        <c:v>82.358370037383224</c:v>
                      </c:pt>
                      <c:pt idx="12">
                        <c:v>84.523279431394272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0E63-455A-8200-D2A588E33ED0}"/>
                  </c:ext>
                </c:extLst>
              </c15:ser>
            </c15:filteredScatterSeries>
            <c15:filteredScatterSeries>
              <c15:ser>
                <c:idx val="9"/>
                <c:order val="4"/>
                <c:tx>
                  <c:v>HDM(Ni+V)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tar"/>
                  <c:size val="11"/>
                  <c:spPr>
                    <a:solidFill>
                      <a:schemeClr val="accent2"/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1.1512991743763026E-3"/>
                        <c:y val="-4.6181647774475199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E-0E63-455A-8200-D2A588E33ED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Template'!$F$201:$U$201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88</c:v>
                      </c:pt>
                      <c:pt idx="1">
                        <c:v>84.3</c:v>
                      </c:pt>
                      <c:pt idx="2">
                        <c:v>82.5</c:v>
                      </c:pt>
                      <c:pt idx="3">
                        <c:v>81.2</c:v>
                      </c:pt>
                      <c:pt idx="4">
                        <c:v>97.6</c:v>
                      </c:pt>
                      <c:pt idx="5">
                        <c:v>97</c:v>
                      </c:pt>
                      <c:pt idx="6">
                        <c:v>96</c:v>
                      </c:pt>
                      <c:pt idx="7">
                        <c:v>95.5</c:v>
                      </c:pt>
                      <c:pt idx="8">
                        <c:v>95</c:v>
                      </c:pt>
                      <c:pt idx="9">
                        <c:v>94.6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0E63-455A-8200-D2A588E33ED0}"/>
                  </c:ext>
                </c:extLst>
              </c15:ser>
            </c15:filteredScatterSeries>
            <c15:filteredScatterSeries>
              <c15:ser>
                <c:idx val="7"/>
                <c:order val="5"/>
                <c:tx>
                  <c:v>MCR Conv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x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0"/>
                        <c:y val="1.1422234593811397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0-0E63-455A-8200-D2A588E33ED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Template'!$F$231:$U$231</c15:sqref>
                        </c15:formulaRef>
                      </c:ext>
                    </c:extLst>
                    <c:numCache>
                      <c:formatCode>0.0</c:formatCode>
                      <c:ptCount val="16"/>
                      <c:pt idx="0">
                        <c:v>56</c:v>
                      </c:pt>
                      <c:pt idx="1">
                        <c:v>50</c:v>
                      </c:pt>
                      <c:pt idx="2">
                        <c:v>49</c:v>
                      </c:pt>
                      <c:pt idx="3">
                        <c:v>48</c:v>
                      </c:pt>
                      <c:pt idx="4">
                        <c:v>70</c:v>
                      </c:pt>
                      <c:pt idx="5">
                        <c:v>69</c:v>
                      </c:pt>
                      <c:pt idx="6">
                        <c:v>66</c:v>
                      </c:pt>
                      <c:pt idx="7">
                        <c:v>66.5</c:v>
                      </c:pt>
                      <c:pt idx="8">
                        <c:v>65.5</c:v>
                      </c:pt>
                      <c:pt idx="9">
                        <c:v>64.400000000000006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0E63-455A-8200-D2A588E33ED0}"/>
                  </c:ext>
                </c:extLst>
              </c15:ser>
            </c15:filteredScatterSeries>
            <c15:filteredScatterSeries>
              <c15:ser>
                <c:idx val="3"/>
                <c:order val="6"/>
                <c:tx>
                  <c:v>Asphaltene_ART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Template'!$F$239:$U$239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 formatCode="General">
                        <c:v>73.5</c:v>
                      </c:pt>
                      <c:pt idx="1">
                        <c:v>66.5</c:v>
                      </c:pt>
                      <c:pt idx="3">
                        <c:v>61.9</c:v>
                      </c:pt>
                      <c:pt idx="4">
                        <c:v>62.5</c:v>
                      </c:pt>
                      <c:pt idx="5">
                        <c:v>86.5</c:v>
                      </c:pt>
                      <c:pt idx="6">
                        <c:v>83</c:v>
                      </c:pt>
                      <c:pt idx="7">
                        <c:v>81.5</c:v>
                      </c:pt>
                      <c:pt idx="8">
                        <c:v>81</c:v>
                      </c:pt>
                      <c:pt idx="9">
                        <c:v>80.400000000000006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0E63-455A-8200-D2A588E33ED0}"/>
                  </c:ext>
                </c:extLst>
              </c15:ser>
            </c15:filteredScatterSeries>
            <c15:filteredScatterSeries>
              <c15:ser>
                <c:idx val="4"/>
                <c:order val="7"/>
                <c:tx>
                  <c:v>MCR Conversion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x"/>
                  <c:size val="10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8.4543945320146127E-17"/>
                        <c:y val="-7.4380772745947787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3-0E63-455A-8200-D2A588E33ED0}"/>
                      </c:ext>
                    </c:extLst>
                  </c:dLbl>
                  <c:dLbl>
                    <c:idx val="12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4-0E63-455A-8200-D2A588E33ED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Template'!$F$230:$U$230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54.319879670531634</c:v>
                      </c:pt>
                      <c:pt idx="1">
                        <c:v>52.147203807922267</c:v>
                      </c:pt>
                      <c:pt idx="2">
                        <c:v>49.477786017117467</c:v>
                      </c:pt>
                      <c:pt idx="3">
                        <c:v>49.272730566014246</c:v>
                      </c:pt>
                      <c:pt idx="4">
                        <c:v>78.552417199708088</c:v>
                      </c:pt>
                      <c:pt idx="5">
                        <c:v>78.400462920135425</c:v>
                      </c:pt>
                      <c:pt idx="6">
                        <c:v>75.658491414669342</c:v>
                      </c:pt>
                      <c:pt idx="7">
                        <c:v>74.518313571684345</c:v>
                      </c:pt>
                      <c:pt idx="8">
                        <c:v>73.468038731480178</c:v>
                      </c:pt>
                      <c:pt idx="9">
                        <c:v>72.979876659450639</c:v>
                      </c:pt>
                      <c:pt idx="10">
                        <c:v>72.10174054834097</c:v>
                      </c:pt>
                      <c:pt idx="11">
                        <c:v>70.403480504793393</c:v>
                      </c:pt>
                      <c:pt idx="12">
                        <c:v>70.875527144471249</c:v>
                      </c:pt>
                      <c:pt idx="13" formatCode="0.0">
                        <c:v>0</c:v>
                      </c:pt>
                      <c:pt idx="14" formatCode="0.0">
                        <c:v>0</c:v>
                      </c:pt>
                      <c:pt idx="15" formatCode="0.0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0E63-455A-8200-D2A588E33ED0}"/>
                  </c:ext>
                </c:extLst>
              </c15:ser>
            </c15:filteredScatterSeries>
            <c15:filteredScatterSeries>
              <c15:ser>
                <c:idx val="5"/>
                <c:order val="8"/>
                <c:tx>
                  <c:v>N Conversion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8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6.8910570899662774E-3"/>
                        <c:y val="-1.4499659700407983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6-0E63-455A-8200-D2A588E33ED0}"/>
                      </c:ext>
                    </c:extLst>
                  </c:dLbl>
                  <c:dLbl>
                    <c:idx val="12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7-0E63-455A-8200-D2A588E33ED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Template'!$F$219:$U$219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38</c:v>
                      </c:pt>
                      <c:pt idx="1">
                        <c:v>31.5</c:v>
                      </c:pt>
                      <c:pt idx="2">
                        <c:v>27.5</c:v>
                      </c:pt>
                      <c:pt idx="3">
                        <c:v>28.4</c:v>
                      </c:pt>
                      <c:pt idx="4">
                        <c:v>55.5</c:v>
                      </c:pt>
                      <c:pt idx="5">
                        <c:v>45</c:v>
                      </c:pt>
                      <c:pt idx="6">
                        <c:v>43</c:v>
                      </c:pt>
                      <c:pt idx="7">
                        <c:v>42.5</c:v>
                      </c:pt>
                      <c:pt idx="8">
                        <c:v>41.5</c:v>
                      </c:pt>
                      <c:pt idx="9">
                        <c:v>40.700000000000003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0E63-455A-8200-D2A588E33ED0}"/>
                  </c:ext>
                </c:extLst>
              </c15:ser>
            </c15:filteredScatterSeries>
            <c15:filteredScatterSeries>
              <c15:ser>
                <c:idx val="10"/>
                <c:order val="9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bg1">
                          <a:lumMod val="50000"/>
                        </a:schemeClr>
                      </a:solidFill>
                      <a:prstDash val="sysDot"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SConv!$G$53:$G$54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4.5</c:v>
                      </c:pt>
                      <c:pt idx="1">
                        <c:v>4.5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SConv!$H$53:$H$54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-2</c:v>
                      </c:pt>
                      <c:pt idx="1">
                        <c:v>150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0E63-455A-8200-D2A588E33ED0}"/>
                  </c:ext>
                </c:extLst>
              </c15:ser>
            </c15:filteredScatterSeries>
            <c15:filteredScatterSeries>
              <c15:ser>
                <c:idx val="2"/>
                <c:order val="10"/>
                <c:tx>
                  <c:v>N conversion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10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2.5276524013344456E-2"/>
                        <c:y val="4.6406474840164663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0E63-455A-8200-D2A588E33ED0}"/>
                      </c:ext>
                    </c:extLst>
                  </c:dLbl>
                  <c:dLbl>
                    <c:idx val="12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A-0E63-455A-8200-D2A588E33ED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Template'!$F$218:$U$218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33.796811410187729</c:v>
                      </c:pt>
                      <c:pt idx="1">
                        <c:v>35.590094259568701</c:v>
                      </c:pt>
                      <c:pt idx="2">
                        <c:v>29.462279141827107</c:v>
                      </c:pt>
                      <c:pt idx="3">
                        <c:v>31.044840543417891</c:v>
                      </c:pt>
                      <c:pt idx="4">
                        <c:v>52.700197050373099</c:v>
                      </c:pt>
                      <c:pt idx="5">
                        <c:v>50.289742314490923</c:v>
                      </c:pt>
                      <c:pt idx="6">
                        <c:v>46.338833666972768</c:v>
                      </c:pt>
                      <c:pt idx="7">
                        <c:v>49.040691671668171</c:v>
                      </c:pt>
                      <c:pt idx="8">
                        <c:v>48.064929704309975</c:v>
                      </c:pt>
                      <c:pt idx="9">
                        <c:v>49.465450385312188</c:v>
                      </c:pt>
                      <c:pt idx="10">
                        <c:v>45.062302840345147</c:v>
                      </c:pt>
                      <c:pt idx="11">
                        <c:v>49.035402076370161</c:v>
                      </c:pt>
                      <c:pt idx="12">
                        <c:v>46.998497671309515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0E63-455A-8200-D2A588E33ED0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v>Asphaltene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Template'!$F$239:$U$239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 formatCode="General">
                        <c:v>73.5</c:v>
                      </c:pt>
                      <c:pt idx="1">
                        <c:v>66.5</c:v>
                      </c:pt>
                      <c:pt idx="3">
                        <c:v>61.9</c:v>
                      </c:pt>
                      <c:pt idx="4">
                        <c:v>62.5</c:v>
                      </c:pt>
                      <c:pt idx="5">
                        <c:v>86.5</c:v>
                      </c:pt>
                      <c:pt idx="6">
                        <c:v>83</c:v>
                      </c:pt>
                      <c:pt idx="7">
                        <c:v>81.5</c:v>
                      </c:pt>
                      <c:pt idx="8">
                        <c:v>81</c:v>
                      </c:pt>
                      <c:pt idx="9">
                        <c:v>80.400000000000006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0E63-455A-8200-D2A588E33ED0}"/>
                  </c:ext>
                </c:extLst>
              </c15:ser>
            </c15:filteredScatterSeries>
          </c:ext>
        </c:extLst>
      </c:scatterChart>
      <c:valAx>
        <c:axId val="1201496688"/>
        <c:scaling>
          <c:orientation val="minMax"/>
          <c:max val="2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Day on stream</a:t>
                </a:r>
              </a:p>
            </c:rich>
          </c:tx>
          <c:layout>
            <c:manualLayout>
              <c:xMode val="edge"/>
              <c:yMode val="edge"/>
              <c:x val="0.41562560656094"/>
              <c:y val="0.930938122378198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7168"/>
        <c:crosses val="autoZero"/>
        <c:crossBetween val="midCat"/>
        <c:majorUnit val="1"/>
      </c:valAx>
      <c:valAx>
        <c:axId val="1201497168"/>
        <c:scaling>
          <c:orientation val="minMax"/>
          <c:max val="1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% wt Conversion</a:t>
                </a:r>
              </a:p>
            </c:rich>
          </c:tx>
          <c:layout>
            <c:manualLayout>
              <c:xMode val="edge"/>
              <c:yMode val="edge"/>
              <c:x val="4.3771775049345422E-2"/>
              <c:y val="0.444391095297300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6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6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7793619455789943"/>
          <c:y val="0.27266626841538444"/>
          <c:w val="0.13943001082126866"/>
          <c:h val="0.136824926394025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36999025523003"/>
          <c:y val="0.25102424516853356"/>
          <c:w val="0.84089156491376793"/>
          <c:h val="0.62945638667984671"/>
        </c:manualLayout>
      </c:layout>
      <c:scatterChart>
        <c:scatterStyle val="lineMarker"/>
        <c:varyColors val="0"/>
        <c:ser>
          <c:idx val="10"/>
          <c:order val="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SConv!$G$53:$G$54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SConv!$H$53:$H$54</c:f>
              <c:numCache>
                <c:formatCode>General</c:formatCode>
                <c:ptCount val="2"/>
                <c:pt idx="0">
                  <c:v>-2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B40-4D36-9F82-41BCEF31B544}"/>
            </c:ext>
          </c:extLst>
        </c:ser>
        <c:ser>
          <c:idx val="13"/>
          <c:order val="13"/>
          <c:tx>
            <c:v>ART Acceptance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fixedVal"/>
            <c:noEndCap val="0"/>
            <c:val val="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Template'!$F$214:$P$214</c:f>
              <c:numCache>
                <c:formatCode>0.00</c:formatCode>
                <c:ptCount val="11"/>
                <c:pt idx="0">
                  <c:v>70</c:v>
                </c:pt>
                <c:pt idx="1">
                  <c:v>68.400000000000006</c:v>
                </c:pt>
                <c:pt idx="2">
                  <c:v>66.3</c:v>
                </c:pt>
                <c:pt idx="3">
                  <c:v>65.099999999999994</c:v>
                </c:pt>
                <c:pt idx="4">
                  <c:v>89.2</c:v>
                </c:pt>
                <c:pt idx="5">
                  <c:v>87.8</c:v>
                </c:pt>
                <c:pt idx="6">
                  <c:v>86.5</c:v>
                </c:pt>
                <c:pt idx="7">
                  <c:v>85.7</c:v>
                </c:pt>
                <c:pt idx="8">
                  <c:v>85</c:v>
                </c:pt>
                <c:pt idx="9">
                  <c:v>84.9</c:v>
                </c:pt>
                <c:pt idx="10">
                  <c:v>84.4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06B-4CFE-9F45-2BD009536CEB}"/>
            </c:ext>
          </c:extLst>
        </c:ser>
        <c:ser>
          <c:idx val="14"/>
          <c:order val="14"/>
          <c:tx>
            <c:v>Condition Change</c:v>
          </c:tx>
          <c:spPr>
            <a:ln w="25400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ot"/>
              </a:ln>
              <a:effectLst/>
            </c:spPr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-5</c:v>
              </c:pt>
              <c:pt idx="1">
                <c:v>110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906B-4CFE-9F45-2BD009536CEB}"/>
            </c:ext>
          </c:extLst>
        </c:ser>
        <c:ser>
          <c:idx val="15"/>
          <c:order val="15"/>
          <c:tx>
            <c:v>TOP Acceptance'24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Template'!$F$213:$P$213</c:f>
              <c:numCache>
                <c:formatCode>0.00</c:formatCode>
                <c:ptCount val="11"/>
                <c:pt idx="5">
                  <c:v>87.232387014622091</c:v>
                </c:pt>
                <c:pt idx="6">
                  <c:v>85.740414279929411</c:v>
                </c:pt>
                <c:pt idx="7">
                  <c:v>85.163821870077811</c:v>
                </c:pt>
                <c:pt idx="8">
                  <c:v>83.485441424068696</c:v>
                </c:pt>
                <c:pt idx="9">
                  <c:v>82.714810991905594</c:v>
                </c:pt>
                <c:pt idx="10">
                  <c:v>82.183990148317633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06B-4CFE-9F45-2BD009536CEB}"/>
            </c:ext>
          </c:extLst>
        </c:ser>
        <c:ser>
          <c:idx val="16"/>
          <c:order val="16"/>
          <c:tx>
            <c:v>TOP Acceptance'26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Template'!$F$211:$AA$211</c:f>
              <c:numCache>
                <c:formatCode>0.00</c:formatCode>
                <c:ptCount val="22"/>
                <c:pt idx="0">
                  <c:v>69.721114131735945</c:v>
                </c:pt>
                <c:pt idx="1">
                  <c:v>69.771809222142551</c:v>
                </c:pt>
                <c:pt idx="2">
                  <c:v>65.922034958745556</c:v>
                </c:pt>
                <c:pt idx="3">
                  <c:v>66.402544175827117</c:v>
                </c:pt>
                <c:pt idx="4">
                  <c:v>88.026117668562591</c:v>
                </c:pt>
                <c:pt idx="5">
                  <c:v>87.188491509400862</c:v>
                </c:pt>
                <c:pt idx="6">
                  <c:v>85.979058902118339</c:v>
                </c:pt>
                <c:pt idx="7">
                  <c:v>84.993673789191547</c:v>
                </c:pt>
                <c:pt idx="8">
                  <c:v>84.26128439793392</c:v>
                </c:pt>
                <c:pt idx="9">
                  <c:v>83.758194734907406</c:v>
                </c:pt>
                <c:pt idx="10">
                  <c:v>83.087048087569627</c:v>
                </c:pt>
                <c:pt idx="11">
                  <c:v>82.962508326538568</c:v>
                </c:pt>
                <c:pt idx="12">
                  <c:v>82.443809517519483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06B-4CFE-9F45-2BD009536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496688"/>
        <c:axId val="1201497168"/>
        <c:extLst>
          <c:ext xmlns:c15="http://schemas.microsoft.com/office/drawing/2012/chart" uri="{02D57815-91ED-43cb-92C2-25804820EDAC}">
            <c15:filteredScatterSeries>
              <c15:ser>
                <c:idx val="8"/>
                <c:order val="0"/>
                <c:tx>
                  <c:v>HDM(Ni+V)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tar"/>
                  <c:size val="10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5.7565033530045592E-3"/>
                        <c:y val="-2.620705756944722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2C34-4E70-8E94-2E14C3FDBE38}"/>
                      </c:ext>
                    </c:extLst>
                  </c:dLbl>
                  <c:dLbl>
                    <c:idx val="11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8-B285-430C-8658-FA32CFBFC7DE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Template'!$F$185:$U$185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84.090392001192257</c:v>
                      </c:pt>
                      <c:pt idx="1">
                        <c:v>83.440029681597395</c:v>
                      </c:pt>
                      <c:pt idx="2">
                        <c:v>80.044101931043414</c:v>
                      </c:pt>
                      <c:pt idx="3">
                        <c:v>80.440122836678171</c:v>
                      </c:pt>
                      <c:pt idx="4">
                        <c:v>98.714944276710753</c:v>
                      </c:pt>
                      <c:pt idx="5">
                        <c:v>98.420460100304993</c:v>
                      </c:pt>
                      <c:pt idx="6">
                        <c:v>97.894670885679375</c:v>
                      </c:pt>
                      <c:pt idx="7">
                        <c:v>97.530306302927627</c:v>
                      </c:pt>
                      <c:pt idx="8">
                        <c:v>97.010659603283301</c:v>
                      </c:pt>
                      <c:pt idx="9">
                        <c:v>96.801501572099795</c:v>
                      </c:pt>
                      <c:pt idx="10">
                        <c:v>96.320678476450652</c:v>
                      </c:pt>
                      <c:pt idx="11">
                        <c:v>96.404158642104136</c:v>
                      </c:pt>
                      <c:pt idx="12">
                        <c:v>96.134072044355392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2C34-4E70-8E94-2E14C3FDBE38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v>S Conversion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10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dPt>
                  <c:idx val="0"/>
                  <c:marker>
                    <c:symbol val="triangle"/>
                    <c:size val="10"/>
                    <c:spPr>
                      <a:solidFill>
                        <a:schemeClr val="accent2"/>
                      </a:solidFill>
                      <a:ln w="9525">
                        <a:noFill/>
                      </a:ln>
                      <a:effectLst/>
                    </c:spPr>
                  </c:marker>
                  <c:bubble3D val="0"/>
                  <c:spPr>
                    <a:ln w="25400" cap="rnd">
                      <a:noFill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2C34-4E70-8E94-2E14C3FDBE38}"/>
                    </c:ext>
                  </c:extLst>
                </c:dPt>
                <c:dLbls>
                  <c:dLbl>
                    <c:idx val="5"/>
                    <c:layout>
                      <c:manualLayout>
                        <c:x val="-8.4602482855579219E-17"/>
                        <c:y val="-5.5857657681696428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C-2C34-4E70-8E94-2E14C3FDBE3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Template'!$F$212:$U$212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72</c:v>
                      </c:pt>
                      <c:pt idx="1">
                        <c:v>68</c:v>
                      </c:pt>
                      <c:pt idx="2">
                        <c:v>66</c:v>
                      </c:pt>
                      <c:pt idx="3">
                        <c:v>65.599999999999994</c:v>
                      </c:pt>
                      <c:pt idx="4">
                        <c:v>86</c:v>
                      </c:pt>
                      <c:pt idx="5">
                        <c:v>87</c:v>
                      </c:pt>
                      <c:pt idx="6">
                        <c:v>86</c:v>
                      </c:pt>
                      <c:pt idx="7">
                        <c:v>85.5</c:v>
                      </c:pt>
                      <c:pt idx="8">
                        <c:v>85</c:v>
                      </c:pt>
                      <c:pt idx="9">
                        <c:v>84.6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2C34-4E70-8E94-2E14C3FDBE38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v>S Conversion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11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9.9477202077705058E-7"/>
                        <c:y val="1.3534347710116981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8-2C34-4E70-8E94-2E14C3FDBE38}"/>
                      </c:ext>
                    </c:extLst>
                  </c:dLbl>
                  <c:dLbl>
                    <c:idx val="12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4-B285-430C-8658-FA32CFBFC7DE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Template'!$F$211:$U$211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69.721114131735945</c:v>
                      </c:pt>
                      <c:pt idx="1">
                        <c:v>69.771809222142551</c:v>
                      </c:pt>
                      <c:pt idx="2">
                        <c:v>65.922034958745556</c:v>
                      </c:pt>
                      <c:pt idx="3">
                        <c:v>66.402544175827117</c:v>
                      </c:pt>
                      <c:pt idx="4">
                        <c:v>88.026117668562591</c:v>
                      </c:pt>
                      <c:pt idx="5">
                        <c:v>87.188491509400862</c:v>
                      </c:pt>
                      <c:pt idx="6">
                        <c:v>85.979058902118339</c:v>
                      </c:pt>
                      <c:pt idx="7">
                        <c:v>84.993673789191547</c:v>
                      </c:pt>
                      <c:pt idx="8">
                        <c:v>84.26128439793392</c:v>
                      </c:pt>
                      <c:pt idx="9">
                        <c:v>83.758194734907406</c:v>
                      </c:pt>
                      <c:pt idx="10">
                        <c:v>83.087048087569627</c:v>
                      </c:pt>
                      <c:pt idx="11">
                        <c:v>82.962508326538568</c:v>
                      </c:pt>
                      <c:pt idx="12">
                        <c:v>82.443809517519483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C34-4E70-8E94-2E14C3FDBE38}"/>
                  </c:ext>
                </c:extLst>
              </c15:ser>
            </c15:filteredScatterSeries>
            <c15:filteredScatterSeries>
              <c15:ser>
                <c:idx val="6"/>
                <c:order val="3"/>
                <c:tx>
                  <c:v>Asphaltene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1.6079133209921312E-2"/>
                        <c:y val="1.8124574625509895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6-EB57-4C5E-A880-50842F34CC8A}"/>
                      </c:ext>
                    </c:extLst>
                  </c:dLbl>
                  <c:dLbl>
                    <c:idx val="12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5-B285-430C-8658-FA32CFBFC7DE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Template'!$F$238:$U$238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73.672790683094576</c:v>
                      </c:pt>
                      <c:pt idx="1">
                        <c:v>73.235515758677252</c:v>
                      </c:pt>
                      <c:pt idx="2">
                        <c:v>63.531888913929961</c:v>
                      </c:pt>
                      <c:pt idx="3">
                        <c:v>63.899900414364886</c:v>
                      </c:pt>
                      <c:pt idx="4">
                        <c:v>92.132563022830453</c:v>
                      </c:pt>
                      <c:pt idx="5">
                        <c:v>91.225775638809239</c:v>
                      </c:pt>
                      <c:pt idx="6">
                        <c:v>90.96521002508959</c:v>
                      </c:pt>
                      <c:pt idx="7">
                        <c:v>85.608373990340368</c:v>
                      </c:pt>
                      <c:pt idx="8">
                        <c:v>82.180513801057614</c:v>
                      </c:pt>
                      <c:pt idx="9">
                        <c:v>85.243069319847081</c:v>
                      </c:pt>
                      <c:pt idx="10">
                        <c:v>81.963594328949071</c:v>
                      </c:pt>
                      <c:pt idx="11">
                        <c:v>82.358370037383224</c:v>
                      </c:pt>
                      <c:pt idx="12">
                        <c:v>84.523279431394272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B57-4C5E-A880-50842F34CC8A}"/>
                  </c:ext>
                </c:extLst>
              </c15:ser>
            </c15:filteredScatterSeries>
            <c15:filteredScatterSeries>
              <c15:ser>
                <c:idx val="9"/>
                <c:order val="4"/>
                <c:tx>
                  <c:v>HDM(Ni+V)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tar"/>
                  <c:size val="11"/>
                  <c:spPr>
                    <a:solidFill>
                      <a:schemeClr val="accent2"/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1.1512991743763026E-3"/>
                        <c:y val="-4.6181647774475199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2-2C34-4E70-8E94-2E14C3FDBE3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Template'!$F$201:$U$201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88</c:v>
                      </c:pt>
                      <c:pt idx="1">
                        <c:v>84.3</c:v>
                      </c:pt>
                      <c:pt idx="2">
                        <c:v>82.5</c:v>
                      </c:pt>
                      <c:pt idx="3">
                        <c:v>81.2</c:v>
                      </c:pt>
                      <c:pt idx="4">
                        <c:v>97.6</c:v>
                      </c:pt>
                      <c:pt idx="5">
                        <c:v>97</c:v>
                      </c:pt>
                      <c:pt idx="6">
                        <c:v>96</c:v>
                      </c:pt>
                      <c:pt idx="7">
                        <c:v>95.5</c:v>
                      </c:pt>
                      <c:pt idx="8">
                        <c:v>95</c:v>
                      </c:pt>
                      <c:pt idx="9">
                        <c:v>94.6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C34-4E70-8E94-2E14C3FDBE38}"/>
                  </c:ext>
                </c:extLst>
              </c15:ser>
            </c15:filteredScatterSeries>
            <c15:filteredScatterSeries>
              <c15:ser>
                <c:idx val="7"/>
                <c:order val="5"/>
                <c:tx>
                  <c:v>MCR Conv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x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0"/>
                        <c:y val="1.1422234593811397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0-2C34-4E70-8E94-2E14C3FDBE3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Template'!$F$231:$U$231</c15:sqref>
                        </c15:formulaRef>
                      </c:ext>
                    </c:extLst>
                    <c:numCache>
                      <c:formatCode>0.0</c:formatCode>
                      <c:ptCount val="16"/>
                      <c:pt idx="0">
                        <c:v>56</c:v>
                      </c:pt>
                      <c:pt idx="1">
                        <c:v>50</c:v>
                      </c:pt>
                      <c:pt idx="2">
                        <c:v>49</c:v>
                      </c:pt>
                      <c:pt idx="3">
                        <c:v>48</c:v>
                      </c:pt>
                      <c:pt idx="4">
                        <c:v>70</c:v>
                      </c:pt>
                      <c:pt idx="5">
                        <c:v>69</c:v>
                      </c:pt>
                      <c:pt idx="6">
                        <c:v>66</c:v>
                      </c:pt>
                      <c:pt idx="7">
                        <c:v>66.5</c:v>
                      </c:pt>
                      <c:pt idx="8">
                        <c:v>65.5</c:v>
                      </c:pt>
                      <c:pt idx="9">
                        <c:v>64.400000000000006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2C34-4E70-8E94-2E14C3FDBE38}"/>
                  </c:ext>
                </c:extLst>
              </c15:ser>
            </c15:filteredScatterSeries>
            <c15:filteredScatterSeries>
              <c15:ser>
                <c:idx val="3"/>
                <c:order val="6"/>
                <c:tx>
                  <c:v>Asphaltene_ART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Template'!$F$239:$U$239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 formatCode="General">
                        <c:v>73.5</c:v>
                      </c:pt>
                      <c:pt idx="1">
                        <c:v>66.5</c:v>
                      </c:pt>
                      <c:pt idx="3">
                        <c:v>61.9</c:v>
                      </c:pt>
                      <c:pt idx="4">
                        <c:v>62.5</c:v>
                      </c:pt>
                      <c:pt idx="5">
                        <c:v>86.5</c:v>
                      </c:pt>
                      <c:pt idx="6">
                        <c:v>83</c:v>
                      </c:pt>
                      <c:pt idx="7">
                        <c:v>81.5</c:v>
                      </c:pt>
                      <c:pt idx="8">
                        <c:v>81</c:v>
                      </c:pt>
                      <c:pt idx="9">
                        <c:v>80.400000000000006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E59-4DB4-B39E-29DDF96B74AB}"/>
                  </c:ext>
                </c:extLst>
              </c15:ser>
            </c15:filteredScatterSeries>
            <c15:filteredScatterSeries>
              <c15:ser>
                <c:idx val="4"/>
                <c:order val="7"/>
                <c:tx>
                  <c:v>MCR Conversion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x"/>
                  <c:size val="10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8.4543945320146127E-17"/>
                        <c:y val="-7.4380772745947787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2-BE2B-4E3C-996C-E7CC9178A6C1}"/>
                      </c:ext>
                    </c:extLst>
                  </c:dLbl>
                  <c:dLbl>
                    <c:idx val="12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3-B285-430C-8658-FA32CFBFC7DE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Template'!$F$230:$U$230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54.319879670531634</c:v>
                      </c:pt>
                      <c:pt idx="1">
                        <c:v>52.147203807922267</c:v>
                      </c:pt>
                      <c:pt idx="2">
                        <c:v>49.477786017117467</c:v>
                      </c:pt>
                      <c:pt idx="3">
                        <c:v>49.272730566014246</c:v>
                      </c:pt>
                      <c:pt idx="4">
                        <c:v>78.552417199708088</c:v>
                      </c:pt>
                      <c:pt idx="5">
                        <c:v>78.400462920135425</c:v>
                      </c:pt>
                      <c:pt idx="6">
                        <c:v>75.658491414669342</c:v>
                      </c:pt>
                      <c:pt idx="7">
                        <c:v>74.518313571684345</c:v>
                      </c:pt>
                      <c:pt idx="8">
                        <c:v>73.468038731480178</c:v>
                      </c:pt>
                      <c:pt idx="9">
                        <c:v>72.979876659450639</c:v>
                      </c:pt>
                      <c:pt idx="10">
                        <c:v>72.10174054834097</c:v>
                      </c:pt>
                      <c:pt idx="11">
                        <c:v>70.403480504793393</c:v>
                      </c:pt>
                      <c:pt idx="12">
                        <c:v>70.875527144471249</c:v>
                      </c:pt>
                      <c:pt idx="13" formatCode="0.0">
                        <c:v>0</c:v>
                      </c:pt>
                      <c:pt idx="14" formatCode="0.0">
                        <c:v>0</c:v>
                      </c:pt>
                      <c:pt idx="15" formatCode="0.0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E59-4DB4-B39E-29DDF96B74AB}"/>
                  </c:ext>
                </c:extLst>
              </c15:ser>
            </c15:filteredScatterSeries>
            <c15:filteredScatterSeries>
              <c15:ser>
                <c:idx val="5"/>
                <c:order val="8"/>
                <c:tx>
                  <c:v>N Conversion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8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6.8910570899662774E-3"/>
                        <c:y val="-1.4499659700407983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5-EB57-4C5E-A880-50842F34CC8A}"/>
                      </c:ext>
                    </c:extLst>
                  </c:dLbl>
                  <c:dLbl>
                    <c:idx val="12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6-B285-430C-8658-FA32CFBFC7DE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Template'!$F$219:$U$219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38</c:v>
                      </c:pt>
                      <c:pt idx="1">
                        <c:v>31.5</c:v>
                      </c:pt>
                      <c:pt idx="2">
                        <c:v>27.5</c:v>
                      </c:pt>
                      <c:pt idx="3">
                        <c:v>28.4</c:v>
                      </c:pt>
                      <c:pt idx="4">
                        <c:v>55.5</c:v>
                      </c:pt>
                      <c:pt idx="5">
                        <c:v>45</c:v>
                      </c:pt>
                      <c:pt idx="6">
                        <c:v>43</c:v>
                      </c:pt>
                      <c:pt idx="7">
                        <c:v>42.5</c:v>
                      </c:pt>
                      <c:pt idx="8">
                        <c:v>41.5</c:v>
                      </c:pt>
                      <c:pt idx="9">
                        <c:v>40.700000000000003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B40-4D36-9F82-41BCEF31B544}"/>
                  </c:ext>
                </c:extLst>
              </c15:ser>
            </c15:filteredScatterSeries>
            <c15:filteredScatterSeries>
              <c15:ser>
                <c:idx val="2"/>
                <c:order val="10"/>
                <c:tx>
                  <c:v>N conversion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10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2.5276524013344456E-2"/>
                        <c:y val="4.6406474840164663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2-2C34-4E70-8E94-2E14C3FDBE38}"/>
                      </c:ext>
                    </c:extLst>
                  </c:dLbl>
                  <c:dLbl>
                    <c:idx val="12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7-B285-430C-8658-FA32CFBFC7DE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Template'!$F$218:$U$218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33.796811410187729</c:v>
                      </c:pt>
                      <c:pt idx="1">
                        <c:v>35.590094259568701</c:v>
                      </c:pt>
                      <c:pt idx="2">
                        <c:v>29.462279141827107</c:v>
                      </c:pt>
                      <c:pt idx="3">
                        <c:v>31.044840543417891</c:v>
                      </c:pt>
                      <c:pt idx="4">
                        <c:v>52.700197050373099</c:v>
                      </c:pt>
                      <c:pt idx="5">
                        <c:v>50.289742314490923</c:v>
                      </c:pt>
                      <c:pt idx="6">
                        <c:v>46.338833666972768</c:v>
                      </c:pt>
                      <c:pt idx="7">
                        <c:v>49.040691671668171</c:v>
                      </c:pt>
                      <c:pt idx="8">
                        <c:v>48.064929704309975</c:v>
                      </c:pt>
                      <c:pt idx="9">
                        <c:v>49.465450385312188</c:v>
                      </c:pt>
                      <c:pt idx="10">
                        <c:v>45.062302840345147</c:v>
                      </c:pt>
                      <c:pt idx="11">
                        <c:v>49.035402076370161</c:v>
                      </c:pt>
                      <c:pt idx="12">
                        <c:v>46.998497671309515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2C34-4E70-8E94-2E14C3FDBE38}"/>
                  </c:ext>
                </c:extLst>
              </c15:ser>
            </c15:filteredScatterSeries>
            <c15:filteredScatterSeries>
              <c15:ser>
                <c:idx val="11"/>
                <c:order val="11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bg1">
                          <a:lumMod val="50000"/>
                        </a:schemeClr>
                      </a:solidFill>
                      <a:prstDash val="sysDot"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SConv!$G$56:$G$57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10.5</c:v>
                      </c:pt>
                      <c:pt idx="1">
                        <c:v>10.5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SConv!$H$56:$H$57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-2</c:v>
                      </c:pt>
                      <c:pt idx="1">
                        <c:v>150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B40-4D36-9F82-41BCEF31B544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v>Asphaltene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Template'!$F$239:$U$239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 formatCode="General">
                        <c:v>73.5</c:v>
                      </c:pt>
                      <c:pt idx="1">
                        <c:v>66.5</c:v>
                      </c:pt>
                      <c:pt idx="3">
                        <c:v>61.9</c:v>
                      </c:pt>
                      <c:pt idx="4">
                        <c:v>62.5</c:v>
                      </c:pt>
                      <c:pt idx="5">
                        <c:v>86.5</c:v>
                      </c:pt>
                      <c:pt idx="6">
                        <c:v>83</c:v>
                      </c:pt>
                      <c:pt idx="7">
                        <c:v>81.5</c:v>
                      </c:pt>
                      <c:pt idx="8">
                        <c:v>81</c:v>
                      </c:pt>
                      <c:pt idx="9">
                        <c:v>80.400000000000006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B57-4C5E-A880-50842F34CC8A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v>ART Acceptance, MCR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10"/>
                  <c:spPr>
                    <a:solidFill>
                      <a:srgbClr val="3333FF"/>
                    </a:solidFill>
                    <a:ln w="9525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Template'!$F$6:$P$6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Template'!$F$233:$P$233</c15:sqref>
                        </c15:formulaRef>
                      </c:ext>
                    </c:extLst>
                    <c:numCache>
                      <c:formatCode>0.0</c:formatCode>
                      <c:ptCount val="11"/>
                      <c:pt idx="0">
                        <c:v>51.4</c:v>
                      </c:pt>
                      <c:pt idx="1">
                        <c:v>49.3</c:v>
                      </c:pt>
                      <c:pt idx="2">
                        <c:v>48.5</c:v>
                      </c:pt>
                      <c:pt idx="3">
                        <c:v>48.4</c:v>
                      </c:pt>
                      <c:pt idx="4">
                        <c:v>75.900000000000006</c:v>
                      </c:pt>
                      <c:pt idx="5">
                        <c:v>74.5</c:v>
                      </c:pt>
                      <c:pt idx="6">
                        <c:v>72.2</c:v>
                      </c:pt>
                      <c:pt idx="7">
                        <c:v>71.400000000000006</c:v>
                      </c:pt>
                      <c:pt idx="8">
                        <c:v>71.099999999999994</c:v>
                      </c:pt>
                      <c:pt idx="9">
                        <c:v>70</c:v>
                      </c:pt>
                      <c:pt idx="10">
                        <c:v>69.7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06B-4CFE-9F45-2BD009536CEB}"/>
                  </c:ext>
                </c:extLst>
              </c15:ser>
            </c15:filteredScatterSeries>
          </c:ext>
        </c:extLst>
      </c:scatterChart>
      <c:valAx>
        <c:axId val="1201496688"/>
        <c:scaling>
          <c:orientation val="minMax"/>
          <c:max val="2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Day on stream</a:t>
                </a:r>
              </a:p>
            </c:rich>
          </c:tx>
          <c:layout>
            <c:manualLayout>
              <c:xMode val="edge"/>
              <c:yMode val="edge"/>
              <c:x val="0.41562560656094"/>
              <c:y val="0.930938122378198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7168"/>
        <c:crosses val="autoZero"/>
        <c:crossBetween val="midCat"/>
        <c:majorUnit val="1"/>
      </c:valAx>
      <c:valAx>
        <c:axId val="1201497168"/>
        <c:scaling>
          <c:orientation val="minMax"/>
          <c:max val="100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% wt Conversion</a:t>
                </a:r>
              </a:p>
            </c:rich>
          </c:tx>
          <c:layout>
            <c:manualLayout>
              <c:xMode val="edge"/>
              <c:yMode val="edge"/>
              <c:x val="5.7409881611411751E-2"/>
              <c:y val="0.445530308053399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6688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78360754054438719"/>
          <c:y val="0.230138293654709"/>
          <c:w val="0.1193705019571942"/>
          <c:h val="9.34250866017146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35529981864439"/>
          <c:y val="0.2421351232251211"/>
          <c:w val="0.69377810405459839"/>
          <c:h val="0.62945638667984671"/>
        </c:manualLayout>
      </c:layout>
      <c:scatterChart>
        <c:scatterStyle val="lineMarker"/>
        <c:varyColors val="0"/>
        <c:ser>
          <c:idx val="9"/>
          <c:order val="0"/>
          <c:tx>
            <c:v>HDM(Ni+V) ART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15"/>
            <c:spPr>
              <a:solidFill>
                <a:schemeClr val="accent2"/>
              </a:solidFill>
              <a:ln w="25400">
                <a:solidFill>
                  <a:schemeClr val="tx1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1.1512991743763026E-3"/>
                  <c:y val="-4.61816477744751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885-43D2-80F4-3C3E5CFAA9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Lit>
              <c:formatCode>General</c:formatCode>
              <c:ptCount val="11"/>
              <c:pt idx="0">
                <c:v>3</c:v>
              </c:pt>
              <c:pt idx="1">
                <c:v>4</c:v>
              </c:pt>
              <c:pt idx="2">
                <c:v>6</c:v>
              </c:pt>
              <c:pt idx="3">
                <c:v>8</c:v>
              </c:pt>
              <c:pt idx="4">
                <c:v>9</c:v>
              </c:pt>
              <c:pt idx="5">
                <c:v>10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</c:numLit>
          </c:xVal>
          <c:yVal>
            <c:numRef>
              <c:f>('Master Template'!$H$201,'Master Template'!$I$201,'Master Template'!$K$201,'Master Template'!$M$201,'Master Template'!$N$201,'Master Template'!$O$201,'Master Template'!$Q$201,'Master Template'!$R$201,'Master Template'!$S$201,'Master Template'!$T$201)</c:f>
              <c:numCache>
                <c:formatCode>0.00</c:formatCode>
                <c:ptCount val="10"/>
                <c:pt idx="0">
                  <c:v>82.5</c:v>
                </c:pt>
                <c:pt idx="1">
                  <c:v>81.2</c:v>
                </c:pt>
                <c:pt idx="2">
                  <c:v>97</c:v>
                </c:pt>
                <c:pt idx="3">
                  <c:v>95.5</c:v>
                </c:pt>
                <c:pt idx="4">
                  <c:v>95</c:v>
                </c:pt>
                <c:pt idx="5">
                  <c:v>94.6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9-A454-4B92-8C1D-9CEB9625D109}"/>
            </c:ext>
          </c:extLst>
        </c:ser>
        <c:ser>
          <c:idx val="0"/>
          <c:order val="2"/>
          <c:tx>
            <c:v>S Conversion ART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chemeClr val="accent2"/>
              </a:solidFill>
              <a:ln w="25400">
                <a:solidFill>
                  <a:schemeClr val="tx1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8.4602482855579219E-17"/>
                  <c:y val="-5.585765768169642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885-43D2-80F4-3C3E5CFAA9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Lit>
              <c:formatCode>General</c:formatCode>
              <c:ptCount val="10"/>
              <c:pt idx="0">
                <c:v>3</c:v>
              </c:pt>
              <c:pt idx="1">
                <c:v>4</c:v>
              </c:pt>
              <c:pt idx="2">
                <c:v>6</c:v>
              </c:pt>
              <c:pt idx="3">
                <c:v>8</c:v>
              </c:pt>
              <c:pt idx="4">
                <c:v>9</c:v>
              </c:pt>
              <c:pt idx="5">
                <c:v>10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</c:numLit>
          </c:xVal>
          <c:yVal>
            <c:numRef>
              <c:f>('Master Template'!$H$212,'Master Template'!$I$212,'Master Template'!$K$212,'Master Template'!$M$212,'Master Template'!$N$212,'Master Template'!$O$212,'Master Template'!$Q$212,'Master Template'!$R$212,'Master Template'!$S$212,'Master Template'!$T$212)</c:f>
              <c:numCache>
                <c:formatCode>0.00</c:formatCode>
                <c:ptCount val="10"/>
                <c:pt idx="0">
                  <c:v>66</c:v>
                </c:pt>
                <c:pt idx="1">
                  <c:v>65.599999999999994</c:v>
                </c:pt>
                <c:pt idx="2">
                  <c:v>87</c:v>
                </c:pt>
                <c:pt idx="3">
                  <c:v>85.5</c:v>
                </c:pt>
                <c:pt idx="4">
                  <c:v>85</c:v>
                </c:pt>
                <c:pt idx="5">
                  <c:v>84.6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A454-4B92-8C1D-9CEB9625D109}"/>
            </c:ext>
          </c:extLst>
        </c:ser>
        <c:ser>
          <c:idx val="7"/>
          <c:order val="6"/>
          <c:tx>
            <c:v>MCR Conv ART</c:v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chemeClr val="accent2"/>
              </a:solidFill>
              <a:ln w="25400">
                <a:solidFill>
                  <a:schemeClr val="tx1"/>
                </a:solidFill>
              </a:ln>
              <a:effectLst/>
            </c:spPr>
          </c:marker>
          <c:xVal>
            <c:numLit>
              <c:formatCode>General</c:formatCode>
              <c:ptCount val="11"/>
              <c:pt idx="0">
                <c:v>3</c:v>
              </c:pt>
              <c:pt idx="1">
                <c:v>4</c:v>
              </c:pt>
              <c:pt idx="2">
                <c:v>6</c:v>
              </c:pt>
              <c:pt idx="3">
                <c:v>8</c:v>
              </c:pt>
              <c:pt idx="4">
                <c:v>9</c:v>
              </c:pt>
              <c:pt idx="5">
                <c:v>10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</c:numLit>
          </c:xVal>
          <c:yVal>
            <c:numRef>
              <c:f>('Master Template'!$H$231,'Master Template'!$I$231,'Master Template'!$K$231,'Master Template'!$M$231,'Master Template'!$N$231,'Master Template'!$O$231,'Master Template'!$Q$231,'Master Template'!$R$231,'Master Template'!$S$231,'Master Template'!$T$231,'Master Template'!$U$231)</c:f>
              <c:numCache>
                <c:formatCode>0.0</c:formatCode>
                <c:ptCount val="11"/>
                <c:pt idx="0">
                  <c:v>49</c:v>
                </c:pt>
                <c:pt idx="1">
                  <c:v>48</c:v>
                </c:pt>
                <c:pt idx="2">
                  <c:v>69</c:v>
                </c:pt>
                <c:pt idx="3">
                  <c:v>66.5</c:v>
                </c:pt>
                <c:pt idx="4">
                  <c:v>65.5</c:v>
                </c:pt>
                <c:pt idx="5">
                  <c:v>64.400000000000006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B-A454-4B92-8C1D-9CEB9625D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496688"/>
        <c:axId val="1201497168"/>
        <c:extLst>
          <c:ext xmlns:c15="http://schemas.microsoft.com/office/drawing/2012/chart" uri="{02D57815-91ED-43cb-92C2-25804820EDAC}">
            <c15:filteredScatterSeries>
              <c15:ser>
                <c:idx val="8"/>
                <c:order val="1"/>
                <c:tx>
                  <c:v>HDM(Ni+V)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tar"/>
                  <c:size val="15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5.7565033530045592E-3"/>
                        <c:y val="-2.620705756944722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A454-4B92-8C1D-9CEB9625D109}"/>
                      </c:ext>
                    </c:extLst>
                  </c:dLbl>
                  <c:dLbl>
                    <c:idx val="11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A454-4B92-8C1D-9CEB9625D10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Template'!$F$185:$U$185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84.090392001192257</c:v>
                      </c:pt>
                      <c:pt idx="1">
                        <c:v>83.440029681597395</c:v>
                      </c:pt>
                      <c:pt idx="2">
                        <c:v>80.044101931043414</c:v>
                      </c:pt>
                      <c:pt idx="3">
                        <c:v>80.440122836678171</c:v>
                      </c:pt>
                      <c:pt idx="4">
                        <c:v>98.714944276710753</c:v>
                      </c:pt>
                      <c:pt idx="5">
                        <c:v>98.420460100304993</c:v>
                      </c:pt>
                      <c:pt idx="6">
                        <c:v>97.894670885679375</c:v>
                      </c:pt>
                      <c:pt idx="7">
                        <c:v>97.530306302927627</c:v>
                      </c:pt>
                      <c:pt idx="8">
                        <c:v>97.010659603283301</c:v>
                      </c:pt>
                      <c:pt idx="9">
                        <c:v>96.801501572099795</c:v>
                      </c:pt>
                      <c:pt idx="10">
                        <c:v>96.320678476450652</c:v>
                      </c:pt>
                      <c:pt idx="11">
                        <c:v>96.404158642104136</c:v>
                      </c:pt>
                      <c:pt idx="12">
                        <c:v>96.134072044355392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A454-4B92-8C1D-9CEB9625D109}"/>
                  </c:ext>
                </c:extLst>
              </c15:ser>
            </c15:filteredScatterSeries>
            <c15:filteredScatterSeries>
              <c15:ser>
                <c:idx val="1"/>
                <c:order val="3"/>
                <c:tx>
                  <c:v>S Conversion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16"/>
                  <c:spPr>
                    <a:solidFill>
                      <a:schemeClr val="accent4"/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9.9477202077705058E-7"/>
                        <c:y val="1.3534347710116981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7-A454-4B92-8C1D-9CEB9625D109}"/>
                      </c:ext>
                    </c:extLst>
                  </c:dLbl>
                  <c:dLbl>
                    <c:idx val="12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8-A454-4B92-8C1D-9CEB9625D10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Template'!$F$211:$U$211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69.721114131735945</c:v>
                      </c:pt>
                      <c:pt idx="1">
                        <c:v>69.771809222142551</c:v>
                      </c:pt>
                      <c:pt idx="2">
                        <c:v>65.922034958745556</c:v>
                      </c:pt>
                      <c:pt idx="3">
                        <c:v>66.402544175827117</c:v>
                      </c:pt>
                      <c:pt idx="4">
                        <c:v>88.026117668562591</c:v>
                      </c:pt>
                      <c:pt idx="5">
                        <c:v>87.188491509400862</c:v>
                      </c:pt>
                      <c:pt idx="6">
                        <c:v>85.979058902118339</c:v>
                      </c:pt>
                      <c:pt idx="7">
                        <c:v>84.993673789191547</c:v>
                      </c:pt>
                      <c:pt idx="8">
                        <c:v>84.26128439793392</c:v>
                      </c:pt>
                      <c:pt idx="9">
                        <c:v>83.758194734907406</c:v>
                      </c:pt>
                      <c:pt idx="10">
                        <c:v>83.087048087569627</c:v>
                      </c:pt>
                      <c:pt idx="11">
                        <c:v>82.962508326538568</c:v>
                      </c:pt>
                      <c:pt idx="12">
                        <c:v>82.443809517519483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454-4B92-8C1D-9CEB9625D109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v>Asphaltene_ART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2"/>
                    </a:solidFill>
                    <a:ln w="25400">
                      <a:solidFill>
                        <a:schemeClr val="tx1"/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4"/>
                    <c:pt idx="0">
                      <c:v>6</c:v>
                    </c:pt>
                    <c:pt idx="1">
                      <c:v>8</c:v>
                    </c:pt>
                    <c:pt idx="2">
                      <c:v>12</c:v>
                    </c:pt>
                    <c:pt idx="3">
                      <c:v>14</c:v>
                    </c:pt>
                  </c:numLit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('Master Template'!$K$239,'Master Template'!$M$239)</c15:sqref>
                        </c15:formulaRef>
                      </c:ext>
                    </c:extLst>
                    <c:numCache>
                      <c:formatCode>0.00</c:formatCode>
                      <c:ptCount val="2"/>
                      <c:pt idx="0">
                        <c:v>86.5</c:v>
                      </c:pt>
                      <c:pt idx="1">
                        <c:v>81.5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A454-4B92-8C1D-9CEB9625D109}"/>
                  </c:ext>
                </c:extLst>
              </c15:ser>
            </c15:filteredScatterSeries>
            <c15:filteredScatterSeries>
              <c15:ser>
                <c:idx val="6"/>
                <c:order val="5"/>
                <c:tx>
                  <c:v>Asphaltene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12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1.6079133209921312E-2"/>
                        <c:y val="1.8124574625509895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A-A454-4B92-8C1D-9CEB9625D109}"/>
                      </c:ext>
                    </c:extLst>
                  </c:dLbl>
                  <c:dLbl>
                    <c:idx val="12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B-A454-4B92-8C1D-9CEB9625D10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Template'!$F$238:$U$238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73.672790683094576</c:v>
                      </c:pt>
                      <c:pt idx="1">
                        <c:v>73.235515758677252</c:v>
                      </c:pt>
                      <c:pt idx="2">
                        <c:v>63.531888913929961</c:v>
                      </c:pt>
                      <c:pt idx="3">
                        <c:v>63.899900414364886</c:v>
                      </c:pt>
                      <c:pt idx="4">
                        <c:v>92.132563022830453</c:v>
                      </c:pt>
                      <c:pt idx="5">
                        <c:v>91.225775638809239</c:v>
                      </c:pt>
                      <c:pt idx="6">
                        <c:v>90.96521002508959</c:v>
                      </c:pt>
                      <c:pt idx="7">
                        <c:v>85.608373990340368</c:v>
                      </c:pt>
                      <c:pt idx="8">
                        <c:v>82.180513801057614</c:v>
                      </c:pt>
                      <c:pt idx="9">
                        <c:v>85.243069319847081</c:v>
                      </c:pt>
                      <c:pt idx="10">
                        <c:v>81.963594328949071</c:v>
                      </c:pt>
                      <c:pt idx="11">
                        <c:v>82.358370037383224</c:v>
                      </c:pt>
                      <c:pt idx="12">
                        <c:v>84.523279431394272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A454-4B92-8C1D-9CEB9625D109}"/>
                  </c:ext>
                </c:extLst>
              </c15:ser>
            </c15:filteredScatterSeries>
            <c15:filteredScatterSeries>
              <c15:ser>
                <c:idx val="4"/>
                <c:order val="7"/>
                <c:tx>
                  <c:v>MCR Conversion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x"/>
                  <c:size val="12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8.4543945320146127E-17"/>
                        <c:y val="-7.4380772745947787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D-A454-4B92-8C1D-9CEB9625D109}"/>
                      </c:ext>
                    </c:extLst>
                  </c:dLbl>
                  <c:dLbl>
                    <c:idx val="12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E-A454-4B92-8C1D-9CEB9625D10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Template'!$F$230:$U$230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54.319879670531634</c:v>
                      </c:pt>
                      <c:pt idx="1">
                        <c:v>52.147203807922267</c:v>
                      </c:pt>
                      <c:pt idx="2">
                        <c:v>49.477786017117467</c:v>
                      </c:pt>
                      <c:pt idx="3">
                        <c:v>49.272730566014246</c:v>
                      </c:pt>
                      <c:pt idx="4">
                        <c:v>78.552417199708088</c:v>
                      </c:pt>
                      <c:pt idx="5">
                        <c:v>78.400462920135425</c:v>
                      </c:pt>
                      <c:pt idx="6">
                        <c:v>75.658491414669342</c:v>
                      </c:pt>
                      <c:pt idx="7">
                        <c:v>74.518313571684345</c:v>
                      </c:pt>
                      <c:pt idx="8">
                        <c:v>73.468038731480178</c:v>
                      </c:pt>
                      <c:pt idx="9">
                        <c:v>72.979876659450639</c:v>
                      </c:pt>
                      <c:pt idx="10">
                        <c:v>72.10174054834097</c:v>
                      </c:pt>
                      <c:pt idx="11">
                        <c:v>70.403480504793393</c:v>
                      </c:pt>
                      <c:pt idx="12">
                        <c:v>70.875527144471249</c:v>
                      </c:pt>
                      <c:pt idx="13" formatCode="0.0">
                        <c:v>0</c:v>
                      </c:pt>
                      <c:pt idx="14" formatCode="0.0">
                        <c:v>0</c:v>
                      </c:pt>
                      <c:pt idx="15" formatCode="0.0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A454-4B92-8C1D-9CEB9625D109}"/>
                  </c:ext>
                </c:extLst>
              </c15:ser>
            </c15:filteredScatterSeries>
            <c15:filteredScatterSeries>
              <c15:ser>
                <c:idx val="5"/>
                <c:order val="8"/>
                <c:tx>
                  <c:v>N Conversion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15"/>
                  <c:spPr>
                    <a:solidFill>
                      <a:schemeClr val="accent2"/>
                    </a:solidFill>
                    <a:ln w="25400">
                      <a:solidFill>
                        <a:schemeClr val="tx1"/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6.8910570899662774E-3"/>
                        <c:y val="-1.4499659700407983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9438-4D64-8D14-B1CD8CE5263F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Lit>
                    <c:formatCode>General</c:formatCode>
                    <c:ptCount val="10"/>
                    <c:pt idx="0">
                      <c:v>1</c:v>
                    </c:pt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6</c:v>
                    </c:pt>
                    <c:pt idx="5">
                      <c:v>8</c:v>
                    </c:pt>
                    <c:pt idx="6">
                      <c:v>10</c:v>
                    </c:pt>
                    <c:pt idx="7">
                      <c:v>12</c:v>
                    </c:pt>
                    <c:pt idx="8">
                      <c:v>14</c:v>
                    </c:pt>
                    <c:pt idx="9">
                      <c:v>15</c:v>
                    </c:pt>
                  </c:numLit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Template'!$F$219:$U$219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38</c:v>
                      </c:pt>
                      <c:pt idx="1">
                        <c:v>31.5</c:v>
                      </c:pt>
                      <c:pt idx="2">
                        <c:v>27.5</c:v>
                      </c:pt>
                      <c:pt idx="3">
                        <c:v>28.4</c:v>
                      </c:pt>
                      <c:pt idx="4">
                        <c:v>55.5</c:v>
                      </c:pt>
                      <c:pt idx="5">
                        <c:v>45</c:v>
                      </c:pt>
                      <c:pt idx="6">
                        <c:v>43</c:v>
                      </c:pt>
                      <c:pt idx="7">
                        <c:v>42.5</c:v>
                      </c:pt>
                      <c:pt idx="8">
                        <c:v>41.5</c:v>
                      </c:pt>
                      <c:pt idx="9">
                        <c:v>40.700000000000003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A454-4B92-8C1D-9CEB9625D109}"/>
                  </c:ext>
                </c:extLst>
              </c15:ser>
            </c15:filteredScatterSeries>
            <c15:filteredScatterSeries>
              <c15:ser>
                <c:idx val="10"/>
                <c:order val="9"/>
                <c:spPr>
                  <a:ln w="25400" cap="rnd">
                    <a:solidFill>
                      <a:schemeClr val="bg1">
                        <a:lumMod val="50000"/>
                      </a:schemeClr>
                    </a:solidFill>
                    <a:prstDash val="sysDot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bg1">
                          <a:lumMod val="50000"/>
                        </a:schemeClr>
                      </a:solidFill>
                      <a:prstDash val="sysDot"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SConv!$G$53:$G$54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4.5</c:v>
                      </c:pt>
                      <c:pt idx="1">
                        <c:v>4.5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SConv!$H$53:$H$54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-2</c:v>
                      </c:pt>
                      <c:pt idx="1">
                        <c:v>150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A454-4B92-8C1D-9CEB9625D109}"/>
                  </c:ext>
                </c:extLst>
              </c15:ser>
            </c15:filteredScatterSeries>
            <c15:filteredScatterSeries>
              <c15:ser>
                <c:idx val="2"/>
                <c:order val="10"/>
                <c:tx>
                  <c:v>N conversion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14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2.5276524013344456E-2"/>
                        <c:y val="4.6406474840164663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4-A454-4B92-8C1D-9CEB9625D109}"/>
                      </c:ext>
                    </c:extLst>
                  </c:dLbl>
                  <c:dLbl>
                    <c:idx val="12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5-A454-4B92-8C1D-9CEB9625D10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Template'!$F$218:$U$218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33.796811410187729</c:v>
                      </c:pt>
                      <c:pt idx="1">
                        <c:v>35.590094259568701</c:v>
                      </c:pt>
                      <c:pt idx="2">
                        <c:v>29.462279141827107</c:v>
                      </c:pt>
                      <c:pt idx="3">
                        <c:v>31.044840543417891</c:v>
                      </c:pt>
                      <c:pt idx="4">
                        <c:v>52.700197050373099</c:v>
                      </c:pt>
                      <c:pt idx="5">
                        <c:v>50.289742314490923</c:v>
                      </c:pt>
                      <c:pt idx="6">
                        <c:v>46.338833666972768</c:v>
                      </c:pt>
                      <c:pt idx="7">
                        <c:v>49.040691671668171</c:v>
                      </c:pt>
                      <c:pt idx="8">
                        <c:v>48.064929704309975</c:v>
                      </c:pt>
                      <c:pt idx="9">
                        <c:v>49.465450385312188</c:v>
                      </c:pt>
                      <c:pt idx="10">
                        <c:v>45.062302840345147</c:v>
                      </c:pt>
                      <c:pt idx="11">
                        <c:v>49.035402076370161</c:v>
                      </c:pt>
                      <c:pt idx="12">
                        <c:v>46.998497671309515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A454-4B92-8C1D-9CEB9625D109}"/>
                  </c:ext>
                </c:extLst>
              </c15:ser>
            </c15:filteredScatterSeries>
            <c15:filteredScatterSeries>
              <c15:ser>
                <c:idx val="11"/>
                <c:order val="11"/>
                <c:spPr>
                  <a:ln w="25400" cap="rnd">
                    <a:solidFill>
                      <a:schemeClr val="bg1">
                        <a:lumMod val="50000"/>
                      </a:schemeClr>
                    </a:solidFill>
                    <a:prstDash val="sysDot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bg1">
                          <a:lumMod val="50000"/>
                        </a:schemeClr>
                      </a:solidFill>
                      <a:prstDash val="sysDot"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SConv!$G$56:$G$57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10.5</c:v>
                      </c:pt>
                      <c:pt idx="1">
                        <c:v>10.5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SConv!$H$56:$H$57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-2</c:v>
                      </c:pt>
                      <c:pt idx="1">
                        <c:v>150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A454-4B92-8C1D-9CEB9625D109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v>Asphaltene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Template'!$F$239:$U$239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 formatCode="General">
                        <c:v>73.5</c:v>
                      </c:pt>
                      <c:pt idx="1">
                        <c:v>66.5</c:v>
                      </c:pt>
                      <c:pt idx="3">
                        <c:v>61.9</c:v>
                      </c:pt>
                      <c:pt idx="4">
                        <c:v>62.5</c:v>
                      </c:pt>
                      <c:pt idx="5">
                        <c:v>86.5</c:v>
                      </c:pt>
                      <c:pt idx="6">
                        <c:v>83</c:v>
                      </c:pt>
                      <c:pt idx="7">
                        <c:v>81.5</c:v>
                      </c:pt>
                      <c:pt idx="8">
                        <c:v>81</c:v>
                      </c:pt>
                      <c:pt idx="9">
                        <c:v>80.400000000000006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A454-4B92-8C1D-9CEB9625D109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v>HDM(Ni+V)_ART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x"/>
                  <c:size val="7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0"/>
                    <c:layout>
                      <c:manualLayout>
                        <c:x val="0"/>
                        <c:y val="1.1422234593811397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2-8269-47BC-8F44-058D79EE2E62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Template'!$K$231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69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A454-4B92-8C1D-9CEB9625D109}"/>
                  </c:ext>
                </c:extLst>
              </c15:ser>
            </c15:filteredScatterSeries>
          </c:ext>
        </c:extLst>
      </c:scatterChart>
      <c:valAx>
        <c:axId val="1201496688"/>
        <c:scaling>
          <c:orientation val="minMax"/>
          <c:max val="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Day on stream</a:t>
                </a:r>
              </a:p>
            </c:rich>
          </c:tx>
          <c:layout>
            <c:manualLayout>
              <c:xMode val="edge"/>
              <c:yMode val="edge"/>
              <c:x val="0.41562560656094"/>
              <c:y val="0.930938122378198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7168"/>
        <c:crosses val="autoZero"/>
        <c:crossBetween val="midCat"/>
        <c:majorUnit val="1"/>
      </c:valAx>
      <c:valAx>
        <c:axId val="120149716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% wt Conversion</a:t>
                </a:r>
              </a:p>
            </c:rich>
          </c:tx>
          <c:layout>
            <c:manualLayout>
              <c:xMode val="edge"/>
              <c:yMode val="edge"/>
              <c:x val="2.9021818926305398E-2"/>
              <c:y val="0.437868892004448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6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870142116076231"/>
          <c:y val="0.30187480471884975"/>
          <c:w val="0.12019953996802785"/>
          <c:h val="0.34960861328234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9786232474731"/>
          <c:y val="0.25851591001912921"/>
          <c:w val="0.84089156491376793"/>
          <c:h val="0.62945638667984671"/>
        </c:manualLayout>
      </c:layout>
      <c:scatterChart>
        <c:scatterStyle val="lineMarker"/>
        <c:varyColors val="0"/>
        <c:ser>
          <c:idx val="10"/>
          <c:order val="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MCRConv!$G$53:$G$54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MCRConv!$H$53:$H$54</c:f>
              <c:numCache>
                <c:formatCode>General</c:formatCode>
                <c:ptCount val="2"/>
                <c:pt idx="0">
                  <c:v>-2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2E-4A7E-AC82-902E61BF8FA6}"/>
            </c:ext>
          </c:extLst>
        </c:ser>
        <c:ser>
          <c:idx val="17"/>
          <c:order val="17"/>
          <c:tx>
            <c:v>ART Acceptance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00B050"/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fixedVal"/>
            <c:noEndCap val="0"/>
            <c:val val="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  <c:extLst xmlns:c15="http://schemas.microsoft.com/office/drawing/2012/chart"/>
            </c:numRef>
          </c:xVal>
          <c:yVal>
            <c:numRef>
              <c:f>'Master Template'!$F$233:$P$233</c:f>
              <c:numCache>
                <c:formatCode>0.0</c:formatCode>
                <c:ptCount val="11"/>
                <c:pt idx="0">
                  <c:v>51.4</c:v>
                </c:pt>
                <c:pt idx="1">
                  <c:v>49.3</c:v>
                </c:pt>
                <c:pt idx="2">
                  <c:v>48.5</c:v>
                </c:pt>
                <c:pt idx="3">
                  <c:v>48.4</c:v>
                </c:pt>
                <c:pt idx="4">
                  <c:v>75.900000000000006</c:v>
                </c:pt>
                <c:pt idx="5">
                  <c:v>74.5</c:v>
                </c:pt>
                <c:pt idx="6">
                  <c:v>72.2</c:v>
                </c:pt>
                <c:pt idx="7">
                  <c:v>71.400000000000006</c:v>
                </c:pt>
                <c:pt idx="8">
                  <c:v>71.099999999999994</c:v>
                </c:pt>
                <c:pt idx="9">
                  <c:v>70</c:v>
                </c:pt>
                <c:pt idx="10">
                  <c:v>69.7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22-6A2E-4A7E-AC82-902E61BF8FA6}"/>
            </c:ext>
          </c:extLst>
        </c:ser>
        <c:ser>
          <c:idx val="18"/>
          <c:order val="18"/>
          <c:tx>
            <c:v>TOP Acceptance'24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Template'!$F$232:$P$232</c:f>
              <c:numCache>
                <c:formatCode>0.0</c:formatCode>
                <c:ptCount val="11"/>
                <c:pt idx="5">
                  <c:v>77.802772812270902</c:v>
                </c:pt>
                <c:pt idx="6">
                  <c:v>75.674791281786369</c:v>
                </c:pt>
                <c:pt idx="7">
                  <c:v>74.354415574444744</c:v>
                </c:pt>
                <c:pt idx="8">
                  <c:v>72.67274937072041</c:v>
                </c:pt>
                <c:pt idx="9">
                  <c:v>72.579390389567365</c:v>
                </c:pt>
                <c:pt idx="10">
                  <c:v>72.707876603791064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6A2E-4A7E-AC82-902E61BF8FA6}"/>
            </c:ext>
          </c:extLst>
        </c:ser>
        <c:ser>
          <c:idx val="19"/>
          <c:order val="19"/>
          <c:tx>
            <c:v>TOP Acceptance'26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Template'!$F$230:$AA$230</c:f>
              <c:numCache>
                <c:formatCode>0.00</c:formatCode>
                <c:ptCount val="22"/>
                <c:pt idx="0">
                  <c:v>54.319879670531634</c:v>
                </c:pt>
                <c:pt idx="1">
                  <c:v>52.147203807922267</c:v>
                </c:pt>
                <c:pt idx="2">
                  <c:v>49.477786017117467</c:v>
                </c:pt>
                <c:pt idx="3">
                  <c:v>49.272730566014246</c:v>
                </c:pt>
                <c:pt idx="4">
                  <c:v>78.552417199708088</c:v>
                </c:pt>
                <c:pt idx="5">
                  <c:v>78.400462920135425</c:v>
                </c:pt>
                <c:pt idx="6">
                  <c:v>75.658491414669342</c:v>
                </c:pt>
                <c:pt idx="7">
                  <c:v>74.518313571684345</c:v>
                </c:pt>
                <c:pt idx="8">
                  <c:v>73.468038731480178</c:v>
                </c:pt>
                <c:pt idx="9">
                  <c:v>72.979876659450639</c:v>
                </c:pt>
                <c:pt idx="10">
                  <c:v>72.10174054834097</c:v>
                </c:pt>
                <c:pt idx="11">
                  <c:v>70.403480504793393</c:v>
                </c:pt>
                <c:pt idx="12">
                  <c:v>70.875527144471249</c:v>
                </c:pt>
                <c:pt idx="13" formatCode="0.0">
                  <c:v>0</c:v>
                </c:pt>
                <c:pt idx="14" formatCode="0.0">
                  <c:v>0</c:v>
                </c:pt>
                <c:pt idx="15" formatCode="0.0">
                  <c:v>0</c:v>
                </c:pt>
                <c:pt idx="16" formatCode="0.0">
                  <c:v>0</c:v>
                </c:pt>
                <c:pt idx="17" formatCode="0.0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6A2E-4A7E-AC82-902E61BF8FA6}"/>
            </c:ext>
          </c:extLst>
        </c:ser>
        <c:ser>
          <c:idx val="20"/>
          <c:order val="20"/>
          <c:tx>
            <c:v>Condition Change</c:v>
          </c:tx>
          <c:spPr>
            <a:ln w="254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  <a:prstDash val="sysDot"/>
              </a:ln>
              <a:effectLst/>
            </c:spPr>
          </c:marker>
          <c:xVal>
            <c:numRef>
              <c:f>MCRConv!$G$53:$G$54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MCRConv!$H$53:$H$54</c:f>
              <c:numCache>
                <c:formatCode>General</c:formatCode>
                <c:ptCount val="2"/>
                <c:pt idx="0">
                  <c:v>-2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6A2E-4A7E-AC82-902E61BF8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496688"/>
        <c:axId val="1201497168"/>
        <c:extLst>
          <c:ext xmlns:c15="http://schemas.microsoft.com/office/drawing/2012/chart" uri="{02D57815-91ED-43cb-92C2-25804820EDAC}">
            <c15:filteredScatterSeries>
              <c15:ser>
                <c:idx val="8"/>
                <c:order val="0"/>
                <c:tx>
                  <c:v>HDM(Ni+V)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tar"/>
                  <c:size val="10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5.7565033530045592E-3"/>
                        <c:y val="-2.620705756944722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5-6A2E-4A7E-AC82-902E61BF8FA6}"/>
                      </c:ext>
                    </c:extLst>
                  </c:dLbl>
                  <c:dLbl>
                    <c:idx val="11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6-6A2E-4A7E-AC82-902E61BF8FA6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Template'!$F$185:$U$185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84.090392001192257</c:v>
                      </c:pt>
                      <c:pt idx="1">
                        <c:v>83.440029681597395</c:v>
                      </c:pt>
                      <c:pt idx="2">
                        <c:v>80.044101931043414</c:v>
                      </c:pt>
                      <c:pt idx="3">
                        <c:v>80.440122836678171</c:v>
                      </c:pt>
                      <c:pt idx="4">
                        <c:v>98.714944276710753</c:v>
                      </c:pt>
                      <c:pt idx="5">
                        <c:v>98.420460100304993</c:v>
                      </c:pt>
                      <c:pt idx="6">
                        <c:v>97.894670885679375</c:v>
                      </c:pt>
                      <c:pt idx="7">
                        <c:v>97.530306302927627</c:v>
                      </c:pt>
                      <c:pt idx="8">
                        <c:v>97.010659603283301</c:v>
                      </c:pt>
                      <c:pt idx="9">
                        <c:v>96.801501572099795</c:v>
                      </c:pt>
                      <c:pt idx="10">
                        <c:v>96.320678476450652</c:v>
                      </c:pt>
                      <c:pt idx="11">
                        <c:v>96.404158642104136</c:v>
                      </c:pt>
                      <c:pt idx="12">
                        <c:v>96.134072044355392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6A2E-4A7E-AC82-902E61BF8FA6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v>S Conversion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10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dPt>
                  <c:idx val="0"/>
                  <c:marker>
                    <c:symbol val="triangle"/>
                    <c:size val="10"/>
                    <c:spPr>
                      <a:solidFill>
                        <a:schemeClr val="accent2"/>
                      </a:solidFill>
                      <a:ln w="9525">
                        <a:noFill/>
                      </a:ln>
                      <a:effectLst/>
                    </c:spPr>
                  </c:marker>
                  <c:bubble3D val="0"/>
                  <c:spPr>
                    <a:ln w="25400" cap="rnd">
                      <a:noFill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9-6A2E-4A7E-AC82-902E61BF8FA6}"/>
                    </c:ext>
                  </c:extLst>
                </c:dPt>
                <c:dLbls>
                  <c:dLbl>
                    <c:idx val="5"/>
                    <c:layout>
                      <c:manualLayout>
                        <c:x val="-8.4602482855579219E-17"/>
                        <c:y val="-5.5857657681696428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A-6A2E-4A7E-AC82-902E61BF8FA6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Template'!$F$212:$U$212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72</c:v>
                      </c:pt>
                      <c:pt idx="1">
                        <c:v>68</c:v>
                      </c:pt>
                      <c:pt idx="2">
                        <c:v>66</c:v>
                      </c:pt>
                      <c:pt idx="3">
                        <c:v>65.599999999999994</c:v>
                      </c:pt>
                      <c:pt idx="4">
                        <c:v>86</c:v>
                      </c:pt>
                      <c:pt idx="5">
                        <c:v>87</c:v>
                      </c:pt>
                      <c:pt idx="6">
                        <c:v>86</c:v>
                      </c:pt>
                      <c:pt idx="7">
                        <c:v>85.5</c:v>
                      </c:pt>
                      <c:pt idx="8">
                        <c:v>85</c:v>
                      </c:pt>
                      <c:pt idx="9">
                        <c:v>84.6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6A2E-4A7E-AC82-902E61BF8FA6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v>S Conversion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11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9.9477202077705058E-7"/>
                        <c:y val="1.3534347710116981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C-6A2E-4A7E-AC82-902E61BF8FA6}"/>
                      </c:ext>
                    </c:extLst>
                  </c:dLbl>
                  <c:dLbl>
                    <c:idx val="12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D-6A2E-4A7E-AC82-902E61BF8FA6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Template'!$F$211:$U$211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69.721114131735945</c:v>
                      </c:pt>
                      <c:pt idx="1">
                        <c:v>69.771809222142551</c:v>
                      </c:pt>
                      <c:pt idx="2">
                        <c:v>65.922034958745556</c:v>
                      </c:pt>
                      <c:pt idx="3">
                        <c:v>66.402544175827117</c:v>
                      </c:pt>
                      <c:pt idx="4">
                        <c:v>88.026117668562591</c:v>
                      </c:pt>
                      <c:pt idx="5">
                        <c:v>87.188491509400862</c:v>
                      </c:pt>
                      <c:pt idx="6">
                        <c:v>85.979058902118339</c:v>
                      </c:pt>
                      <c:pt idx="7">
                        <c:v>84.993673789191547</c:v>
                      </c:pt>
                      <c:pt idx="8">
                        <c:v>84.26128439793392</c:v>
                      </c:pt>
                      <c:pt idx="9">
                        <c:v>83.758194734907406</c:v>
                      </c:pt>
                      <c:pt idx="10">
                        <c:v>83.087048087569627</c:v>
                      </c:pt>
                      <c:pt idx="11">
                        <c:v>82.962508326538568</c:v>
                      </c:pt>
                      <c:pt idx="12">
                        <c:v>82.443809517519483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6A2E-4A7E-AC82-902E61BF8FA6}"/>
                  </c:ext>
                </c:extLst>
              </c15:ser>
            </c15:filteredScatterSeries>
            <c15:filteredScatterSeries>
              <c15:ser>
                <c:idx val="6"/>
                <c:order val="3"/>
                <c:tx>
                  <c:v>Asphaltene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1.6079133209921312E-2"/>
                        <c:y val="1.8124574625509895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F-6A2E-4A7E-AC82-902E61BF8FA6}"/>
                      </c:ext>
                    </c:extLst>
                  </c:dLbl>
                  <c:dLbl>
                    <c:idx val="12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0-6A2E-4A7E-AC82-902E61BF8FA6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Template'!$F$238:$U$238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73.672790683094576</c:v>
                      </c:pt>
                      <c:pt idx="1">
                        <c:v>73.235515758677252</c:v>
                      </c:pt>
                      <c:pt idx="2">
                        <c:v>63.531888913929961</c:v>
                      </c:pt>
                      <c:pt idx="3">
                        <c:v>63.899900414364886</c:v>
                      </c:pt>
                      <c:pt idx="4">
                        <c:v>92.132563022830453</c:v>
                      </c:pt>
                      <c:pt idx="5">
                        <c:v>91.225775638809239</c:v>
                      </c:pt>
                      <c:pt idx="6">
                        <c:v>90.96521002508959</c:v>
                      </c:pt>
                      <c:pt idx="7">
                        <c:v>85.608373990340368</c:v>
                      </c:pt>
                      <c:pt idx="8">
                        <c:v>82.180513801057614</c:v>
                      </c:pt>
                      <c:pt idx="9">
                        <c:v>85.243069319847081</c:v>
                      </c:pt>
                      <c:pt idx="10">
                        <c:v>81.963594328949071</c:v>
                      </c:pt>
                      <c:pt idx="11">
                        <c:v>82.358370037383224</c:v>
                      </c:pt>
                      <c:pt idx="12">
                        <c:v>84.523279431394272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6A2E-4A7E-AC82-902E61BF8FA6}"/>
                  </c:ext>
                </c:extLst>
              </c15:ser>
            </c15:filteredScatterSeries>
            <c15:filteredScatterSeries>
              <c15:ser>
                <c:idx val="9"/>
                <c:order val="4"/>
                <c:tx>
                  <c:v>HDM(Ni+V)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tar"/>
                  <c:size val="11"/>
                  <c:spPr>
                    <a:solidFill>
                      <a:schemeClr val="accent2"/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1.1512991743763026E-3"/>
                        <c:y val="-4.6181647774475199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2-6A2E-4A7E-AC82-902E61BF8FA6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Template'!$F$201:$U$201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88</c:v>
                      </c:pt>
                      <c:pt idx="1">
                        <c:v>84.3</c:v>
                      </c:pt>
                      <c:pt idx="2">
                        <c:v>82.5</c:v>
                      </c:pt>
                      <c:pt idx="3">
                        <c:v>81.2</c:v>
                      </c:pt>
                      <c:pt idx="4">
                        <c:v>97.6</c:v>
                      </c:pt>
                      <c:pt idx="5">
                        <c:v>97</c:v>
                      </c:pt>
                      <c:pt idx="6">
                        <c:v>96</c:v>
                      </c:pt>
                      <c:pt idx="7">
                        <c:v>95.5</c:v>
                      </c:pt>
                      <c:pt idx="8">
                        <c:v>95</c:v>
                      </c:pt>
                      <c:pt idx="9">
                        <c:v>94.6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6A2E-4A7E-AC82-902E61BF8FA6}"/>
                  </c:ext>
                </c:extLst>
              </c15:ser>
            </c15:filteredScatterSeries>
            <c15:filteredScatterSeries>
              <c15:ser>
                <c:idx val="7"/>
                <c:order val="5"/>
                <c:tx>
                  <c:v>MCR Conv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x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0"/>
                        <c:y val="1.1422234593811397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4-6A2E-4A7E-AC82-902E61BF8FA6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Template'!$F$231:$U$231</c15:sqref>
                        </c15:formulaRef>
                      </c:ext>
                    </c:extLst>
                    <c:numCache>
                      <c:formatCode>0.0</c:formatCode>
                      <c:ptCount val="16"/>
                      <c:pt idx="0">
                        <c:v>56</c:v>
                      </c:pt>
                      <c:pt idx="1">
                        <c:v>50</c:v>
                      </c:pt>
                      <c:pt idx="2">
                        <c:v>49</c:v>
                      </c:pt>
                      <c:pt idx="3">
                        <c:v>48</c:v>
                      </c:pt>
                      <c:pt idx="4">
                        <c:v>70</c:v>
                      </c:pt>
                      <c:pt idx="5">
                        <c:v>69</c:v>
                      </c:pt>
                      <c:pt idx="6">
                        <c:v>66</c:v>
                      </c:pt>
                      <c:pt idx="7">
                        <c:v>66.5</c:v>
                      </c:pt>
                      <c:pt idx="8">
                        <c:v>65.5</c:v>
                      </c:pt>
                      <c:pt idx="9">
                        <c:v>64.400000000000006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6A2E-4A7E-AC82-902E61BF8FA6}"/>
                  </c:ext>
                </c:extLst>
              </c15:ser>
            </c15:filteredScatterSeries>
            <c15:filteredScatterSeries>
              <c15:ser>
                <c:idx val="3"/>
                <c:order val="6"/>
                <c:tx>
                  <c:v>Asphaltene_ART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Template'!$F$239:$U$239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 formatCode="General">
                        <c:v>73.5</c:v>
                      </c:pt>
                      <c:pt idx="1">
                        <c:v>66.5</c:v>
                      </c:pt>
                      <c:pt idx="3">
                        <c:v>61.9</c:v>
                      </c:pt>
                      <c:pt idx="4">
                        <c:v>62.5</c:v>
                      </c:pt>
                      <c:pt idx="5">
                        <c:v>86.5</c:v>
                      </c:pt>
                      <c:pt idx="6">
                        <c:v>83</c:v>
                      </c:pt>
                      <c:pt idx="7">
                        <c:v>81.5</c:v>
                      </c:pt>
                      <c:pt idx="8">
                        <c:v>81</c:v>
                      </c:pt>
                      <c:pt idx="9">
                        <c:v>80.400000000000006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6A2E-4A7E-AC82-902E61BF8FA6}"/>
                  </c:ext>
                </c:extLst>
              </c15:ser>
            </c15:filteredScatterSeries>
            <c15:filteredScatterSeries>
              <c15:ser>
                <c:idx val="4"/>
                <c:order val="7"/>
                <c:tx>
                  <c:v>MCR Conversion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x"/>
                  <c:size val="10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8.4543945320146127E-17"/>
                        <c:y val="-7.4380772745947787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7-6A2E-4A7E-AC82-902E61BF8FA6}"/>
                      </c:ext>
                    </c:extLst>
                  </c:dLbl>
                  <c:dLbl>
                    <c:idx val="12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8-6A2E-4A7E-AC82-902E61BF8FA6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Template'!$F$230:$U$230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54.319879670531634</c:v>
                      </c:pt>
                      <c:pt idx="1">
                        <c:v>52.147203807922267</c:v>
                      </c:pt>
                      <c:pt idx="2">
                        <c:v>49.477786017117467</c:v>
                      </c:pt>
                      <c:pt idx="3">
                        <c:v>49.272730566014246</c:v>
                      </c:pt>
                      <c:pt idx="4">
                        <c:v>78.552417199708088</c:v>
                      </c:pt>
                      <c:pt idx="5">
                        <c:v>78.400462920135425</c:v>
                      </c:pt>
                      <c:pt idx="6">
                        <c:v>75.658491414669342</c:v>
                      </c:pt>
                      <c:pt idx="7">
                        <c:v>74.518313571684345</c:v>
                      </c:pt>
                      <c:pt idx="8">
                        <c:v>73.468038731480178</c:v>
                      </c:pt>
                      <c:pt idx="9">
                        <c:v>72.979876659450639</c:v>
                      </c:pt>
                      <c:pt idx="10">
                        <c:v>72.10174054834097</c:v>
                      </c:pt>
                      <c:pt idx="11">
                        <c:v>70.403480504793393</c:v>
                      </c:pt>
                      <c:pt idx="12">
                        <c:v>70.875527144471249</c:v>
                      </c:pt>
                      <c:pt idx="13" formatCode="0.0">
                        <c:v>0</c:v>
                      </c:pt>
                      <c:pt idx="14" formatCode="0.0">
                        <c:v>0</c:v>
                      </c:pt>
                      <c:pt idx="15" formatCode="0.0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6A2E-4A7E-AC82-902E61BF8FA6}"/>
                  </c:ext>
                </c:extLst>
              </c15:ser>
            </c15:filteredScatterSeries>
            <c15:filteredScatterSeries>
              <c15:ser>
                <c:idx val="5"/>
                <c:order val="8"/>
                <c:tx>
                  <c:v>N Conversion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8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6.8910570899662774E-3"/>
                        <c:y val="-1.4499659700407983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A-6A2E-4A7E-AC82-902E61BF8FA6}"/>
                      </c:ext>
                    </c:extLst>
                  </c:dLbl>
                  <c:dLbl>
                    <c:idx val="12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B-6A2E-4A7E-AC82-902E61BF8FA6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Template'!$F$219:$U$219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38</c:v>
                      </c:pt>
                      <c:pt idx="1">
                        <c:v>31.5</c:v>
                      </c:pt>
                      <c:pt idx="2">
                        <c:v>27.5</c:v>
                      </c:pt>
                      <c:pt idx="3">
                        <c:v>28.4</c:v>
                      </c:pt>
                      <c:pt idx="4">
                        <c:v>55.5</c:v>
                      </c:pt>
                      <c:pt idx="5">
                        <c:v>45</c:v>
                      </c:pt>
                      <c:pt idx="6">
                        <c:v>43</c:v>
                      </c:pt>
                      <c:pt idx="7">
                        <c:v>42.5</c:v>
                      </c:pt>
                      <c:pt idx="8">
                        <c:v>41.5</c:v>
                      </c:pt>
                      <c:pt idx="9">
                        <c:v>40.700000000000003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6A2E-4A7E-AC82-902E61BF8FA6}"/>
                  </c:ext>
                </c:extLst>
              </c15:ser>
            </c15:filteredScatterSeries>
            <c15:filteredScatterSeries>
              <c15:ser>
                <c:idx val="2"/>
                <c:order val="10"/>
                <c:tx>
                  <c:v>N conversion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10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2.5276524013344456E-2"/>
                        <c:y val="4.6406474840164663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D-6A2E-4A7E-AC82-902E61BF8FA6}"/>
                      </c:ext>
                    </c:extLst>
                  </c:dLbl>
                  <c:dLbl>
                    <c:idx val="12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E-6A2E-4A7E-AC82-902E61BF8FA6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Template'!$F$218:$U$218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33.796811410187729</c:v>
                      </c:pt>
                      <c:pt idx="1">
                        <c:v>35.590094259568701</c:v>
                      </c:pt>
                      <c:pt idx="2">
                        <c:v>29.462279141827107</c:v>
                      </c:pt>
                      <c:pt idx="3">
                        <c:v>31.044840543417891</c:v>
                      </c:pt>
                      <c:pt idx="4">
                        <c:v>52.700197050373099</c:v>
                      </c:pt>
                      <c:pt idx="5">
                        <c:v>50.289742314490923</c:v>
                      </c:pt>
                      <c:pt idx="6">
                        <c:v>46.338833666972768</c:v>
                      </c:pt>
                      <c:pt idx="7">
                        <c:v>49.040691671668171</c:v>
                      </c:pt>
                      <c:pt idx="8">
                        <c:v>48.064929704309975</c:v>
                      </c:pt>
                      <c:pt idx="9">
                        <c:v>49.465450385312188</c:v>
                      </c:pt>
                      <c:pt idx="10">
                        <c:v>45.062302840345147</c:v>
                      </c:pt>
                      <c:pt idx="11">
                        <c:v>49.035402076370161</c:v>
                      </c:pt>
                      <c:pt idx="12">
                        <c:v>46.998497671309515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F-6A2E-4A7E-AC82-902E61BF8FA6}"/>
                  </c:ext>
                </c:extLst>
              </c15:ser>
            </c15:filteredScatterSeries>
            <c15:filteredScatterSeries>
              <c15:ser>
                <c:idx val="11"/>
                <c:order val="11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bg1">
                          <a:lumMod val="50000"/>
                        </a:schemeClr>
                      </a:solidFill>
                      <a:prstDash val="sysDot"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MCRConv!$G$56:$G$57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10.5</c:v>
                      </c:pt>
                      <c:pt idx="1">
                        <c:v>10.5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MCRConv!$H$56:$H$57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-2</c:v>
                      </c:pt>
                      <c:pt idx="1">
                        <c:v>150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0-6A2E-4A7E-AC82-902E61BF8FA6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v>Asphaltene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Template'!$F$239:$U$239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 formatCode="General">
                        <c:v>73.5</c:v>
                      </c:pt>
                      <c:pt idx="1">
                        <c:v>66.5</c:v>
                      </c:pt>
                      <c:pt idx="3">
                        <c:v>61.9</c:v>
                      </c:pt>
                      <c:pt idx="4">
                        <c:v>62.5</c:v>
                      </c:pt>
                      <c:pt idx="5">
                        <c:v>86.5</c:v>
                      </c:pt>
                      <c:pt idx="6">
                        <c:v>83</c:v>
                      </c:pt>
                      <c:pt idx="7">
                        <c:v>81.5</c:v>
                      </c:pt>
                      <c:pt idx="8">
                        <c:v>81</c:v>
                      </c:pt>
                      <c:pt idx="9">
                        <c:v>80.400000000000006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1-6A2E-4A7E-AC82-902E61BF8FA6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v>ART Acceptance, 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10"/>
                  <c:spPr>
                    <a:solidFill>
                      <a:srgbClr val="00B050"/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Template'!$F$6:$P$6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Template'!$F$214:$P$214</c15:sqref>
                        </c15:formulaRef>
                      </c:ext>
                    </c:extLst>
                    <c:numCache>
                      <c:formatCode>0.00</c:formatCode>
                      <c:ptCount val="11"/>
                      <c:pt idx="0">
                        <c:v>70</c:v>
                      </c:pt>
                      <c:pt idx="1">
                        <c:v>68.400000000000006</c:v>
                      </c:pt>
                      <c:pt idx="2">
                        <c:v>66.3</c:v>
                      </c:pt>
                      <c:pt idx="3">
                        <c:v>65.099999999999994</c:v>
                      </c:pt>
                      <c:pt idx="4">
                        <c:v>89.2</c:v>
                      </c:pt>
                      <c:pt idx="5">
                        <c:v>87.8</c:v>
                      </c:pt>
                      <c:pt idx="6">
                        <c:v>86.5</c:v>
                      </c:pt>
                      <c:pt idx="7">
                        <c:v>85.7</c:v>
                      </c:pt>
                      <c:pt idx="8">
                        <c:v>85</c:v>
                      </c:pt>
                      <c:pt idx="9">
                        <c:v>84.9</c:v>
                      </c:pt>
                      <c:pt idx="10">
                        <c:v>84.4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A2E-4A7E-AC82-902E61BF8FA6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v>Condition Change</c:v>
                </c:tx>
                <c:spPr>
                  <a:ln w="25400" cap="rnd">
                    <a:solidFill>
                      <a:schemeClr val="bg1">
                        <a:lumMod val="65000"/>
                      </a:schemeClr>
                    </a:solidFill>
                    <a:prstDash val="sysDot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bg1">
                          <a:lumMod val="65000"/>
                        </a:schemeClr>
                      </a:solidFill>
                      <a:prstDash val="sysDot"/>
                    </a:ln>
                    <a:effectLst/>
                  </c:spPr>
                </c:marker>
                <c:xVal>
                  <c:numLit>
                    <c:formatCode>General</c:formatCode>
                    <c:ptCount val="2"/>
                    <c:pt idx="0">
                      <c:v>4.5</c:v>
                    </c:pt>
                    <c:pt idx="1">
                      <c:v>4.5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-5</c:v>
                    </c:pt>
                    <c:pt idx="1">
                      <c:v>110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A2E-4A7E-AC82-902E61BF8FA6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v>TOP Acceptance'24, 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10"/>
                  <c:spPr>
                    <a:solidFill>
                      <a:srgbClr val="FFC000"/>
                    </a:solidFill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Template'!$F$6:$P$6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Template'!$F$213:$P$213</c15:sqref>
                        </c15:formulaRef>
                      </c:ext>
                    </c:extLst>
                    <c:numCache>
                      <c:formatCode>0.00</c:formatCode>
                      <c:ptCount val="11"/>
                      <c:pt idx="5">
                        <c:v>87.232387014622091</c:v>
                      </c:pt>
                      <c:pt idx="6">
                        <c:v>85.740414279929411</c:v>
                      </c:pt>
                      <c:pt idx="7">
                        <c:v>85.163821870077811</c:v>
                      </c:pt>
                      <c:pt idx="8">
                        <c:v>83.485441424068696</c:v>
                      </c:pt>
                      <c:pt idx="9">
                        <c:v>82.714810991905594</c:v>
                      </c:pt>
                      <c:pt idx="10">
                        <c:v>82.183990148317633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A2E-4A7E-AC82-902E61BF8FA6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v>TOP Acceptance'26, 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10"/>
                  <c:spPr>
                    <a:solidFill>
                      <a:srgbClr val="FFC000"/>
                    </a:solidFill>
                    <a:ln w="9525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Template'!$F$6:$AA$6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Template'!$F$211:$AA$211</c15:sqref>
                        </c15:formulaRef>
                      </c:ext>
                    </c:extLst>
                    <c:numCache>
                      <c:formatCode>0.00</c:formatCode>
                      <c:ptCount val="22"/>
                      <c:pt idx="0">
                        <c:v>69.721114131735945</c:v>
                      </c:pt>
                      <c:pt idx="1">
                        <c:v>69.771809222142551</c:v>
                      </c:pt>
                      <c:pt idx="2">
                        <c:v>65.922034958745556</c:v>
                      </c:pt>
                      <c:pt idx="3">
                        <c:v>66.402544175827117</c:v>
                      </c:pt>
                      <c:pt idx="4">
                        <c:v>88.026117668562591</c:v>
                      </c:pt>
                      <c:pt idx="5">
                        <c:v>87.188491509400862</c:v>
                      </c:pt>
                      <c:pt idx="6">
                        <c:v>85.979058902118339</c:v>
                      </c:pt>
                      <c:pt idx="7">
                        <c:v>84.993673789191547</c:v>
                      </c:pt>
                      <c:pt idx="8">
                        <c:v>84.26128439793392</c:v>
                      </c:pt>
                      <c:pt idx="9">
                        <c:v>83.758194734907406</c:v>
                      </c:pt>
                      <c:pt idx="10">
                        <c:v>83.087048087569627</c:v>
                      </c:pt>
                      <c:pt idx="11">
                        <c:v>82.962508326538568</c:v>
                      </c:pt>
                      <c:pt idx="12">
                        <c:v>82.443809517519483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A2E-4A7E-AC82-902E61BF8FA6}"/>
                  </c:ext>
                </c:extLst>
              </c15:ser>
            </c15:filteredScatterSeries>
          </c:ext>
        </c:extLst>
      </c:scatterChart>
      <c:valAx>
        <c:axId val="1201496688"/>
        <c:scaling>
          <c:orientation val="minMax"/>
          <c:max val="2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Day on stream</a:t>
                </a:r>
              </a:p>
            </c:rich>
          </c:tx>
          <c:layout>
            <c:manualLayout>
              <c:xMode val="edge"/>
              <c:yMode val="edge"/>
              <c:x val="0.41562560656094"/>
              <c:y val="0.930938122378198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7168"/>
        <c:crosses val="autoZero"/>
        <c:crossBetween val="midCat"/>
        <c:majorUnit val="1"/>
      </c:valAx>
      <c:valAx>
        <c:axId val="1201497168"/>
        <c:scaling>
          <c:orientation val="minMax"/>
          <c:max val="9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% wt Conversion</a:t>
                </a:r>
              </a:p>
            </c:rich>
          </c:tx>
          <c:layout>
            <c:manualLayout>
              <c:xMode val="edge"/>
              <c:yMode val="edge"/>
              <c:x val="1.4226001258321287E-2"/>
              <c:y val="0.426051788589193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6688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78360754054438719"/>
          <c:y val="0.230138293654709"/>
          <c:w val="0.1193705019571942"/>
          <c:h val="9.34250866017146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35529981864439"/>
          <c:y val="0.2421351232251211"/>
          <c:w val="0.69377810405459839"/>
          <c:h val="0.62945638667984671"/>
        </c:manualLayout>
      </c:layout>
      <c:scatterChart>
        <c:scatterStyle val="lineMarker"/>
        <c:varyColors val="0"/>
        <c:ser>
          <c:idx val="9"/>
          <c:order val="0"/>
          <c:tx>
            <c:v>HDM(Ni+V) ART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15"/>
            <c:spPr>
              <a:solidFill>
                <a:schemeClr val="accent2"/>
              </a:solidFill>
              <a:ln w="25400">
                <a:solidFill>
                  <a:schemeClr val="tx1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1.1512991743763026E-3"/>
                  <c:y val="-4.61816477744751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E74-4BE0-8901-5A616226A0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Lit>
              <c:formatCode>General</c:formatCode>
              <c:ptCount val="11"/>
              <c:pt idx="0">
                <c:v>3</c:v>
              </c:pt>
              <c:pt idx="1">
                <c:v>4</c:v>
              </c:pt>
              <c:pt idx="2">
                <c:v>6</c:v>
              </c:pt>
              <c:pt idx="3">
                <c:v>8</c:v>
              </c:pt>
              <c:pt idx="4">
                <c:v>9</c:v>
              </c:pt>
              <c:pt idx="5">
                <c:v>10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</c:numLit>
          </c:xVal>
          <c:yVal>
            <c:numRef>
              <c:f>('Master Template'!$H$201,'Master Template'!$I$201,'Master Template'!$K$201,'Master Template'!$M$201,'Master Template'!$N$201,'Master Template'!$O$201,'Master Template'!$Q$201,'Master Template'!$R$201,'Master Template'!$S$201,'Master Template'!$T$201)</c:f>
              <c:numCache>
                <c:formatCode>0.00</c:formatCode>
                <c:ptCount val="10"/>
                <c:pt idx="0">
                  <c:v>82.5</c:v>
                </c:pt>
                <c:pt idx="1">
                  <c:v>81.2</c:v>
                </c:pt>
                <c:pt idx="2">
                  <c:v>97</c:v>
                </c:pt>
                <c:pt idx="3">
                  <c:v>95.5</c:v>
                </c:pt>
                <c:pt idx="4">
                  <c:v>95</c:v>
                </c:pt>
                <c:pt idx="5">
                  <c:v>94.6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9E74-4BE0-8901-5A616226A0CA}"/>
            </c:ext>
          </c:extLst>
        </c:ser>
        <c:ser>
          <c:idx val="0"/>
          <c:order val="2"/>
          <c:tx>
            <c:v>S Conversion ART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chemeClr val="accent2"/>
              </a:solidFill>
              <a:ln w="25400">
                <a:solidFill>
                  <a:schemeClr val="tx1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8.4602482855579219E-17"/>
                  <c:y val="-5.585765768169642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E74-4BE0-8901-5A616226A0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Lit>
              <c:formatCode>General</c:formatCode>
              <c:ptCount val="10"/>
              <c:pt idx="0">
                <c:v>3</c:v>
              </c:pt>
              <c:pt idx="1">
                <c:v>4</c:v>
              </c:pt>
              <c:pt idx="2">
                <c:v>6</c:v>
              </c:pt>
              <c:pt idx="3">
                <c:v>8</c:v>
              </c:pt>
              <c:pt idx="4">
                <c:v>9</c:v>
              </c:pt>
              <c:pt idx="5">
                <c:v>10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</c:numLit>
          </c:xVal>
          <c:yVal>
            <c:numRef>
              <c:f>('Master Template'!$H$212,'Master Template'!$I$212,'Master Template'!$K$212,'Master Template'!$M$212,'Master Template'!$N$212,'Master Template'!$O$212,'Master Template'!$Q$212,'Master Template'!$R$212,'Master Template'!$S$212,'Master Template'!$T$212)</c:f>
              <c:numCache>
                <c:formatCode>0.00</c:formatCode>
                <c:ptCount val="10"/>
                <c:pt idx="0">
                  <c:v>66</c:v>
                </c:pt>
                <c:pt idx="1">
                  <c:v>65.599999999999994</c:v>
                </c:pt>
                <c:pt idx="2">
                  <c:v>87</c:v>
                </c:pt>
                <c:pt idx="3">
                  <c:v>85.5</c:v>
                </c:pt>
                <c:pt idx="4">
                  <c:v>85</c:v>
                </c:pt>
                <c:pt idx="5">
                  <c:v>84.6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9E74-4BE0-8901-5A616226A0CA}"/>
            </c:ext>
          </c:extLst>
        </c:ser>
        <c:ser>
          <c:idx val="7"/>
          <c:order val="6"/>
          <c:tx>
            <c:v>MCR Conv ART</c:v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chemeClr val="accent2"/>
              </a:solidFill>
              <a:ln w="25400">
                <a:solidFill>
                  <a:schemeClr val="tx1"/>
                </a:solidFill>
              </a:ln>
              <a:effectLst/>
            </c:spPr>
          </c:marker>
          <c:xVal>
            <c:numLit>
              <c:formatCode>General</c:formatCode>
              <c:ptCount val="11"/>
              <c:pt idx="0">
                <c:v>3</c:v>
              </c:pt>
              <c:pt idx="1">
                <c:v>4</c:v>
              </c:pt>
              <c:pt idx="2">
                <c:v>6</c:v>
              </c:pt>
              <c:pt idx="3">
                <c:v>8</c:v>
              </c:pt>
              <c:pt idx="4">
                <c:v>9</c:v>
              </c:pt>
              <c:pt idx="5">
                <c:v>10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</c:numLit>
          </c:xVal>
          <c:yVal>
            <c:numRef>
              <c:f>('Master Template'!$H$231,'Master Template'!$I$231,'Master Template'!$K$231,'Master Template'!$M$231,'Master Template'!$N$231,'Master Template'!$O$231,'Master Template'!$Q$231,'Master Template'!$R$231,'Master Template'!$S$231,'Master Template'!$T$231,'Master Template'!$U$231)</c:f>
              <c:numCache>
                <c:formatCode>0.0</c:formatCode>
                <c:ptCount val="11"/>
                <c:pt idx="0">
                  <c:v>49</c:v>
                </c:pt>
                <c:pt idx="1">
                  <c:v>48</c:v>
                </c:pt>
                <c:pt idx="2">
                  <c:v>69</c:v>
                </c:pt>
                <c:pt idx="3">
                  <c:v>66.5</c:v>
                </c:pt>
                <c:pt idx="4">
                  <c:v>65.5</c:v>
                </c:pt>
                <c:pt idx="5">
                  <c:v>64.400000000000006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9E74-4BE0-8901-5A616226A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496688"/>
        <c:axId val="1201497168"/>
        <c:extLst>
          <c:ext xmlns:c15="http://schemas.microsoft.com/office/drawing/2012/chart" uri="{02D57815-91ED-43cb-92C2-25804820EDAC}">
            <c15:filteredScatterSeries>
              <c15:ser>
                <c:idx val="8"/>
                <c:order val="1"/>
                <c:tx>
                  <c:v>HDM(Ni+V)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tar"/>
                  <c:size val="15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5.7565033530045592E-3"/>
                        <c:y val="-2.620705756944722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5-9E74-4BE0-8901-5A616226A0CA}"/>
                      </c:ext>
                    </c:extLst>
                  </c:dLbl>
                  <c:dLbl>
                    <c:idx val="11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6-9E74-4BE0-8901-5A616226A0CA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Template'!$F$185:$U$185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84.090392001192257</c:v>
                      </c:pt>
                      <c:pt idx="1">
                        <c:v>83.440029681597395</c:v>
                      </c:pt>
                      <c:pt idx="2">
                        <c:v>80.044101931043414</c:v>
                      </c:pt>
                      <c:pt idx="3">
                        <c:v>80.440122836678171</c:v>
                      </c:pt>
                      <c:pt idx="4">
                        <c:v>98.714944276710753</c:v>
                      </c:pt>
                      <c:pt idx="5">
                        <c:v>98.420460100304993</c:v>
                      </c:pt>
                      <c:pt idx="6">
                        <c:v>97.894670885679375</c:v>
                      </c:pt>
                      <c:pt idx="7">
                        <c:v>97.530306302927627</c:v>
                      </c:pt>
                      <c:pt idx="8">
                        <c:v>97.010659603283301</c:v>
                      </c:pt>
                      <c:pt idx="9">
                        <c:v>96.801501572099795</c:v>
                      </c:pt>
                      <c:pt idx="10">
                        <c:v>96.320678476450652</c:v>
                      </c:pt>
                      <c:pt idx="11">
                        <c:v>96.404158642104136</c:v>
                      </c:pt>
                      <c:pt idx="12">
                        <c:v>96.134072044355392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9E74-4BE0-8901-5A616226A0CA}"/>
                  </c:ext>
                </c:extLst>
              </c15:ser>
            </c15:filteredScatterSeries>
            <c15:filteredScatterSeries>
              <c15:ser>
                <c:idx val="1"/>
                <c:order val="3"/>
                <c:tx>
                  <c:v>S Conversion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16"/>
                  <c:spPr>
                    <a:solidFill>
                      <a:schemeClr val="accent4"/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9.9477202077705058E-7"/>
                        <c:y val="1.3534347710116981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8-9E74-4BE0-8901-5A616226A0CA}"/>
                      </c:ext>
                    </c:extLst>
                  </c:dLbl>
                  <c:dLbl>
                    <c:idx val="12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9-9E74-4BE0-8901-5A616226A0CA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Template'!$F$211:$U$211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69.721114131735945</c:v>
                      </c:pt>
                      <c:pt idx="1">
                        <c:v>69.771809222142551</c:v>
                      </c:pt>
                      <c:pt idx="2">
                        <c:v>65.922034958745556</c:v>
                      </c:pt>
                      <c:pt idx="3">
                        <c:v>66.402544175827117</c:v>
                      </c:pt>
                      <c:pt idx="4">
                        <c:v>88.026117668562591</c:v>
                      </c:pt>
                      <c:pt idx="5">
                        <c:v>87.188491509400862</c:v>
                      </c:pt>
                      <c:pt idx="6">
                        <c:v>85.979058902118339</c:v>
                      </c:pt>
                      <c:pt idx="7">
                        <c:v>84.993673789191547</c:v>
                      </c:pt>
                      <c:pt idx="8">
                        <c:v>84.26128439793392</c:v>
                      </c:pt>
                      <c:pt idx="9">
                        <c:v>83.758194734907406</c:v>
                      </c:pt>
                      <c:pt idx="10">
                        <c:v>83.087048087569627</c:v>
                      </c:pt>
                      <c:pt idx="11">
                        <c:v>82.962508326538568</c:v>
                      </c:pt>
                      <c:pt idx="12">
                        <c:v>82.443809517519483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E74-4BE0-8901-5A616226A0CA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v>Asphaltene_ART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2"/>
                    </a:solidFill>
                    <a:ln w="25400">
                      <a:solidFill>
                        <a:schemeClr val="tx1"/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4"/>
                    <c:pt idx="0">
                      <c:v>6</c:v>
                    </c:pt>
                    <c:pt idx="1">
                      <c:v>8</c:v>
                    </c:pt>
                    <c:pt idx="2">
                      <c:v>12</c:v>
                    </c:pt>
                    <c:pt idx="3">
                      <c:v>14</c:v>
                    </c:pt>
                  </c:numLit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('Master Template'!$K$239,'Master Template'!$M$239)</c15:sqref>
                        </c15:formulaRef>
                      </c:ext>
                    </c:extLst>
                    <c:numCache>
                      <c:formatCode>0.00</c:formatCode>
                      <c:ptCount val="2"/>
                      <c:pt idx="0">
                        <c:v>86.5</c:v>
                      </c:pt>
                      <c:pt idx="1">
                        <c:v>81.5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9E74-4BE0-8901-5A616226A0CA}"/>
                  </c:ext>
                </c:extLst>
              </c15:ser>
            </c15:filteredScatterSeries>
            <c15:filteredScatterSeries>
              <c15:ser>
                <c:idx val="6"/>
                <c:order val="5"/>
                <c:tx>
                  <c:v>Asphaltene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12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1.6079133209921312E-2"/>
                        <c:y val="1.8124574625509895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C-9E74-4BE0-8901-5A616226A0CA}"/>
                      </c:ext>
                    </c:extLst>
                  </c:dLbl>
                  <c:dLbl>
                    <c:idx val="12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D-9E74-4BE0-8901-5A616226A0CA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Template'!$F$238:$U$238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73.672790683094576</c:v>
                      </c:pt>
                      <c:pt idx="1">
                        <c:v>73.235515758677252</c:v>
                      </c:pt>
                      <c:pt idx="2">
                        <c:v>63.531888913929961</c:v>
                      </c:pt>
                      <c:pt idx="3">
                        <c:v>63.899900414364886</c:v>
                      </c:pt>
                      <c:pt idx="4">
                        <c:v>92.132563022830453</c:v>
                      </c:pt>
                      <c:pt idx="5">
                        <c:v>91.225775638809239</c:v>
                      </c:pt>
                      <c:pt idx="6">
                        <c:v>90.96521002508959</c:v>
                      </c:pt>
                      <c:pt idx="7">
                        <c:v>85.608373990340368</c:v>
                      </c:pt>
                      <c:pt idx="8">
                        <c:v>82.180513801057614</c:v>
                      </c:pt>
                      <c:pt idx="9">
                        <c:v>85.243069319847081</c:v>
                      </c:pt>
                      <c:pt idx="10">
                        <c:v>81.963594328949071</c:v>
                      </c:pt>
                      <c:pt idx="11">
                        <c:v>82.358370037383224</c:v>
                      </c:pt>
                      <c:pt idx="12">
                        <c:v>84.523279431394272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9E74-4BE0-8901-5A616226A0CA}"/>
                  </c:ext>
                </c:extLst>
              </c15:ser>
            </c15:filteredScatterSeries>
            <c15:filteredScatterSeries>
              <c15:ser>
                <c:idx val="4"/>
                <c:order val="7"/>
                <c:tx>
                  <c:v>MCR Conversion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x"/>
                  <c:size val="12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8.4543945320146127E-17"/>
                        <c:y val="-7.4380772745947787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F-9E74-4BE0-8901-5A616226A0CA}"/>
                      </c:ext>
                    </c:extLst>
                  </c:dLbl>
                  <c:dLbl>
                    <c:idx val="12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0-9E74-4BE0-8901-5A616226A0CA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Template'!$F$230:$U$230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54.319879670531634</c:v>
                      </c:pt>
                      <c:pt idx="1">
                        <c:v>52.147203807922267</c:v>
                      </c:pt>
                      <c:pt idx="2">
                        <c:v>49.477786017117467</c:v>
                      </c:pt>
                      <c:pt idx="3">
                        <c:v>49.272730566014246</c:v>
                      </c:pt>
                      <c:pt idx="4">
                        <c:v>78.552417199708088</c:v>
                      </c:pt>
                      <c:pt idx="5">
                        <c:v>78.400462920135425</c:v>
                      </c:pt>
                      <c:pt idx="6">
                        <c:v>75.658491414669342</c:v>
                      </c:pt>
                      <c:pt idx="7">
                        <c:v>74.518313571684345</c:v>
                      </c:pt>
                      <c:pt idx="8">
                        <c:v>73.468038731480178</c:v>
                      </c:pt>
                      <c:pt idx="9">
                        <c:v>72.979876659450639</c:v>
                      </c:pt>
                      <c:pt idx="10">
                        <c:v>72.10174054834097</c:v>
                      </c:pt>
                      <c:pt idx="11">
                        <c:v>70.403480504793393</c:v>
                      </c:pt>
                      <c:pt idx="12">
                        <c:v>70.875527144471249</c:v>
                      </c:pt>
                      <c:pt idx="13" formatCode="0.0">
                        <c:v>0</c:v>
                      </c:pt>
                      <c:pt idx="14" formatCode="0.0">
                        <c:v>0</c:v>
                      </c:pt>
                      <c:pt idx="15" formatCode="0.0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9E74-4BE0-8901-5A616226A0CA}"/>
                  </c:ext>
                </c:extLst>
              </c15:ser>
            </c15:filteredScatterSeries>
            <c15:filteredScatterSeries>
              <c15:ser>
                <c:idx val="5"/>
                <c:order val="8"/>
                <c:tx>
                  <c:v>N Conversion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15"/>
                  <c:spPr>
                    <a:solidFill>
                      <a:schemeClr val="accent2"/>
                    </a:solidFill>
                    <a:ln w="25400">
                      <a:solidFill>
                        <a:schemeClr val="tx1"/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6.8910570899662774E-3"/>
                        <c:y val="-1.4499659700407983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2-9E74-4BE0-8901-5A616226A0CA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Lit>
                    <c:formatCode>General</c:formatCode>
                    <c:ptCount val="10"/>
                    <c:pt idx="0">
                      <c:v>1</c:v>
                    </c:pt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6</c:v>
                    </c:pt>
                    <c:pt idx="5">
                      <c:v>8</c:v>
                    </c:pt>
                    <c:pt idx="6">
                      <c:v>10</c:v>
                    </c:pt>
                    <c:pt idx="7">
                      <c:v>12</c:v>
                    </c:pt>
                    <c:pt idx="8">
                      <c:v>14</c:v>
                    </c:pt>
                    <c:pt idx="9">
                      <c:v>15</c:v>
                    </c:pt>
                  </c:numLit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Template'!$F$219:$U$219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38</c:v>
                      </c:pt>
                      <c:pt idx="1">
                        <c:v>31.5</c:v>
                      </c:pt>
                      <c:pt idx="2">
                        <c:v>27.5</c:v>
                      </c:pt>
                      <c:pt idx="3">
                        <c:v>28.4</c:v>
                      </c:pt>
                      <c:pt idx="4">
                        <c:v>55.5</c:v>
                      </c:pt>
                      <c:pt idx="5">
                        <c:v>45</c:v>
                      </c:pt>
                      <c:pt idx="6">
                        <c:v>43</c:v>
                      </c:pt>
                      <c:pt idx="7">
                        <c:v>42.5</c:v>
                      </c:pt>
                      <c:pt idx="8">
                        <c:v>41.5</c:v>
                      </c:pt>
                      <c:pt idx="9">
                        <c:v>40.700000000000003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9E74-4BE0-8901-5A616226A0CA}"/>
                  </c:ext>
                </c:extLst>
              </c15:ser>
            </c15:filteredScatterSeries>
            <c15:filteredScatterSeries>
              <c15:ser>
                <c:idx val="10"/>
                <c:order val="9"/>
                <c:spPr>
                  <a:ln w="25400" cap="rnd">
                    <a:solidFill>
                      <a:schemeClr val="bg1">
                        <a:lumMod val="50000"/>
                      </a:schemeClr>
                    </a:solidFill>
                    <a:prstDash val="sysDot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bg1">
                          <a:lumMod val="50000"/>
                        </a:schemeClr>
                      </a:solidFill>
                      <a:prstDash val="sysDot"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MCRConv!$G$53:$G$54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4.5</c:v>
                      </c:pt>
                      <c:pt idx="1">
                        <c:v>4.5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MCRConv!$H$53:$H$54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-2</c:v>
                      </c:pt>
                      <c:pt idx="1">
                        <c:v>150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9E74-4BE0-8901-5A616226A0CA}"/>
                  </c:ext>
                </c:extLst>
              </c15:ser>
            </c15:filteredScatterSeries>
            <c15:filteredScatterSeries>
              <c15:ser>
                <c:idx val="2"/>
                <c:order val="10"/>
                <c:tx>
                  <c:v>N conversion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14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2.5276524013344456E-2"/>
                        <c:y val="4.6406474840164663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5-9E74-4BE0-8901-5A616226A0CA}"/>
                      </c:ext>
                    </c:extLst>
                  </c:dLbl>
                  <c:dLbl>
                    <c:idx val="12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6-9E74-4BE0-8901-5A616226A0CA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Template'!$F$218:$U$218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33.796811410187729</c:v>
                      </c:pt>
                      <c:pt idx="1">
                        <c:v>35.590094259568701</c:v>
                      </c:pt>
                      <c:pt idx="2">
                        <c:v>29.462279141827107</c:v>
                      </c:pt>
                      <c:pt idx="3">
                        <c:v>31.044840543417891</c:v>
                      </c:pt>
                      <c:pt idx="4">
                        <c:v>52.700197050373099</c:v>
                      </c:pt>
                      <c:pt idx="5">
                        <c:v>50.289742314490923</c:v>
                      </c:pt>
                      <c:pt idx="6">
                        <c:v>46.338833666972768</c:v>
                      </c:pt>
                      <c:pt idx="7">
                        <c:v>49.040691671668171</c:v>
                      </c:pt>
                      <c:pt idx="8">
                        <c:v>48.064929704309975</c:v>
                      </c:pt>
                      <c:pt idx="9">
                        <c:v>49.465450385312188</c:v>
                      </c:pt>
                      <c:pt idx="10">
                        <c:v>45.062302840345147</c:v>
                      </c:pt>
                      <c:pt idx="11">
                        <c:v>49.035402076370161</c:v>
                      </c:pt>
                      <c:pt idx="12">
                        <c:v>46.998497671309515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9E74-4BE0-8901-5A616226A0CA}"/>
                  </c:ext>
                </c:extLst>
              </c15:ser>
            </c15:filteredScatterSeries>
            <c15:filteredScatterSeries>
              <c15:ser>
                <c:idx val="11"/>
                <c:order val="11"/>
                <c:spPr>
                  <a:ln w="25400" cap="rnd">
                    <a:solidFill>
                      <a:schemeClr val="bg1">
                        <a:lumMod val="50000"/>
                      </a:schemeClr>
                    </a:solidFill>
                    <a:prstDash val="sysDot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bg1">
                          <a:lumMod val="50000"/>
                        </a:schemeClr>
                      </a:solidFill>
                      <a:prstDash val="sysDot"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MCRConv!$G$56:$G$57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10.5</c:v>
                      </c:pt>
                      <c:pt idx="1">
                        <c:v>10.5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MCRConv!$H$56:$H$57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-2</c:v>
                      </c:pt>
                      <c:pt idx="1">
                        <c:v>150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9E74-4BE0-8901-5A616226A0CA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v>Asphaltene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Template'!$F$239:$U$239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 formatCode="General">
                        <c:v>73.5</c:v>
                      </c:pt>
                      <c:pt idx="1">
                        <c:v>66.5</c:v>
                      </c:pt>
                      <c:pt idx="3">
                        <c:v>61.9</c:v>
                      </c:pt>
                      <c:pt idx="4">
                        <c:v>62.5</c:v>
                      </c:pt>
                      <c:pt idx="5">
                        <c:v>86.5</c:v>
                      </c:pt>
                      <c:pt idx="6">
                        <c:v>83</c:v>
                      </c:pt>
                      <c:pt idx="7">
                        <c:v>81.5</c:v>
                      </c:pt>
                      <c:pt idx="8">
                        <c:v>81</c:v>
                      </c:pt>
                      <c:pt idx="9">
                        <c:v>80.400000000000006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9E74-4BE0-8901-5A616226A0CA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v>HDM(Ni+V)_ART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x"/>
                  <c:size val="7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0"/>
                    <c:layout>
                      <c:manualLayout>
                        <c:x val="0"/>
                        <c:y val="1.1422234593811397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A-9E74-4BE0-8901-5A616226A0CA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Template'!$K$231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69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9E74-4BE0-8901-5A616226A0CA}"/>
                  </c:ext>
                </c:extLst>
              </c15:ser>
            </c15:filteredScatterSeries>
          </c:ext>
        </c:extLst>
      </c:scatterChart>
      <c:valAx>
        <c:axId val="1201496688"/>
        <c:scaling>
          <c:orientation val="minMax"/>
          <c:max val="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Day on stream</a:t>
                </a:r>
              </a:p>
            </c:rich>
          </c:tx>
          <c:layout>
            <c:manualLayout>
              <c:xMode val="edge"/>
              <c:yMode val="edge"/>
              <c:x val="0.41562560656094"/>
              <c:y val="0.930938122378198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7168"/>
        <c:crosses val="autoZero"/>
        <c:crossBetween val="midCat"/>
        <c:majorUnit val="1"/>
      </c:valAx>
      <c:valAx>
        <c:axId val="120149716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% wt Conversion</a:t>
                </a:r>
              </a:p>
            </c:rich>
          </c:tx>
          <c:layout>
            <c:manualLayout>
              <c:xMode val="edge"/>
              <c:yMode val="edge"/>
              <c:x val="2.9021818926305398E-2"/>
              <c:y val="0.437868892004448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6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870142116076231"/>
          <c:y val="0.30187480471884975"/>
          <c:w val="0.12019953996802785"/>
          <c:h val="0.34960861328234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93527905087102"/>
          <c:y val="0.32647251711309005"/>
          <c:w val="0.79141605867011966"/>
          <c:h val="0.56346079150281014"/>
        </c:manualLayout>
      </c:layout>
      <c:scatterChart>
        <c:scatterStyle val="lineMarker"/>
        <c:varyColors val="0"/>
        <c:ser>
          <c:idx val="4"/>
          <c:order val="4"/>
          <c:tx>
            <c:v>Sedimentation Limit</c:v>
          </c:tx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rgbClr val="FF0000"/>
                </a:solidFill>
                <a:prstDash val="dash"/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5"/>
                </a:solidFill>
                <a:ln w="12700">
                  <a:solidFill>
                    <a:srgbClr val="FF0000"/>
                  </a:solidFill>
                  <a:prstDash val="dash"/>
                </a:ln>
                <a:effectLst/>
              </c:spPr>
            </c:marker>
            <c:bubble3D val="0"/>
            <c:spPr>
              <a:ln w="25400" cap="rnd">
                <a:solidFill>
                  <a:srgbClr val="FF0000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FCD8-4E2A-A5A4-D852D0639B45}"/>
              </c:ext>
            </c:extLst>
          </c:dPt>
          <c:xVal>
            <c:numRef>
              <c:f>SedM!$O$10:$O$11</c:f>
              <c:numCache>
                <c:formatCode>General</c:formatCode>
                <c:ptCount val="2"/>
                <c:pt idx="0">
                  <c:v>-5</c:v>
                </c:pt>
                <c:pt idx="1">
                  <c:v>25</c:v>
                </c:pt>
              </c:numCache>
            </c:numRef>
          </c:xVal>
          <c:yVal>
            <c:numRef>
              <c:f>SedM!$P$10:$P$11</c:f>
              <c:numCache>
                <c:formatCode>General</c:formatCode>
                <c:ptCount val="2"/>
                <c:pt idx="0">
                  <c:v>2000</c:v>
                </c:pt>
                <c:pt idx="1">
                  <c:v>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EB-40B3-96EC-2962934A0192}"/>
            </c:ext>
          </c:extLst>
        </c:ser>
        <c:ser>
          <c:idx val="6"/>
          <c:order val="6"/>
          <c:tx>
            <c:v>ART Acceptance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1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Template'!$F$308:$AA$308</c:f>
              <c:numCache>
                <c:formatCode>General</c:formatCode>
                <c:ptCount val="22"/>
                <c:pt idx="1">
                  <c:v>32</c:v>
                </c:pt>
                <c:pt idx="3">
                  <c:v>17</c:v>
                </c:pt>
                <c:pt idx="4">
                  <c:v>151</c:v>
                </c:pt>
                <c:pt idx="5">
                  <c:v>202</c:v>
                </c:pt>
                <c:pt idx="6">
                  <c:v>220</c:v>
                </c:pt>
                <c:pt idx="7">
                  <c:v>139</c:v>
                </c:pt>
                <c:pt idx="8">
                  <c:v>164</c:v>
                </c:pt>
                <c:pt idx="9">
                  <c:v>278</c:v>
                </c:pt>
                <c:pt idx="10">
                  <c:v>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F15-4366-929F-2DF1A2F44E1B}"/>
            </c:ext>
          </c:extLst>
        </c:ser>
        <c:ser>
          <c:idx val="7"/>
          <c:order val="7"/>
          <c:tx>
            <c:v>TOP Acceptance'24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Template'!$F$307:$AH$307</c:f>
              <c:numCache>
                <c:formatCode>General</c:formatCode>
                <c:ptCount val="23"/>
                <c:pt idx="5">
                  <c:v>600</c:v>
                </c:pt>
                <c:pt idx="6">
                  <c:v>500</c:v>
                </c:pt>
                <c:pt idx="7">
                  <c:v>300</c:v>
                </c:pt>
                <c:pt idx="8">
                  <c:v>400</c:v>
                </c:pt>
                <c:pt idx="9">
                  <c:v>600</c:v>
                </c:pt>
                <c:pt idx="10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F15-4366-929F-2DF1A2F44E1B}"/>
            </c:ext>
          </c:extLst>
        </c:ser>
        <c:ser>
          <c:idx val="8"/>
          <c:order val="8"/>
          <c:tx>
            <c:v>TOP Acceptance'26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1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Template'!$F$305:$AA$305</c:f>
              <c:numCache>
                <c:formatCode>0.0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46.5</c:v>
                </c:pt>
                <c:pt idx="3">
                  <c:v>47.66</c:v>
                </c:pt>
                <c:pt idx="4">
                  <c:v>231.3</c:v>
                </c:pt>
                <c:pt idx="5">
                  <c:v>687.38</c:v>
                </c:pt>
                <c:pt idx="6">
                  <c:v>521.02</c:v>
                </c:pt>
                <c:pt idx="7">
                  <c:v>404.92</c:v>
                </c:pt>
                <c:pt idx="8">
                  <c:v>305.33</c:v>
                </c:pt>
                <c:pt idx="9">
                  <c:v>101.32</c:v>
                </c:pt>
                <c:pt idx="10">
                  <c:v>379.52</c:v>
                </c:pt>
                <c:pt idx="11">
                  <c:v>153.5</c:v>
                </c:pt>
                <c:pt idx="12">
                  <c:v>130.41999999999999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F15-4366-929F-2DF1A2F44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496688"/>
        <c:axId val="1201497168"/>
      </c:scatterChart>
      <c:scatterChart>
        <c:scatterStyle val="smoothMarker"/>
        <c:varyColors val="0"/>
        <c:ser>
          <c:idx val="5"/>
          <c:order val="5"/>
          <c:spPr>
            <a:ln w="25400" cap="rnd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3175" cap="rnd">
                <a:solidFill>
                  <a:schemeClr val="bg1">
                    <a:lumMod val="75000"/>
                  </a:schemeClr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DFDB-48BD-8E20-5EF8432890C0}"/>
              </c:ext>
            </c:extLst>
          </c:dPt>
          <c:xVal>
            <c:numRef>
              <c:f>SedM!$S$10:$S$11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SedM!$T$10:$T$11</c:f>
              <c:numCache>
                <c:formatCode>General</c:formatCode>
                <c:ptCount val="2"/>
                <c:pt idx="0">
                  <c:v>-5</c:v>
                </c:pt>
                <c:pt idx="1">
                  <c:v>3000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D8-4E2A-A5A4-D852D0639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496688"/>
        <c:axId val="1201497168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tx>
                  <c:v>TOP MEBU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triangle"/>
                  <c:size val="11"/>
                  <c:spPr>
                    <a:solidFill>
                      <a:srgbClr val="2D0DA3"/>
                    </a:solidFill>
                    <a:ln w="6350">
                      <a:noFill/>
                    </a:ln>
                    <a:effectLst/>
                  </c:spPr>
                </c:marker>
                <c:dLbls>
                  <c:dLbl>
                    <c:idx val="2"/>
                    <c:layout>
                      <c:manualLayout>
                        <c:x val="-3.3192092702640013E-3"/>
                        <c:y val="-1.3577369625179072E-2"/>
                      </c:manualLayout>
                    </c:layout>
                    <c:tx>
                      <c:rich>
                        <a:bodyPr/>
                        <a:lstStyle/>
                        <a:p>
                          <a:r>
                            <a:rPr lang="en-US"/>
                            <a:t>50</a:t>
                          </a:r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4-FF7B-44A8-8D1D-327D0936FFEB}"/>
                      </c:ext>
                    </c:extLst>
                  </c:dLbl>
                  <c:dLbl>
                    <c:idx val="8"/>
                    <c:layout>
                      <c:manualLayout>
                        <c:x val="-1.3500037537013822E-2"/>
                        <c:y val="-4.2131961283713409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6-61CF-4364-8B88-649A9E38448C}"/>
                      </c:ext>
                    </c:extLst>
                  </c:dLbl>
                  <c:dLbl>
                    <c:idx val="14"/>
                    <c:layout>
                      <c:manualLayout>
                        <c:x val="-1.5187542229140549E-2"/>
                        <c:y val="-3.3705569026970673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7-61CF-4364-8B88-649A9E38448C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Template'!$F$305:$U$305</c15:sqref>
                        </c15:formulaRef>
                      </c:ext>
                    </c:extLst>
                    <c:numCache>
                      <c:formatCode>0.0</c:formatCode>
                      <c:ptCount val="16"/>
                      <c:pt idx="0">
                        <c:v>0</c:v>
                      </c:pt>
                      <c:pt idx="1">
                        <c:v>0</c:v>
                      </c:pt>
                      <c:pt idx="2">
                        <c:v>46.5</c:v>
                      </c:pt>
                      <c:pt idx="3">
                        <c:v>47.66</c:v>
                      </c:pt>
                      <c:pt idx="4">
                        <c:v>231.3</c:v>
                      </c:pt>
                      <c:pt idx="5">
                        <c:v>687.38</c:v>
                      </c:pt>
                      <c:pt idx="6">
                        <c:v>521.02</c:v>
                      </c:pt>
                      <c:pt idx="7">
                        <c:v>404.92</c:v>
                      </c:pt>
                      <c:pt idx="8">
                        <c:v>305.33</c:v>
                      </c:pt>
                      <c:pt idx="9">
                        <c:v>101.32</c:v>
                      </c:pt>
                      <c:pt idx="10">
                        <c:v>379.52</c:v>
                      </c:pt>
                      <c:pt idx="11">
                        <c:v>153.5</c:v>
                      </c:pt>
                      <c:pt idx="12">
                        <c:v>130.41999999999999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EC15-4F88-A6AA-6DE34875A758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v>ART MEBU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triangle"/>
                  <c:size val="10"/>
                  <c:spPr>
                    <a:solidFill>
                      <a:schemeClr val="accent2"/>
                    </a:solidFill>
                    <a:ln w="6350">
                      <a:noFill/>
                    </a:ln>
                    <a:effectLst/>
                  </c:spPr>
                </c:marker>
                <c:dLbls>
                  <c:dLbl>
                    <c:idx val="8"/>
                    <c:layout>
                      <c:manualLayout>
                        <c:x val="-8.4375234606336377E-3"/>
                        <c:y val="-2.8087974189142207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4-61CF-4364-8B88-649A9E38448C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Template'!$F$306:$U$306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4">
                        <c:v>400</c:v>
                      </c:pt>
                      <c:pt idx="5">
                        <c:v>600</c:v>
                      </c:pt>
                      <c:pt idx="6">
                        <c:v>700</c:v>
                      </c:pt>
                      <c:pt idx="7">
                        <c:v>900</c:v>
                      </c:pt>
                      <c:pt idx="8">
                        <c:v>913</c:v>
                      </c:pt>
                      <c:pt idx="9">
                        <c:v>913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EC15-4F88-A6AA-6DE34875A758}"/>
                  </c:ext>
                </c:extLst>
              </c15:ser>
            </c15:filteredScatterSeries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19050">
                      <a:solidFill>
                        <a:schemeClr val="accent3"/>
                      </a:solidFill>
                      <a:prstDash val="sysDot"/>
                    </a:ln>
                    <a:effectLst/>
                  </c:spPr>
                </c:marker>
                <c:dPt>
                  <c:idx val="1"/>
                  <c:marker>
                    <c:symbol val="circle"/>
                    <c:size val="5"/>
                    <c:spPr>
                      <a:solidFill>
                        <a:schemeClr val="accent3"/>
                      </a:solidFill>
                      <a:ln w="19050">
                        <a:solidFill>
                          <a:schemeClr val="accent3"/>
                        </a:solidFill>
                        <a:prstDash val="sysDot"/>
                      </a:ln>
                      <a:effectLst/>
                    </c:spPr>
                  </c:marker>
                  <c:bubble3D val="0"/>
                  <c:spPr>
                    <a:ln w="3175" cap="rnd">
                      <a:solidFill>
                        <a:schemeClr val="bg1">
                          <a:lumMod val="75000"/>
                        </a:schemeClr>
                      </a:solidFill>
                      <a:prstDash val="sysDash"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5-D79F-475F-AB1E-67B88E2D8E57}"/>
                    </c:ext>
                  </c:extLst>
                </c:dPt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SedM!$S$10:$S$11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4.5</c:v>
                      </c:pt>
                      <c:pt idx="1">
                        <c:v>4.5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SedM!$T$10:$T$11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-5</c:v>
                      </c:pt>
                      <c:pt idx="1">
                        <c:v>3000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FFEB-40B3-96EC-2962934A0192}"/>
                  </c:ext>
                </c:extLst>
              </c15:ser>
            </c15:filteredScatterSeries>
            <c15:filteredScatterSeries>
              <c15:ser>
                <c:idx val="3"/>
                <c:order val="3"/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Pt>
                  <c:idx val="1"/>
                  <c:marker>
                    <c:symbol val="circle"/>
                    <c:size val="5"/>
                    <c:spPr>
                      <a:solidFill>
                        <a:schemeClr val="accent4"/>
                      </a:solidFill>
                      <a:ln w="19050">
                        <a:solidFill>
                          <a:schemeClr val="accent4"/>
                        </a:solidFill>
                        <a:prstDash val="sysDot"/>
                      </a:ln>
                      <a:effectLst/>
                    </c:spPr>
                  </c:marker>
                  <c:bubble3D val="0"/>
                  <c:spPr>
                    <a:ln w="19050" cap="rnd">
                      <a:solidFill>
                        <a:schemeClr val="accent4"/>
                      </a:solidFill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3-0FF9-44B2-8E91-3F8238227AF6}"/>
                    </c:ext>
                  </c:extLst>
                </c:dPt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SedM!$S$13:$S$14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10.5</c:v>
                      </c:pt>
                      <c:pt idx="1">
                        <c:v>10.5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SedM!$T$13:$T$14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FEB-40B3-96EC-2962934A0192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ser>
          <c:idx val="9"/>
          <c:order val="9"/>
          <c:tx>
            <c:v>Conversion</c:v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prstDash val="sysDash"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tx1">
                    <a:lumMod val="95000"/>
                    <a:lumOff val="5000"/>
                  </a:schemeClr>
                </a:solidFill>
                <a:prstDash val="sysDash"/>
              </a:ln>
              <a:effectLst/>
            </c:spPr>
          </c:marker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('Master Template'!$F$156:$P$156,'Master Template'!$Q$157:$AA$157)</c:f>
              <c:numCache>
                <c:formatCode>0.00</c:formatCode>
                <c:ptCount val="22"/>
                <c:pt idx="0">
                  <c:v>42.185727696615224</c:v>
                </c:pt>
                <c:pt idx="1">
                  <c:v>43.348591507915046</c:v>
                </c:pt>
                <c:pt idx="2">
                  <c:v>40.23733372864649</c:v>
                </c:pt>
                <c:pt idx="3">
                  <c:v>42.439858919770643</c:v>
                </c:pt>
                <c:pt idx="4">
                  <c:v>75.495532663000404</c:v>
                </c:pt>
                <c:pt idx="5">
                  <c:v>78.204495724447966</c:v>
                </c:pt>
                <c:pt idx="6">
                  <c:v>76.489027330311615</c:v>
                </c:pt>
                <c:pt idx="7">
                  <c:v>75.221581231638794</c:v>
                </c:pt>
                <c:pt idx="8">
                  <c:v>73.55200533003125</c:v>
                </c:pt>
                <c:pt idx="9">
                  <c:v>74.035778185959884</c:v>
                </c:pt>
                <c:pt idx="10">
                  <c:v>74.568120457965094</c:v>
                </c:pt>
                <c:pt idx="11">
                  <c:v>74.413332721959563</c:v>
                </c:pt>
                <c:pt idx="12">
                  <c:v>74.752923352810711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FDB-48BD-8E20-5EF843289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424783"/>
        <c:axId val="1141427183"/>
      </c:scatterChart>
      <c:valAx>
        <c:axId val="1201496688"/>
        <c:scaling>
          <c:orientation val="minMax"/>
          <c:max val="2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Day on stream</a:t>
                </a:r>
              </a:p>
            </c:rich>
          </c:tx>
          <c:layout>
            <c:manualLayout>
              <c:xMode val="edge"/>
              <c:yMode val="edge"/>
              <c:x val="0.47596608211356911"/>
              <c:y val="0.936970673268380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7168"/>
        <c:crosses val="autoZero"/>
        <c:crossBetween val="midCat"/>
        <c:majorUnit val="1"/>
      </c:valAx>
      <c:valAx>
        <c:axId val="1201497168"/>
        <c:scaling>
          <c:orientation val="minMax"/>
          <c:max val="3000"/>
          <c:min val="0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chemeClr val="accent2"/>
                    </a:solidFill>
                  </a:rPr>
                  <a:t>Sedimentation, ppm</a:t>
                </a:r>
              </a:p>
            </c:rich>
          </c:tx>
          <c:layout>
            <c:manualLayout>
              <c:xMode val="edge"/>
              <c:yMode val="edge"/>
              <c:x val="2.1545522688028861E-2"/>
              <c:y val="0.455859743497460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6688"/>
        <c:crosses val="autoZero"/>
        <c:crossBetween val="midCat"/>
        <c:majorUnit val="250"/>
      </c:valAx>
      <c:valAx>
        <c:axId val="1141427183"/>
        <c:scaling>
          <c:orientation val="minMax"/>
          <c:max val="90"/>
          <c:min val="3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solidFill>
                      <a:schemeClr val="tx1"/>
                    </a:solidFill>
                  </a:rPr>
                  <a:t>%wt Conversion</a:t>
                </a:r>
              </a:p>
            </c:rich>
          </c:tx>
          <c:layout>
            <c:manualLayout>
              <c:xMode val="edge"/>
              <c:yMode val="edge"/>
              <c:x val="0.94854413527506154"/>
              <c:y val="0.460594723699608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424783"/>
        <c:crosses val="max"/>
        <c:crossBetween val="midCat"/>
      </c:valAx>
      <c:valAx>
        <c:axId val="1141424783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141427183"/>
        <c:crosses val="max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62916751972225293"/>
          <c:y val="0.5576041174245433"/>
          <c:w val="0.23035302325701273"/>
          <c:h val="0.207472010864440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644127499133284"/>
          <c:y val="0.26804778395815054"/>
          <c:w val="0.80938765211528874"/>
          <c:h val="0.57286553603876433"/>
        </c:manualLayout>
      </c:layout>
      <c:scatterChart>
        <c:scatterStyle val="lineMarker"/>
        <c:varyColors val="0"/>
        <c:ser>
          <c:idx val="0"/>
          <c:order val="0"/>
          <c:tx>
            <c:v>MoC_RX1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0"/>
              <c:layout>
                <c:manualLayout>
                  <c:x val="5.0858267299679896E-3"/>
                  <c:y val="-5.948098160012036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2AE-4CCD-821D-55E500515B97}"/>
                </c:ext>
              </c:extLst>
            </c:dLbl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Template'!$F$189:$AA$189</c:f>
              <c:numCache>
                <c:formatCode>0.00</c:formatCode>
                <c:ptCount val="22"/>
                <c:pt idx="0">
                  <c:v>1.101110946537847</c:v>
                </c:pt>
                <c:pt idx="1">
                  <c:v>2.199993382309855</c:v>
                </c:pt>
                <c:pt idx="2">
                  <c:v>3.3217922779380005</c:v>
                </c:pt>
                <c:pt idx="3">
                  <c:v>4.4140395432377089</c:v>
                </c:pt>
                <c:pt idx="4">
                  <c:v>5.9347621163913598</c:v>
                </c:pt>
                <c:pt idx="5">
                  <c:v>7.3953519708873845</c:v>
                </c:pt>
                <c:pt idx="6">
                  <c:v>8.8490911690147911</c:v>
                </c:pt>
                <c:pt idx="7">
                  <c:v>10.272184841602693</c:v>
                </c:pt>
                <c:pt idx="8">
                  <c:v>11.681401411890672</c:v>
                </c:pt>
                <c:pt idx="9">
                  <c:v>13.137048190576191</c:v>
                </c:pt>
                <c:pt idx="10">
                  <c:v>14.586797110592267</c:v>
                </c:pt>
                <c:pt idx="11">
                  <c:v>16.018798076879655</c:v>
                </c:pt>
                <c:pt idx="12">
                  <c:v>17.445457230436492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5E0A-498C-B1F7-C14357A63A60}"/>
            </c:ext>
          </c:extLst>
        </c:ser>
        <c:ser>
          <c:idx val="1"/>
          <c:order val="1"/>
          <c:tx>
            <c:v>MoC_Rx2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10"/>
              <c:layout>
                <c:manualLayout>
                  <c:x val="3.0514960379807938E-3"/>
                  <c:y val="-1.487024540003118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2AE-4CCD-821D-55E500515B97}"/>
                </c:ext>
              </c:extLst>
            </c:dLbl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Template'!$F$194:$AA$194</c:f>
              <c:numCache>
                <c:formatCode>0.00</c:formatCode>
                <c:ptCount val="22"/>
                <c:pt idx="0">
                  <c:v>1.3682019916640433</c:v>
                </c:pt>
                <c:pt idx="1">
                  <c:v>2.7081394091582425</c:v>
                </c:pt>
                <c:pt idx="2">
                  <c:v>4.0564799918955678</c:v>
                </c:pt>
                <c:pt idx="3">
                  <c:v>5.3876294701374503</c:v>
                </c:pt>
                <c:pt idx="4">
                  <c:v>5.908193719049871</c:v>
                </c:pt>
                <c:pt idx="5">
                  <c:v>6.4081737114544453</c:v>
                </c:pt>
                <c:pt idx="6">
                  <c:v>6.9058086299776669</c:v>
                </c:pt>
                <c:pt idx="7">
                  <c:v>7.3929531636886763</c:v>
                </c:pt>
                <c:pt idx="8">
                  <c:v>7.8753473744523106</c:v>
                </c:pt>
                <c:pt idx="9">
                  <c:v>8.3736352840325505</c:v>
                </c:pt>
                <c:pt idx="10">
                  <c:v>8.8699042754861992</c:v>
                </c:pt>
                <c:pt idx="11">
                  <c:v>9.3600978983186369</c:v>
                </c:pt>
                <c:pt idx="12">
                  <c:v>9.8484629451958021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5E0A-498C-B1F7-C14357A63A60}"/>
            </c:ext>
          </c:extLst>
        </c:ser>
        <c:ser>
          <c:idx val="2"/>
          <c:order val="2"/>
          <c:tx>
            <c:v>MoC_Rx3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dLbls>
            <c:dLbl>
              <c:idx val="10"/>
              <c:layout>
                <c:manualLayout>
                  <c:x val="1.0171653459935905E-2"/>
                  <c:y val="-1.04091717800210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2AE-4CCD-821D-55E500515B97}"/>
                </c:ext>
              </c:extLst>
            </c:dLbl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Template'!$F$199:$AA$199</c:f>
              <c:numCache>
                <c:formatCode>0.00</c:formatCode>
                <c:ptCount val="22"/>
                <c:pt idx="0">
                  <c:v>0.58637228214173298</c:v>
                </c:pt>
                <c:pt idx="1">
                  <c:v>1.1606311753535323</c:v>
                </c:pt>
                <c:pt idx="2">
                  <c:v>1.7384914250981005</c:v>
                </c:pt>
                <c:pt idx="3">
                  <c:v>2.3089840586303358</c:v>
                </c:pt>
                <c:pt idx="4">
                  <c:v>2.5172097581953041</c:v>
                </c:pt>
                <c:pt idx="5">
                  <c:v>2.7172017551571339</c:v>
                </c:pt>
                <c:pt idx="6">
                  <c:v>2.9162557225664227</c:v>
                </c:pt>
                <c:pt idx="7">
                  <c:v>3.111113536050826</c:v>
                </c:pt>
                <c:pt idx="8">
                  <c:v>3.3040712203562799</c:v>
                </c:pt>
                <c:pt idx="9">
                  <c:v>3.5033863841883757</c:v>
                </c:pt>
                <c:pt idx="10">
                  <c:v>3.7018939807698357</c:v>
                </c:pt>
                <c:pt idx="11">
                  <c:v>3.8979714299028108</c:v>
                </c:pt>
                <c:pt idx="12">
                  <c:v>4.0933174486536767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5E0A-498C-B1F7-C14357A63A60}"/>
            </c:ext>
          </c:extLst>
        </c:ser>
        <c:ser>
          <c:idx val="3"/>
          <c:order val="3"/>
          <c:spPr>
            <a:ln w="254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ysDot"/>
              </a:ln>
              <a:effectLst/>
            </c:spPr>
          </c:marker>
          <c:xVal>
            <c:numRef>
              <c:f>MoC!$X$14:$X$15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MoC!$Y$14:$Y$15</c:f>
              <c:numCache>
                <c:formatCode>General</c:formatCode>
                <c:ptCount val="2"/>
                <c:pt idx="0">
                  <c:v>-4</c:v>
                </c:pt>
                <c:pt idx="1">
                  <c:v>3000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5E0A-498C-B1F7-C14357A63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/>
      </c:scatterChart>
      <c:valAx>
        <c:axId val="628797440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Day on stream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%MoC</a:t>
                </a:r>
              </a:p>
            </c:rich>
          </c:tx>
          <c:layout>
            <c:manualLayout>
              <c:xMode val="edge"/>
              <c:yMode val="edge"/>
              <c:x val="2.198201627708065E-2"/>
              <c:y val="0.475583093405123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alpha val="87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ayout>
        <c:manualLayout>
          <c:xMode val="edge"/>
          <c:yMode val="edge"/>
          <c:x val="0.78898344021173883"/>
          <c:y val="0.32998700043736723"/>
          <c:w val="8.4925206442534582E-2"/>
          <c:h val="0.12908742921596242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37434526246167"/>
          <c:y val="0.23261286344976115"/>
          <c:w val="0.70588965801652126"/>
          <c:h val="0.60582711589258598"/>
        </c:manualLayout>
      </c:layout>
      <c:scatterChart>
        <c:scatterStyle val="lineMarker"/>
        <c:varyColors val="0"/>
        <c:ser>
          <c:idx val="20"/>
          <c:order val="0"/>
          <c:tx>
            <c:v>H2S_ART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7"/>
              <c:layout>
                <c:manualLayout>
                  <c:x val="-7.6647622608161515E-17"/>
                  <c:y val="-1.04827513342809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994-424C-85D9-59D17D85D884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EB8-41E4-92AC-AF34003F64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Template'!$F$266:$U$266</c:f>
              <c:numCache>
                <c:formatCode>0.00</c:formatCode>
                <c:ptCount val="16"/>
                <c:pt idx="0">
                  <c:v>4.6779803689768098</c:v>
                </c:pt>
                <c:pt idx="1">
                  <c:v>4.6001513009130397</c:v>
                </c:pt>
                <c:pt idx="2">
                  <c:v>4.5186233631749406</c:v>
                </c:pt>
                <c:pt idx="3">
                  <c:v>4.5192653199821997</c:v>
                </c:pt>
                <c:pt idx="4">
                  <c:v>6.0009940743557397</c:v>
                </c:pt>
                <c:pt idx="5">
                  <c:v>5.90218301383754</c:v>
                </c:pt>
                <c:pt idx="6">
                  <c:v>5.81352367411509</c:v>
                </c:pt>
                <c:pt idx="7">
                  <c:v>5.7680131926097999</c:v>
                </c:pt>
                <c:pt idx="8">
                  <c:v>5.7167383365146796</c:v>
                </c:pt>
                <c:pt idx="9">
                  <c:v>5.7048566388559703</c:v>
                </c:pt>
                <c:pt idx="10">
                  <c:v>5.6647630398902606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2066-4597-9C37-B1925CE92837}"/>
            </c:ext>
          </c:extLst>
        </c:ser>
        <c:ser>
          <c:idx val="17"/>
          <c:order val="1"/>
          <c:tx>
            <c:v>H2S_TOP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9"/>
            <c:spPr>
              <a:solidFill>
                <a:schemeClr val="tx2">
                  <a:lumMod val="75000"/>
                  <a:lumOff val="25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EB8-41E4-92AC-AF34003F64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Template'!$F$265:$U$265</c:f>
              <c:numCache>
                <c:formatCode>0.00</c:formatCode>
                <c:ptCount val="16"/>
                <c:pt idx="0">
                  <c:v>4.7028389396417323</c:v>
                </c:pt>
                <c:pt idx="1">
                  <c:v>4.7062584324048906</c:v>
                </c:pt>
                <c:pt idx="2">
                  <c:v>4.4465828873393702</c:v>
                </c:pt>
                <c:pt idx="3">
                  <c:v>4.4789942663755422</c:v>
                </c:pt>
                <c:pt idx="4">
                  <c:v>5.6908453351890671</c:v>
                </c:pt>
                <c:pt idx="5">
                  <c:v>5.8347900838270892</c:v>
                </c:pt>
                <c:pt idx="6">
                  <c:v>5.7538529640092939</c:v>
                </c:pt>
                <c:pt idx="7">
                  <c:v>5.6879094525879923</c:v>
                </c:pt>
                <c:pt idx="8">
                  <c:v>5.6388968101666093</c:v>
                </c:pt>
                <c:pt idx="9">
                  <c:v>5.6052292638392762</c:v>
                </c:pt>
                <c:pt idx="10">
                  <c:v>5.5603150815327966</c:v>
                </c:pt>
                <c:pt idx="11">
                  <c:v>5.5519806861312215</c:v>
                </c:pt>
                <c:pt idx="12">
                  <c:v>5.5172685513647757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066-4597-9C37-B1925CE92837}"/>
            </c:ext>
          </c:extLst>
        </c:ser>
        <c:ser>
          <c:idx val="18"/>
          <c:order val="2"/>
          <c:tx>
            <c:v>C1_TOP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solidFill>
                <a:srgbClr val="2D0DA3"/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Template'!$F$248:$U$248</c:f>
              <c:numCache>
                <c:formatCode>0.00</c:formatCode>
                <c:ptCount val="16"/>
                <c:pt idx="0">
                  <c:v>1.008811696103642</c:v>
                </c:pt>
                <c:pt idx="1">
                  <c:v>1.1871443150880434</c:v>
                </c:pt>
                <c:pt idx="2">
                  <c:v>0.41791127478382722</c:v>
                </c:pt>
                <c:pt idx="3">
                  <c:v>0.4363579179494439</c:v>
                </c:pt>
                <c:pt idx="4">
                  <c:v>0.86619020680741854</c:v>
                </c:pt>
                <c:pt idx="5">
                  <c:v>1.2651846444375878</c:v>
                </c:pt>
                <c:pt idx="6">
                  <c:v>1.2165363216337592</c:v>
                </c:pt>
                <c:pt idx="7">
                  <c:v>1.2223145161179554</c:v>
                </c:pt>
                <c:pt idx="8">
                  <c:v>1.2123101508365883</c:v>
                </c:pt>
                <c:pt idx="9">
                  <c:v>1.1482829911874093</c:v>
                </c:pt>
                <c:pt idx="10">
                  <c:v>1.221144414158561</c:v>
                </c:pt>
                <c:pt idx="11">
                  <c:v>1.2139576341192848</c:v>
                </c:pt>
                <c:pt idx="12">
                  <c:v>1.2654186803545582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2066-4597-9C37-B1925CE92837}"/>
            </c:ext>
          </c:extLst>
        </c:ser>
        <c:ser>
          <c:idx val="19"/>
          <c:order val="3"/>
          <c:tx>
            <c:v>C1_ART</c:v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solidFill>
                <a:schemeClr val="accent2"/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dLbls>
            <c:dLbl>
              <c:idx val="7"/>
              <c:layout>
                <c:manualLayout>
                  <c:x val="-1.1411435254685831E-2"/>
                  <c:y val="-2.20179512316383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EB8-41E4-92AC-AF34003F64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Template'!$F$249:$U$249</c:f>
              <c:numCache>
                <c:formatCode>0.00</c:formatCode>
                <c:ptCount val="16"/>
                <c:pt idx="0">
                  <c:v>0.34550458160103098</c:v>
                </c:pt>
                <c:pt idx="1">
                  <c:v>0.43970785383861904</c:v>
                </c:pt>
                <c:pt idx="2">
                  <c:v>0.32745291424601697</c:v>
                </c:pt>
                <c:pt idx="3">
                  <c:v>0.282526855143028</c:v>
                </c:pt>
                <c:pt idx="4">
                  <c:v>1.22059610674805</c:v>
                </c:pt>
                <c:pt idx="5">
                  <c:v>1.19069678541014</c:v>
                </c:pt>
                <c:pt idx="6">
                  <c:v>1.17776274056584</c:v>
                </c:pt>
                <c:pt idx="7">
                  <c:v>1.1496879158009299</c:v>
                </c:pt>
                <c:pt idx="8">
                  <c:v>1.22028537784721</c:v>
                </c:pt>
                <c:pt idx="9">
                  <c:v>1.2295446774363801</c:v>
                </c:pt>
                <c:pt idx="10">
                  <c:v>1.2083304846238501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2066-4597-9C37-B1925CE92837}"/>
            </c:ext>
          </c:extLst>
        </c:ser>
        <c:ser>
          <c:idx val="14"/>
          <c:order val="1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'Breakdown Yld'!$Y$8:$Y$9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'Breakdown Yld'!$Z$8:$Z$9</c:f>
              <c:numCache>
                <c:formatCode>General</c:formatCode>
                <c:ptCount val="2"/>
                <c:pt idx="0">
                  <c:v>-10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066-4597-9C37-B1925CE92837}"/>
            </c:ext>
          </c:extLst>
        </c:ser>
        <c:ser>
          <c:idx val="15"/>
          <c:order val="1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'Breakdown Yld'!$Y$11:$Y$12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'Breakdown Yld'!$Z$11:$Z$12</c:f>
              <c:numCache>
                <c:formatCode>General</c:formatCode>
                <c:ptCount val="2"/>
                <c:pt idx="0">
                  <c:v>-10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066-4597-9C37-B1925CE92837}"/>
            </c:ext>
          </c:extLst>
        </c:ser>
        <c:ser>
          <c:idx val="22"/>
          <c:order val="15"/>
          <c:tx>
            <c:v>C2_TOP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Template'!$F$250:$U$250</c:f>
              <c:numCache>
                <c:formatCode>0.00</c:formatCode>
                <c:ptCount val="16"/>
                <c:pt idx="0">
                  <c:v>0.82941371994342294</c:v>
                </c:pt>
                <c:pt idx="1">
                  <c:v>0.90690409207161127</c:v>
                </c:pt>
                <c:pt idx="2">
                  <c:v>0.33270837227414324</c:v>
                </c:pt>
                <c:pt idx="3">
                  <c:v>0.35170001126852912</c:v>
                </c:pt>
                <c:pt idx="4">
                  <c:v>0.89578208486118394</c:v>
                </c:pt>
                <c:pt idx="5">
                  <c:v>1.0464727530490174</c:v>
                </c:pt>
                <c:pt idx="6">
                  <c:v>1.0429045625673741</c:v>
                </c:pt>
                <c:pt idx="7">
                  <c:v>0.97606443074978277</c:v>
                </c:pt>
                <c:pt idx="8">
                  <c:v>0.98048598435462841</c:v>
                </c:pt>
                <c:pt idx="9">
                  <c:v>0.94929176249616676</c:v>
                </c:pt>
                <c:pt idx="10">
                  <c:v>0.93155901501225502</c:v>
                </c:pt>
                <c:pt idx="11">
                  <c:v>0.93329662398137381</c:v>
                </c:pt>
                <c:pt idx="12">
                  <c:v>1.0176320787695174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2066-4597-9C37-B1925CE92837}"/>
            </c:ext>
          </c:extLst>
        </c:ser>
        <c:ser>
          <c:idx val="23"/>
          <c:order val="16"/>
          <c:tx>
            <c:v>C2_ART</c:v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solidFill>
                <a:schemeClr val="accent2"/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Template'!$F$252:$U$252</c:f>
              <c:numCache>
                <c:formatCode>0.00</c:formatCode>
                <c:ptCount val="16"/>
                <c:pt idx="0">
                  <c:v>0.28724142692066801</c:v>
                </c:pt>
                <c:pt idx="1">
                  <c:v>0.36555900584460699</c:v>
                </c:pt>
                <c:pt idx="2">
                  <c:v>0.268613718717436</c:v>
                </c:pt>
                <c:pt idx="3">
                  <c:v>0.24567552621132899</c:v>
                </c:pt>
                <c:pt idx="4">
                  <c:v>1.05628509237812</c:v>
                </c:pt>
                <c:pt idx="5">
                  <c:v>1.0533426681020701</c:v>
                </c:pt>
                <c:pt idx="6">
                  <c:v>1.0129840085142001</c:v>
                </c:pt>
                <c:pt idx="7">
                  <c:v>1.0196636872282001</c:v>
                </c:pt>
                <c:pt idx="8">
                  <c:v>1.0554923748120399</c:v>
                </c:pt>
                <c:pt idx="9">
                  <c:v>1.06350125559509</c:v>
                </c:pt>
                <c:pt idx="10">
                  <c:v>1.03984367312805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2066-4597-9C37-B1925CE92837}"/>
            </c:ext>
          </c:extLst>
        </c:ser>
        <c:ser>
          <c:idx val="24"/>
          <c:order val="17"/>
          <c:tx>
            <c:v>C3_TOP</c:v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Template'!$F$254:$U$254</c:f>
              <c:numCache>
                <c:formatCode>0.00</c:formatCode>
                <c:ptCount val="16"/>
                <c:pt idx="0">
                  <c:v>0.95351246056491201</c:v>
                </c:pt>
                <c:pt idx="1">
                  <c:v>0.98860612488641997</c:v>
                </c:pt>
                <c:pt idx="2">
                  <c:v>0.35147687286876561</c:v>
                </c:pt>
                <c:pt idx="3">
                  <c:v>0.36491665764614706</c:v>
                </c:pt>
                <c:pt idx="4">
                  <c:v>0.74804437166917603</c:v>
                </c:pt>
                <c:pt idx="5">
                  <c:v>1.1347342349014427</c:v>
                </c:pt>
                <c:pt idx="6">
                  <c:v>1.1312003490516007</c:v>
                </c:pt>
                <c:pt idx="7">
                  <c:v>1.0948118044672734</c:v>
                </c:pt>
                <c:pt idx="8">
                  <c:v>1.0800113650515231</c:v>
                </c:pt>
                <c:pt idx="9">
                  <c:v>1.1121189311855004</c:v>
                </c:pt>
                <c:pt idx="10">
                  <c:v>1.0062438094726756</c:v>
                </c:pt>
                <c:pt idx="11">
                  <c:v>1.035945667057506</c:v>
                </c:pt>
                <c:pt idx="12">
                  <c:v>1.1663767736326554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2066-4597-9C37-B1925CE92837}"/>
            </c:ext>
          </c:extLst>
        </c:ser>
        <c:ser>
          <c:idx val="26"/>
          <c:order val="18"/>
          <c:tx>
            <c:v>C4_TOP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2D0DA3"/>
              </a:solidFill>
              <a:ln w="9525">
                <a:noFill/>
              </a:ln>
              <a:effectLst/>
            </c:spPr>
          </c:marker>
          <c:dLbls>
            <c:dLbl>
              <c:idx val="7"/>
              <c:layout>
                <c:manualLayout>
                  <c:x val="-3.6139225043304059E-2"/>
                  <c:y val="-5.151323856429890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EB8-41E4-92AC-AF34003F6488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EB8-41E4-92AC-AF34003F64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Template'!$F$257:$U$257</c:f>
              <c:numCache>
                <c:formatCode>0.00</c:formatCode>
                <c:ptCount val="16"/>
                <c:pt idx="0">
                  <c:v>0.95970824708427915</c:v>
                </c:pt>
                <c:pt idx="1">
                  <c:v>0.90648404542351979</c:v>
                </c:pt>
                <c:pt idx="2">
                  <c:v>0.2331248472034132</c:v>
                </c:pt>
                <c:pt idx="3">
                  <c:v>0.23977462096548319</c:v>
                </c:pt>
                <c:pt idx="4">
                  <c:v>0.60348101976949819</c:v>
                </c:pt>
                <c:pt idx="5">
                  <c:v>0.71829519855547785</c:v>
                </c:pt>
                <c:pt idx="6">
                  <c:v>0.7358942195558914</c:v>
                </c:pt>
                <c:pt idx="7">
                  <c:v>0.79678693974067571</c:v>
                </c:pt>
                <c:pt idx="8">
                  <c:v>0.70888402831743835</c:v>
                </c:pt>
                <c:pt idx="9">
                  <c:v>0.79359235373443249</c:v>
                </c:pt>
                <c:pt idx="10">
                  <c:v>0.62222004649000573</c:v>
                </c:pt>
                <c:pt idx="11">
                  <c:v>0.68434703322144363</c:v>
                </c:pt>
                <c:pt idx="12">
                  <c:v>0.79514943768853796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2066-4597-9C37-B1925CE92837}"/>
            </c:ext>
          </c:extLst>
        </c:ser>
        <c:ser>
          <c:idx val="27"/>
          <c:order val="19"/>
          <c:tx>
            <c:v>C4_ART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7"/>
              <c:layout>
                <c:manualLayout>
                  <c:x val="-3.507408099365944E-2"/>
                  <c:y val="-6.570414127223653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EB8-41E4-92AC-AF34003F6488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EB8-41E4-92AC-AF34003F64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Template'!$F$258:$U$258</c:f>
              <c:numCache>
                <c:formatCode>0.00</c:formatCode>
                <c:ptCount val="16"/>
                <c:pt idx="0">
                  <c:v>0.248127700701684</c:v>
                </c:pt>
                <c:pt idx="1">
                  <c:v>0.31578075824023499</c:v>
                </c:pt>
                <c:pt idx="2">
                  <c:v>0.23740336282836197</c:v>
                </c:pt>
                <c:pt idx="3">
                  <c:v>0.23748634200428501</c:v>
                </c:pt>
                <c:pt idx="4">
                  <c:v>0.89501687457059398</c:v>
                </c:pt>
                <c:pt idx="5">
                  <c:v>1.0502510963298599</c:v>
                </c:pt>
                <c:pt idx="6">
                  <c:v>0.94004915990117299</c:v>
                </c:pt>
                <c:pt idx="7">
                  <c:v>1.0584428431183199</c:v>
                </c:pt>
                <c:pt idx="8">
                  <c:v>1.0400572175029601</c:v>
                </c:pt>
                <c:pt idx="9">
                  <c:v>1.0479489791691801</c:v>
                </c:pt>
                <c:pt idx="10">
                  <c:v>0.97189803797442897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2066-4597-9C37-B1925CE92837}"/>
            </c:ext>
          </c:extLst>
        </c:ser>
        <c:ser>
          <c:idx val="28"/>
          <c:order val="2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5">
                    <a:lumMod val="60000"/>
                    <a:lumOff val="40000"/>
                  </a:schemeClr>
                </a:solidFill>
                <a:ln w="9525">
                  <a:solidFill>
                    <a:schemeClr val="accent5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CA2-4989-877C-86F63A6C063E}"/>
              </c:ext>
            </c:extLst>
          </c:dPt>
          <c:xVal>
            <c:numRef>
              <c:f>'Breakdown Yld'!$Y$8:$Y$12</c:f>
              <c:numCache>
                <c:formatCode>General</c:formatCode>
                <c:ptCount val="5"/>
                <c:pt idx="0">
                  <c:v>4.5</c:v>
                </c:pt>
                <c:pt idx="1">
                  <c:v>4.5</c:v>
                </c:pt>
                <c:pt idx="3">
                  <c:v>10.5</c:v>
                </c:pt>
                <c:pt idx="4">
                  <c:v>10.5</c:v>
                </c:pt>
              </c:numCache>
            </c:numRef>
          </c:xVal>
          <c:yVal>
            <c:numRef>
              <c:f>'Breakdown Yld'!$Z$8:$Z$12</c:f>
              <c:numCache>
                <c:formatCode>General</c:formatCode>
                <c:ptCount val="5"/>
                <c:pt idx="0">
                  <c:v>-10</c:v>
                </c:pt>
                <c:pt idx="1">
                  <c:v>100</c:v>
                </c:pt>
                <c:pt idx="3">
                  <c:v>-10</c:v>
                </c:pt>
                <c:pt idx="4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2066-4597-9C37-B1925CE92837}"/>
            </c:ext>
          </c:extLst>
        </c:ser>
        <c:ser>
          <c:idx val="2"/>
          <c:order val="23"/>
          <c:spPr>
            <a:ln w="254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ysDot"/>
              </a:ln>
              <a:effectLst/>
            </c:spPr>
          </c:marker>
          <c:xVal>
            <c:numRef>
              <c:f>CrkConv!$J$49:$J$50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CrkConv!$K$49:$K$50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066-4597-9C37-B1925CE92837}"/>
            </c:ext>
          </c:extLst>
        </c:ser>
        <c:ser>
          <c:idx val="3"/>
          <c:order val="24"/>
          <c:spPr>
            <a:ln w="254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ysDot"/>
              </a:ln>
              <a:effectLst/>
            </c:spPr>
          </c:marker>
          <c:xVal>
            <c:numRef>
              <c:f>CrkConv!$J$52:$J$53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CrkConv!$K$52:$K$53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066-4597-9C37-B1925CE92837}"/>
            </c:ext>
          </c:extLst>
        </c:ser>
        <c:ser>
          <c:idx val="25"/>
          <c:order val="25"/>
          <c:tx>
            <c:v>C3_ART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95000"/>
                  <a:lumOff val="5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Lbl>
              <c:idx val="7"/>
              <c:layout>
                <c:manualLayout>
                  <c:x val="1.0320686483305721E-3"/>
                  <c:y val="-3.307080668030295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EB8-41E4-92AC-AF34003F6488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EB8-41E4-92AC-AF34003F64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Template'!$F$255:$U$255</c:f>
              <c:numCache>
                <c:formatCode>0.00</c:formatCode>
                <c:ptCount val="16"/>
                <c:pt idx="0">
                  <c:v>0.29579755453107132</c:v>
                </c:pt>
                <c:pt idx="1">
                  <c:v>0.37644799750806307</c:v>
                </c:pt>
                <c:pt idx="2">
                  <c:v>0.28140484818017075</c:v>
                </c:pt>
                <c:pt idx="3">
                  <c:v>0.27024307883246179</c:v>
                </c:pt>
                <c:pt idx="4">
                  <c:v>1.118879764519042</c:v>
                </c:pt>
                <c:pt idx="5">
                  <c:v>1.2048296849402258</c:v>
                </c:pt>
                <c:pt idx="6">
                  <c:v>1.1192347756294623</c:v>
                </c:pt>
                <c:pt idx="7">
                  <c:v>1.1943980014154094</c:v>
                </c:pt>
                <c:pt idx="8">
                  <c:v>1.1984945675285117</c:v>
                </c:pt>
                <c:pt idx="9">
                  <c:v>1.2075885224821632</c:v>
                </c:pt>
                <c:pt idx="10">
                  <c:v>1.1615030874233849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4CE-4546-9BCA-E1189A4DC218}"/>
            </c:ext>
          </c:extLst>
        </c:ser>
        <c:ser>
          <c:idx val="21"/>
          <c:order val="26"/>
          <c:tx>
            <c:v>NH3_ART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7"/>
              <c:layout>
                <c:manualLayout>
                  <c:x val="-3.0951819633917906E-3"/>
                  <c:y val="1.17905291149145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EB8-41E4-92AC-AF34003F64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Template'!$F$268:$U$268</c:f>
              <c:numCache>
                <c:formatCode>0.00</c:formatCode>
                <c:ptCount val="16"/>
                <c:pt idx="0">
                  <c:v>0.14752087384422755</c:v>
                </c:pt>
                <c:pt idx="1">
                  <c:v>0.13985927365428549</c:v>
                </c:pt>
                <c:pt idx="2">
                  <c:v>0.12022320040255899</c:v>
                </c:pt>
                <c:pt idx="3">
                  <c:v>0.12573843259561104</c:v>
                </c:pt>
                <c:pt idx="4">
                  <c:v>0.23764004360429716</c:v>
                </c:pt>
                <c:pt idx="5">
                  <c:v>0.22573828513228153</c:v>
                </c:pt>
                <c:pt idx="6">
                  <c:v>0.21328163988965682</c:v>
                </c:pt>
                <c:pt idx="7">
                  <c:v>0.20582044902053004</c:v>
                </c:pt>
                <c:pt idx="8">
                  <c:v>0.2048548612467597</c:v>
                </c:pt>
                <c:pt idx="9">
                  <c:v>0.20177650721839072</c:v>
                </c:pt>
                <c:pt idx="10">
                  <c:v>0.20058408494038846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2066-4597-9C37-B1925CE92837}"/>
            </c:ext>
          </c:extLst>
        </c:ser>
        <c:ser>
          <c:idx val="16"/>
          <c:order val="27"/>
          <c:tx>
            <c:v>NH3_TOP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2D0DA3"/>
              </a:solidFill>
              <a:ln w="9525">
                <a:noFill/>
              </a:ln>
              <a:effectLst/>
            </c:spPr>
          </c:marker>
          <c:dLbls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EB8-41E4-92AC-AF34003F6488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EB8-41E4-92AC-AF34003F64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Template'!$F$267:$U$267</c:f>
              <c:numCache>
                <c:formatCode>0.00</c:formatCode>
                <c:ptCount val="16"/>
                <c:pt idx="0">
                  <c:v>0.19587529531021616</c:v>
                </c:pt>
                <c:pt idx="1">
                  <c:v>0.20626857778393973</c:v>
                </c:pt>
                <c:pt idx="2">
                  <c:v>0.17075376009222609</c:v>
                </c:pt>
                <c:pt idx="3">
                  <c:v>0.17992576978630342</c:v>
                </c:pt>
                <c:pt idx="4">
                  <c:v>0.11408337379684363</c:v>
                </c:pt>
                <c:pt idx="5">
                  <c:v>0.2997175118417772</c:v>
                </c:pt>
                <c:pt idx="6">
                  <c:v>0.27617083105063139</c:v>
                </c:pt>
                <c:pt idx="7">
                  <c:v>0.29227340229573701</c:v>
                </c:pt>
                <c:pt idx="8">
                  <c:v>0.28645804243213774</c:v>
                </c:pt>
                <c:pt idx="9">
                  <c:v>0.29480488523693749</c:v>
                </c:pt>
                <c:pt idx="10">
                  <c:v>0.26856294471958697</c:v>
                </c:pt>
                <c:pt idx="11">
                  <c:v>0.29224187729146361</c:v>
                </c:pt>
                <c:pt idx="12">
                  <c:v>0.28010230583916729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066-4597-9C37-B1925CE92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496688"/>
        <c:axId val="1201497168"/>
        <c:extLst>
          <c:ext xmlns:c15="http://schemas.microsoft.com/office/drawing/2012/chart" uri="{02D57815-91ED-43cb-92C2-25804820EDAC}">
            <c15:filteredScatterSeries>
              <c15:ser>
                <c:idx val="5"/>
                <c:order val="4"/>
                <c:tx>
                  <c:v>C4 minus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Template'!$F$280:$U$280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1.1766712637544501</c:v>
                      </c:pt>
                      <c:pt idx="1">
                        <c:v>1.49749561543152</c:v>
                      </c:pt>
                      <c:pt idx="2">
                        <c:v>1.11487484397199</c:v>
                      </c:pt>
                      <c:pt idx="3">
                        <c:v>1.0359318021910999</c:v>
                      </c:pt>
                      <c:pt idx="4">
                        <c:v>4.2907778382158002</c:v>
                      </c:pt>
                      <c:pt idx="5">
                        <c:v>4.4991202347822901</c:v>
                      </c:pt>
                      <c:pt idx="6">
                        <c:v>4.2500306846106701</c:v>
                      </c:pt>
                      <c:pt idx="7">
                        <c:v>4.4221924475628605</c:v>
                      </c:pt>
                      <c:pt idx="8">
                        <c:v>4.5143295376907293</c:v>
                      </c:pt>
                      <c:pt idx="9">
                        <c:v>4.5485834346828202</c:v>
                      </c:pt>
                      <c:pt idx="10">
                        <c:v>4.3815752831497194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0-2066-4597-9C37-B1925CE92837}"/>
                  </c:ext>
                </c:extLst>
              </c15:ser>
            </c15:filteredScatterSeries>
            <c15:filteredScatterSeries>
              <c15:ser>
                <c:idx val="6"/>
                <c:order val="5"/>
                <c:tx>
                  <c:v>IBP-160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Template'!$F$293:$U$293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1.5765568087462309</c:v>
                      </c:pt>
                      <c:pt idx="1">
                        <c:v>2.7081697599530461</c:v>
                      </c:pt>
                      <c:pt idx="2">
                        <c:v>1.4396098221561986</c:v>
                      </c:pt>
                      <c:pt idx="3">
                        <c:v>1.6537040460770356</c:v>
                      </c:pt>
                      <c:pt idx="4">
                        <c:v>3.77532767773639</c:v>
                      </c:pt>
                      <c:pt idx="5" formatCode="0">
                        <c:v>4.6527219334186709</c:v>
                      </c:pt>
                      <c:pt idx="6">
                        <c:v>3.9537002733708047</c:v>
                      </c:pt>
                      <c:pt idx="7">
                        <c:v>3.9998087992858076</c:v>
                      </c:pt>
                      <c:pt idx="8">
                        <c:v>3.2502749954566004</c:v>
                      </c:pt>
                      <c:pt idx="9">
                        <c:v>3.9330253489247187</c:v>
                      </c:pt>
                      <c:pt idx="10">
                        <c:v>3.2356358329324739</c:v>
                      </c:pt>
                      <c:pt idx="11">
                        <c:v>3.9117633825149962</c:v>
                      </c:pt>
                      <c:pt idx="12">
                        <c:v>3.7306746186192186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2066-4597-9C37-B1925CE92837}"/>
                  </c:ext>
                </c:extLst>
              </c15:ser>
            </c15:filteredScatterSeries>
            <c15:filteredScatterSeries>
              <c15:ser>
                <c:idx val="7"/>
                <c:order val="6"/>
                <c:tx>
                  <c:v>IBP-160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Template'!$F$294:$U$294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1.91068059620941</c:v>
                      </c:pt>
                      <c:pt idx="1">
                        <c:v>2.3779379505467197</c:v>
                      </c:pt>
                      <c:pt idx="2">
                        <c:v>2.2362851376229198</c:v>
                      </c:pt>
                      <c:pt idx="3">
                        <c:v>2.1323316070766802</c:v>
                      </c:pt>
                      <c:pt idx="4">
                        <c:v>7.3703492794479004</c:v>
                      </c:pt>
                      <c:pt idx="5">
                        <c:v>7.3455101323497693</c:v>
                      </c:pt>
                      <c:pt idx="6">
                        <c:v>7.3932964469272093</c:v>
                      </c:pt>
                      <c:pt idx="7">
                        <c:v>7.5302525966915095</c:v>
                      </c:pt>
                      <c:pt idx="8">
                        <c:v>7.2905957025073604</c:v>
                      </c:pt>
                      <c:pt idx="9">
                        <c:v>7.4851514482464205</c:v>
                      </c:pt>
                      <c:pt idx="10">
                        <c:v>7.1494016406672802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2066-4597-9C37-B1925CE92837}"/>
                  </c:ext>
                </c:extLst>
              </c15:ser>
            </c15:filteredScatterSeries>
            <c15:filteredScatterSeries>
              <c15:ser>
                <c:idx val="8"/>
                <c:order val="7"/>
                <c:tx>
                  <c:v>160-360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Template'!$F$296:$U$296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8.8368267468050679</c:v>
                      </c:pt>
                      <c:pt idx="1">
                        <c:v>11.360708972861948</c:v>
                      </c:pt>
                      <c:pt idx="2">
                        <c:v>10.221822132538048</c:v>
                      </c:pt>
                      <c:pt idx="3">
                        <c:v>12.101507202166641</c:v>
                      </c:pt>
                      <c:pt idx="4">
                        <c:v>28.132730872228912</c:v>
                      </c:pt>
                      <c:pt idx="5">
                        <c:v>29.289310103413857</c:v>
                      </c:pt>
                      <c:pt idx="6">
                        <c:v>30.318539810657036</c:v>
                      </c:pt>
                      <c:pt idx="7">
                        <c:v>28.024949524239599</c:v>
                      </c:pt>
                      <c:pt idx="8">
                        <c:v>27.418690667294825</c:v>
                      </c:pt>
                      <c:pt idx="9">
                        <c:v>27.890642926822494</c:v>
                      </c:pt>
                      <c:pt idx="10">
                        <c:v>27.34655562471027</c:v>
                      </c:pt>
                      <c:pt idx="11">
                        <c:v>27.628989102837988</c:v>
                      </c:pt>
                      <c:pt idx="12">
                        <c:v>27.460436113948674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2066-4597-9C37-B1925CE92837}"/>
                  </c:ext>
                </c:extLst>
              </c15:ser>
            </c15:filteredScatterSeries>
            <c15:filteredScatterSeries>
              <c15:ser>
                <c:idx val="9"/>
                <c:order val="8"/>
                <c:tx>
                  <c:v>160-360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Template'!$F$297:$U$297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10.947426514883601</c:v>
                      </c:pt>
                      <c:pt idx="1">
                        <c:v>11.5936725671805</c:v>
                      </c:pt>
                      <c:pt idx="2">
                        <c:v>11.5171364966111</c:v>
                      </c:pt>
                      <c:pt idx="3">
                        <c:v>11.53</c:v>
                      </c:pt>
                      <c:pt idx="4">
                        <c:v>28.095230172901903</c:v>
                      </c:pt>
                      <c:pt idx="5">
                        <c:v>26.054003452836298</c:v>
                      </c:pt>
                      <c:pt idx="6">
                        <c:v>26.066366245411199</c:v>
                      </c:pt>
                      <c:pt idx="7">
                        <c:v>25.500117964410002</c:v>
                      </c:pt>
                      <c:pt idx="8">
                        <c:v>24.894483362938999</c:v>
                      </c:pt>
                      <c:pt idx="9">
                        <c:v>24.655799442219699</c:v>
                      </c:pt>
                      <c:pt idx="10">
                        <c:v>25.171153303895501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2066-4597-9C37-B1925CE92837}"/>
                  </c:ext>
                </c:extLst>
              </c15:ser>
            </c15:filteredScatterSeries>
            <c15:filteredScatterSeries>
              <c15:ser>
                <c:idx val="10"/>
                <c:order val="9"/>
                <c:tx>
                  <c:v>360-560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Template'!$F$299:$U$299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33.537769632486174</c:v>
                      </c:pt>
                      <c:pt idx="1">
                        <c:v>31.117628096819022</c:v>
                      </c:pt>
                      <c:pt idx="2">
                        <c:v>30.961649163863196</c:v>
                      </c:pt>
                      <c:pt idx="3">
                        <c:v>32.878479267197996</c:v>
                      </c:pt>
                      <c:pt idx="4">
                        <c:v>36.305093414864992</c:v>
                      </c:pt>
                      <c:pt idx="5">
                        <c:v>37.271353740837263</c:v>
                      </c:pt>
                      <c:pt idx="6">
                        <c:v>36.892781038101006</c:v>
                      </c:pt>
                      <c:pt idx="7">
                        <c:v>37.202491133368738</c:v>
                      </c:pt>
                      <c:pt idx="8">
                        <c:v>37.189452933093797</c:v>
                      </c:pt>
                      <c:pt idx="9">
                        <c:v>36.502963683590579</c:v>
                      </c:pt>
                      <c:pt idx="10">
                        <c:v>37.966242591463242</c:v>
                      </c:pt>
                      <c:pt idx="11">
                        <c:v>37.1067835927727</c:v>
                      </c:pt>
                      <c:pt idx="12">
                        <c:v>37.73389845911575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2066-4597-9C37-B1925CE92837}"/>
                  </c:ext>
                </c:extLst>
              </c15:ser>
            </c15:filteredScatterSeries>
            <c15:filteredScatterSeries>
              <c15:ser>
                <c:idx val="11"/>
                <c:order val="10"/>
                <c:tx>
                  <c:v>350-560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Template'!$F$300:$U$300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31.7418690877874</c:v>
                      </c:pt>
                      <c:pt idx="1">
                        <c:v>31.9002090375465</c:v>
                      </c:pt>
                      <c:pt idx="2">
                        <c:v>31.9884018006247</c:v>
                      </c:pt>
                      <c:pt idx="3">
                        <c:v>31.761673460997297</c:v>
                      </c:pt>
                      <c:pt idx="4">
                        <c:v>39.076043221103404</c:v>
                      </c:pt>
                      <c:pt idx="5">
                        <c:v>36.688113728056699</c:v>
                      </c:pt>
                      <c:pt idx="6">
                        <c:v>37.971183769655596</c:v>
                      </c:pt>
                      <c:pt idx="7">
                        <c:v>37.874229205062896</c:v>
                      </c:pt>
                      <c:pt idx="8">
                        <c:v>35.613119849672501</c:v>
                      </c:pt>
                      <c:pt idx="9">
                        <c:v>35.683503356070098</c:v>
                      </c:pt>
                      <c:pt idx="10">
                        <c:v>36.313549731131999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2066-4597-9C37-B1925CE92837}"/>
                  </c:ext>
                </c:extLst>
              </c15:ser>
            </c15:filteredScatterSeries>
            <c15:filteredScatterSeries>
              <c15:ser>
                <c:idx val="12"/>
                <c:order val="11"/>
                <c:tx>
                  <c:v>560 plus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Template'!$F$301:$U$301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49.194742445673143</c:v>
                      </c:pt>
                      <c:pt idx="1">
                        <c:v>48.412572557544763</c:v>
                      </c:pt>
                      <c:pt idx="2">
                        <c:v>50.852650356957419</c:v>
                      </c:pt>
                      <c:pt idx="3">
                        <c:v>48.978499646577959</c:v>
                      </c:pt>
                      <c:pt idx="4">
                        <c:v>22.465452814296697</c:v>
                      </c:pt>
                      <c:pt idx="5">
                        <c:v>19.911552210052058</c:v>
                      </c:pt>
                      <c:pt idx="6">
                        <c:v>20.605956886621684</c:v>
                      </c:pt>
                      <c:pt idx="7">
                        <c:v>21.716797345342499</c:v>
                      </c:pt>
                      <c:pt idx="8">
                        <c:v>23.180080448547425</c:v>
                      </c:pt>
                      <c:pt idx="9">
                        <c:v>22.756082566697334</c:v>
                      </c:pt>
                      <c:pt idx="10">
                        <c:v>22.886492991727934</c:v>
                      </c:pt>
                      <c:pt idx="11">
                        <c:v>22.18117054714785</c:v>
                      </c:pt>
                      <c:pt idx="12">
                        <c:v>21.856143964110931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2066-4597-9C37-B1925CE92837}"/>
                  </c:ext>
                </c:extLst>
              </c15:ser>
            </c15:filteredScatterSeries>
            <c15:filteredScatterSeries>
              <c15:ser>
                <c:idx val="13"/>
                <c:order val="12"/>
                <c:tx>
                  <c:v>560 plus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Template'!$F$302:$U$302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49.957418903525301</c:v>
                      </c:pt>
                      <c:pt idx="1">
                        <c:v>49.980452454645203</c:v>
                      </c:pt>
                      <c:pt idx="2">
                        <c:v>50.016167312909396</c:v>
                      </c:pt>
                      <c:pt idx="3">
                        <c:v>49.7795928038502</c:v>
                      </c:pt>
                      <c:pt idx="4">
                        <c:v>18.9259151803649</c:v>
                      </c:pt>
                      <c:pt idx="5">
                        <c:v>19.615766783442503</c:v>
                      </c:pt>
                      <c:pt idx="6">
                        <c:v>19.911835162682799</c:v>
                      </c:pt>
                      <c:pt idx="7">
                        <c:v>20.989226245100699</c:v>
                      </c:pt>
                      <c:pt idx="8">
                        <c:v>23.324351868783801</c:v>
                      </c:pt>
                      <c:pt idx="9">
                        <c:v>23.577783903335998</c:v>
                      </c:pt>
                      <c:pt idx="10">
                        <c:v>22.953526965747002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2066-4597-9C37-B1925CE92837}"/>
                  </c:ext>
                </c:extLst>
              </c15:ser>
            </c15:filteredScatterSeries>
            <c15:filteredScatterSeries>
              <c15:ser>
                <c:idx val="0"/>
                <c:order val="21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476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Lbl>
                    <c:idx val="6"/>
                    <c:layout>
                      <c:manualLayout>
                        <c:x val="-4.6136130829716477E-3"/>
                        <c:y val="3.0286210652518759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3-2066-4597-9C37-B1925CE92837}"/>
                      </c:ext>
                    </c:extLst>
                  </c:dLbl>
                  <c:dLbl>
                    <c:idx val="8"/>
                    <c:layout>
                      <c:manualLayout>
                        <c:x val="-1.1534032707428907E-2"/>
                        <c:y val="3.9750651481430914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4-2066-4597-9C37-B1925CE92837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Template'!$F$156:$U$156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42.185727696615224</c:v>
                      </c:pt>
                      <c:pt idx="1">
                        <c:v>43.348591507915046</c:v>
                      </c:pt>
                      <c:pt idx="2">
                        <c:v>40.23733372864649</c:v>
                      </c:pt>
                      <c:pt idx="3">
                        <c:v>42.439858919770643</c:v>
                      </c:pt>
                      <c:pt idx="4">
                        <c:v>75.495532663000404</c:v>
                      </c:pt>
                      <c:pt idx="5">
                        <c:v>78.204495724447966</c:v>
                      </c:pt>
                      <c:pt idx="6">
                        <c:v>76.489027330311615</c:v>
                      </c:pt>
                      <c:pt idx="7">
                        <c:v>75.221581231638794</c:v>
                      </c:pt>
                      <c:pt idx="8">
                        <c:v>73.55200533003125</c:v>
                      </c:pt>
                      <c:pt idx="9">
                        <c:v>74.035778185959884</c:v>
                      </c:pt>
                      <c:pt idx="10">
                        <c:v>74.568120457965094</c:v>
                      </c:pt>
                      <c:pt idx="11">
                        <c:v>74.691740966697267</c:v>
                      </c:pt>
                      <c:pt idx="12">
                        <c:v>75.062589607832905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066-4597-9C37-B1925CE92837}"/>
                  </c:ext>
                </c:extLst>
              </c15:ser>
            </c15:filteredScatterSeries>
            <c15:filteredScatterSeries>
              <c15:ser>
                <c:idx val="1"/>
                <c:order val="22"/>
                <c:tx>
                  <c:v>ART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2857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dLbl>
                    <c:idx val="6"/>
                    <c:layout>
                      <c:manualLayout>
                        <c:x val="-6.920419624457429E-3"/>
                        <c:y val="-4.732220414456064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7-2066-4597-9C37-B1925CE92837}"/>
                      </c:ext>
                    </c:extLst>
                  </c:dLbl>
                  <c:dLbl>
                    <c:idx val="8"/>
                    <c:layout>
                      <c:manualLayout>
                        <c:x val="-5.7670163537144534E-3"/>
                        <c:y val="-5.300086864190788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8-2066-4597-9C37-B1925CE92837}"/>
                      </c:ext>
                    </c:extLst>
                  </c:dLbl>
                  <c:dLbl>
                    <c:idx val="13"/>
                    <c:layout>
                      <c:manualLayout>
                        <c:x val="-5.7670163537144534E-3"/>
                        <c:y val="-3.5964875149866099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9-2066-4597-9C37-B1925CE92837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Template'!$F$158:$U$158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44</c:v>
                      </c:pt>
                      <c:pt idx="1">
                        <c:v>41.5</c:v>
                      </c:pt>
                      <c:pt idx="2">
                        <c:v>40.5</c:v>
                      </c:pt>
                      <c:pt idx="3">
                        <c:v>39.9</c:v>
                      </c:pt>
                      <c:pt idx="4">
                        <c:v>68</c:v>
                      </c:pt>
                      <c:pt idx="5">
                        <c:v>67.5</c:v>
                      </c:pt>
                      <c:pt idx="6">
                        <c:v>67.8</c:v>
                      </c:pt>
                      <c:pt idx="7">
                        <c:v>68.2</c:v>
                      </c:pt>
                      <c:pt idx="8">
                        <c:v>68</c:v>
                      </c:pt>
                      <c:pt idx="9">
                        <c:v>68.2</c:v>
                      </c:pt>
                      <c:pt idx="10">
                        <c:v>66.5</c:v>
                      </c:pt>
                      <c:pt idx="11">
                        <c:v>65.8</c:v>
                      </c:pt>
                      <c:pt idx="12">
                        <c:v>66.2</c:v>
                      </c:pt>
                      <c:pt idx="13">
                        <c:v>68.2</c:v>
                      </c:pt>
                      <c:pt idx="14">
                        <c:v>68.400000000000006</c:v>
                      </c:pt>
                      <c:pt idx="15">
                        <c:v>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2066-4597-9C37-B1925CE92837}"/>
                  </c:ext>
                </c:extLst>
              </c15:ser>
            </c15:filteredScatterSeries>
          </c:ext>
        </c:extLst>
      </c:scatterChart>
      <c:valAx>
        <c:axId val="1201496688"/>
        <c:scaling>
          <c:orientation val="minMax"/>
          <c:max val="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Day on stream</a:t>
                </a:r>
              </a:p>
            </c:rich>
          </c:tx>
          <c:layout>
            <c:manualLayout>
              <c:xMode val="edge"/>
              <c:yMode val="edge"/>
              <c:x val="0.45022032683541441"/>
              <c:y val="0.895557165217731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7168"/>
        <c:crosses val="autoZero"/>
        <c:crossBetween val="midCat"/>
        <c:majorUnit val="1"/>
      </c:valAx>
      <c:valAx>
        <c:axId val="1201497168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% wt of Feed</a:t>
                </a:r>
              </a:p>
            </c:rich>
          </c:tx>
          <c:layout>
            <c:manualLayout>
              <c:xMode val="edge"/>
              <c:yMode val="edge"/>
              <c:x val="4.3246590879763139E-2"/>
              <c:y val="0.316740721950183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6688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ayout>
        <c:manualLayout>
          <c:xMode val="edge"/>
          <c:yMode val="edge"/>
          <c:x val="0.86537789792325592"/>
          <c:y val="0.31120246891361281"/>
          <c:w val="6.7218744905694391E-2"/>
          <c:h val="0.419871664807417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81423149381526"/>
          <c:y val="0.22485731213143459"/>
          <c:w val="0.75802406274407497"/>
          <c:h val="0.66866927074705163"/>
        </c:manualLayout>
      </c:layout>
      <c:scatterChart>
        <c:scatterStyle val="lineMarker"/>
        <c:varyColors val="0"/>
        <c:ser>
          <c:idx val="0"/>
          <c:order val="0"/>
          <c:tx>
            <c:v>IBP-160, TOP Acceptance'26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7"/>
              <c:layout>
                <c:manualLayout>
                  <c:x val="-3.3220687627361981E-2"/>
                  <c:y val="-3.3898196509179737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4.0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CDF5-4C9B-B964-1D02A6F040FB}"/>
                </c:ext>
              </c:extLst>
            </c:dLbl>
            <c:dLbl>
              <c:idx val="13"/>
              <c:layout>
                <c:manualLayout>
                  <c:x val="-4.6526637904547689E-2"/>
                  <c:y val="-2.67892785932042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DF5-4C9B-B964-1D02A6F040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Template'!$F$293:$AA$293</c:f>
              <c:numCache>
                <c:formatCode>0.00</c:formatCode>
                <c:ptCount val="22"/>
                <c:pt idx="0">
                  <c:v>1.5765568087462309</c:v>
                </c:pt>
                <c:pt idx="1">
                  <c:v>2.7081697599530461</c:v>
                </c:pt>
                <c:pt idx="2">
                  <c:v>1.4396098221561986</c:v>
                </c:pt>
                <c:pt idx="3">
                  <c:v>1.6537040460770356</c:v>
                </c:pt>
                <c:pt idx="4">
                  <c:v>3.77532767773639</c:v>
                </c:pt>
                <c:pt idx="5" formatCode="0">
                  <c:v>4.6527219334186709</c:v>
                </c:pt>
                <c:pt idx="6">
                  <c:v>3.9537002733708047</c:v>
                </c:pt>
                <c:pt idx="7">
                  <c:v>3.9998087992858076</c:v>
                </c:pt>
                <c:pt idx="8">
                  <c:v>3.2502749954566004</c:v>
                </c:pt>
                <c:pt idx="9">
                  <c:v>3.9330253489247187</c:v>
                </c:pt>
                <c:pt idx="10">
                  <c:v>3.2356358329324739</c:v>
                </c:pt>
                <c:pt idx="11">
                  <c:v>3.9117633825149962</c:v>
                </c:pt>
                <c:pt idx="12">
                  <c:v>3.7306746186192186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7E-41F5-9D6C-2EA4E2B13852}"/>
            </c:ext>
          </c:extLst>
        </c:ser>
        <c:ser>
          <c:idx val="1"/>
          <c:order val="1"/>
          <c:tx>
            <c:v>IBP-160, ART Acceptance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8"/>
              <c:layout>
                <c:manualLayout>
                  <c:x val="-3.1090079384152041E-3"/>
                  <c:y val="-1.663511888412146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DF5-4C9B-B964-1D02A6F040FB}"/>
                </c:ext>
              </c:extLst>
            </c:dLbl>
            <c:dLbl>
              <c:idx val="13"/>
              <c:layout>
                <c:manualLayout>
                  <c:x val="0"/>
                  <c:y val="-1.32622255267558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DF5-4C9B-B964-1D02A6F040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Template'!$F$294:$AA$294</c:f>
              <c:numCache>
                <c:formatCode>0.00</c:formatCode>
                <c:ptCount val="22"/>
                <c:pt idx="0">
                  <c:v>1.91068059620941</c:v>
                </c:pt>
                <c:pt idx="1">
                  <c:v>2.3779379505467197</c:v>
                </c:pt>
                <c:pt idx="2">
                  <c:v>2.2362851376229198</c:v>
                </c:pt>
                <c:pt idx="3">
                  <c:v>2.1323316070766802</c:v>
                </c:pt>
                <c:pt idx="4">
                  <c:v>7.3703492794479004</c:v>
                </c:pt>
                <c:pt idx="5">
                  <c:v>7.3455101323497693</c:v>
                </c:pt>
                <c:pt idx="6">
                  <c:v>7.3932964469272093</c:v>
                </c:pt>
                <c:pt idx="7">
                  <c:v>7.5302525966915095</c:v>
                </c:pt>
                <c:pt idx="8">
                  <c:v>7.2905957025073604</c:v>
                </c:pt>
                <c:pt idx="9">
                  <c:v>7.4851514482464205</c:v>
                </c:pt>
                <c:pt idx="10">
                  <c:v>7.1494016406672802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7E-41F5-9D6C-2EA4E2B13852}"/>
            </c:ext>
          </c:extLst>
        </c:ser>
        <c:ser>
          <c:idx val="2"/>
          <c:order val="2"/>
          <c:tx>
            <c:v>160-360, TOP Acceptance'26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8"/>
              <c:layout>
                <c:manualLayout>
                  <c:x val="-8.2413147817227746E-3"/>
                  <c:y val="1.49200037176001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DF5-4C9B-B964-1D02A6F040FB}"/>
                </c:ext>
              </c:extLst>
            </c:dLbl>
            <c:dLbl>
              <c:idx val="13"/>
              <c:layout>
                <c:manualLayout>
                  <c:x val="-5.1508217385767344E-3"/>
                  <c:y val="-1.32622255267557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DF5-4C9B-B964-1D02A6F040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Template'!$F$296:$AA$296</c:f>
              <c:numCache>
                <c:formatCode>0.00</c:formatCode>
                <c:ptCount val="22"/>
                <c:pt idx="0">
                  <c:v>8.8368267468050679</c:v>
                </c:pt>
                <c:pt idx="1">
                  <c:v>11.360708972861948</c:v>
                </c:pt>
                <c:pt idx="2">
                  <c:v>10.221822132538048</c:v>
                </c:pt>
                <c:pt idx="3">
                  <c:v>12.101507202166641</c:v>
                </c:pt>
                <c:pt idx="4">
                  <c:v>28.132730872228912</c:v>
                </c:pt>
                <c:pt idx="5">
                  <c:v>29.289310103413857</c:v>
                </c:pt>
                <c:pt idx="6">
                  <c:v>30.318539810657036</c:v>
                </c:pt>
                <c:pt idx="7">
                  <c:v>28.024949524239599</c:v>
                </c:pt>
                <c:pt idx="8">
                  <c:v>27.418690667294825</c:v>
                </c:pt>
                <c:pt idx="9">
                  <c:v>27.890642926822494</c:v>
                </c:pt>
                <c:pt idx="10">
                  <c:v>27.34655562471027</c:v>
                </c:pt>
                <c:pt idx="11">
                  <c:v>27.628989102837988</c:v>
                </c:pt>
                <c:pt idx="12">
                  <c:v>27.460436113948674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7E-41F5-9D6C-2EA4E2B13852}"/>
            </c:ext>
          </c:extLst>
        </c:ser>
        <c:ser>
          <c:idx val="3"/>
          <c:order val="3"/>
          <c:tx>
            <c:v>160-360, ART Acceptance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2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8"/>
              <c:layout>
                <c:manualLayout>
                  <c:x val="-5.1508217385768098E-3"/>
                  <c:y val="-1.32622255267557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DF5-4C9B-B964-1D02A6F040FB}"/>
                </c:ext>
              </c:extLst>
            </c:dLbl>
            <c:dLbl>
              <c:idx val="13"/>
              <c:layout>
                <c:manualLayout>
                  <c:x val="-7.2111504340074285E-3"/>
                  <c:y val="1.98933382901336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DF5-4C9B-B964-1D02A6F040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Template'!$F$297:$AA$297</c:f>
              <c:numCache>
                <c:formatCode>0.00</c:formatCode>
                <c:ptCount val="22"/>
                <c:pt idx="0">
                  <c:v>10.947426514883601</c:v>
                </c:pt>
                <c:pt idx="1">
                  <c:v>11.5936725671805</c:v>
                </c:pt>
                <c:pt idx="2">
                  <c:v>11.5171364966111</c:v>
                </c:pt>
                <c:pt idx="3">
                  <c:v>11.53</c:v>
                </c:pt>
                <c:pt idx="4">
                  <c:v>28.095230172901903</c:v>
                </c:pt>
                <c:pt idx="5">
                  <c:v>26.054003452836298</c:v>
                </c:pt>
                <c:pt idx="6">
                  <c:v>26.066366245411199</c:v>
                </c:pt>
                <c:pt idx="7">
                  <c:v>25.500117964410002</c:v>
                </c:pt>
                <c:pt idx="8">
                  <c:v>24.894483362938999</c:v>
                </c:pt>
                <c:pt idx="9">
                  <c:v>24.655799442219699</c:v>
                </c:pt>
                <c:pt idx="10">
                  <c:v>25.171153303895501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B7E-41F5-9D6C-2EA4E2B13852}"/>
            </c:ext>
          </c:extLst>
        </c:ser>
        <c:ser>
          <c:idx val="4"/>
          <c:order val="4"/>
          <c:tx>
            <c:v>360-560, TOP Acceptance'26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DF5-4C9B-B964-1D02A6F040FB}"/>
                </c:ext>
              </c:extLst>
            </c:dLbl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DF5-4C9B-B964-1D02A6F040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Template'!$F$299:$AA$299</c:f>
              <c:numCache>
                <c:formatCode>0.00</c:formatCode>
                <c:ptCount val="22"/>
                <c:pt idx="0">
                  <c:v>33.537769632486174</c:v>
                </c:pt>
                <c:pt idx="1">
                  <c:v>31.117628096819022</c:v>
                </c:pt>
                <c:pt idx="2">
                  <c:v>30.961649163863196</c:v>
                </c:pt>
                <c:pt idx="3">
                  <c:v>32.878479267197996</c:v>
                </c:pt>
                <c:pt idx="4">
                  <c:v>36.305093414864992</c:v>
                </c:pt>
                <c:pt idx="5">
                  <c:v>37.271353740837263</c:v>
                </c:pt>
                <c:pt idx="6">
                  <c:v>36.892781038101006</c:v>
                </c:pt>
                <c:pt idx="7">
                  <c:v>37.202491133368738</c:v>
                </c:pt>
                <c:pt idx="8">
                  <c:v>37.189452933093797</c:v>
                </c:pt>
                <c:pt idx="9">
                  <c:v>36.502963683590579</c:v>
                </c:pt>
                <c:pt idx="10">
                  <c:v>37.966242591463242</c:v>
                </c:pt>
                <c:pt idx="11">
                  <c:v>37.1067835927727</c:v>
                </c:pt>
                <c:pt idx="12">
                  <c:v>37.73389845911575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B7E-41F5-9D6C-2EA4E2B13852}"/>
            </c:ext>
          </c:extLst>
        </c:ser>
        <c:ser>
          <c:idx val="5"/>
          <c:order val="5"/>
          <c:tx>
            <c:v>360-560, ART Acceptance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13"/>
              <c:layout>
                <c:manualLayout>
                  <c:x val="0"/>
                  <c:y val="-1.82355600992891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DF5-4C9B-B964-1D02A6F040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Template'!$F$300:$AA$300</c:f>
              <c:numCache>
                <c:formatCode>0.00</c:formatCode>
                <c:ptCount val="22"/>
                <c:pt idx="0">
                  <c:v>31.7418690877874</c:v>
                </c:pt>
                <c:pt idx="1">
                  <c:v>31.9002090375465</c:v>
                </c:pt>
                <c:pt idx="2">
                  <c:v>31.9884018006247</c:v>
                </c:pt>
                <c:pt idx="3">
                  <c:v>31.761673460997297</c:v>
                </c:pt>
                <c:pt idx="4">
                  <c:v>39.076043221103404</c:v>
                </c:pt>
                <c:pt idx="5">
                  <c:v>36.688113728056699</c:v>
                </c:pt>
                <c:pt idx="6">
                  <c:v>37.971183769655596</c:v>
                </c:pt>
                <c:pt idx="7">
                  <c:v>37.874229205062896</c:v>
                </c:pt>
                <c:pt idx="8">
                  <c:v>35.613119849672501</c:v>
                </c:pt>
                <c:pt idx="9">
                  <c:v>35.683503356070098</c:v>
                </c:pt>
                <c:pt idx="10">
                  <c:v>36.313549731131999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B7E-41F5-9D6C-2EA4E2B13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</c:scatterChart>
      <c:valAx>
        <c:axId val="628797440"/>
        <c:scaling>
          <c:orientation val="minMax"/>
          <c:max val="1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Day on stream</a:t>
                </a:r>
              </a:p>
            </c:rich>
          </c:tx>
          <c:layout>
            <c:manualLayout>
              <c:xMode val="edge"/>
              <c:yMode val="edge"/>
              <c:x val="0.45014978271980749"/>
              <c:y val="0.954517988335159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%wt of</a:t>
                </a:r>
                <a:r>
                  <a:rPr lang="en-US" sz="2000" b="1" baseline="0"/>
                  <a:t> Feed</a:t>
                </a:r>
                <a:endParaRPr lang="en-US" sz="2000" b="1"/>
              </a:p>
            </c:rich>
          </c:tx>
          <c:layout>
            <c:manualLayout>
              <c:xMode val="edge"/>
              <c:yMode val="edge"/>
              <c:x val="3.6426311028905103E-2"/>
              <c:y val="0.451226334392137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alpha val="87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089972306825005"/>
          <c:y val="0.19752310389576391"/>
          <c:w val="0.10910026792834919"/>
          <c:h val="0.18011960567687146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37434252283779"/>
          <c:y val="0.22658432730016859"/>
          <c:w val="0.70588965801652126"/>
          <c:h val="0.63488739962207974"/>
        </c:manualLayout>
      </c:layout>
      <c:scatterChart>
        <c:scatterStyle val="lineMarker"/>
        <c:varyColors val="0"/>
        <c:ser>
          <c:idx val="20"/>
          <c:order val="0"/>
          <c:tx>
            <c:v>H2S_ART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1"/>
              <c:layout>
                <c:manualLayout>
                  <c:x val="-7.6647622608161515E-17"/>
                  <c:y val="-1.04827513342809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10B-4581-BBD4-1287BD2F1F67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10B-4581-BBD4-1287BD2F1F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Lit>
              <c:formatCode>General</c:formatCode>
              <c:ptCount val="6"/>
              <c:pt idx="0">
                <c:v>6</c:v>
              </c:pt>
              <c:pt idx="1">
                <c:v>8</c:v>
              </c:pt>
              <c:pt idx="2">
                <c:v>10</c:v>
              </c:pt>
              <c:pt idx="3">
                <c:v>12</c:v>
              </c:pt>
              <c:pt idx="4">
                <c:v>13</c:v>
              </c:pt>
              <c:pt idx="5">
                <c:v>15</c:v>
              </c:pt>
            </c:numLit>
          </c:xVal>
          <c:yVal>
            <c:numRef>
              <c:f>('Master Template'!$K$266,'Master Template'!$M$266,'Master Template'!$O$266,'Master Template'!$Q$266,'Master Template'!$S$266,'Master Template'!$T$266)</c:f>
              <c:numCache>
                <c:formatCode>0.00</c:formatCode>
                <c:ptCount val="6"/>
                <c:pt idx="0">
                  <c:v>5.90218301383754</c:v>
                </c:pt>
                <c:pt idx="1">
                  <c:v>5.7680131926097999</c:v>
                </c:pt>
                <c:pt idx="2">
                  <c:v>5.7048566388559703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D3BE-479C-B713-C8C537430883}"/>
            </c:ext>
          </c:extLst>
        </c:ser>
        <c:ser>
          <c:idx val="17"/>
          <c:order val="1"/>
          <c:tx>
            <c:v>H2S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9"/>
            <c:spPr>
              <a:solidFill>
                <a:schemeClr val="tx2">
                  <a:lumMod val="75000"/>
                  <a:lumOff val="25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D3BE-479C-B713-C8C537430883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3BE-479C-B713-C8C5374308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Template'!$F$265:$U$265</c:f>
              <c:numCache>
                <c:formatCode>0.00</c:formatCode>
                <c:ptCount val="16"/>
                <c:pt idx="0">
                  <c:v>4.7028389396417323</c:v>
                </c:pt>
                <c:pt idx="1">
                  <c:v>4.7062584324048906</c:v>
                </c:pt>
                <c:pt idx="2">
                  <c:v>4.4465828873393702</c:v>
                </c:pt>
                <c:pt idx="3">
                  <c:v>4.4789942663755422</c:v>
                </c:pt>
                <c:pt idx="4">
                  <c:v>5.6908453351890671</c:v>
                </c:pt>
                <c:pt idx="5">
                  <c:v>5.8347900838270892</c:v>
                </c:pt>
                <c:pt idx="6">
                  <c:v>5.7538529640092939</c:v>
                </c:pt>
                <c:pt idx="7">
                  <c:v>5.6879094525879923</c:v>
                </c:pt>
                <c:pt idx="8">
                  <c:v>5.6388968101666093</c:v>
                </c:pt>
                <c:pt idx="9">
                  <c:v>5.6052292638392762</c:v>
                </c:pt>
                <c:pt idx="10">
                  <c:v>5.5603150815327966</c:v>
                </c:pt>
                <c:pt idx="11">
                  <c:v>5.5519806861312215</c:v>
                </c:pt>
                <c:pt idx="12">
                  <c:v>5.5172685513647757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3BE-479C-B713-C8C537430883}"/>
            </c:ext>
          </c:extLst>
        </c:ser>
        <c:ser>
          <c:idx val="18"/>
          <c:order val="2"/>
          <c:tx>
            <c:v>C1_TOP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9"/>
            <c:spPr>
              <a:solidFill>
                <a:schemeClr val="tx2">
                  <a:lumMod val="25000"/>
                  <a:lumOff val="75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Lbls>
            <c:dLbl>
              <c:idx val="6"/>
              <c:layout>
                <c:manualLayout>
                  <c:x val="0"/>
                  <c:y val="-1.32262290354724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D3BE-479C-B713-C8C537430883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10B-4581-BBD4-1287BD2F1F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Template'!$F$248:$U$248</c:f>
              <c:numCache>
                <c:formatCode>0.00</c:formatCode>
                <c:ptCount val="16"/>
                <c:pt idx="0">
                  <c:v>1.008811696103642</c:v>
                </c:pt>
                <c:pt idx="1">
                  <c:v>1.1871443150880434</c:v>
                </c:pt>
                <c:pt idx="2">
                  <c:v>0.41791127478382722</c:v>
                </c:pt>
                <c:pt idx="3">
                  <c:v>0.4363579179494439</c:v>
                </c:pt>
                <c:pt idx="4">
                  <c:v>0.86619020680741854</c:v>
                </c:pt>
                <c:pt idx="5">
                  <c:v>1.2651846444375878</c:v>
                </c:pt>
                <c:pt idx="6">
                  <c:v>1.2165363216337592</c:v>
                </c:pt>
                <c:pt idx="7">
                  <c:v>1.2223145161179554</c:v>
                </c:pt>
                <c:pt idx="8">
                  <c:v>1.2123101508365883</c:v>
                </c:pt>
                <c:pt idx="9">
                  <c:v>1.1482829911874093</c:v>
                </c:pt>
                <c:pt idx="10">
                  <c:v>1.221144414158561</c:v>
                </c:pt>
                <c:pt idx="11">
                  <c:v>1.2139576341192848</c:v>
                </c:pt>
                <c:pt idx="12">
                  <c:v>1.2654186803545582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3BE-479C-B713-C8C537430883}"/>
            </c:ext>
          </c:extLst>
        </c:ser>
        <c:ser>
          <c:idx val="19"/>
          <c:order val="3"/>
          <c:tx>
            <c:v>C1_ART</c:v>
          </c:tx>
          <c:spPr>
            <a:ln w="25400" cap="rnd">
              <a:noFill/>
              <a:round/>
            </a:ln>
            <a:effectLst/>
          </c:spPr>
          <c:marker>
            <c:symbol val="x"/>
            <c:size val="8"/>
            <c:spPr>
              <a:solidFill>
                <a:schemeClr val="accent2"/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1.1411435254685831E-2"/>
                  <c:y val="-2.20179512316383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10B-4581-BBD4-1287BD2F1F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Lit>
              <c:formatCode>General</c:formatCode>
              <c:ptCount val="4"/>
              <c:pt idx="0">
                <c:v>6</c:v>
              </c:pt>
              <c:pt idx="1">
                <c:v>8</c:v>
              </c:pt>
              <c:pt idx="2">
                <c:v>12</c:v>
              </c:pt>
              <c:pt idx="3">
                <c:v>14</c:v>
              </c:pt>
            </c:numLit>
          </c:xVal>
          <c:yVal>
            <c:numRef>
              <c:f>('Master Template'!$K$249,'Master Template'!$M$249,'Master Template'!$Q$249,'Master Template'!$S$249)</c:f>
              <c:numCache>
                <c:formatCode>0.00</c:formatCode>
                <c:ptCount val="4"/>
                <c:pt idx="0">
                  <c:v>1.19069678541014</c:v>
                </c:pt>
                <c:pt idx="1">
                  <c:v>1.1496879158009299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D3BE-479C-B713-C8C537430883}"/>
            </c:ext>
          </c:extLst>
        </c:ser>
        <c:ser>
          <c:idx val="14"/>
          <c:order val="1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'Breakdown Yld'!$Y$8:$Y$9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'Breakdown Yld'!$Z$8:$Z$9</c:f>
              <c:numCache>
                <c:formatCode>General</c:formatCode>
                <c:ptCount val="2"/>
                <c:pt idx="0">
                  <c:v>-10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3BE-479C-B713-C8C537430883}"/>
            </c:ext>
          </c:extLst>
        </c:ser>
        <c:ser>
          <c:idx val="15"/>
          <c:order val="1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'Breakdown Yld'!$Y$11:$Y$12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'Breakdown Yld'!$Z$11:$Z$12</c:f>
              <c:numCache>
                <c:formatCode>General</c:formatCode>
                <c:ptCount val="2"/>
                <c:pt idx="0">
                  <c:v>-10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3BE-479C-B713-C8C537430883}"/>
            </c:ext>
          </c:extLst>
        </c:ser>
        <c:ser>
          <c:idx val="22"/>
          <c:order val="15"/>
          <c:tx>
            <c:v>C2</c:v>
          </c:tx>
          <c:spPr>
            <a:ln w="25400" cap="rnd">
              <a:noFill/>
              <a:round/>
            </a:ln>
            <a:effectLst/>
          </c:spPr>
          <c:marker>
            <c:symbol val="plus"/>
            <c:size val="8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Template'!$F$250:$U$250</c:f>
              <c:numCache>
                <c:formatCode>0.00</c:formatCode>
                <c:ptCount val="16"/>
                <c:pt idx="0">
                  <c:v>0.82941371994342294</c:v>
                </c:pt>
                <c:pt idx="1">
                  <c:v>0.90690409207161127</c:v>
                </c:pt>
                <c:pt idx="2">
                  <c:v>0.33270837227414324</c:v>
                </c:pt>
                <c:pt idx="3">
                  <c:v>0.35170001126852912</c:v>
                </c:pt>
                <c:pt idx="4">
                  <c:v>0.89578208486118394</c:v>
                </c:pt>
                <c:pt idx="5">
                  <c:v>1.0464727530490174</c:v>
                </c:pt>
                <c:pt idx="6">
                  <c:v>1.0429045625673741</c:v>
                </c:pt>
                <c:pt idx="7">
                  <c:v>0.97606443074978277</c:v>
                </c:pt>
                <c:pt idx="8">
                  <c:v>0.98048598435462841</c:v>
                </c:pt>
                <c:pt idx="9">
                  <c:v>0.94929176249616676</c:v>
                </c:pt>
                <c:pt idx="10">
                  <c:v>0.93155901501225502</c:v>
                </c:pt>
                <c:pt idx="11">
                  <c:v>0.93329662398137381</c:v>
                </c:pt>
                <c:pt idx="12">
                  <c:v>1.0176320787695174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3BE-479C-B713-C8C537430883}"/>
            </c:ext>
          </c:extLst>
        </c:ser>
        <c:ser>
          <c:idx val="24"/>
          <c:order val="17"/>
          <c:tx>
            <c:v>C3</c:v>
          </c:tx>
          <c:spPr>
            <a:ln w="25400" cap="rnd">
              <a:noFill/>
              <a:round/>
            </a:ln>
            <a:effectLst/>
          </c:spPr>
          <c:marker>
            <c:symbol val="x"/>
            <c:size val="9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Lbl>
              <c:idx val="10"/>
              <c:layout>
                <c:manualLayout>
                  <c:x val="-2.0526416932903991E-3"/>
                  <c:y val="-1.0255770139696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D3BE-479C-B713-C8C5374308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Template'!$F$254:$U$254</c:f>
              <c:numCache>
                <c:formatCode>0.00</c:formatCode>
                <c:ptCount val="16"/>
                <c:pt idx="0">
                  <c:v>0.95351246056491201</c:v>
                </c:pt>
                <c:pt idx="1">
                  <c:v>0.98860612488641997</c:v>
                </c:pt>
                <c:pt idx="2">
                  <c:v>0.35147687286876561</c:v>
                </c:pt>
                <c:pt idx="3">
                  <c:v>0.36491665764614706</c:v>
                </c:pt>
                <c:pt idx="4">
                  <c:v>0.74804437166917603</c:v>
                </c:pt>
                <c:pt idx="5">
                  <c:v>1.1347342349014427</c:v>
                </c:pt>
                <c:pt idx="6">
                  <c:v>1.1312003490516007</c:v>
                </c:pt>
                <c:pt idx="7">
                  <c:v>1.0948118044672734</c:v>
                </c:pt>
                <c:pt idx="8">
                  <c:v>1.0800113650515231</c:v>
                </c:pt>
                <c:pt idx="9">
                  <c:v>1.1121189311855004</c:v>
                </c:pt>
                <c:pt idx="10">
                  <c:v>1.0062438094726756</c:v>
                </c:pt>
                <c:pt idx="11">
                  <c:v>1.035945667057506</c:v>
                </c:pt>
                <c:pt idx="12">
                  <c:v>1.1663767736326554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3BE-479C-B713-C8C537430883}"/>
            </c:ext>
          </c:extLst>
        </c:ser>
        <c:ser>
          <c:idx val="26"/>
          <c:order val="18"/>
          <c:tx>
            <c:v>C4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2D0DA3"/>
              </a:solidFill>
              <a:ln w="9525">
                <a:noFill/>
              </a:ln>
              <a:effectLst/>
            </c:spPr>
          </c:marker>
          <c:dLbls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10B-4581-BBD4-1287BD2F1F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Template'!$F$257:$U$257</c:f>
              <c:numCache>
                <c:formatCode>0.00</c:formatCode>
                <c:ptCount val="16"/>
                <c:pt idx="0">
                  <c:v>0.95970824708427915</c:v>
                </c:pt>
                <c:pt idx="1">
                  <c:v>0.90648404542351979</c:v>
                </c:pt>
                <c:pt idx="2">
                  <c:v>0.2331248472034132</c:v>
                </c:pt>
                <c:pt idx="3">
                  <c:v>0.23977462096548319</c:v>
                </c:pt>
                <c:pt idx="4">
                  <c:v>0.60348101976949819</c:v>
                </c:pt>
                <c:pt idx="5">
                  <c:v>0.71829519855547785</c:v>
                </c:pt>
                <c:pt idx="6">
                  <c:v>0.7358942195558914</c:v>
                </c:pt>
                <c:pt idx="7">
                  <c:v>0.79678693974067571</c:v>
                </c:pt>
                <c:pt idx="8">
                  <c:v>0.70888402831743835</c:v>
                </c:pt>
                <c:pt idx="9">
                  <c:v>0.79359235373443249</c:v>
                </c:pt>
                <c:pt idx="10">
                  <c:v>0.62222004649000573</c:v>
                </c:pt>
                <c:pt idx="11">
                  <c:v>0.68434703322144363</c:v>
                </c:pt>
                <c:pt idx="12">
                  <c:v>0.79514943768853796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3BE-479C-B713-C8C537430883}"/>
            </c:ext>
          </c:extLst>
        </c:ser>
        <c:ser>
          <c:idx val="27"/>
          <c:order val="19"/>
          <c:tx>
            <c:v>C4_ART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1"/>
              <c:layout>
                <c:manualLayout>
                  <c:x val="-4.427991349251887E-2"/>
                  <c:y val="6.506745405394661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10B-4581-BBD4-1287BD2F1F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Lit>
              <c:formatCode>General</c:formatCode>
              <c:ptCount val="4"/>
              <c:pt idx="0">
                <c:v>6</c:v>
              </c:pt>
              <c:pt idx="1">
                <c:v>8</c:v>
              </c:pt>
              <c:pt idx="2">
                <c:v>12</c:v>
              </c:pt>
              <c:pt idx="3">
                <c:v>13</c:v>
              </c:pt>
            </c:numLit>
          </c:xVal>
          <c:yVal>
            <c:numRef>
              <c:f>('Master Template'!$K$258,'Master Template'!$M$258,'Master Template'!$Q$258,'Master Template'!$R$258)</c:f>
              <c:numCache>
                <c:formatCode>0.00</c:formatCode>
                <c:ptCount val="4"/>
                <c:pt idx="0">
                  <c:v>1.0502510963298599</c:v>
                </c:pt>
                <c:pt idx="1">
                  <c:v>1.0584428431183199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2-D3BE-479C-B713-C8C537430883}"/>
            </c:ext>
          </c:extLst>
        </c:ser>
        <c:ser>
          <c:idx val="28"/>
          <c:order val="2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5">
                    <a:lumMod val="60000"/>
                    <a:lumOff val="40000"/>
                  </a:schemeClr>
                </a:solidFill>
                <a:ln w="9525">
                  <a:solidFill>
                    <a:schemeClr val="accent5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D3BE-479C-B713-C8C537430883}"/>
              </c:ext>
            </c:extLst>
          </c:dPt>
          <c:xVal>
            <c:numRef>
              <c:f>'Breakdown Yld'!$Y$8:$Y$12</c:f>
              <c:numCache>
                <c:formatCode>General</c:formatCode>
                <c:ptCount val="5"/>
                <c:pt idx="0">
                  <c:v>4.5</c:v>
                </c:pt>
                <c:pt idx="1">
                  <c:v>4.5</c:v>
                </c:pt>
                <c:pt idx="3">
                  <c:v>10.5</c:v>
                </c:pt>
                <c:pt idx="4">
                  <c:v>10.5</c:v>
                </c:pt>
              </c:numCache>
            </c:numRef>
          </c:xVal>
          <c:yVal>
            <c:numRef>
              <c:f>'Breakdown Yld'!$Z$8:$Z$12</c:f>
              <c:numCache>
                <c:formatCode>General</c:formatCode>
                <c:ptCount val="5"/>
                <c:pt idx="0">
                  <c:v>-10</c:v>
                </c:pt>
                <c:pt idx="1">
                  <c:v>100</c:v>
                </c:pt>
                <c:pt idx="3">
                  <c:v>-10</c:v>
                </c:pt>
                <c:pt idx="4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D3BE-479C-B713-C8C537430883}"/>
            </c:ext>
          </c:extLst>
        </c:ser>
        <c:ser>
          <c:idx val="2"/>
          <c:order val="23"/>
          <c:spPr>
            <a:ln w="254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ysDot"/>
              </a:ln>
              <a:effectLst/>
            </c:spPr>
          </c:marker>
          <c:xVal>
            <c:numRef>
              <c:f>CrkConv!$J$49:$J$50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CrkConv!$K$49:$K$50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D3BE-479C-B713-C8C537430883}"/>
            </c:ext>
          </c:extLst>
        </c:ser>
        <c:ser>
          <c:idx val="3"/>
          <c:order val="24"/>
          <c:spPr>
            <a:ln w="254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ysDot"/>
              </a:ln>
              <a:effectLst/>
            </c:spPr>
          </c:marker>
          <c:xVal>
            <c:numRef>
              <c:f>CrkConv!$J$52:$J$53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CrkConv!$K$52:$K$53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D3BE-479C-B713-C8C537430883}"/>
            </c:ext>
          </c:extLst>
        </c:ser>
        <c:ser>
          <c:idx val="21"/>
          <c:order val="26"/>
          <c:tx>
            <c:v>NH3_ART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1"/>
              <c:layout>
                <c:manualLayout>
                  <c:x val="1.0116702640488493E-3"/>
                  <c:y val="1.02842986572759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10B-4581-BBD4-1287BD2F1F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Lit>
              <c:formatCode>General</c:formatCode>
              <c:ptCount val="4"/>
              <c:pt idx="0">
                <c:v>6</c:v>
              </c:pt>
              <c:pt idx="1">
                <c:v>8</c:v>
              </c:pt>
              <c:pt idx="2">
                <c:v>12</c:v>
              </c:pt>
              <c:pt idx="3">
                <c:v>14</c:v>
              </c:pt>
            </c:numLit>
          </c:xVal>
          <c:yVal>
            <c:numRef>
              <c:f>('Master Template'!$K$268,'Master Template'!$M$268,'Master Template'!$Q$268,'Master Template'!$S$268)</c:f>
              <c:numCache>
                <c:formatCode>0.00</c:formatCode>
                <c:ptCount val="4"/>
                <c:pt idx="0">
                  <c:v>0.22573828513228153</c:v>
                </c:pt>
                <c:pt idx="1">
                  <c:v>0.20582044902053004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C-D3BE-479C-B713-C8C537430883}"/>
            </c:ext>
          </c:extLst>
        </c:ser>
        <c:ser>
          <c:idx val="16"/>
          <c:order val="27"/>
          <c:tx>
            <c:v>NH3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2D0DA3"/>
              </a:solidFill>
              <a:ln w="9525">
                <a:noFill/>
              </a:ln>
              <a:effectLst/>
            </c:spPr>
          </c:marker>
          <c:dLbls>
            <c:dLbl>
              <c:idx val="7"/>
              <c:layout>
                <c:manualLayout>
                  <c:x val="4.0914829821691884E-3"/>
                  <c:y val="-2.906022881154647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D3BE-479C-B713-C8C537430883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10B-4581-BBD4-1287BD2F1F67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D3BE-479C-B713-C8C5374308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Template'!$F$267:$U$267</c:f>
              <c:numCache>
                <c:formatCode>0.00</c:formatCode>
                <c:ptCount val="16"/>
                <c:pt idx="0">
                  <c:v>0.19587529531021616</c:v>
                </c:pt>
                <c:pt idx="1">
                  <c:v>0.20626857778393973</c:v>
                </c:pt>
                <c:pt idx="2">
                  <c:v>0.17075376009222609</c:v>
                </c:pt>
                <c:pt idx="3">
                  <c:v>0.17992576978630342</c:v>
                </c:pt>
                <c:pt idx="4">
                  <c:v>0.11408337379684363</c:v>
                </c:pt>
                <c:pt idx="5">
                  <c:v>0.2997175118417772</c:v>
                </c:pt>
                <c:pt idx="6">
                  <c:v>0.27617083105063139</c:v>
                </c:pt>
                <c:pt idx="7">
                  <c:v>0.29227340229573701</c:v>
                </c:pt>
                <c:pt idx="8">
                  <c:v>0.28645804243213774</c:v>
                </c:pt>
                <c:pt idx="9">
                  <c:v>0.29480488523693749</c:v>
                </c:pt>
                <c:pt idx="10">
                  <c:v>0.26856294471958697</c:v>
                </c:pt>
                <c:pt idx="11">
                  <c:v>0.29224187729146361</c:v>
                </c:pt>
                <c:pt idx="12">
                  <c:v>0.28010230583916729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D3BE-479C-B713-C8C537430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496688"/>
        <c:axId val="1201497168"/>
        <c:extLst>
          <c:ext xmlns:c15="http://schemas.microsoft.com/office/drawing/2012/chart" uri="{02D57815-91ED-43cb-92C2-25804820EDAC}">
            <c15:filteredScatterSeries>
              <c15:ser>
                <c:idx val="5"/>
                <c:order val="4"/>
                <c:tx>
                  <c:v>C4 minus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4"/>
                    <c:pt idx="0">
                      <c:v>6</c:v>
                    </c:pt>
                    <c:pt idx="1">
                      <c:v>8</c:v>
                    </c:pt>
                    <c:pt idx="2">
                      <c:v>12</c:v>
                    </c:pt>
                    <c:pt idx="3">
                      <c:v>13</c:v>
                    </c:pt>
                  </c:numLit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Template'!$F$280:$U$280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1.1766712637544501</c:v>
                      </c:pt>
                      <c:pt idx="1">
                        <c:v>1.49749561543152</c:v>
                      </c:pt>
                      <c:pt idx="2">
                        <c:v>1.11487484397199</c:v>
                      </c:pt>
                      <c:pt idx="3">
                        <c:v>1.0359318021910999</c:v>
                      </c:pt>
                      <c:pt idx="4">
                        <c:v>4.2907778382158002</c:v>
                      </c:pt>
                      <c:pt idx="5">
                        <c:v>4.4991202347822901</c:v>
                      </c:pt>
                      <c:pt idx="6">
                        <c:v>4.2500306846106701</c:v>
                      </c:pt>
                      <c:pt idx="7">
                        <c:v>4.4221924475628605</c:v>
                      </c:pt>
                      <c:pt idx="8">
                        <c:v>4.5143295376907293</c:v>
                      </c:pt>
                      <c:pt idx="9">
                        <c:v>4.5485834346828202</c:v>
                      </c:pt>
                      <c:pt idx="10">
                        <c:v>4.3815752831497194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20-D3BE-479C-B713-C8C537430883}"/>
                  </c:ext>
                </c:extLst>
              </c15:ser>
            </c15:filteredScatterSeries>
            <c15:filteredScatterSeries>
              <c15:ser>
                <c:idx val="6"/>
                <c:order val="5"/>
                <c:tx>
                  <c:v>IBP-160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Template'!$F$293:$U$293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1.5765568087462309</c:v>
                      </c:pt>
                      <c:pt idx="1">
                        <c:v>2.7081697599530461</c:v>
                      </c:pt>
                      <c:pt idx="2">
                        <c:v>1.4396098221561986</c:v>
                      </c:pt>
                      <c:pt idx="3">
                        <c:v>1.6537040460770356</c:v>
                      </c:pt>
                      <c:pt idx="4">
                        <c:v>3.77532767773639</c:v>
                      </c:pt>
                      <c:pt idx="5" formatCode="0">
                        <c:v>4.6527219334186709</c:v>
                      </c:pt>
                      <c:pt idx="6">
                        <c:v>3.9537002733708047</c:v>
                      </c:pt>
                      <c:pt idx="7">
                        <c:v>3.9998087992858076</c:v>
                      </c:pt>
                      <c:pt idx="8">
                        <c:v>3.2502749954566004</c:v>
                      </c:pt>
                      <c:pt idx="9">
                        <c:v>3.9330253489247187</c:v>
                      </c:pt>
                      <c:pt idx="10">
                        <c:v>3.2356358329324739</c:v>
                      </c:pt>
                      <c:pt idx="11">
                        <c:v>3.9117633825149962</c:v>
                      </c:pt>
                      <c:pt idx="12">
                        <c:v>3.7306746186192186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1-D3BE-479C-B713-C8C537430883}"/>
                  </c:ext>
                </c:extLst>
              </c15:ser>
            </c15:filteredScatterSeries>
            <c15:filteredScatterSeries>
              <c15:ser>
                <c:idx val="7"/>
                <c:order val="6"/>
                <c:tx>
                  <c:v>IBP-160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Template'!$F$294:$U$294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1.91068059620941</c:v>
                      </c:pt>
                      <c:pt idx="1">
                        <c:v>2.3779379505467197</c:v>
                      </c:pt>
                      <c:pt idx="2">
                        <c:v>2.2362851376229198</c:v>
                      </c:pt>
                      <c:pt idx="3">
                        <c:v>2.1323316070766802</c:v>
                      </c:pt>
                      <c:pt idx="4">
                        <c:v>7.3703492794479004</c:v>
                      </c:pt>
                      <c:pt idx="5">
                        <c:v>7.3455101323497693</c:v>
                      </c:pt>
                      <c:pt idx="6">
                        <c:v>7.3932964469272093</c:v>
                      </c:pt>
                      <c:pt idx="7">
                        <c:v>7.5302525966915095</c:v>
                      </c:pt>
                      <c:pt idx="8">
                        <c:v>7.2905957025073604</c:v>
                      </c:pt>
                      <c:pt idx="9">
                        <c:v>7.4851514482464205</c:v>
                      </c:pt>
                      <c:pt idx="10">
                        <c:v>7.1494016406672802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D3BE-479C-B713-C8C537430883}"/>
                  </c:ext>
                </c:extLst>
              </c15:ser>
            </c15:filteredScatterSeries>
            <c15:filteredScatterSeries>
              <c15:ser>
                <c:idx val="8"/>
                <c:order val="7"/>
                <c:tx>
                  <c:v>160-360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Template'!$F$296:$U$296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8.8368267468050679</c:v>
                      </c:pt>
                      <c:pt idx="1">
                        <c:v>11.360708972861948</c:v>
                      </c:pt>
                      <c:pt idx="2">
                        <c:v>10.221822132538048</c:v>
                      </c:pt>
                      <c:pt idx="3">
                        <c:v>12.101507202166641</c:v>
                      </c:pt>
                      <c:pt idx="4">
                        <c:v>28.132730872228912</c:v>
                      </c:pt>
                      <c:pt idx="5">
                        <c:v>29.289310103413857</c:v>
                      </c:pt>
                      <c:pt idx="6">
                        <c:v>30.318539810657036</c:v>
                      </c:pt>
                      <c:pt idx="7">
                        <c:v>28.024949524239599</c:v>
                      </c:pt>
                      <c:pt idx="8">
                        <c:v>27.418690667294825</c:v>
                      </c:pt>
                      <c:pt idx="9">
                        <c:v>27.890642926822494</c:v>
                      </c:pt>
                      <c:pt idx="10">
                        <c:v>27.34655562471027</c:v>
                      </c:pt>
                      <c:pt idx="11">
                        <c:v>27.628989102837988</c:v>
                      </c:pt>
                      <c:pt idx="12">
                        <c:v>27.460436113948674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D3BE-479C-B713-C8C537430883}"/>
                  </c:ext>
                </c:extLst>
              </c15:ser>
            </c15:filteredScatterSeries>
            <c15:filteredScatterSeries>
              <c15:ser>
                <c:idx val="9"/>
                <c:order val="8"/>
                <c:tx>
                  <c:v>160-360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Template'!$F$297:$U$297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10.947426514883601</c:v>
                      </c:pt>
                      <c:pt idx="1">
                        <c:v>11.5936725671805</c:v>
                      </c:pt>
                      <c:pt idx="2">
                        <c:v>11.5171364966111</c:v>
                      </c:pt>
                      <c:pt idx="3">
                        <c:v>11.53</c:v>
                      </c:pt>
                      <c:pt idx="4">
                        <c:v>28.095230172901903</c:v>
                      </c:pt>
                      <c:pt idx="5">
                        <c:v>26.054003452836298</c:v>
                      </c:pt>
                      <c:pt idx="6">
                        <c:v>26.066366245411199</c:v>
                      </c:pt>
                      <c:pt idx="7">
                        <c:v>25.500117964410002</c:v>
                      </c:pt>
                      <c:pt idx="8">
                        <c:v>24.894483362938999</c:v>
                      </c:pt>
                      <c:pt idx="9">
                        <c:v>24.655799442219699</c:v>
                      </c:pt>
                      <c:pt idx="10">
                        <c:v>25.171153303895501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D3BE-479C-B713-C8C537430883}"/>
                  </c:ext>
                </c:extLst>
              </c15:ser>
            </c15:filteredScatterSeries>
            <c15:filteredScatterSeries>
              <c15:ser>
                <c:idx val="10"/>
                <c:order val="9"/>
                <c:tx>
                  <c:v>360-560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Template'!$F$299:$U$299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33.537769632486174</c:v>
                      </c:pt>
                      <c:pt idx="1">
                        <c:v>31.117628096819022</c:v>
                      </c:pt>
                      <c:pt idx="2">
                        <c:v>30.961649163863196</c:v>
                      </c:pt>
                      <c:pt idx="3">
                        <c:v>32.878479267197996</c:v>
                      </c:pt>
                      <c:pt idx="4">
                        <c:v>36.305093414864992</c:v>
                      </c:pt>
                      <c:pt idx="5">
                        <c:v>37.271353740837263</c:v>
                      </c:pt>
                      <c:pt idx="6">
                        <c:v>36.892781038101006</c:v>
                      </c:pt>
                      <c:pt idx="7">
                        <c:v>37.202491133368738</c:v>
                      </c:pt>
                      <c:pt idx="8">
                        <c:v>37.189452933093797</c:v>
                      </c:pt>
                      <c:pt idx="9">
                        <c:v>36.502963683590579</c:v>
                      </c:pt>
                      <c:pt idx="10">
                        <c:v>37.966242591463242</c:v>
                      </c:pt>
                      <c:pt idx="11">
                        <c:v>37.1067835927727</c:v>
                      </c:pt>
                      <c:pt idx="12">
                        <c:v>37.73389845911575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D3BE-479C-B713-C8C537430883}"/>
                  </c:ext>
                </c:extLst>
              </c15:ser>
            </c15:filteredScatterSeries>
            <c15:filteredScatterSeries>
              <c15:ser>
                <c:idx val="11"/>
                <c:order val="10"/>
                <c:tx>
                  <c:v>350-560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Template'!$F$300:$U$300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31.7418690877874</c:v>
                      </c:pt>
                      <c:pt idx="1">
                        <c:v>31.9002090375465</c:v>
                      </c:pt>
                      <c:pt idx="2">
                        <c:v>31.9884018006247</c:v>
                      </c:pt>
                      <c:pt idx="3">
                        <c:v>31.761673460997297</c:v>
                      </c:pt>
                      <c:pt idx="4">
                        <c:v>39.076043221103404</c:v>
                      </c:pt>
                      <c:pt idx="5">
                        <c:v>36.688113728056699</c:v>
                      </c:pt>
                      <c:pt idx="6">
                        <c:v>37.971183769655596</c:v>
                      </c:pt>
                      <c:pt idx="7">
                        <c:v>37.874229205062896</c:v>
                      </c:pt>
                      <c:pt idx="8">
                        <c:v>35.613119849672501</c:v>
                      </c:pt>
                      <c:pt idx="9">
                        <c:v>35.683503356070098</c:v>
                      </c:pt>
                      <c:pt idx="10">
                        <c:v>36.313549731131999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D3BE-479C-B713-C8C537430883}"/>
                  </c:ext>
                </c:extLst>
              </c15:ser>
            </c15:filteredScatterSeries>
            <c15:filteredScatterSeries>
              <c15:ser>
                <c:idx val="12"/>
                <c:order val="11"/>
                <c:tx>
                  <c:v>560 plus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Template'!$F$301:$U$301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49.194742445673143</c:v>
                      </c:pt>
                      <c:pt idx="1">
                        <c:v>48.412572557544763</c:v>
                      </c:pt>
                      <c:pt idx="2">
                        <c:v>50.852650356957419</c:v>
                      </c:pt>
                      <c:pt idx="3">
                        <c:v>48.978499646577959</c:v>
                      </c:pt>
                      <c:pt idx="4">
                        <c:v>22.465452814296697</c:v>
                      </c:pt>
                      <c:pt idx="5">
                        <c:v>19.911552210052058</c:v>
                      </c:pt>
                      <c:pt idx="6">
                        <c:v>20.605956886621684</c:v>
                      </c:pt>
                      <c:pt idx="7">
                        <c:v>21.716797345342499</c:v>
                      </c:pt>
                      <c:pt idx="8">
                        <c:v>23.180080448547425</c:v>
                      </c:pt>
                      <c:pt idx="9">
                        <c:v>22.756082566697334</c:v>
                      </c:pt>
                      <c:pt idx="10">
                        <c:v>22.886492991727934</c:v>
                      </c:pt>
                      <c:pt idx="11">
                        <c:v>22.18117054714785</c:v>
                      </c:pt>
                      <c:pt idx="12">
                        <c:v>21.856143964110931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D3BE-479C-B713-C8C537430883}"/>
                  </c:ext>
                </c:extLst>
              </c15:ser>
            </c15:filteredScatterSeries>
            <c15:filteredScatterSeries>
              <c15:ser>
                <c:idx val="13"/>
                <c:order val="12"/>
                <c:tx>
                  <c:v>560 plus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Template'!$F$302:$U$302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49.957418903525301</c:v>
                      </c:pt>
                      <c:pt idx="1">
                        <c:v>49.980452454645203</c:v>
                      </c:pt>
                      <c:pt idx="2">
                        <c:v>50.016167312909396</c:v>
                      </c:pt>
                      <c:pt idx="3">
                        <c:v>49.7795928038502</c:v>
                      </c:pt>
                      <c:pt idx="4">
                        <c:v>18.9259151803649</c:v>
                      </c:pt>
                      <c:pt idx="5">
                        <c:v>19.615766783442503</c:v>
                      </c:pt>
                      <c:pt idx="6">
                        <c:v>19.911835162682799</c:v>
                      </c:pt>
                      <c:pt idx="7">
                        <c:v>20.989226245100699</c:v>
                      </c:pt>
                      <c:pt idx="8">
                        <c:v>23.324351868783801</c:v>
                      </c:pt>
                      <c:pt idx="9">
                        <c:v>23.577783903335998</c:v>
                      </c:pt>
                      <c:pt idx="10">
                        <c:v>22.953526965747002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8-D3BE-479C-B713-C8C537430883}"/>
                  </c:ext>
                </c:extLst>
              </c15:ser>
            </c15:filteredScatterSeries>
            <c15:filteredScatterSeries>
              <c15:ser>
                <c:idx val="23"/>
                <c:order val="16"/>
                <c:tx>
                  <c:v>C2_ART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x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6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4"/>
                    <c:pt idx="0">
                      <c:v>6</c:v>
                    </c:pt>
                    <c:pt idx="1">
                      <c:v>8</c:v>
                    </c:pt>
                    <c:pt idx="2">
                      <c:v>12</c:v>
                    </c:pt>
                    <c:pt idx="3">
                      <c:v>14</c:v>
                    </c:pt>
                  </c:numLit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Template'!$F$252:$U$252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0.28724142692066801</c:v>
                      </c:pt>
                      <c:pt idx="1">
                        <c:v>0.36555900584460699</c:v>
                      </c:pt>
                      <c:pt idx="2">
                        <c:v>0.268613718717436</c:v>
                      </c:pt>
                      <c:pt idx="3">
                        <c:v>0.24567552621132899</c:v>
                      </c:pt>
                      <c:pt idx="4">
                        <c:v>1.05628509237812</c:v>
                      </c:pt>
                      <c:pt idx="5">
                        <c:v>1.0533426681020701</c:v>
                      </c:pt>
                      <c:pt idx="6">
                        <c:v>1.0129840085142001</c:v>
                      </c:pt>
                      <c:pt idx="7">
                        <c:v>1.0196636872282001</c:v>
                      </c:pt>
                      <c:pt idx="8">
                        <c:v>1.0554923748120399</c:v>
                      </c:pt>
                      <c:pt idx="9">
                        <c:v>1.06350125559509</c:v>
                      </c:pt>
                      <c:pt idx="10">
                        <c:v>1.03984367312805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3BE-479C-B713-C8C537430883}"/>
                  </c:ext>
                </c:extLst>
              </c15:ser>
            </c15:filteredScatterSeries>
            <c15:filteredScatterSeries>
              <c15:ser>
                <c:idx val="0"/>
                <c:order val="21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476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Lbl>
                    <c:idx val="6"/>
                    <c:layout>
                      <c:manualLayout>
                        <c:x val="-4.6136130829716477E-3"/>
                        <c:y val="3.0286210652518759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9-D3BE-479C-B713-C8C537430883}"/>
                      </c:ext>
                    </c:extLst>
                  </c:dLbl>
                  <c:dLbl>
                    <c:idx val="8"/>
                    <c:layout>
                      <c:manualLayout>
                        <c:x val="-1.1534032707428907E-2"/>
                        <c:y val="3.9750651481430914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A-D3BE-479C-B713-C8C537430883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Template'!$F$156:$U$156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42.185727696615224</c:v>
                      </c:pt>
                      <c:pt idx="1">
                        <c:v>43.348591507915046</c:v>
                      </c:pt>
                      <c:pt idx="2">
                        <c:v>40.23733372864649</c:v>
                      </c:pt>
                      <c:pt idx="3">
                        <c:v>42.439858919770643</c:v>
                      </c:pt>
                      <c:pt idx="4">
                        <c:v>75.495532663000404</c:v>
                      </c:pt>
                      <c:pt idx="5">
                        <c:v>78.204495724447966</c:v>
                      </c:pt>
                      <c:pt idx="6">
                        <c:v>76.489027330311615</c:v>
                      </c:pt>
                      <c:pt idx="7">
                        <c:v>75.221581231638794</c:v>
                      </c:pt>
                      <c:pt idx="8">
                        <c:v>73.55200533003125</c:v>
                      </c:pt>
                      <c:pt idx="9">
                        <c:v>74.035778185959884</c:v>
                      </c:pt>
                      <c:pt idx="10">
                        <c:v>74.568120457965094</c:v>
                      </c:pt>
                      <c:pt idx="11">
                        <c:v>74.691740966697267</c:v>
                      </c:pt>
                      <c:pt idx="12">
                        <c:v>75.062589607832905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B-D3BE-479C-B713-C8C537430883}"/>
                  </c:ext>
                </c:extLst>
              </c15:ser>
            </c15:filteredScatterSeries>
            <c15:filteredScatterSeries>
              <c15:ser>
                <c:idx val="1"/>
                <c:order val="22"/>
                <c:tx>
                  <c:v>ART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2857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dLbl>
                    <c:idx val="6"/>
                    <c:layout>
                      <c:manualLayout>
                        <c:x val="-6.920419624457429E-3"/>
                        <c:y val="-4.732220414456064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C-D3BE-479C-B713-C8C537430883}"/>
                      </c:ext>
                    </c:extLst>
                  </c:dLbl>
                  <c:dLbl>
                    <c:idx val="8"/>
                    <c:layout>
                      <c:manualLayout>
                        <c:x val="-5.7670163537144534E-3"/>
                        <c:y val="-5.300086864190788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D-D3BE-479C-B713-C8C537430883}"/>
                      </c:ext>
                    </c:extLst>
                  </c:dLbl>
                  <c:dLbl>
                    <c:idx val="13"/>
                    <c:layout>
                      <c:manualLayout>
                        <c:x val="-5.7670163537144534E-3"/>
                        <c:y val="-3.5964875149866099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E-D3BE-479C-B713-C8C537430883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Template'!$F$158:$U$158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44</c:v>
                      </c:pt>
                      <c:pt idx="1">
                        <c:v>41.5</c:v>
                      </c:pt>
                      <c:pt idx="2">
                        <c:v>40.5</c:v>
                      </c:pt>
                      <c:pt idx="3">
                        <c:v>39.9</c:v>
                      </c:pt>
                      <c:pt idx="4">
                        <c:v>68</c:v>
                      </c:pt>
                      <c:pt idx="5">
                        <c:v>67.5</c:v>
                      </c:pt>
                      <c:pt idx="6">
                        <c:v>67.8</c:v>
                      </c:pt>
                      <c:pt idx="7">
                        <c:v>68.2</c:v>
                      </c:pt>
                      <c:pt idx="8">
                        <c:v>68</c:v>
                      </c:pt>
                      <c:pt idx="9">
                        <c:v>68.2</c:v>
                      </c:pt>
                      <c:pt idx="10">
                        <c:v>66.5</c:v>
                      </c:pt>
                      <c:pt idx="11">
                        <c:v>65.8</c:v>
                      </c:pt>
                      <c:pt idx="12">
                        <c:v>66.2</c:v>
                      </c:pt>
                      <c:pt idx="13">
                        <c:v>68.2</c:v>
                      </c:pt>
                      <c:pt idx="14">
                        <c:v>68.400000000000006</c:v>
                      </c:pt>
                      <c:pt idx="15">
                        <c:v>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F-D3BE-479C-B713-C8C537430883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v>C3_ART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tx1">
                        <a:lumMod val="95000"/>
                        <a:lumOff val="5000"/>
                      </a:schemeClr>
                    </a:solidFill>
                    <a:ln w="9525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7"/>
                    <c:layout>
                      <c:manualLayout>
                        <c:x val="1.0320686483305721E-3"/>
                        <c:y val="-3.3070806680302951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8-D3BE-479C-B713-C8C537430883}"/>
                      </c:ext>
                    </c:extLst>
                  </c:dLbl>
                  <c:dLbl>
                    <c:idx val="14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D3BE-479C-B713-C8C537430883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Template'!$F$255:$U$255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0.29579755453107132</c:v>
                      </c:pt>
                      <c:pt idx="1">
                        <c:v>0.37644799750806307</c:v>
                      </c:pt>
                      <c:pt idx="2">
                        <c:v>0.28140484818017075</c:v>
                      </c:pt>
                      <c:pt idx="3">
                        <c:v>0.27024307883246179</c:v>
                      </c:pt>
                      <c:pt idx="4">
                        <c:v>1.118879764519042</c:v>
                      </c:pt>
                      <c:pt idx="5">
                        <c:v>1.2048296849402258</c:v>
                      </c:pt>
                      <c:pt idx="6">
                        <c:v>1.1192347756294623</c:v>
                      </c:pt>
                      <c:pt idx="7">
                        <c:v>1.1943980014154094</c:v>
                      </c:pt>
                      <c:pt idx="8">
                        <c:v>1.1984945675285117</c:v>
                      </c:pt>
                      <c:pt idx="9">
                        <c:v>1.2075885224821632</c:v>
                      </c:pt>
                      <c:pt idx="10">
                        <c:v>1.1615030874233849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D3BE-479C-B713-C8C537430883}"/>
                  </c:ext>
                </c:extLst>
              </c15:ser>
            </c15:filteredScatterSeries>
          </c:ext>
        </c:extLst>
      </c:scatterChart>
      <c:valAx>
        <c:axId val="1201496688"/>
        <c:scaling>
          <c:orientation val="minMax"/>
          <c:max val="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Day on stream</a:t>
                </a:r>
              </a:p>
            </c:rich>
          </c:tx>
          <c:layout>
            <c:manualLayout>
              <c:xMode val="edge"/>
              <c:yMode val="edge"/>
              <c:x val="0.43692302438556074"/>
              <c:y val="0.898463217301407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7168"/>
        <c:crosses val="autoZero"/>
        <c:crossBetween val="midCat"/>
        <c:majorUnit val="1"/>
      </c:valAx>
      <c:valAx>
        <c:axId val="1201497168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% wt of Feed</a:t>
                </a:r>
              </a:p>
            </c:rich>
          </c:tx>
          <c:layout>
            <c:manualLayout>
              <c:xMode val="edge"/>
              <c:yMode val="edge"/>
              <c:x val="4.3246590879763139E-2"/>
              <c:y val="0.316740721950183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6688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ayout>
        <c:manualLayout>
          <c:xMode val="edge"/>
          <c:yMode val="edge"/>
          <c:x val="0.847989084438866"/>
          <c:y val="0.32137352370605327"/>
          <c:w val="6.7218744905694391E-2"/>
          <c:h val="0.419871664807417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Light Gas Yields vs Day on Stream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8142161527054"/>
          <c:y val="0.22778563347433431"/>
          <c:w val="0.75802406274407497"/>
          <c:h val="0.66866927074705163"/>
        </c:manualLayout>
      </c:layout>
      <c:lineChart>
        <c:grouping val="standard"/>
        <c:varyColors val="0"/>
        <c:ser>
          <c:idx val="1"/>
          <c:order val="1"/>
          <c:tx>
            <c:v>CH4, Corrected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'Master Template'!$F$6:$T$6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'Master Template'!$F$248:$T$248</c:f>
              <c:numCache>
                <c:formatCode>0.00</c:formatCode>
                <c:ptCount val="15"/>
                <c:pt idx="0">
                  <c:v>1.008811696103642</c:v>
                </c:pt>
                <c:pt idx="1">
                  <c:v>1.1871443150880434</c:v>
                </c:pt>
                <c:pt idx="2">
                  <c:v>0.41791127478382722</c:v>
                </c:pt>
                <c:pt idx="3">
                  <c:v>0.4363579179494439</c:v>
                </c:pt>
                <c:pt idx="4">
                  <c:v>0.86619020680741854</c:v>
                </c:pt>
                <c:pt idx="5">
                  <c:v>1.2651846444375878</c:v>
                </c:pt>
                <c:pt idx="6">
                  <c:v>1.2165363216337592</c:v>
                </c:pt>
                <c:pt idx="7">
                  <c:v>1.2223145161179554</c:v>
                </c:pt>
                <c:pt idx="8">
                  <c:v>1.2123101508365883</c:v>
                </c:pt>
                <c:pt idx="9">
                  <c:v>1.1482829911874093</c:v>
                </c:pt>
                <c:pt idx="10">
                  <c:v>1.221144414158561</c:v>
                </c:pt>
                <c:pt idx="11">
                  <c:v>1.2139576341192848</c:v>
                </c:pt>
                <c:pt idx="12">
                  <c:v>1.2654186803545582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59-4A17-BDC1-F35447650003}"/>
            </c:ext>
          </c:extLst>
        </c:ser>
        <c:ser>
          <c:idx val="4"/>
          <c:order val="4"/>
          <c:tx>
            <c:v>C2H6, Corrected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'Master Template'!$F$6:$T$6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'Master Template'!$F$251:$T$251</c:f>
              <c:numCache>
                <c:formatCode>0.00</c:formatCode>
                <c:ptCount val="15"/>
                <c:pt idx="0">
                  <c:v>0.82495176870986531</c:v>
                </c:pt>
                <c:pt idx="1">
                  <c:v>0.92436330589715865</c:v>
                </c:pt>
                <c:pt idx="2">
                  <c:v>0.34546383096045669</c:v>
                </c:pt>
                <c:pt idx="3">
                  <c:v>0.3608139788836347</c:v>
                </c:pt>
                <c:pt idx="4">
                  <c:v>0.66160219003544984</c:v>
                </c:pt>
                <c:pt idx="5">
                  <c:v>1.0877793305862722</c:v>
                </c:pt>
                <c:pt idx="6">
                  <c:v>1.0448394468527282</c:v>
                </c:pt>
                <c:pt idx="7">
                  <c:v>1.0130424773001645</c:v>
                </c:pt>
                <c:pt idx="8">
                  <c:v>1.0182459937202415</c:v>
                </c:pt>
                <c:pt idx="9">
                  <c:v>0.98180713307090917</c:v>
                </c:pt>
                <c:pt idx="10">
                  <c:v>0.98828356343589441</c:v>
                </c:pt>
                <c:pt idx="11">
                  <c:v>0.98198609914232626</c:v>
                </c:pt>
                <c:pt idx="12">
                  <c:v>1.0664838357876341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559-4A17-BDC1-F35447650003}"/>
            </c:ext>
          </c:extLst>
        </c:ser>
        <c:ser>
          <c:idx val="7"/>
          <c:order val="7"/>
          <c:tx>
            <c:v>C3H8, wt%, Corrected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'Master Template'!$F$6:$T$6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'Master Template'!$F$254:$T$254</c:f>
              <c:numCache>
                <c:formatCode>0.00</c:formatCode>
                <c:ptCount val="15"/>
                <c:pt idx="0">
                  <c:v>0.95351246056491201</c:v>
                </c:pt>
                <c:pt idx="1">
                  <c:v>0.98860612488641997</c:v>
                </c:pt>
                <c:pt idx="2">
                  <c:v>0.35147687286876561</c:v>
                </c:pt>
                <c:pt idx="3">
                  <c:v>0.36491665764614706</c:v>
                </c:pt>
                <c:pt idx="4">
                  <c:v>0.74804437166917603</c:v>
                </c:pt>
                <c:pt idx="5">
                  <c:v>1.1347342349014427</c:v>
                </c:pt>
                <c:pt idx="6">
                  <c:v>1.1312003490516007</c:v>
                </c:pt>
                <c:pt idx="7">
                  <c:v>1.0948118044672734</c:v>
                </c:pt>
                <c:pt idx="8">
                  <c:v>1.0800113650515231</c:v>
                </c:pt>
                <c:pt idx="9">
                  <c:v>1.1121189311855004</c:v>
                </c:pt>
                <c:pt idx="10">
                  <c:v>1.0062438094726756</c:v>
                </c:pt>
                <c:pt idx="11">
                  <c:v>1.035945667057506</c:v>
                </c:pt>
                <c:pt idx="12">
                  <c:v>1.1663767736326554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559-4A17-BDC1-F35447650003}"/>
            </c:ext>
          </c:extLst>
        </c:ser>
        <c:ser>
          <c:idx val="10"/>
          <c:order val="10"/>
          <c:tx>
            <c:v>C4H10, wt, Corrected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'Master Template'!$F$6:$T$6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'Master Template'!$F$257:$T$257</c:f>
              <c:numCache>
                <c:formatCode>0.00</c:formatCode>
                <c:ptCount val="15"/>
                <c:pt idx="0">
                  <c:v>0.95970824708427915</c:v>
                </c:pt>
                <c:pt idx="1">
                  <c:v>0.90648404542351979</c:v>
                </c:pt>
                <c:pt idx="2">
                  <c:v>0.2331248472034132</c:v>
                </c:pt>
                <c:pt idx="3">
                  <c:v>0.23977462096548319</c:v>
                </c:pt>
                <c:pt idx="4">
                  <c:v>0.60348101976949819</c:v>
                </c:pt>
                <c:pt idx="5">
                  <c:v>0.71829519855547785</c:v>
                </c:pt>
                <c:pt idx="6">
                  <c:v>0.7358942195558914</c:v>
                </c:pt>
                <c:pt idx="7">
                  <c:v>0.79678693974067571</c:v>
                </c:pt>
                <c:pt idx="8">
                  <c:v>0.70888402831743835</c:v>
                </c:pt>
                <c:pt idx="9">
                  <c:v>0.79359235373443249</c:v>
                </c:pt>
                <c:pt idx="10">
                  <c:v>0.62222004649000573</c:v>
                </c:pt>
                <c:pt idx="11">
                  <c:v>0.68434703322144363</c:v>
                </c:pt>
                <c:pt idx="12">
                  <c:v>0.79514943768853796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559-4A17-BDC1-F35447650003}"/>
            </c:ext>
          </c:extLst>
        </c:ser>
        <c:ser>
          <c:idx val="13"/>
          <c:order val="13"/>
          <c:tx>
            <c:v>C5H12, wt, Corrected</c:v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'Master Template'!$F$6:$T$6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'Master Template'!$F$260:$T$260</c:f>
              <c:numCache>
                <c:formatCode>0.00</c:formatCode>
                <c:ptCount val="15"/>
                <c:pt idx="0">
                  <c:v>0.61746129486519241</c:v>
                </c:pt>
                <c:pt idx="1">
                  <c:v>0.46226441825130038</c:v>
                </c:pt>
                <c:pt idx="2">
                  <c:v>0.20011899673619807</c:v>
                </c:pt>
                <c:pt idx="3">
                  <c:v>0.20157079511967541</c:v>
                </c:pt>
                <c:pt idx="4">
                  <c:v>0.45012515921310781</c:v>
                </c:pt>
                <c:pt idx="5">
                  <c:v>0.51504371633792223</c:v>
                </c:pt>
                <c:pt idx="6">
                  <c:v>0.51284009158770205</c:v>
                </c:pt>
                <c:pt idx="7">
                  <c:v>0.76460488185670894</c:v>
                </c:pt>
                <c:pt idx="8">
                  <c:v>0.56944724727822893</c:v>
                </c:pt>
                <c:pt idx="9">
                  <c:v>0.62177955900031889</c:v>
                </c:pt>
                <c:pt idx="10">
                  <c:v>0.55482769629878292</c:v>
                </c:pt>
                <c:pt idx="11">
                  <c:v>0.62038078838779798</c:v>
                </c:pt>
                <c:pt idx="12">
                  <c:v>0.65829363885874359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559-4A17-BDC1-F35447650003}"/>
            </c:ext>
          </c:extLst>
        </c:ser>
        <c:ser>
          <c:idx val="16"/>
          <c:order val="16"/>
          <c:tx>
            <c:v>C6H14, wt, Corrected</c:v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'Master Template'!$F$6:$T$6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'Master Template'!$F$263:$T$263</c:f>
              <c:numCache>
                <c:formatCode>0.00</c:formatCode>
                <c:ptCount val="15"/>
                <c:pt idx="0">
                  <c:v>0.38577674802468964</c:v>
                </c:pt>
                <c:pt idx="1">
                  <c:v>0.73192566871345388</c:v>
                </c:pt>
                <c:pt idx="2">
                  <c:v>0.16348712567785742</c:v>
                </c:pt>
                <c:pt idx="3">
                  <c:v>8.6976679781246374E-2</c:v>
                </c:pt>
                <c:pt idx="4">
                  <c:v>0.46827343529813864</c:v>
                </c:pt>
                <c:pt idx="5">
                  <c:v>0.46466220613213016</c:v>
                </c:pt>
                <c:pt idx="6">
                  <c:v>0.4203563923950322</c:v>
                </c:pt>
                <c:pt idx="7">
                  <c:v>0.33178220411837167</c:v>
                </c:pt>
                <c:pt idx="8">
                  <c:v>0.28446512106683369</c:v>
                </c:pt>
                <c:pt idx="9">
                  <c:v>0.46777966680288019</c:v>
                </c:pt>
                <c:pt idx="10">
                  <c:v>0.43746314082118132</c:v>
                </c:pt>
                <c:pt idx="11">
                  <c:v>0.65111207364816182</c:v>
                </c:pt>
                <c:pt idx="12">
                  <c:v>0.59202549328028664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559-4A17-BDC1-F35447650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8797440"/>
        <c:axId val="178427652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CH4, wt%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'Master Template'!$F$6:$T$6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'Master Template'!$F$247:$T$247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1.0142680982383954</c:v>
                      </c:pt>
                      <c:pt idx="1">
                        <c:v>1.164721739130435</c:v>
                      </c:pt>
                      <c:pt idx="2">
                        <c:v>0.40248086059190019</c:v>
                      </c:pt>
                      <c:pt idx="3">
                        <c:v>0.42533575094501991</c:v>
                      </c:pt>
                      <c:pt idx="4">
                        <c:v>1.0863663847938336</c:v>
                      </c:pt>
                      <c:pt idx="5">
                        <c:v>1.2171414006059196</c:v>
                      </c:pt>
                      <c:pt idx="6">
                        <c:v>1.2142834807610472</c:v>
                      </c:pt>
                      <c:pt idx="7">
                        <c:v>1.1776976277948958</c:v>
                      </c:pt>
                      <c:pt idx="8">
                        <c:v>1.1673535853976533</c:v>
                      </c:pt>
                      <c:pt idx="9">
                        <c:v>1.1102542931616071</c:v>
                      </c:pt>
                      <c:pt idx="10">
                        <c:v>1.1510543428308826</c:v>
                      </c:pt>
                      <c:pt idx="11">
                        <c:v>1.1537663950329842</c:v>
                      </c:pt>
                      <c:pt idx="12">
                        <c:v>1.2074544395245863</c:v>
                      </c:pt>
                      <c:pt idx="13">
                        <c:v>0</c:v>
                      </c:pt>
                      <c:pt idx="14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559-4A17-BDC1-F3544765000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CH4, ART Acceptance</c:v>
                </c:tx>
                <c:spPr>
                  <a:ln w="19050" cap="rnd">
                    <a:solidFill>
                      <a:srgbClr val="196B24"/>
                    </a:solidFill>
                    <a:prstDash val="lgDash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Template'!$F$6:$T$6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Template'!$F$249:$T$249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0.34550458160103098</c:v>
                      </c:pt>
                      <c:pt idx="1">
                        <c:v>0.43970785383861904</c:v>
                      </c:pt>
                      <c:pt idx="2">
                        <c:v>0.32745291424601697</c:v>
                      </c:pt>
                      <c:pt idx="3">
                        <c:v>0.282526855143028</c:v>
                      </c:pt>
                      <c:pt idx="4">
                        <c:v>1.22059610674805</c:v>
                      </c:pt>
                      <c:pt idx="5">
                        <c:v>1.19069678541014</c:v>
                      </c:pt>
                      <c:pt idx="6">
                        <c:v>1.17776274056584</c:v>
                      </c:pt>
                      <c:pt idx="7">
                        <c:v>1.1496879158009299</c:v>
                      </c:pt>
                      <c:pt idx="8">
                        <c:v>1.22028537784721</c:v>
                      </c:pt>
                      <c:pt idx="9">
                        <c:v>1.2295446774363801</c:v>
                      </c:pt>
                      <c:pt idx="10">
                        <c:v>1.2083304846238501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559-4A17-BDC1-F3544765000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C2H6, wt%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Template'!$F$6:$T$6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Template'!$F$250:$T$250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0.82941371994342294</c:v>
                      </c:pt>
                      <c:pt idx="1">
                        <c:v>0.90690409207161127</c:v>
                      </c:pt>
                      <c:pt idx="2">
                        <c:v>0.33270837227414324</c:v>
                      </c:pt>
                      <c:pt idx="3">
                        <c:v>0.35170001126852912</c:v>
                      </c:pt>
                      <c:pt idx="4">
                        <c:v>0.89578208486118394</c:v>
                      </c:pt>
                      <c:pt idx="5">
                        <c:v>1.0464727530490174</c:v>
                      </c:pt>
                      <c:pt idx="6">
                        <c:v>1.0429045625673741</c:v>
                      </c:pt>
                      <c:pt idx="7">
                        <c:v>0.97606443074978277</c:v>
                      </c:pt>
                      <c:pt idx="8">
                        <c:v>0.98048598435462841</c:v>
                      </c:pt>
                      <c:pt idx="9">
                        <c:v>0.94929176249616676</c:v>
                      </c:pt>
                      <c:pt idx="10">
                        <c:v>0.93155901501225502</c:v>
                      </c:pt>
                      <c:pt idx="11">
                        <c:v>0.93329662398137381</c:v>
                      </c:pt>
                      <c:pt idx="12">
                        <c:v>1.0176320787695174</c:v>
                      </c:pt>
                      <c:pt idx="13">
                        <c:v>0</c:v>
                      </c:pt>
                      <c:pt idx="1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559-4A17-BDC1-F3544765000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C2H6, wt%, ART Acceptance</c:v>
                </c:tx>
                <c:spPr>
                  <a:ln w="19050" cap="rnd">
                    <a:solidFill>
                      <a:srgbClr val="4EA72E"/>
                    </a:solidFill>
                    <a:prstDash val="lgDash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Template'!$F$6:$T$6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Template'!$F$252:$T$252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0.28724142692066801</c:v>
                      </c:pt>
                      <c:pt idx="1">
                        <c:v>0.36555900584460699</c:v>
                      </c:pt>
                      <c:pt idx="2">
                        <c:v>0.268613718717436</c:v>
                      </c:pt>
                      <c:pt idx="3">
                        <c:v>0.24567552621132899</c:v>
                      </c:pt>
                      <c:pt idx="4">
                        <c:v>1.05628509237812</c:v>
                      </c:pt>
                      <c:pt idx="5">
                        <c:v>1.0533426681020701</c:v>
                      </c:pt>
                      <c:pt idx="6">
                        <c:v>1.0129840085142001</c:v>
                      </c:pt>
                      <c:pt idx="7">
                        <c:v>1.0196636872282001</c:v>
                      </c:pt>
                      <c:pt idx="8">
                        <c:v>1.0554923748120399</c:v>
                      </c:pt>
                      <c:pt idx="9">
                        <c:v>1.06350125559509</c:v>
                      </c:pt>
                      <c:pt idx="10">
                        <c:v>1.03984367312805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559-4A17-BDC1-F3544765000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C3H8, wt%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Template'!$F$6:$T$6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Template'!$F$253:$T$253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0.95866976340491183</c:v>
                      </c:pt>
                      <c:pt idx="1">
                        <c:v>0.96993350383631738</c:v>
                      </c:pt>
                      <c:pt idx="2">
                        <c:v>0.33849939641744542</c:v>
                      </c:pt>
                      <c:pt idx="3">
                        <c:v>0.35569905856561873</c:v>
                      </c:pt>
                      <c:pt idx="4">
                        <c:v>0.69684195165756213</c:v>
                      </c:pt>
                      <c:pt idx="5">
                        <c:v>1.091644624407675</c:v>
                      </c:pt>
                      <c:pt idx="6">
                        <c:v>1.1291055374654189</c:v>
                      </c:pt>
                      <c:pt idx="7">
                        <c:v>1.0548490163545863</c:v>
                      </c:pt>
                      <c:pt idx="8">
                        <c:v>1.0399608865710561</c:v>
                      </c:pt>
                      <c:pt idx="9">
                        <c:v>1.0752879101502608</c:v>
                      </c:pt>
                      <c:pt idx="10">
                        <c:v>0.94848839613970592</c:v>
                      </c:pt>
                      <c:pt idx="11">
                        <c:v>0.9845807334109431</c:v>
                      </c:pt>
                      <c:pt idx="12">
                        <c:v>1.1129492833838266</c:v>
                      </c:pt>
                      <c:pt idx="13">
                        <c:v>0</c:v>
                      </c:pt>
                      <c:pt idx="1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559-4A17-BDC1-F35447650003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v>C3H8, ART Acceptance</c:v>
                </c:tx>
                <c:spPr>
                  <a:ln w="19050" cap="rnd">
                    <a:solidFill>
                      <a:srgbClr val="0F4016"/>
                    </a:solidFill>
                    <a:prstDash val="lgDash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Template'!$F$6:$T$6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Template'!$F$255:$T$255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0.29579755453107132</c:v>
                      </c:pt>
                      <c:pt idx="1">
                        <c:v>0.37644799750806307</c:v>
                      </c:pt>
                      <c:pt idx="2">
                        <c:v>0.28140484818017075</c:v>
                      </c:pt>
                      <c:pt idx="3">
                        <c:v>0.27024307883246179</c:v>
                      </c:pt>
                      <c:pt idx="4">
                        <c:v>1.118879764519042</c:v>
                      </c:pt>
                      <c:pt idx="5">
                        <c:v>1.2048296849402258</c:v>
                      </c:pt>
                      <c:pt idx="6">
                        <c:v>1.1192347756294623</c:v>
                      </c:pt>
                      <c:pt idx="7">
                        <c:v>1.1943980014154094</c:v>
                      </c:pt>
                      <c:pt idx="8">
                        <c:v>1.1984945675285117</c:v>
                      </c:pt>
                      <c:pt idx="9">
                        <c:v>1.2075885224821632</c:v>
                      </c:pt>
                      <c:pt idx="10">
                        <c:v>1.1615030874233849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559-4A17-BDC1-F35447650003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v>C4H10, wt%</c:v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Template'!$F$6:$T$6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Template'!$F$256:$T$256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0.96489906133470504</c:v>
                      </c:pt>
                      <c:pt idx="1">
                        <c:v>0.88936253196930959</c:v>
                      </c:pt>
                      <c:pt idx="2">
                        <c:v>0.22451724753374866</c:v>
                      </c:pt>
                      <c:pt idx="3">
                        <c:v>0.23371804262235751</c:v>
                      </c:pt>
                      <c:pt idx="4">
                        <c:v>0.56217372595973958</c:v>
                      </c:pt>
                      <c:pt idx="5">
                        <c:v>0.69101915507910616</c:v>
                      </c:pt>
                      <c:pt idx="6">
                        <c:v>0.73453145500350914</c:v>
                      </c:pt>
                      <c:pt idx="7">
                        <c:v>0.76770264642753683</c:v>
                      </c:pt>
                      <c:pt idx="8">
                        <c:v>0.68259620817036071</c:v>
                      </c:pt>
                      <c:pt idx="9">
                        <c:v>0.76731025758969662</c:v>
                      </c:pt>
                      <c:pt idx="10">
                        <c:v>0.58650645935457535</c:v>
                      </c:pt>
                      <c:pt idx="11">
                        <c:v>0.6504152923295824</c:v>
                      </c:pt>
                      <c:pt idx="12">
                        <c:v>0.75872652547968622</c:v>
                      </c:pt>
                      <c:pt idx="13">
                        <c:v>0</c:v>
                      </c:pt>
                      <c:pt idx="1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559-4A17-BDC1-F35447650003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v>C4H10, wt%, ART Acceptance</c:v>
                </c:tx>
                <c:spPr>
                  <a:ln w="19050" cap="rnd">
                    <a:solidFill>
                      <a:srgbClr val="2F641C"/>
                    </a:solidFill>
                    <a:prstDash val="lgDash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Template'!$F$6:$T$6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Template'!$F$258:$T$258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0.248127700701684</c:v>
                      </c:pt>
                      <c:pt idx="1">
                        <c:v>0.31578075824023499</c:v>
                      </c:pt>
                      <c:pt idx="2">
                        <c:v>0.23740336282836197</c:v>
                      </c:pt>
                      <c:pt idx="3">
                        <c:v>0.23748634200428501</c:v>
                      </c:pt>
                      <c:pt idx="4">
                        <c:v>0.89501687457059398</c:v>
                      </c:pt>
                      <c:pt idx="5">
                        <c:v>1.0502510963298599</c:v>
                      </c:pt>
                      <c:pt idx="6">
                        <c:v>0.94004915990117299</c:v>
                      </c:pt>
                      <c:pt idx="7">
                        <c:v>1.0584428431183199</c:v>
                      </c:pt>
                      <c:pt idx="8">
                        <c:v>1.0400572175029601</c:v>
                      </c:pt>
                      <c:pt idx="9">
                        <c:v>1.0479489791691801</c:v>
                      </c:pt>
                      <c:pt idx="10">
                        <c:v>0.97189803797442897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A559-4A17-BDC1-F35447650003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v>C5H12, wt%</c:v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Template'!$F$6:$T$6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Template'!$F$259:$T$259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0.62080098366979553</c:v>
                      </c:pt>
                      <c:pt idx="1">
                        <c:v>0.45353324808184148</c:v>
                      </c:pt>
                      <c:pt idx="2">
                        <c:v>0.19273006230529593</c:v>
                      </c:pt>
                      <c:pt idx="3">
                        <c:v>0.19647922493008393</c:v>
                      </c:pt>
                      <c:pt idx="4">
                        <c:v>0.4193148245154531</c:v>
                      </c:pt>
                      <c:pt idx="5">
                        <c:v>0.49548580361997979</c:v>
                      </c:pt>
                      <c:pt idx="6">
                        <c:v>0.5118903894711696</c:v>
                      </c:pt>
                      <c:pt idx="7">
                        <c:v>0.73669529706881565</c:v>
                      </c:pt>
                      <c:pt idx="8">
                        <c:v>0.54833021512385915</c:v>
                      </c:pt>
                      <c:pt idx="9">
                        <c:v>0.60118753833180016</c:v>
                      </c:pt>
                      <c:pt idx="10">
                        <c:v>0.52298223039215697</c:v>
                      </c:pt>
                      <c:pt idx="11">
                        <c:v>0.58962066356228171</c:v>
                      </c:pt>
                      <c:pt idx="12">
                        <c:v>0.62813959450011647</c:v>
                      </c:pt>
                      <c:pt idx="13">
                        <c:v>0</c:v>
                      </c:pt>
                      <c:pt idx="1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A559-4A17-BDC1-F35447650003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v>C5H12, wt%, ART Acceptance</c:v>
                </c:tx>
                <c:spPr>
                  <a:ln w="19050" cap="rnd">
                    <a:solidFill>
                      <a:srgbClr val="27A839"/>
                    </a:solidFill>
                    <a:prstDash val="lgDash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Template'!$F$6:$T$6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Template'!$F$261:$T$261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0.19067941531755001</c:v>
                      </c:pt>
                      <c:pt idx="1">
                        <c:v>0.242668957071313</c:v>
                      </c:pt>
                      <c:pt idx="2">
                        <c:v>0.184192264263384</c:v>
                      </c:pt>
                      <c:pt idx="3">
                        <c:v>0.184256644658497</c:v>
                      </c:pt>
                      <c:pt idx="4">
                        <c:v>0.53205471319786601</c:v>
                      </c:pt>
                      <c:pt idx="5">
                        <c:v>0.65187999082543002</c:v>
                      </c:pt>
                      <c:pt idx="6">
                        <c:v>0.58347878890417704</c:v>
                      </c:pt>
                      <c:pt idx="7">
                        <c:v>0.68981274948055704</c:v>
                      </c:pt>
                      <c:pt idx="8">
                        <c:v>0.65372430956100591</c:v>
                      </c:pt>
                      <c:pt idx="9">
                        <c:v>0.65868464862663501</c:v>
                      </c:pt>
                      <c:pt idx="10">
                        <c:v>0.61151071638258803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A559-4A17-BDC1-F35447650003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v>C6H14 plus, wt%</c:v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Template'!$F$6:$T$6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Template'!$F$262:$T$262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0.38786331490291887</c:v>
                      </c:pt>
                      <c:pt idx="1">
                        <c:v>0.71810118360792263</c:v>
                      </c:pt>
                      <c:pt idx="2">
                        <c:v>0.15745073896978914</c:v>
                      </c:pt>
                      <c:pt idx="3">
                        <c:v>8.4779695492421633E-2</c:v>
                      </c:pt>
                      <c:pt idx="4">
                        <c:v>0.43622088063361353</c:v>
                      </c:pt>
                      <c:pt idx="5">
                        <c:v>0.44701744592521941</c:v>
                      </c:pt>
                      <c:pt idx="6">
                        <c:v>0.41957795607130488</c:v>
                      </c:pt>
                      <c:pt idx="7">
                        <c:v>0.31967149991456151</c:v>
                      </c:pt>
                      <c:pt idx="8">
                        <c:v>0.27391619114035359</c:v>
                      </c:pt>
                      <c:pt idx="9">
                        <c:v>0.45228779604629782</c:v>
                      </c:pt>
                      <c:pt idx="10">
                        <c:v>0.41235405266757863</c:v>
                      </c:pt>
                      <c:pt idx="11">
                        <c:v>0.61882821019573875</c:v>
                      </c:pt>
                      <c:pt idx="12">
                        <c:v>0.56490695235566057</c:v>
                      </c:pt>
                      <c:pt idx="13">
                        <c:v>0</c:v>
                      </c:pt>
                      <c:pt idx="1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A559-4A17-BDC1-F35447650003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v>C6H14, wt%, ART Acceptance</c:v>
                </c:tx>
                <c:spPr>
                  <a:ln w="19050" cap="rnd">
                    <a:solidFill>
                      <a:srgbClr val="68CC45"/>
                    </a:solidFill>
                    <a:prstDash val="lgDash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Template'!$F$6:$T$6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Template'!$F$264:$T$264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0.31535441764056399</c:v>
                      </c:pt>
                      <c:pt idx="1">
                        <c:v>0.40133712131024896</c:v>
                      </c:pt>
                      <c:pt idx="2">
                        <c:v>0.30801039746266001</c:v>
                      </c:pt>
                      <c:pt idx="3">
                        <c:v>0.30811805579004203</c:v>
                      </c:pt>
                      <c:pt idx="4">
                        <c:v>0.35513782735511201</c:v>
                      </c:pt>
                      <c:pt idx="5">
                        <c:v>0.39881275861474502</c:v>
                      </c:pt>
                      <c:pt idx="6">
                        <c:v>0.71629224779826006</c:v>
                      </c:pt>
                      <c:pt idx="7">
                        <c:v>0.74547224381695099</c:v>
                      </c:pt>
                      <c:pt idx="8">
                        <c:v>0.42946055336438294</c:v>
                      </c:pt>
                      <c:pt idx="9">
                        <c:v>0.43271922055610906</c:v>
                      </c:pt>
                      <c:pt idx="10">
                        <c:v>0.37507826973316399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A559-4A17-BDC1-F35447650003}"/>
                  </c:ext>
                </c:extLst>
              </c15:ser>
            </c15:filteredLineSeries>
          </c:ext>
        </c:extLst>
      </c:lineChart>
      <c:catAx>
        <c:axId val="628797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Day on Stream</a:t>
                </a:r>
              </a:p>
            </c:rich>
          </c:tx>
          <c:layout>
            <c:manualLayout>
              <c:xMode val="edge"/>
              <c:yMode val="edge"/>
              <c:x val="0.45014978271980749"/>
              <c:y val="0.954517988335159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auto val="1"/>
        <c:lblAlgn val="ctr"/>
        <c:lblOffset val="100"/>
        <c:noMultiLvlLbl val="1"/>
      </c:catAx>
      <c:valAx>
        <c:axId val="1784276527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wt%</a:t>
                </a:r>
              </a:p>
            </c:rich>
          </c:tx>
          <c:layout>
            <c:manualLayout>
              <c:xMode val="edge"/>
              <c:yMode val="edge"/>
              <c:x val="3.6426311028905103E-2"/>
              <c:y val="0.451226334392137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alpha val="87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500 minus Yield vs Day on Stream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383866687467"/>
          <c:y val="0.15692186050321699"/>
          <c:w val="0.75802406274407497"/>
          <c:h val="0.66866927074705163"/>
        </c:manualLayout>
      </c:layout>
      <c:scatterChart>
        <c:scatterStyle val="lineMarker"/>
        <c:varyColors val="0"/>
        <c:ser>
          <c:idx val="0"/>
          <c:order val="0"/>
          <c:tx>
            <c:strRef>
              <c:f>'Master Template'!$C$286</c:f>
              <c:strCache>
                <c:ptCount val="1"/>
                <c:pt idx="0">
                  <c:v>500 minus ART Acceptance (Yield)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0"/>
              <c:layout>
                <c:manualLayout>
                  <c:x val="1.2625183164566777E-2"/>
                  <c:y val="2.15264891075965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B6D-4C48-98EB-B2F52F9A96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fixedVal"/>
            <c:noEndCap val="0"/>
            <c:val val="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'Master Template'!$F$6:$T$6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'Master Template'!$F$286:$T$286</c:f>
              <c:numCache>
                <c:formatCode>0.00</c:formatCode>
                <c:ptCount val="15"/>
                <c:pt idx="0">
                  <c:v>31.0693650985855</c:v>
                </c:pt>
                <c:pt idx="1">
                  <c:v>32.172046982976099</c:v>
                </c:pt>
                <c:pt idx="2">
                  <c:v>31.968700685144103</c:v>
                </c:pt>
                <c:pt idx="3">
                  <c:v>31.677106009138601</c:v>
                </c:pt>
                <c:pt idx="4">
                  <c:v>62.288786249989499</c:v>
                </c:pt>
                <c:pt idx="5">
                  <c:v>58.805479805215697</c:v>
                </c:pt>
                <c:pt idx="6">
                  <c:v>59.702092843330703</c:v>
                </c:pt>
                <c:pt idx="7">
                  <c:v>59.221970209383201</c:v>
                </c:pt>
                <c:pt idx="8">
                  <c:v>56.671381689535202</c:v>
                </c:pt>
                <c:pt idx="9">
                  <c:v>56.471550440074701</c:v>
                </c:pt>
                <c:pt idx="10">
                  <c:v>57.3611642398429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CE-46B8-AFE2-90D35F8DD9B3}"/>
            </c:ext>
          </c:extLst>
        </c:ser>
        <c:ser>
          <c:idx val="1"/>
          <c:order val="1"/>
          <c:tx>
            <c:strRef>
              <c:f>'Master Template'!$C$285</c:f>
              <c:strCache>
                <c:ptCount val="1"/>
                <c:pt idx="0">
                  <c:v>500 minus_TOP'26, %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4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10"/>
              <c:layout>
                <c:manualLayout>
                  <c:x val="1.3677281761614086E-2"/>
                  <c:y val="-3.013708475063517E-2"/>
                </c:manualLayout>
              </c:layout>
              <c:spPr>
                <a:noFill/>
                <a:ln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B6D-4C48-98EB-B2F52F9A96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Template'!$F$6:$T$6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'Master Template'!$F$285:$T$285</c:f>
              <c:numCache>
                <c:formatCode>0.00</c:formatCode>
                <c:ptCount val="15"/>
                <c:pt idx="0">
                  <c:v>31.987119097001361</c:v>
                </c:pt>
                <c:pt idx="1">
                  <c:v>32.556248522052343</c:v>
                </c:pt>
                <c:pt idx="2">
                  <c:v>29.993916392882106</c:v>
                </c:pt>
                <c:pt idx="3">
                  <c:v>31.817767154430221</c:v>
                </c:pt>
                <c:pt idx="4">
                  <c:v>58.321795790049819</c:v>
                </c:pt>
                <c:pt idx="5" formatCode="0">
                  <c:v>61.22558684728282</c:v>
                </c:pt>
                <c:pt idx="6">
                  <c:v>61.089810757523288</c:v>
                </c:pt>
                <c:pt idx="7">
                  <c:v>59.345600765328335</c:v>
                </c:pt>
                <c:pt idx="8">
                  <c:v>57.877898877801542</c:v>
                </c:pt>
                <c:pt idx="9">
                  <c:v>58.533092889152591</c:v>
                </c:pt>
                <c:pt idx="10">
                  <c:v>58.070818114652432</c:v>
                </c:pt>
                <c:pt idx="11">
                  <c:v>57.940087560154787</c:v>
                </c:pt>
                <c:pt idx="12">
                  <c:v>58.161816048159274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CE-46B8-AFE2-90D35F8DD9B3}"/>
            </c:ext>
          </c:extLst>
        </c:ser>
        <c:ser>
          <c:idx val="2"/>
          <c:order val="2"/>
          <c:tx>
            <c:strRef>
              <c:f>'Master Template'!$C$287</c:f>
              <c:strCache>
                <c:ptCount val="1"/>
                <c:pt idx="0">
                  <c:v>500 minus_TOP'24, %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3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Template'!$F$287:$AA$287</c:f>
              <c:numCache>
                <c:formatCode>General</c:formatCode>
                <c:ptCount val="22"/>
                <c:pt idx="5" formatCode="0.00">
                  <c:v>60.342732228943298</c:v>
                </c:pt>
                <c:pt idx="6" formatCode="0.00">
                  <c:v>58.158106780484196</c:v>
                </c:pt>
                <c:pt idx="7" formatCode="0.00">
                  <c:v>58.318991848845485</c:v>
                </c:pt>
                <c:pt idx="8" formatCode="0.00">
                  <c:v>56.658109182200469</c:v>
                </c:pt>
                <c:pt idx="9" formatCode="0.00">
                  <c:v>55.005895013016989</c:v>
                </c:pt>
                <c:pt idx="10" formatCode="0.00">
                  <c:v>56.394422466755181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372-4A02-A3F7-266CA1F99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</c:scatterChart>
      <c:valAx>
        <c:axId val="628797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Day on Stream</a:t>
                </a:r>
              </a:p>
            </c:rich>
          </c:tx>
          <c:layout>
            <c:manualLayout>
              <c:xMode val="edge"/>
              <c:yMode val="edge"/>
              <c:x val="0.45014978271980749"/>
              <c:y val="0.954517988335159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2"/>
      </c:valAx>
      <c:valAx>
        <c:axId val="1784276527"/>
        <c:scaling>
          <c:orientation val="minMax"/>
          <c:max val="8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Yield (%)</a:t>
                </a:r>
              </a:p>
            </c:rich>
          </c:tx>
          <c:layout>
            <c:manualLayout>
              <c:xMode val="edge"/>
              <c:yMode val="edge"/>
              <c:x val="3.6426311028905103E-2"/>
              <c:y val="0.451226334392137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alpha val="87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828603044617251"/>
          <c:y val="0.34291629348435548"/>
          <c:w val="0.18399327416672706"/>
          <c:h val="9.2741302152802879E-2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8142161527054"/>
          <c:y val="0.22778563347433431"/>
          <c:w val="0.75802406274407497"/>
          <c:h val="0.66866927074705163"/>
        </c:manualLayout>
      </c:layout>
      <c:scatterChart>
        <c:scatterStyle val="lineMarker"/>
        <c:varyColors val="0"/>
        <c:ser>
          <c:idx val="4"/>
          <c:order val="4"/>
          <c:tx>
            <c:strRef>
              <c:f>'Master Template'!$C$265</c:f>
              <c:strCache>
                <c:ptCount val="1"/>
                <c:pt idx="0">
                  <c:v>H2S, wt%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3333FF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Template'!$F$265:$AA$265</c:f>
              <c:numCache>
                <c:formatCode>0.00</c:formatCode>
                <c:ptCount val="22"/>
                <c:pt idx="0">
                  <c:v>4.7028389396417323</c:v>
                </c:pt>
                <c:pt idx="1">
                  <c:v>4.7062584324048906</c:v>
                </c:pt>
                <c:pt idx="2">
                  <c:v>4.4465828873393702</c:v>
                </c:pt>
                <c:pt idx="3">
                  <c:v>4.4789942663755422</c:v>
                </c:pt>
                <c:pt idx="4">
                  <c:v>5.6908453351890671</c:v>
                </c:pt>
                <c:pt idx="5">
                  <c:v>5.8347900838270892</c:v>
                </c:pt>
                <c:pt idx="6">
                  <c:v>5.7538529640092939</c:v>
                </c:pt>
                <c:pt idx="7">
                  <c:v>5.6879094525879923</c:v>
                </c:pt>
                <c:pt idx="8">
                  <c:v>5.6388968101666093</c:v>
                </c:pt>
                <c:pt idx="9">
                  <c:v>5.6052292638392762</c:v>
                </c:pt>
                <c:pt idx="10">
                  <c:v>5.5603150815327966</c:v>
                </c:pt>
                <c:pt idx="11">
                  <c:v>5.5519806861312215</c:v>
                </c:pt>
                <c:pt idx="12">
                  <c:v>5.5172685513647757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C2-4ED4-9500-B365FC318722}"/>
            </c:ext>
          </c:extLst>
        </c:ser>
        <c:ser>
          <c:idx val="5"/>
          <c:order val="5"/>
          <c:tx>
            <c:strRef>
              <c:f>'Master Template'!$C$266</c:f>
              <c:strCache>
                <c:ptCount val="1"/>
                <c:pt idx="0">
                  <c:v>H2S, wt%, ART Acceptance</c:v>
                </c:pt>
              </c:strCache>
            </c:strRef>
          </c:tx>
          <c:spPr>
            <a:ln w="2540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10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Template'!$F$266:$P$266</c:f>
              <c:numCache>
                <c:formatCode>0.00</c:formatCode>
                <c:ptCount val="11"/>
                <c:pt idx="0">
                  <c:v>4.6779803689768098</c:v>
                </c:pt>
                <c:pt idx="1">
                  <c:v>4.6001513009130397</c:v>
                </c:pt>
                <c:pt idx="2">
                  <c:v>4.5186233631749406</c:v>
                </c:pt>
                <c:pt idx="3">
                  <c:v>4.5192653199821997</c:v>
                </c:pt>
                <c:pt idx="4">
                  <c:v>6.0009940743557397</c:v>
                </c:pt>
                <c:pt idx="5">
                  <c:v>5.90218301383754</c:v>
                </c:pt>
                <c:pt idx="6">
                  <c:v>5.81352367411509</c:v>
                </c:pt>
                <c:pt idx="7">
                  <c:v>5.7680131926097999</c:v>
                </c:pt>
                <c:pt idx="8">
                  <c:v>5.7167383365146796</c:v>
                </c:pt>
                <c:pt idx="9">
                  <c:v>5.7048566388559703</c:v>
                </c:pt>
                <c:pt idx="10">
                  <c:v>5.6647630398902606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C2-4ED4-9500-B365FC318722}"/>
            </c:ext>
          </c:extLst>
        </c:ser>
        <c:ser>
          <c:idx val="6"/>
          <c:order val="6"/>
          <c:tx>
            <c:strRef>
              <c:f>'Master Template'!$C$267</c:f>
              <c:strCache>
                <c:ptCount val="1"/>
                <c:pt idx="0">
                  <c:v>NH3, wt%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FF5050"/>
              </a:solidFill>
              <a:ln w="9525">
                <a:solidFill>
                  <a:srgbClr val="FF5050"/>
                </a:solidFill>
              </a:ln>
              <a:effectLst/>
            </c:spPr>
          </c:marker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Template'!$F$267:$AA$267</c:f>
              <c:numCache>
                <c:formatCode>0.00</c:formatCode>
                <c:ptCount val="22"/>
                <c:pt idx="0">
                  <c:v>0.19587529531021616</c:v>
                </c:pt>
                <c:pt idx="1">
                  <c:v>0.20626857778393973</c:v>
                </c:pt>
                <c:pt idx="2">
                  <c:v>0.17075376009222609</c:v>
                </c:pt>
                <c:pt idx="3">
                  <c:v>0.17992576978630342</c:v>
                </c:pt>
                <c:pt idx="4">
                  <c:v>0.11408337379684363</c:v>
                </c:pt>
                <c:pt idx="5">
                  <c:v>0.2997175118417772</c:v>
                </c:pt>
                <c:pt idx="6">
                  <c:v>0.27617083105063139</c:v>
                </c:pt>
                <c:pt idx="7">
                  <c:v>0.29227340229573701</c:v>
                </c:pt>
                <c:pt idx="8">
                  <c:v>0.28645804243213774</c:v>
                </c:pt>
                <c:pt idx="9">
                  <c:v>0.29480488523693749</c:v>
                </c:pt>
                <c:pt idx="10">
                  <c:v>0.26856294471958697</c:v>
                </c:pt>
                <c:pt idx="11">
                  <c:v>0.29224187729146361</c:v>
                </c:pt>
                <c:pt idx="12">
                  <c:v>0.28010230583916729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C2-4ED4-9500-B365FC318722}"/>
            </c:ext>
          </c:extLst>
        </c:ser>
        <c:ser>
          <c:idx val="7"/>
          <c:order val="7"/>
          <c:tx>
            <c:strRef>
              <c:f>'Master Template'!$C$268</c:f>
              <c:strCache>
                <c:ptCount val="1"/>
                <c:pt idx="0">
                  <c:v>NH3, wt%, ART Acceptance</c:v>
                </c:pt>
              </c:strCache>
            </c:strRef>
          </c:tx>
          <c:spPr>
            <a:ln w="25400" cap="rnd">
              <a:solidFill>
                <a:srgbClr val="FF5050"/>
              </a:solidFill>
              <a:prstDash val="sysDot"/>
              <a:round/>
            </a:ln>
            <a:effectLst/>
          </c:spPr>
          <c:marker>
            <c:symbol val="circle"/>
            <c:size val="10"/>
            <c:spPr>
              <a:solidFill>
                <a:srgbClr val="FF5050"/>
              </a:solidFill>
              <a:ln w="9525">
                <a:solidFill>
                  <a:srgbClr val="FF5050"/>
                </a:solidFill>
              </a:ln>
              <a:effectLst/>
            </c:spPr>
          </c:marker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Template'!$F$268:$P$268</c:f>
              <c:numCache>
                <c:formatCode>0.00</c:formatCode>
                <c:ptCount val="11"/>
                <c:pt idx="0">
                  <c:v>0.14752087384422755</c:v>
                </c:pt>
                <c:pt idx="1">
                  <c:v>0.13985927365428549</c:v>
                </c:pt>
                <c:pt idx="2">
                  <c:v>0.12022320040255899</c:v>
                </c:pt>
                <c:pt idx="3">
                  <c:v>0.12573843259561104</c:v>
                </c:pt>
                <c:pt idx="4">
                  <c:v>0.23764004360429716</c:v>
                </c:pt>
                <c:pt idx="5">
                  <c:v>0.22573828513228153</c:v>
                </c:pt>
                <c:pt idx="6">
                  <c:v>0.21328163988965682</c:v>
                </c:pt>
                <c:pt idx="7">
                  <c:v>0.20582044902053004</c:v>
                </c:pt>
                <c:pt idx="8">
                  <c:v>0.2048548612467597</c:v>
                </c:pt>
                <c:pt idx="9">
                  <c:v>0.20177650721839072</c:v>
                </c:pt>
                <c:pt idx="10">
                  <c:v>0.20058408494038846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2C2-4ED4-9500-B365FC318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C1, TOP Acceptance'26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Template'!$F$6:$AA$6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Template'!$F$248:$AA$248</c15:sqref>
                        </c15:formulaRef>
                      </c:ext>
                    </c:extLst>
                    <c:numCache>
                      <c:formatCode>0.00</c:formatCode>
                      <c:ptCount val="22"/>
                      <c:pt idx="0">
                        <c:v>1.008811696103642</c:v>
                      </c:pt>
                      <c:pt idx="1">
                        <c:v>1.1871443150880434</c:v>
                      </c:pt>
                      <c:pt idx="2">
                        <c:v>0.41791127478382722</c:v>
                      </c:pt>
                      <c:pt idx="3">
                        <c:v>0.4363579179494439</c:v>
                      </c:pt>
                      <c:pt idx="4">
                        <c:v>0.86619020680741854</c:v>
                      </c:pt>
                      <c:pt idx="5">
                        <c:v>1.2651846444375878</c:v>
                      </c:pt>
                      <c:pt idx="6">
                        <c:v>1.2165363216337592</c:v>
                      </c:pt>
                      <c:pt idx="7">
                        <c:v>1.2223145161179554</c:v>
                      </c:pt>
                      <c:pt idx="8">
                        <c:v>1.2123101508365883</c:v>
                      </c:pt>
                      <c:pt idx="9">
                        <c:v>1.1482829911874093</c:v>
                      </c:pt>
                      <c:pt idx="10">
                        <c:v>1.221144414158561</c:v>
                      </c:pt>
                      <c:pt idx="11">
                        <c:v>1.2139576341192848</c:v>
                      </c:pt>
                      <c:pt idx="12">
                        <c:v>1.2654186803545582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5472-4B11-A75C-3504A6C16DFC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C1, ART Acceptance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Template'!$F$6:$AA$6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Template'!$F$249:$AA$249</c15:sqref>
                        </c15:formulaRef>
                      </c:ext>
                    </c:extLst>
                    <c:numCache>
                      <c:formatCode>0.00</c:formatCode>
                      <c:ptCount val="22"/>
                      <c:pt idx="0">
                        <c:v>0.34550458160103098</c:v>
                      </c:pt>
                      <c:pt idx="1">
                        <c:v>0.43970785383861904</c:v>
                      </c:pt>
                      <c:pt idx="2">
                        <c:v>0.32745291424601697</c:v>
                      </c:pt>
                      <c:pt idx="3">
                        <c:v>0.282526855143028</c:v>
                      </c:pt>
                      <c:pt idx="4">
                        <c:v>1.22059610674805</c:v>
                      </c:pt>
                      <c:pt idx="5">
                        <c:v>1.19069678541014</c:v>
                      </c:pt>
                      <c:pt idx="6">
                        <c:v>1.17776274056584</c:v>
                      </c:pt>
                      <c:pt idx="7">
                        <c:v>1.1496879158009299</c:v>
                      </c:pt>
                      <c:pt idx="8">
                        <c:v>1.22028537784721</c:v>
                      </c:pt>
                      <c:pt idx="9">
                        <c:v>1.2295446774363801</c:v>
                      </c:pt>
                      <c:pt idx="10">
                        <c:v>1.2083304846238501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472-4B11-A75C-3504A6C16DFC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C2, TOP Acceptance'26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Template'!$F$6:$AA$6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Template'!$F$249:$AA$249</c15:sqref>
                        </c15:formulaRef>
                      </c:ext>
                    </c:extLst>
                    <c:numCache>
                      <c:formatCode>0.00</c:formatCode>
                      <c:ptCount val="22"/>
                      <c:pt idx="0">
                        <c:v>0.34550458160103098</c:v>
                      </c:pt>
                      <c:pt idx="1">
                        <c:v>0.43970785383861904</c:v>
                      </c:pt>
                      <c:pt idx="2">
                        <c:v>0.32745291424601697</c:v>
                      </c:pt>
                      <c:pt idx="3">
                        <c:v>0.282526855143028</c:v>
                      </c:pt>
                      <c:pt idx="4">
                        <c:v>1.22059610674805</c:v>
                      </c:pt>
                      <c:pt idx="5">
                        <c:v>1.19069678541014</c:v>
                      </c:pt>
                      <c:pt idx="6">
                        <c:v>1.17776274056584</c:v>
                      </c:pt>
                      <c:pt idx="7">
                        <c:v>1.1496879158009299</c:v>
                      </c:pt>
                      <c:pt idx="8">
                        <c:v>1.22028537784721</c:v>
                      </c:pt>
                      <c:pt idx="9">
                        <c:v>1.2295446774363801</c:v>
                      </c:pt>
                      <c:pt idx="10">
                        <c:v>1.2083304846238501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472-4B11-A75C-3504A6C16DFC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C2, ART Acceptance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Template'!$F$6:$AA$6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Template'!$F$252:$AA$252</c15:sqref>
                        </c15:formulaRef>
                      </c:ext>
                    </c:extLst>
                    <c:numCache>
                      <c:formatCode>0.00</c:formatCode>
                      <c:ptCount val="22"/>
                      <c:pt idx="0">
                        <c:v>0.28724142692066801</c:v>
                      </c:pt>
                      <c:pt idx="1">
                        <c:v>0.36555900584460699</c:v>
                      </c:pt>
                      <c:pt idx="2">
                        <c:v>0.268613718717436</c:v>
                      </c:pt>
                      <c:pt idx="3">
                        <c:v>0.24567552621132899</c:v>
                      </c:pt>
                      <c:pt idx="4">
                        <c:v>1.05628509237812</c:v>
                      </c:pt>
                      <c:pt idx="5">
                        <c:v>1.0533426681020701</c:v>
                      </c:pt>
                      <c:pt idx="6">
                        <c:v>1.0129840085142001</c:v>
                      </c:pt>
                      <c:pt idx="7">
                        <c:v>1.0196636872282001</c:v>
                      </c:pt>
                      <c:pt idx="8">
                        <c:v>1.0554923748120399</c:v>
                      </c:pt>
                      <c:pt idx="9">
                        <c:v>1.06350125559509</c:v>
                      </c:pt>
                      <c:pt idx="10">
                        <c:v>1.03984367312805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472-4B11-A75C-3504A6C16DFC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1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Day on stream</a:t>
                </a:r>
              </a:p>
            </c:rich>
          </c:tx>
          <c:layout>
            <c:manualLayout>
              <c:xMode val="edge"/>
              <c:yMode val="edge"/>
              <c:x val="0.45014978271980749"/>
              <c:y val="0.954517988335159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%wt of</a:t>
                </a:r>
                <a:r>
                  <a:rPr lang="en-US" sz="2000" b="1" baseline="0"/>
                  <a:t> Feed</a:t>
                </a:r>
                <a:endParaRPr lang="en-US" sz="2000" b="1"/>
              </a:p>
            </c:rich>
          </c:tx>
          <c:layout>
            <c:manualLayout>
              <c:xMode val="edge"/>
              <c:yMode val="edge"/>
              <c:x val="3.6426311028905103E-2"/>
              <c:y val="0.451226334392137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alpha val="87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021149840946115"/>
          <c:y val="0.49458865873813879"/>
          <c:w val="0.17466845752468382"/>
          <c:h val="0.11769757644502632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ABQ Conv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Sheet1!$C$3:$C$13</c:f>
              <c:numCache>
                <c:formatCode>General</c:formatCode>
                <c:ptCount val="11"/>
                <c:pt idx="0">
                  <c:v>78.594386895265501</c:v>
                </c:pt>
                <c:pt idx="1">
                  <c:v>72.920064207445563</c:v>
                </c:pt>
                <c:pt idx="2">
                  <c:v>73.47923552112033</c:v>
                </c:pt>
                <c:pt idx="3">
                  <c:v>71.279793716069747</c:v>
                </c:pt>
                <c:pt idx="4">
                  <c:v>69.76665631366707</c:v>
                </c:pt>
                <c:pt idx="5">
                  <c:v>71.039608608793358</c:v>
                </c:pt>
                <c:pt idx="6">
                  <c:v>73.565644707940791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8E-46C3-96C7-F34276E5B1E0}"/>
            </c:ext>
          </c:extLst>
        </c:ser>
        <c:ser>
          <c:idx val="3"/>
          <c:order val="3"/>
          <c:tx>
            <c:v>LS1 Conv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Sheet1!$A$3:$A$8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Sheet1!$E$3:$E$8</c:f>
              <c:numCache>
                <c:formatCode>General</c:formatCode>
                <c:ptCount val="6"/>
                <c:pt idx="0">
                  <c:v>69.515548902270027</c:v>
                </c:pt>
                <c:pt idx="1">
                  <c:v>64.603212456070878</c:v>
                </c:pt>
                <c:pt idx="2">
                  <c:v>66.089600096537808</c:v>
                </c:pt>
                <c:pt idx="3">
                  <c:v>65.198799755569965</c:v>
                </c:pt>
                <c:pt idx="4">
                  <c:v>63.739784646471811</c:v>
                </c:pt>
                <c:pt idx="5">
                  <c:v>63.158939021148072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98E-46C3-96C7-F34276E5B1E0}"/>
            </c:ext>
          </c:extLst>
        </c:ser>
        <c:ser>
          <c:idx val="5"/>
          <c:order val="5"/>
          <c:tx>
            <c:v>LS2 Conv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Sheet1!$A$3:$A$8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Sheet1!$G$3:$G$8</c:f>
              <c:numCache>
                <c:formatCode>General</c:formatCode>
                <c:ptCount val="6"/>
                <c:pt idx="0">
                  <c:v>65.502224803077567</c:v>
                </c:pt>
                <c:pt idx="1">
                  <c:v>64.320958083832352</c:v>
                </c:pt>
                <c:pt idx="2">
                  <c:v>64.694558665943248</c:v>
                </c:pt>
                <c:pt idx="3">
                  <c:v>64.305191354643796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98E-46C3-96C7-F34276E5B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46975"/>
        <c:axId val="18814985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ABQ Density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Sheet1!$A$3:$A$13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Sheet1!$J$3:$J$13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94.46</c:v>
                      </c:pt>
                      <c:pt idx="1">
                        <c:v>94.910000000000011</c:v>
                      </c:pt>
                      <c:pt idx="2">
                        <c:v>95.11</c:v>
                      </c:pt>
                      <c:pt idx="3">
                        <c:v>95.37</c:v>
                      </c:pt>
                      <c:pt idx="4">
                        <c:v>95.46</c:v>
                      </c:pt>
                      <c:pt idx="5">
                        <c:v>95.289999999999992</c:v>
                      </c:pt>
                      <c:pt idx="6">
                        <c:v>95.399999999999991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F98E-46C3-96C7-F34276E5B1E0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LS1 Density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Sheet1!$A$3:$A$8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Sheet1!$D$3:$D$8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0.94620000000000004</c:v>
                      </c:pt>
                      <c:pt idx="1">
                        <c:v>0.96040000000000003</c:v>
                      </c:pt>
                      <c:pt idx="2">
                        <c:v>0.9677</c:v>
                      </c:pt>
                      <c:pt idx="3">
                        <c:v>0.96509999999999996</c:v>
                      </c:pt>
                      <c:pt idx="4">
                        <c:v>0.96650000000000003</c:v>
                      </c:pt>
                      <c:pt idx="5">
                        <c:v>0.96889999999999998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98E-46C3-96C7-F34276E5B1E0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LS2 Density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Sheet1!$A$3:$A$8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Sheet1!$F$3:$F$8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0.95940000000000003</c:v>
                      </c:pt>
                      <c:pt idx="1">
                        <c:v>0.96250000000000002</c:v>
                      </c:pt>
                      <c:pt idx="2">
                        <c:v>0.97299999999999998</c:v>
                      </c:pt>
                      <c:pt idx="3">
                        <c:v>0.97270000000000001</c:v>
                      </c:pt>
                      <c:pt idx="4">
                        <c:v>0.97540000000000004</c:v>
                      </c:pt>
                      <c:pt idx="5">
                        <c:v>0.97570000000000001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98E-46C3-96C7-F34276E5B1E0}"/>
                  </c:ext>
                </c:extLst>
              </c15:ser>
            </c15:filteredScatterSeries>
          </c:ext>
        </c:extLst>
      </c:scatterChart>
      <c:valAx>
        <c:axId val="18814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49855"/>
        <c:crosses val="autoZero"/>
        <c:crossBetween val="midCat"/>
      </c:valAx>
      <c:valAx>
        <c:axId val="188149855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46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Density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ABQ Density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Sheet1!$B$3:$B$13</c:f>
              <c:numCache>
                <c:formatCode>General</c:formatCode>
                <c:ptCount val="11"/>
                <c:pt idx="0">
                  <c:v>0.9446</c:v>
                </c:pt>
                <c:pt idx="1">
                  <c:v>0.94910000000000005</c:v>
                </c:pt>
                <c:pt idx="2">
                  <c:v>0.95109999999999995</c:v>
                </c:pt>
                <c:pt idx="3">
                  <c:v>0.95369999999999999</c:v>
                </c:pt>
                <c:pt idx="4">
                  <c:v>0.9546</c:v>
                </c:pt>
                <c:pt idx="5">
                  <c:v>0.95289999999999997</c:v>
                </c:pt>
                <c:pt idx="6">
                  <c:v>0.95399999999999996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8E-46C3-96C7-F34276E5B1E0}"/>
            </c:ext>
          </c:extLst>
        </c:ser>
        <c:ser>
          <c:idx val="2"/>
          <c:order val="2"/>
          <c:tx>
            <c:v>LS1 Density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xVal>
            <c:numRef>
              <c:f>Sheet1!$A$3:$A$8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Sheet1!$D$3:$D$8</c:f>
              <c:numCache>
                <c:formatCode>General</c:formatCode>
                <c:ptCount val="6"/>
                <c:pt idx="0">
                  <c:v>0.94620000000000004</c:v>
                </c:pt>
                <c:pt idx="1">
                  <c:v>0.96040000000000003</c:v>
                </c:pt>
                <c:pt idx="2">
                  <c:v>0.9677</c:v>
                </c:pt>
                <c:pt idx="3">
                  <c:v>0.96509999999999996</c:v>
                </c:pt>
                <c:pt idx="4">
                  <c:v>0.96650000000000003</c:v>
                </c:pt>
                <c:pt idx="5">
                  <c:v>0.96889999999999998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8E-46C3-96C7-F34276E5B1E0}"/>
            </c:ext>
          </c:extLst>
        </c:ser>
        <c:ser>
          <c:idx val="4"/>
          <c:order val="4"/>
          <c:tx>
            <c:v>LS2 Density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xVal>
            <c:numRef>
              <c:f>Sheet1!$A$3:$A$8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Sheet1!$F$3:$F$8</c:f>
              <c:numCache>
                <c:formatCode>General</c:formatCode>
                <c:ptCount val="6"/>
                <c:pt idx="0">
                  <c:v>0.95940000000000003</c:v>
                </c:pt>
                <c:pt idx="1">
                  <c:v>0.96250000000000002</c:v>
                </c:pt>
                <c:pt idx="2">
                  <c:v>0.97299999999999998</c:v>
                </c:pt>
                <c:pt idx="3">
                  <c:v>0.97270000000000001</c:v>
                </c:pt>
                <c:pt idx="4">
                  <c:v>0.97540000000000004</c:v>
                </c:pt>
                <c:pt idx="5">
                  <c:v>0.97570000000000001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98E-46C3-96C7-F34276E5B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46975"/>
        <c:axId val="18814985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ABQ 560+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Sheet1!$A$3:$A$13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Sheet1!$C$3:$C$13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78.594386895265501</c:v>
                      </c:pt>
                      <c:pt idx="1">
                        <c:v>72.920064207445563</c:v>
                      </c:pt>
                      <c:pt idx="2">
                        <c:v>73.47923552112033</c:v>
                      </c:pt>
                      <c:pt idx="3">
                        <c:v>71.279793716069747</c:v>
                      </c:pt>
                      <c:pt idx="4">
                        <c:v>69.76665631366707</c:v>
                      </c:pt>
                      <c:pt idx="5">
                        <c:v>71.039608608793358</c:v>
                      </c:pt>
                      <c:pt idx="6">
                        <c:v>73.565644707940791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F98E-46C3-96C7-F34276E5B1E0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LS1 560+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Sheet1!$A$3:$A$8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Sheet1!$E$3:$E$8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69.515548902270027</c:v>
                      </c:pt>
                      <c:pt idx="1">
                        <c:v>64.603212456070878</c:v>
                      </c:pt>
                      <c:pt idx="2">
                        <c:v>66.089600096537808</c:v>
                      </c:pt>
                      <c:pt idx="3">
                        <c:v>65.198799755569965</c:v>
                      </c:pt>
                      <c:pt idx="4">
                        <c:v>63.739784646471811</c:v>
                      </c:pt>
                      <c:pt idx="5">
                        <c:v>63.158939021148072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98E-46C3-96C7-F34276E5B1E0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LS2 560+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Sheet1!$A$3:$A$8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Sheet1!$G$3:$G$8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65.502224803077567</c:v>
                      </c:pt>
                      <c:pt idx="1">
                        <c:v>64.320958083832352</c:v>
                      </c:pt>
                      <c:pt idx="2">
                        <c:v>64.694558665943248</c:v>
                      </c:pt>
                      <c:pt idx="3">
                        <c:v>64.305191354643796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98E-46C3-96C7-F34276E5B1E0}"/>
                  </c:ext>
                </c:extLst>
              </c15:ser>
            </c15:filteredScatterSeries>
          </c:ext>
        </c:extLst>
      </c:scatterChart>
      <c:valAx>
        <c:axId val="18814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49855"/>
        <c:crosses val="autoZero"/>
        <c:crossBetween val="midCat"/>
      </c:valAx>
      <c:valAx>
        <c:axId val="18814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46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83174251751323"/>
          <c:y val="0.26199709258851284"/>
          <c:w val="0.77481328995425625"/>
          <c:h val="0.62560537570949903"/>
        </c:manualLayout>
      </c:layout>
      <c:scatterChart>
        <c:scatterStyle val="lineMarker"/>
        <c:varyColors val="0"/>
        <c:ser>
          <c:idx val="2"/>
          <c:order val="2"/>
          <c:tx>
            <c:v>LHSV-TOP MEBU, Acceptance'26</c:v>
          </c:tx>
          <c:spPr>
            <a:ln w="38100">
              <a:noFill/>
            </a:ln>
          </c:spPr>
          <c:marker>
            <c:spPr>
              <a:solidFill>
                <a:schemeClr val="accent2"/>
              </a:solidFill>
              <a:ln>
                <a:noFill/>
              </a:ln>
            </c:spPr>
          </c:marker>
          <c:dLbls>
            <c:dLbl>
              <c:idx val="12"/>
              <c:layout>
                <c:manualLayout>
                  <c:x val="-2.9325513196482014E-3"/>
                  <c:y val="-2.82828282828282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3B-4887-A5B4-E22C9AC7B13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Template'!$F$78:$AA$78</c:f>
              <c:numCache>
                <c:formatCode>0.000</c:formatCode>
                <c:ptCount val="22"/>
                <c:pt idx="0">
                  <c:v>0.56258354568203706</c:v>
                </c:pt>
                <c:pt idx="1">
                  <c:v>0.55390884547376851</c:v>
                </c:pt>
                <c:pt idx="2">
                  <c:v>0.55968440494850991</c:v>
                </c:pt>
                <c:pt idx="3">
                  <c:v>0.55315518944872488</c:v>
                </c:pt>
                <c:pt idx="4" formatCode="0.00">
                  <c:v>0.32922868462430638</c:v>
                </c:pt>
                <c:pt idx="5" formatCode="0.00">
                  <c:v>0.31715639131697199</c:v>
                </c:pt>
                <c:pt idx="6" formatCode="0.00">
                  <c:v>0.3173642688165243</c:v>
                </c:pt>
                <c:pt idx="7" formatCode="0.00">
                  <c:v>0.31183472732843276</c:v>
                </c:pt>
                <c:pt idx="8" formatCode="0.00">
                  <c:v>0.3104479974266573</c:v>
                </c:pt>
                <c:pt idx="9" formatCode="0.00">
                  <c:v>0.32136937530789894</c:v>
                </c:pt>
                <c:pt idx="10" formatCode="0.00">
                  <c:v>0.32166502330726221</c:v>
                </c:pt>
                <c:pt idx="11" formatCode="0.00">
                  <c:v>0.31745203931633525</c:v>
                </c:pt>
                <c:pt idx="12" formatCode="0.00">
                  <c:v>0.31715639131697199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FD-452C-99D3-879CECE17881}"/>
            </c:ext>
          </c:extLst>
        </c:ser>
        <c:ser>
          <c:idx val="3"/>
          <c:order val="3"/>
          <c:tx>
            <c:v>LHSV-ART MEBU, acceptance</c:v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chemeClr val="tx2">
                  <a:lumMod val="50000"/>
                  <a:lumOff val="50000"/>
                </a:schemeClr>
              </a:solidFill>
            </c:spPr>
          </c:marker>
          <c:dLbls>
            <c:dLbl>
              <c:idx val="2"/>
              <c:layout>
                <c:manualLayout>
                  <c:x val="-1.4662756598240522E-2"/>
                  <c:y val="4.64646464646464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27C-4C87-833F-14A3962F1349}"/>
                </c:ext>
              </c:extLst>
            </c:dLbl>
            <c:dLbl>
              <c:idx val="9"/>
              <c:layout>
                <c:manualLayout>
                  <c:x val="-3.0791788856305093E-2"/>
                  <c:y val="-5.25252525252525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27C-4C87-833F-14A3962F134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Template'!$F$81:$U$81</c:f>
              <c:numCache>
                <c:formatCode>0.00</c:formatCode>
                <c:ptCount val="16"/>
                <c:pt idx="0">
                  <c:v>0.55000000000000004</c:v>
                </c:pt>
                <c:pt idx="1">
                  <c:v>0.54</c:v>
                </c:pt>
                <c:pt idx="2">
                  <c:v>0.54</c:v>
                </c:pt>
                <c:pt idx="3">
                  <c:v>0.55000000000000004</c:v>
                </c:pt>
                <c:pt idx="4">
                  <c:v>0.33</c:v>
                </c:pt>
                <c:pt idx="5">
                  <c:v>0.32</c:v>
                </c:pt>
                <c:pt idx="6">
                  <c:v>0.32</c:v>
                </c:pt>
                <c:pt idx="7">
                  <c:v>0.32</c:v>
                </c:pt>
                <c:pt idx="8">
                  <c:v>0.32</c:v>
                </c:pt>
                <c:pt idx="9">
                  <c:v>0.32</c:v>
                </c:pt>
                <c:pt idx="10">
                  <c:v>0.32</c:v>
                </c:pt>
                <c:pt idx="11">
                  <c:v>0.32</c:v>
                </c:pt>
                <c:pt idx="12">
                  <c:v>0.32</c:v>
                </c:pt>
                <c:pt idx="13">
                  <c:v>0.32</c:v>
                </c:pt>
                <c:pt idx="14">
                  <c:v>0.32</c:v>
                </c:pt>
                <c:pt idx="15">
                  <c:v>0.32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2FD-452C-99D3-879CECE17881}"/>
            </c:ext>
          </c:extLst>
        </c:ser>
        <c:ser>
          <c:idx val="5"/>
          <c:order val="5"/>
          <c:tx>
            <c:strRef>
              <c:f>Condition!$H$53</c:f>
              <c:strCache>
                <c:ptCount val="1"/>
                <c:pt idx="0">
                  <c:v>Condition Change</c:v>
                </c:pt>
              </c:strCache>
            </c:strRef>
          </c:tx>
          <c:spPr>
            <a:ln w="38100">
              <a:solidFill>
                <a:schemeClr val="bg1">
                  <a:lumMod val="50000"/>
                </a:schemeClr>
              </a:solidFill>
              <a:prstDash val="sysDot"/>
            </a:ln>
          </c:spPr>
          <c:marker>
            <c:symbol val="none"/>
          </c:marker>
          <c:xVal>
            <c:numRef>
              <c:f>Condition!$I$53:$I$54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Condition!$J$53:$J$54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42-4E0A-B0D1-1E9596F13208}"/>
            </c:ext>
          </c:extLst>
        </c:ser>
        <c:ser>
          <c:idx val="6"/>
          <c:order val="6"/>
          <c:spPr>
            <a:ln w="38100">
              <a:solidFill>
                <a:schemeClr val="bg1">
                  <a:lumMod val="50000"/>
                </a:schemeClr>
              </a:solidFill>
              <a:prstDash val="sysDot"/>
            </a:ln>
          </c:spPr>
          <c:marker>
            <c:spPr>
              <a:ln>
                <a:solidFill>
                  <a:schemeClr val="bg1">
                    <a:lumMod val="50000"/>
                  </a:schemeClr>
                </a:solidFill>
                <a:prstDash val="sysDot"/>
              </a:ln>
            </c:spPr>
          </c:marker>
          <c:xVal>
            <c:numRef>
              <c:f>Condition!$I$56:$I$57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Condition!$J$56:$J$57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87-418E-BFB1-E241E3432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2652032"/>
        <c:axId val="60266649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Cond. Change</c:v>
                </c:tx>
                <c:spPr>
                  <a:ln w="25400">
                    <a:noFill/>
                  </a:ln>
                </c:spPr>
                <c:dPt>
                  <c:idx val="21"/>
                  <c:marker>
                    <c:symbol val="picture"/>
                    <c:spPr>
                      <a:ln w="9525">
                        <a:noFill/>
                      </a:ln>
                    </c:spPr>
                  </c:marker>
                  <c:bubble3D val="0"/>
                  <c:extLst>
                    <c:ext xmlns:c16="http://schemas.microsoft.com/office/drawing/2014/chart" uri="{C3380CC4-5D6E-409C-BE32-E72D297353CC}">
                      <c16:uniqueId val="{00000000-32FD-452C-99D3-879CECE17881}"/>
                    </c:ext>
                  </c:extLst>
                </c:dPt>
                <c:xVal>
                  <c:numLit>
                    <c:formatCode>General</c:formatCode>
                    <c:ptCount val="10"/>
                    <c:pt idx="2">
                      <c:v>4.5</c:v>
                    </c:pt>
                    <c:pt idx="3">
                      <c:v>4.51</c:v>
                    </c:pt>
                  </c:numLit>
                </c:xVal>
                <c:yVal>
                  <c:numLit>
                    <c:formatCode>General</c:formatCode>
                    <c:ptCount val="10"/>
                    <c:pt idx="2">
                      <c:v>-20</c:v>
                    </c:pt>
                    <c:pt idx="3">
                      <c:v>18000</c:v>
                    </c:pt>
                  </c:numLit>
                </c:yVal>
                <c:smooth val="0"/>
                <c:extLst>
                  <c:ext xmlns:c16="http://schemas.microsoft.com/office/drawing/2014/chart" uri="{C3380CC4-5D6E-409C-BE32-E72D297353CC}">
                    <c16:uniqueId val="{00000001-32FD-452C-99D3-879CECE17881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Temperature</c:v>
                </c:tx>
                <c:spPr>
                  <a:ln w="28575">
                    <a:noFill/>
                  </a:ln>
                </c:spPr>
                <c:xVal>
                  <c:numLit>
                    <c:formatCode>General</c:formatCode>
                    <c:ptCount val="7"/>
                    <c:pt idx="0">
                      <c:v>1</c:v>
                    </c:pt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</c:numLit>
                </c:xVal>
                <c:yVal>
                  <c:numLit>
                    <c:formatCode>General</c:formatCode>
                    <c:ptCount val="7"/>
                    <c:pt idx="0">
                      <c:v>421.33333333333331</c:v>
                    </c:pt>
                    <c:pt idx="1">
                      <c:v>423.11111111111109</c:v>
                    </c:pt>
                    <c:pt idx="2">
                      <c:v>423.16666666666669</c:v>
                    </c:pt>
                    <c:pt idx="3">
                      <c:v>423.22222222222223</c:v>
                    </c:pt>
                    <c:pt idx="4">
                      <c:v>423.22222222222223</c:v>
                    </c:pt>
                    <c:pt idx="5">
                      <c:v>423.22222222222223</c:v>
                    </c:pt>
                    <c:pt idx="6">
                      <c:v>423.22222222222223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2FD-452C-99D3-879CECE17881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LCF LHSV</c:v>
                </c:tx>
                <c:spPr>
                  <a:ln w="38100">
                    <a:noFill/>
                  </a:ln>
                </c:spPr>
                <c:dLbls>
                  <c:dLbl>
                    <c:idx val="4"/>
                    <c:layout>
                      <c:manualLayout>
                        <c:x val="-1.906158357771261E-2"/>
                        <c:y val="5.2525252525252523E-2"/>
                      </c:manualLayout>
                    </c:layout>
                    <c:tx>
                      <c:rich>
                        <a:bodyPr/>
                        <a:lstStyle/>
                        <a:p>
                          <a:r>
                            <a:rPr lang="en-US"/>
                            <a:t>0.21</a:t>
                          </a:r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6-32FD-452C-99D3-879CECE17881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Template'!$F$82:$U$82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0.38</c:v>
                      </c:pt>
                      <c:pt idx="1">
                        <c:v>0.38</c:v>
                      </c:pt>
                      <c:pt idx="2">
                        <c:v>0.38</c:v>
                      </c:pt>
                      <c:pt idx="3">
                        <c:v>0.38</c:v>
                      </c:pt>
                      <c:pt idx="4" formatCode="General">
                        <c:v>0.23</c:v>
                      </c:pt>
                      <c:pt idx="5" formatCode="General">
                        <c:v>0.23</c:v>
                      </c:pt>
                      <c:pt idx="6" formatCode="General">
                        <c:v>0.23</c:v>
                      </c:pt>
                      <c:pt idx="7" formatCode="General">
                        <c:v>0.23</c:v>
                      </c:pt>
                      <c:pt idx="8" formatCode="General">
                        <c:v>0.23</c:v>
                      </c:pt>
                      <c:pt idx="9" formatCode="General">
                        <c:v>0.23</c:v>
                      </c:pt>
                      <c:pt idx="10" formatCode="General">
                        <c:v>0.23</c:v>
                      </c:pt>
                      <c:pt idx="11" formatCode="General">
                        <c:v>0.23</c:v>
                      </c:pt>
                      <c:pt idx="12" formatCode="General">
                        <c:v>0.23</c:v>
                      </c:pt>
                      <c:pt idx="13" formatCode="General">
                        <c:v>0.23</c:v>
                      </c:pt>
                      <c:pt idx="14" formatCode="General">
                        <c:v>0.23</c:v>
                      </c:pt>
                      <c:pt idx="15" formatCode="General">
                        <c:v>0.23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2FD-452C-99D3-879CECE17881}"/>
                  </c:ext>
                </c:extLst>
              </c15:ser>
            </c15:filteredScatterSeries>
          </c:ext>
        </c:extLst>
      </c:scatterChart>
      <c:valAx>
        <c:axId val="602652032"/>
        <c:scaling>
          <c:orientation val="minMax"/>
          <c:max val="22"/>
          <c:min val="0"/>
        </c:scaling>
        <c:delete val="0"/>
        <c:axPos val="b"/>
        <c:majorGridlines>
          <c:spPr>
            <a:ln>
              <a:noFill/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Time-On-Stream, Day</a:t>
                </a:r>
              </a:p>
            </c:rich>
          </c:tx>
          <c:layout>
            <c:manualLayout>
              <c:xMode val="edge"/>
              <c:yMode val="edge"/>
              <c:x val="0.41031737133394069"/>
              <c:y val="0.9416767676767676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en-US"/>
          </a:p>
        </c:txPr>
        <c:crossAx val="602666496"/>
        <c:crosses val="autoZero"/>
        <c:crossBetween val="midCat"/>
        <c:majorUnit val="1"/>
      </c:valAx>
      <c:valAx>
        <c:axId val="602666496"/>
        <c:scaling>
          <c:orientation val="minMax"/>
          <c:max val="0.8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LHSV, hr-1</a:t>
                </a:r>
              </a:p>
            </c:rich>
          </c:tx>
          <c:layout>
            <c:manualLayout>
              <c:xMode val="edge"/>
              <c:yMode val="edge"/>
              <c:x val="3.8179801057351158E-2"/>
              <c:y val="0.4333140631557956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602652032"/>
        <c:crosses val="autoZero"/>
        <c:crossBetween val="midCat"/>
        <c:majorUnit val="0.2"/>
      </c:valAx>
      <c:spPr>
        <a:noFill/>
        <a:ln w="25400">
          <a:noFill/>
        </a:ln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76369851755439144"/>
          <c:y val="0.28026034304668207"/>
          <c:w val="0.16014685847553514"/>
          <c:h val="0.182655690765927"/>
        </c:manualLayout>
      </c:layout>
      <c:overlay val="0"/>
    </c:legend>
    <c:plotVisOnly val="1"/>
    <c:dispBlanksAs val="gap"/>
    <c:showDLblsOverMax val="0"/>
  </c:chart>
  <c:spPr>
    <a:solidFill>
      <a:schemeClr val="bg1">
        <a:lumMod val="95000"/>
      </a:schemeClr>
    </a:solidFill>
  </c:spPr>
  <c:printSettings>
    <c:headerFooter/>
    <c:pageMargins b="0.75" l="0.7" r="0.7" t="0.75" header="0.3" footer="0.3"/>
    <c:pageSetup/>
  </c:printSettings>
  <c:userShapes r:id="rId1"/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065644253173317E-2"/>
          <c:y val="0.24145469143264869"/>
          <c:w val="0.81557944686997375"/>
          <c:h val="0.64614783836689871"/>
        </c:manualLayout>
      </c:layout>
      <c:scatterChart>
        <c:scatterStyle val="lineMarker"/>
        <c:varyColors val="0"/>
        <c:ser>
          <c:idx val="0"/>
          <c:order val="0"/>
          <c:tx>
            <c:v>Cond. Change</c:v>
          </c:tx>
          <c:spPr>
            <a:ln w="25400">
              <a:noFill/>
            </a:ln>
          </c:spPr>
          <c:dPt>
            <c:idx val="21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9525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7A38-4DFD-A4CA-6DF8E7E29692}"/>
              </c:ext>
            </c:extLst>
          </c:dPt>
          <c:xVal>
            <c:numLit>
              <c:formatCode>General</c:formatCode>
              <c:ptCount val="10"/>
              <c:pt idx="2">
                <c:v>4.5</c:v>
              </c:pt>
              <c:pt idx="3">
                <c:v>4.51</c:v>
              </c:pt>
            </c:numLit>
          </c:xVal>
          <c:yVal>
            <c:numLit>
              <c:formatCode>General</c:formatCode>
              <c:ptCount val="10"/>
              <c:pt idx="2">
                <c:v>-20</c:v>
              </c:pt>
              <c:pt idx="3">
                <c:v>18000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7A38-4DFD-A4CA-6DF8E7E29692}"/>
            </c:ext>
          </c:extLst>
        </c:ser>
        <c:ser>
          <c:idx val="1"/>
          <c:order val="1"/>
          <c:tx>
            <c:v>Pressure TOP</c:v>
          </c:tx>
          <c:spPr>
            <a:ln w="38100">
              <a:noFill/>
            </a:ln>
          </c:spP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Template'!$F$83:$U$83</c:f>
              <c:numCache>
                <c:formatCode>0.00</c:formatCode>
                <c:ptCount val="16"/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7A38-4DFD-A4CA-6DF8E7E29692}"/>
            </c:ext>
          </c:extLst>
        </c:ser>
        <c:ser>
          <c:idx val="2"/>
          <c:order val="2"/>
          <c:tx>
            <c:v>Pressure ART</c:v>
          </c:tx>
          <c:spPr>
            <a:ln w="28575">
              <a:noFill/>
            </a:ln>
          </c:spPr>
          <c:dLbls>
            <c:dLbl>
              <c:idx val="2"/>
              <c:layout>
                <c:manualLayout>
                  <c:x val="-1.1730147551204193E-2"/>
                  <c:y val="3.5353535353535352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176.5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9222873900293247E-2"/>
                      <c:h val="4.081826135369442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3-7A38-4DFD-A4CA-6DF8E7E2969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Template'!$F$84:$U$84</c:f>
              <c:numCache>
                <c:formatCode>0.0</c:formatCode>
                <c:ptCount val="16"/>
                <c:pt idx="0">
                  <c:v>176.5</c:v>
                </c:pt>
                <c:pt idx="1">
                  <c:v>176.5</c:v>
                </c:pt>
                <c:pt idx="2">
                  <c:v>176.5</c:v>
                </c:pt>
                <c:pt idx="3">
                  <c:v>176.5</c:v>
                </c:pt>
                <c:pt idx="4">
                  <c:v>176.5</c:v>
                </c:pt>
                <c:pt idx="5">
                  <c:v>176.5</c:v>
                </c:pt>
                <c:pt idx="6">
                  <c:v>176.5</c:v>
                </c:pt>
                <c:pt idx="7">
                  <c:v>176.5</c:v>
                </c:pt>
                <c:pt idx="8">
                  <c:v>176.5</c:v>
                </c:pt>
                <c:pt idx="9">
                  <c:v>176.5</c:v>
                </c:pt>
                <c:pt idx="10">
                  <c:v>176.5</c:v>
                </c:pt>
                <c:pt idx="11">
                  <c:v>176.5</c:v>
                </c:pt>
                <c:pt idx="12">
                  <c:v>176.5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A38-4DFD-A4CA-6DF8E7E29692}"/>
            </c:ext>
          </c:extLst>
        </c:ser>
        <c:ser>
          <c:idx val="3"/>
          <c:order val="3"/>
          <c:spPr>
            <a:ln w="38100">
              <a:solidFill>
                <a:schemeClr val="bg1">
                  <a:lumMod val="50000"/>
                </a:schemeClr>
              </a:solidFill>
              <a:prstDash val="sysDot"/>
            </a:ln>
          </c:spPr>
          <c:marker>
            <c:spPr>
              <a:ln>
                <a:solidFill>
                  <a:schemeClr val="bg1">
                    <a:lumMod val="50000"/>
                  </a:schemeClr>
                </a:solidFill>
                <a:prstDash val="sysDot"/>
              </a:ln>
            </c:spPr>
          </c:marker>
          <c:xVal>
            <c:numRef>
              <c:f>Condition!$AL$51:$AL$52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Condition!$AM$51:$AM$52</c:f>
              <c:numCache>
                <c:formatCode>General</c:formatCode>
                <c:ptCount val="2"/>
                <c:pt idx="0">
                  <c:v>250</c:v>
                </c:pt>
                <c:pt idx="1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DF-4630-A5FF-5C7543099A3B}"/>
            </c:ext>
          </c:extLst>
        </c:ser>
        <c:ser>
          <c:idx val="4"/>
          <c:order val="4"/>
          <c:spPr>
            <a:ln w="38100">
              <a:noFill/>
            </a:ln>
          </c:spPr>
          <c:dPt>
            <c:idx val="1"/>
            <c:marker>
              <c:spPr>
                <a:ln>
                  <a:solidFill>
                    <a:schemeClr val="bg1">
                      <a:lumMod val="50000"/>
                    </a:schemeClr>
                  </a:solidFill>
                  <a:prstDash val="sysDot"/>
                </a:ln>
              </c:spPr>
            </c:marker>
            <c:bubble3D val="0"/>
            <c:spPr>
              <a:ln w="38100">
                <a:solidFill>
                  <a:schemeClr val="bg1">
                    <a:lumMod val="50000"/>
                  </a:schemeClr>
                </a:solidFill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4-9ADF-4630-A5FF-5C7543099A3B}"/>
              </c:ext>
            </c:extLst>
          </c:dPt>
          <c:xVal>
            <c:numRef>
              <c:f>Condition!$AL$54:$AL$55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Condition!$AM$54:$AM$55</c:f>
              <c:numCache>
                <c:formatCode>General</c:formatCode>
                <c:ptCount val="2"/>
                <c:pt idx="0">
                  <c:v>250</c:v>
                </c:pt>
                <c:pt idx="1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ADF-4630-A5FF-5C7543099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2652032"/>
        <c:axId val="602666496"/>
        <c:extLst/>
      </c:scatterChart>
      <c:valAx>
        <c:axId val="602652032"/>
        <c:scaling>
          <c:orientation val="minMax"/>
          <c:max val="16"/>
          <c:min val="0"/>
        </c:scaling>
        <c:delete val="0"/>
        <c:axPos val="b"/>
        <c:majorGridlines>
          <c:spPr>
            <a:ln>
              <a:noFill/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Time-On-Stream, Day</a:t>
                </a:r>
              </a:p>
            </c:rich>
          </c:tx>
          <c:layout>
            <c:manualLayout>
              <c:xMode val="edge"/>
              <c:yMode val="edge"/>
              <c:x val="0.41031737133394069"/>
              <c:y val="0.9416767676767676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602666496"/>
        <c:crosses val="autoZero"/>
        <c:crossBetween val="midCat"/>
        <c:majorUnit val="1"/>
      </c:valAx>
      <c:valAx>
        <c:axId val="602666496"/>
        <c:scaling>
          <c:orientation val="minMax"/>
          <c:max val="200"/>
          <c:min val="6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Barg</a:t>
                </a:r>
              </a:p>
            </c:rich>
          </c:tx>
          <c:layout>
            <c:manualLayout>
              <c:xMode val="edge"/>
              <c:yMode val="edge"/>
              <c:x val="1.6619531241054766E-2"/>
              <c:y val="0.48138839312590381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602652032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79288242351148108"/>
          <c:y val="0.42384684599803413"/>
          <c:w val="0.1223093262835869"/>
          <c:h val="0.12399710920160997"/>
        </c:manualLayout>
      </c:layout>
      <c:overlay val="0"/>
      <c:spPr>
        <a:solidFill>
          <a:schemeClr val="bg1">
            <a:lumMod val="95000"/>
          </a:schemeClr>
        </a:solidFill>
      </c:spPr>
    </c:legend>
    <c:plotVisOnly val="1"/>
    <c:dispBlanksAs val="gap"/>
    <c:showDLblsOverMax val="0"/>
  </c:chart>
  <c:spPr>
    <a:solidFill>
      <a:schemeClr val="bg1">
        <a:lumMod val="95000"/>
      </a:schemeClr>
    </a:solidFill>
  </c:spPr>
  <c:printSettings>
    <c:headerFooter/>
    <c:pageMargins b="0.75" l="0.7" r="0.7" t="0.75" header="0.3" footer="0.3"/>
    <c:pageSetup/>
  </c:printSettings>
  <c:userShapes r:id="rId2"/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77455078086514"/>
          <c:y val="0.24567000825018712"/>
          <c:w val="0.78082200478612418"/>
          <c:h val="0.641932518841002"/>
        </c:manualLayout>
      </c:layout>
      <c:scatterChart>
        <c:scatterStyle val="lineMarker"/>
        <c:varyColors val="0"/>
        <c:ser>
          <c:idx val="0"/>
          <c:order val="0"/>
          <c:tx>
            <c:v>Cond. Change</c:v>
          </c:tx>
          <c:dPt>
            <c:idx val="3"/>
            <c:marker>
              <c:spPr>
                <a:ln>
                  <a:solidFill>
                    <a:schemeClr val="bg1">
                      <a:lumMod val="50000"/>
                    </a:schemeClr>
                  </a:solidFill>
                  <a:prstDash val="sysDot"/>
                </a:ln>
              </c:spPr>
            </c:marker>
            <c:bubble3D val="0"/>
            <c:spPr>
              <a:ln>
                <a:solidFill>
                  <a:schemeClr val="bg1">
                    <a:lumMod val="50000"/>
                  </a:schemeClr>
                </a:solidFill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1-DBD9-4D2B-9DFC-6D1ED1679C3A}"/>
              </c:ext>
            </c:extLst>
          </c:dPt>
          <c:dPt>
            <c:idx val="21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9525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8E99-4B95-9ECE-7359ABEAFE6B}"/>
              </c:ext>
            </c:extLst>
          </c:dPt>
          <c:xVal>
            <c:numLit>
              <c:formatCode>General</c:formatCode>
              <c:ptCount val="10"/>
              <c:pt idx="2">
                <c:v>4.5</c:v>
              </c:pt>
              <c:pt idx="3">
                <c:v>4.51</c:v>
              </c:pt>
            </c:numLit>
          </c:xVal>
          <c:yVal>
            <c:numLit>
              <c:formatCode>General</c:formatCode>
              <c:ptCount val="10"/>
              <c:pt idx="2">
                <c:v>-20</c:v>
              </c:pt>
              <c:pt idx="3">
                <c:v>18000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E99-4B95-9ECE-7359ABEAFE6B}"/>
            </c:ext>
          </c:extLst>
        </c:ser>
        <c:ser>
          <c:idx val="1"/>
          <c:order val="1"/>
          <c:tx>
            <c:v>Average Temperature ART</c:v>
          </c:tx>
          <c:spPr>
            <a:ln w="6350"/>
          </c:spPr>
          <c:marker>
            <c:symbol val="triangle"/>
            <c:size val="7"/>
            <c:spPr>
              <a:ln w="6350"/>
            </c:spPr>
          </c:marker>
          <c:dLbls>
            <c:dLbl>
              <c:idx val="5"/>
              <c:layout>
                <c:manualLayout>
                  <c:x val="-1.0263929618768328E-2"/>
                  <c:y val="7.070707070707070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417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0E4A-4508-812F-D172E2797C92}"/>
                </c:ext>
              </c:extLst>
            </c:dLbl>
            <c:dLbl>
              <c:idx val="10"/>
              <c:layout>
                <c:manualLayout>
                  <c:x val="-4.3988269794721412E-3"/>
                  <c:y val="2.82828282828282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EC7-41F0-8CC9-5C250909EF17}"/>
                </c:ext>
              </c:extLst>
            </c:dLbl>
            <c:dLbl>
              <c:idx val="14"/>
              <c:layout>
                <c:manualLayout>
                  <c:x val="-2.1234320845475725E-2"/>
                  <c:y val="-4.18293440246642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EC7-41F0-8CC9-5C250909EF1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Lit>
              <c:formatCode>General</c:formatCode>
              <c:ptCount val="1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</c:numLit>
          </c:xVal>
          <c:yVal>
            <c:numLit>
              <c:formatCode>General</c:formatCode>
              <c:ptCount val="16"/>
              <c:pt idx="0">
                <c:v>404</c:v>
              </c:pt>
              <c:pt idx="1">
                <c:v>404</c:v>
              </c:pt>
              <c:pt idx="2">
                <c:v>404</c:v>
              </c:pt>
              <c:pt idx="3">
                <c:v>404</c:v>
              </c:pt>
              <c:pt idx="4">
                <c:v>416.93333333333339</c:v>
              </c:pt>
              <c:pt idx="5">
                <c:v>416.93333333333339</c:v>
              </c:pt>
              <c:pt idx="6">
                <c:v>417</c:v>
              </c:pt>
              <c:pt idx="7">
                <c:v>418</c:v>
              </c:pt>
              <c:pt idx="8">
                <c:v>418</c:v>
              </c:pt>
              <c:pt idx="9">
                <c:v>418</c:v>
              </c:pt>
              <c:pt idx="10">
                <c:v>418</c:v>
              </c:pt>
              <c:pt idx="11">
                <c:v>418</c:v>
              </c:pt>
              <c:pt idx="12">
                <c:v>418</c:v>
              </c:pt>
              <c:pt idx="13">
                <c:v>422</c:v>
              </c:pt>
              <c:pt idx="14">
                <c:v>422</c:v>
              </c:pt>
              <c:pt idx="15">
                <c:v>422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8E99-4B95-9ECE-7359ABEAFE6B}"/>
            </c:ext>
          </c:extLst>
        </c:ser>
        <c:ser>
          <c:idx val="2"/>
          <c:order val="2"/>
          <c:tx>
            <c:v>Average Temperatue TOP</c:v>
          </c:tx>
          <c:spPr>
            <a:ln w="6350"/>
          </c:spPr>
          <c:marker>
            <c:spPr>
              <a:ln w="6350"/>
            </c:spPr>
          </c:marker>
          <c:dLbls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404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E99-4B95-9ECE-7359ABEAFE6B}"/>
                </c:ext>
              </c:extLst>
            </c:dLbl>
            <c:dLbl>
              <c:idx val="6"/>
              <c:layout>
                <c:manualLayout>
                  <c:x val="-2.7859237536656891E-2"/>
                  <c:y val="-3.63636363636364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EC7-41F0-8CC9-5C250909EF17}"/>
                </c:ext>
              </c:extLst>
            </c:dLbl>
            <c:dLbl>
              <c:idx val="11"/>
              <c:layout>
                <c:manualLayout>
                  <c:x val="-3.0791788856305093E-2"/>
                  <c:y val="-5.25252525252525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EC7-41F0-8CC9-5C250909EF1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Template'!$F$85:$U$85</c:f>
              <c:numCache>
                <c:formatCode>0.00</c:formatCode>
                <c:ptCount val="16"/>
                <c:pt idx="0" formatCode="General">
                  <c:v>0</c:v>
                </c:pt>
                <c:pt idx="1">
                  <c:v>0</c:v>
                </c:pt>
                <c:pt idx="2" formatCode="0.0">
                  <c:v>0</c:v>
                </c:pt>
                <c:pt idx="3" formatCode="0.0">
                  <c:v>0</c:v>
                </c:pt>
                <c:pt idx="4" formatCode="0.0">
                  <c:v>423.2</c:v>
                </c:pt>
                <c:pt idx="5" formatCode="0.0">
                  <c:v>423.6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E99-4B95-9ECE-7359ABEAFE6B}"/>
            </c:ext>
          </c:extLst>
        </c:ser>
        <c:ser>
          <c:idx val="3"/>
          <c:order val="3"/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8E99-4B95-9ECE-7359ABEAFE6B}"/>
            </c:ext>
          </c:extLst>
        </c:ser>
        <c:ser>
          <c:idx val="4"/>
          <c:order val="4"/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pPr>
              <a:ln>
                <a:solidFill>
                  <a:schemeClr val="bg1">
                    <a:lumMod val="50000"/>
                  </a:schemeClr>
                </a:solidFill>
                <a:prstDash val="sysDot"/>
              </a:ln>
            </c:spPr>
          </c:marker>
          <c:dPt>
            <c:idx val="1"/>
            <c:bubble3D val="0"/>
            <c:spPr>
              <a:ln>
                <a:solidFill>
                  <a:schemeClr val="bg1">
                    <a:lumMod val="50000"/>
                  </a:schemeClr>
                </a:solidFill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3-0E4A-4508-812F-D172E2797C92}"/>
              </c:ext>
            </c:extLst>
          </c:dPt>
          <c:xVal>
            <c:numRef>
              <c:f>Condition!$V$52:$V$53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Condition!$W$52:$W$53</c:f>
              <c:numCache>
                <c:formatCode>General</c:formatCode>
                <c:ptCount val="2"/>
                <c:pt idx="0">
                  <c:v>0</c:v>
                </c:pt>
                <c:pt idx="1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BD9-4D2B-9DFC-6D1ED1679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2652032"/>
        <c:axId val="602666496"/>
      </c:scatterChart>
      <c:valAx>
        <c:axId val="602652032"/>
        <c:scaling>
          <c:orientation val="minMax"/>
          <c:max val="16"/>
          <c:min val="0"/>
        </c:scaling>
        <c:delete val="0"/>
        <c:axPos val="b"/>
        <c:majorGridlines>
          <c:spPr>
            <a:ln>
              <a:noFill/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Time-On-Stream, Day</a:t>
                </a:r>
              </a:p>
            </c:rich>
          </c:tx>
          <c:layout>
            <c:manualLayout>
              <c:xMode val="edge"/>
              <c:yMode val="edge"/>
              <c:x val="0.41031737133394069"/>
              <c:y val="0.9416767676767676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602666496"/>
        <c:crosses val="autoZero"/>
        <c:crossBetween val="midCat"/>
        <c:majorUnit val="1"/>
      </c:valAx>
      <c:valAx>
        <c:axId val="602666496"/>
        <c:scaling>
          <c:orientation val="minMax"/>
          <c:max val="430"/>
          <c:min val="38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CAT Temeprature, </a:t>
                </a:r>
                <a:r>
                  <a:rPr lang="en-US" sz="1400" baseline="30000"/>
                  <a:t>o</a:t>
                </a:r>
                <a:r>
                  <a:rPr lang="en-US" sz="1400" baseline="0"/>
                  <a:t>C</a:t>
                </a:r>
                <a:endParaRPr lang="en-US" sz="1400"/>
              </a:p>
            </c:rich>
          </c:tx>
          <c:layout>
            <c:manualLayout>
              <c:xMode val="edge"/>
              <c:yMode val="edge"/>
              <c:x val="2.9483159892892408E-2"/>
              <c:y val="0.42999359464261444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602652032"/>
        <c:crosses val="autoZero"/>
        <c:crossBetween val="midCat"/>
      </c:valAx>
      <c:spPr>
        <a:noFill/>
        <a:ln w="25400">
          <a:noFill/>
        </a:ln>
      </c:spPr>
    </c:plotArea>
    <c:legend>
      <c:legendPos val="l"/>
      <c:legendEntry>
        <c:idx val="0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65531180964099689"/>
          <c:y val="0.46576714938807262"/>
          <c:w val="0.23930697534905207"/>
          <c:h val="8.284196293645113E-2"/>
        </c:manualLayout>
      </c:layout>
      <c:overlay val="0"/>
      <c:spPr>
        <a:solidFill>
          <a:schemeClr val="bg1">
            <a:lumMod val="95000"/>
          </a:schemeClr>
        </a:solidFill>
        <a:ln>
          <a:solidFill>
            <a:schemeClr val="bg1">
              <a:lumMod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/>
        <a:lstStyle/>
        <a:p>
          <a:pPr>
            <a:defRPr sz="1200" b="1"/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</c:spPr>
  <c:printSettings>
    <c:headerFooter/>
    <c:pageMargins b="0.75" l="0.7" r="0.7" t="0.75" header="0.3" footer="0.3"/>
    <c:pageSetup/>
  </c:printSettings>
  <c:userShapes r:id="rId2"/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TBP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476397795779055"/>
          <c:y val="9.2888283378746606E-2"/>
          <c:w val="0.7533185422916312"/>
          <c:h val="0.77816537578579248"/>
        </c:manualLayout>
      </c:layout>
      <c:scatterChart>
        <c:scatterStyle val="lineMarker"/>
        <c:varyColors val="0"/>
        <c:ser>
          <c:idx val="0"/>
          <c:order val="0"/>
          <c:tx>
            <c:v>ART D1</c:v>
          </c:tx>
          <c:spPr>
            <a:ln w="25400" cap="rnd">
              <a:solidFill>
                <a:srgbClr val="156082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'ABQ3358'!$B$20:$B$120</c:f>
              <c:numCache>
                <c:formatCode>General</c:formatCod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'ABQ3358'!$G$19:$G$119</c:f>
              <c:numCache>
                <c:formatCode>General</c:formatCode>
                <c:ptCount val="101"/>
                <c:pt idx="0">
                  <c:v>150.61000000000001</c:v>
                </c:pt>
                <c:pt idx="1">
                  <c:v>186.21</c:v>
                </c:pt>
                <c:pt idx="2">
                  <c:v>226.88</c:v>
                </c:pt>
                <c:pt idx="3">
                  <c:v>253.73</c:v>
                </c:pt>
                <c:pt idx="4">
                  <c:v>275.66000000000003</c:v>
                </c:pt>
                <c:pt idx="5">
                  <c:v>294.52999999999997</c:v>
                </c:pt>
                <c:pt idx="6">
                  <c:v>310.26</c:v>
                </c:pt>
                <c:pt idx="7">
                  <c:v>324.27999999999997</c:v>
                </c:pt>
                <c:pt idx="8">
                  <c:v>336.96</c:v>
                </c:pt>
                <c:pt idx="9">
                  <c:v>349.01</c:v>
                </c:pt>
                <c:pt idx="10">
                  <c:v>359.83</c:v>
                </c:pt>
                <c:pt idx="11">
                  <c:v>370.02</c:v>
                </c:pt>
                <c:pt idx="12">
                  <c:v>379.82</c:v>
                </c:pt>
                <c:pt idx="13">
                  <c:v>389.24</c:v>
                </c:pt>
                <c:pt idx="14">
                  <c:v>397.95</c:v>
                </c:pt>
                <c:pt idx="15">
                  <c:v>406.38</c:v>
                </c:pt>
                <c:pt idx="16">
                  <c:v>414.61</c:v>
                </c:pt>
                <c:pt idx="17">
                  <c:v>422.42</c:v>
                </c:pt>
                <c:pt idx="18">
                  <c:v>430.25</c:v>
                </c:pt>
                <c:pt idx="19">
                  <c:v>437.91</c:v>
                </c:pt>
                <c:pt idx="20">
                  <c:v>445.44</c:v>
                </c:pt>
                <c:pt idx="21">
                  <c:v>452.77</c:v>
                </c:pt>
                <c:pt idx="22">
                  <c:v>459.97</c:v>
                </c:pt>
                <c:pt idx="23">
                  <c:v>466.96</c:v>
                </c:pt>
                <c:pt idx="24">
                  <c:v>473.37</c:v>
                </c:pt>
                <c:pt idx="25">
                  <c:v>479.59</c:v>
                </c:pt>
                <c:pt idx="26">
                  <c:v>485.58</c:v>
                </c:pt>
                <c:pt idx="27">
                  <c:v>491.38</c:v>
                </c:pt>
                <c:pt idx="28">
                  <c:v>496.98</c:v>
                </c:pt>
                <c:pt idx="29">
                  <c:v>502.19</c:v>
                </c:pt>
                <c:pt idx="30">
                  <c:v>507.23</c:v>
                </c:pt>
                <c:pt idx="31">
                  <c:v>512.08000000000004</c:v>
                </c:pt>
                <c:pt idx="32">
                  <c:v>516.76</c:v>
                </c:pt>
                <c:pt idx="33">
                  <c:v>521.29</c:v>
                </c:pt>
                <c:pt idx="34">
                  <c:v>525.59</c:v>
                </c:pt>
                <c:pt idx="35">
                  <c:v>529.73</c:v>
                </c:pt>
                <c:pt idx="36">
                  <c:v>533.72</c:v>
                </c:pt>
                <c:pt idx="37">
                  <c:v>537.46</c:v>
                </c:pt>
                <c:pt idx="38">
                  <c:v>541.05999999999995</c:v>
                </c:pt>
                <c:pt idx="39">
                  <c:v>544.55999999999995</c:v>
                </c:pt>
                <c:pt idx="40">
                  <c:v>548.09</c:v>
                </c:pt>
                <c:pt idx="41">
                  <c:v>551.55999999999995</c:v>
                </c:pt>
                <c:pt idx="42">
                  <c:v>554.96</c:v>
                </c:pt>
                <c:pt idx="43">
                  <c:v>558.17999999999995</c:v>
                </c:pt>
                <c:pt idx="44">
                  <c:v>561.30999999999995</c:v>
                </c:pt>
                <c:pt idx="45">
                  <c:v>564.41</c:v>
                </c:pt>
                <c:pt idx="46">
                  <c:v>567.38</c:v>
                </c:pt>
                <c:pt idx="47">
                  <c:v>570.25</c:v>
                </c:pt>
                <c:pt idx="48">
                  <c:v>573.13</c:v>
                </c:pt>
                <c:pt idx="49">
                  <c:v>576.02</c:v>
                </c:pt>
                <c:pt idx="50">
                  <c:v>579.03</c:v>
                </c:pt>
                <c:pt idx="51">
                  <c:v>582.04999999999995</c:v>
                </c:pt>
                <c:pt idx="52">
                  <c:v>585.01</c:v>
                </c:pt>
                <c:pt idx="53">
                  <c:v>587.85</c:v>
                </c:pt>
                <c:pt idx="54">
                  <c:v>590.73</c:v>
                </c:pt>
                <c:pt idx="55">
                  <c:v>593.72</c:v>
                </c:pt>
                <c:pt idx="56">
                  <c:v>596.83000000000004</c:v>
                </c:pt>
                <c:pt idx="57">
                  <c:v>599.98</c:v>
                </c:pt>
                <c:pt idx="58">
                  <c:v>603.27</c:v>
                </c:pt>
                <c:pt idx="59">
                  <c:v>606.64</c:v>
                </c:pt>
                <c:pt idx="60">
                  <c:v>609.88</c:v>
                </c:pt>
                <c:pt idx="61">
                  <c:v>613.08000000000004</c:v>
                </c:pt>
                <c:pt idx="62">
                  <c:v>616.39</c:v>
                </c:pt>
                <c:pt idx="63">
                  <c:v>619.88</c:v>
                </c:pt>
                <c:pt idx="64">
                  <c:v>623.51</c:v>
                </c:pt>
                <c:pt idx="65">
                  <c:v>627.32000000000005</c:v>
                </c:pt>
                <c:pt idx="66">
                  <c:v>631.01</c:v>
                </c:pt>
                <c:pt idx="67">
                  <c:v>634.64</c:v>
                </c:pt>
                <c:pt idx="68">
                  <c:v>638.52</c:v>
                </c:pt>
                <c:pt idx="69">
                  <c:v>642.62</c:v>
                </c:pt>
                <c:pt idx="70">
                  <c:v>647.03</c:v>
                </c:pt>
                <c:pt idx="71">
                  <c:v>651.82000000000005</c:v>
                </c:pt>
                <c:pt idx="72">
                  <c:v>656.47</c:v>
                </c:pt>
                <c:pt idx="73">
                  <c:v>662.18</c:v>
                </c:pt>
                <c:pt idx="74">
                  <c:v>669.16</c:v>
                </c:pt>
                <c:pt idx="75">
                  <c:v>676.48</c:v>
                </c:pt>
                <c:pt idx="76">
                  <c:v>686.07</c:v>
                </c:pt>
                <c:pt idx="77">
                  <c:v>697.46</c:v>
                </c:pt>
                <c:pt idx="78">
                  <c:v>714.51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1AE-474B-B27B-C17375AAB463}"/>
            </c:ext>
          </c:extLst>
        </c:ser>
        <c:ser>
          <c:idx val="11"/>
          <c:order val="11"/>
          <c:tx>
            <c:v>TOP D1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'ABQ3358'!$B$20:$B$120</c:f>
              <c:numCache>
                <c:formatCode>General</c:formatCod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'HPS LTO DAILY '!$H$10:$H$85</c:f>
              <c:numCache>
                <c:formatCode>General</c:formatCode>
                <c:ptCount val="76"/>
                <c:pt idx="0">
                  <c:v>153.4</c:v>
                </c:pt>
                <c:pt idx="1">
                  <c:v>188.1</c:v>
                </c:pt>
                <c:pt idx="2">
                  <c:v>226.9</c:v>
                </c:pt>
                <c:pt idx="3">
                  <c:v>256</c:v>
                </c:pt>
                <c:pt idx="4">
                  <c:v>281.5</c:v>
                </c:pt>
                <c:pt idx="5">
                  <c:v>301.5</c:v>
                </c:pt>
                <c:pt idx="6">
                  <c:v>318.3</c:v>
                </c:pt>
                <c:pt idx="7">
                  <c:v>332.8</c:v>
                </c:pt>
                <c:pt idx="8">
                  <c:v>345.8</c:v>
                </c:pt>
                <c:pt idx="9">
                  <c:v>357</c:v>
                </c:pt>
                <c:pt idx="10">
                  <c:v>367.4</c:v>
                </c:pt>
                <c:pt idx="11">
                  <c:v>376.4</c:v>
                </c:pt>
                <c:pt idx="12">
                  <c:v>384.1</c:v>
                </c:pt>
                <c:pt idx="13">
                  <c:v>391.4</c:v>
                </c:pt>
                <c:pt idx="14">
                  <c:v>399.5</c:v>
                </c:pt>
                <c:pt idx="15">
                  <c:v>407.7</c:v>
                </c:pt>
                <c:pt idx="16">
                  <c:v>414.8</c:v>
                </c:pt>
                <c:pt idx="17">
                  <c:v>421.2</c:v>
                </c:pt>
                <c:pt idx="18">
                  <c:v>427.5</c:v>
                </c:pt>
                <c:pt idx="19">
                  <c:v>433.9</c:v>
                </c:pt>
                <c:pt idx="20">
                  <c:v>440.4</c:v>
                </c:pt>
                <c:pt idx="21">
                  <c:v>446.9</c:v>
                </c:pt>
                <c:pt idx="22">
                  <c:v>453.1</c:v>
                </c:pt>
                <c:pt idx="23">
                  <c:v>458.9</c:v>
                </c:pt>
                <c:pt idx="24">
                  <c:v>464.7</c:v>
                </c:pt>
                <c:pt idx="25">
                  <c:v>471.1</c:v>
                </c:pt>
                <c:pt idx="26">
                  <c:v>477.3</c:v>
                </c:pt>
                <c:pt idx="27">
                  <c:v>483.3</c:v>
                </c:pt>
                <c:pt idx="28">
                  <c:v>488.9</c:v>
                </c:pt>
                <c:pt idx="29">
                  <c:v>494.4</c:v>
                </c:pt>
                <c:pt idx="30">
                  <c:v>499.9</c:v>
                </c:pt>
                <c:pt idx="31">
                  <c:v>505.3</c:v>
                </c:pt>
                <c:pt idx="32">
                  <c:v>510.5</c:v>
                </c:pt>
                <c:pt idx="33">
                  <c:v>515.5</c:v>
                </c:pt>
                <c:pt idx="34">
                  <c:v>520.29999999999995</c:v>
                </c:pt>
                <c:pt idx="35">
                  <c:v>525.1</c:v>
                </c:pt>
                <c:pt idx="36">
                  <c:v>529.9</c:v>
                </c:pt>
                <c:pt idx="37">
                  <c:v>534.4</c:v>
                </c:pt>
                <c:pt idx="38">
                  <c:v>538.29999999999995</c:v>
                </c:pt>
                <c:pt idx="39">
                  <c:v>542</c:v>
                </c:pt>
                <c:pt idx="40">
                  <c:v>545.79999999999995</c:v>
                </c:pt>
                <c:pt idx="41">
                  <c:v>550.1</c:v>
                </c:pt>
                <c:pt idx="42">
                  <c:v>554.29999999999995</c:v>
                </c:pt>
                <c:pt idx="43">
                  <c:v>558.20000000000005</c:v>
                </c:pt>
                <c:pt idx="44">
                  <c:v>561.70000000000005</c:v>
                </c:pt>
                <c:pt idx="45">
                  <c:v>565.20000000000005</c:v>
                </c:pt>
                <c:pt idx="46">
                  <c:v>568.5</c:v>
                </c:pt>
                <c:pt idx="47">
                  <c:v>571.6</c:v>
                </c:pt>
                <c:pt idx="48">
                  <c:v>574.79999999999995</c:v>
                </c:pt>
                <c:pt idx="49">
                  <c:v>578.1</c:v>
                </c:pt>
                <c:pt idx="50">
                  <c:v>581.4</c:v>
                </c:pt>
                <c:pt idx="51">
                  <c:v>584.70000000000005</c:v>
                </c:pt>
                <c:pt idx="52">
                  <c:v>588</c:v>
                </c:pt>
                <c:pt idx="53">
                  <c:v>591.4</c:v>
                </c:pt>
                <c:pt idx="54">
                  <c:v>594.6</c:v>
                </c:pt>
                <c:pt idx="55">
                  <c:v>597.9</c:v>
                </c:pt>
                <c:pt idx="56">
                  <c:v>601.4</c:v>
                </c:pt>
                <c:pt idx="57">
                  <c:v>604.9</c:v>
                </c:pt>
                <c:pt idx="58">
                  <c:v>608.6</c:v>
                </c:pt>
                <c:pt idx="59">
                  <c:v>612.20000000000005</c:v>
                </c:pt>
                <c:pt idx="60">
                  <c:v>615.9</c:v>
                </c:pt>
                <c:pt idx="61">
                  <c:v>619.70000000000005</c:v>
                </c:pt>
                <c:pt idx="62">
                  <c:v>623.6</c:v>
                </c:pt>
                <c:pt idx="63">
                  <c:v>627.6</c:v>
                </c:pt>
                <c:pt idx="64">
                  <c:v>631.6</c:v>
                </c:pt>
                <c:pt idx="65">
                  <c:v>635.6</c:v>
                </c:pt>
                <c:pt idx="66">
                  <c:v>639.9</c:v>
                </c:pt>
                <c:pt idx="67">
                  <c:v>644.5</c:v>
                </c:pt>
                <c:pt idx="68">
                  <c:v>649.1</c:v>
                </c:pt>
                <c:pt idx="69">
                  <c:v>653.9</c:v>
                </c:pt>
                <c:pt idx="70">
                  <c:v>658.9</c:v>
                </c:pt>
                <c:pt idx="71">
                  <c:v>665.5</c:v>
                </c:pt>
                <c:pt idx="72">
                  <c:v>672.5</c:v>
                </c:pt>
                <c:pt idx="73">
                  <c:v>681</c:v>
                </c:pt>
                <c:pt idx="74">
                  <c:v>690.6</c:v>
                </c:pt>
                <c:pt idx="75">
                  <c:v>704.6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91AE-474B-B27B-C17375AAB463}"/>
            </c:ext>
          </c:extLst>
        </c:ser>
        <c:ser>
          <c:idx val="12"/>
          <c:order val="12"/>
          <c:tx>
            <c:v>TOP D1.5</c:v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'ABQ3358'!$B$20:$B$120</c:f>
              <c:numCache>
                <c:formatCode>General</c:formatCod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'HPS LTO DAILY '!$I$10:$I$88</c:f>
              <c:numCache>
                <c:formatCode>General</c:formatCode>
                <c:ptCount val="79"/>
                <c:pt idx="0">
                  <c:v>140.19999999999999</c:v>
                </c:pt>
                <c:pt idx="1">
                  <c:v>179</c:v>
                </c:pt>
                <c:pt idx="2">
                  <c:v>220.7</c:v>
                </c:pt>
                <c:pt idx="3">
                  <c:v>247.3</c:v>
                </c:pt>
                <c:pt idx="4">
                  <c:v>269.8</c:v>
                </c:pt>
                <c:pt idx="5">
                  <c:v>290.8</c:v>
                </c:pt>
                <c:pt idx="6">
                  <c:v>307.5</c:v>
                </c:pt>
                <c:pt idx="7">
                  <c:v>322.5</c:v>
                </c:pt>
                <c:pt idx="8">
                  <c:v>336</c:v>
                </c:pt>
                <c:pt idx="9">
                  <c:v>348.4</c:v>
                </c:pt>
                <c:pt idx="10">
                  <c:v>359.3</c:v>
                </c:pt>
                <c:pt idx="11">
                  <c:v>369.5</c:v>
                </c:pt>
                <c:pt idx="12">
                  <c:v>378.5</c:v>
                </c:pt>
                <c:pt idx="13">
                  <c:v>386.6</c:v>
                </c:pt>
                <c:pt idx="14">
                  <c:v>394.8</c:v>
                </c:pt>
                <c:pt idx="15">
                  <c:v>403</c:v>
                </c:pt>
                <c:pt idx="16">
                  <c:v>411.5</c:v>
                </c:pt>
                <c:pt idx="17">
                  <c:v>418.5</c:v>
                </c:pt>
                <c:pt idx="18">
                  <c:v>425.2</c:v>
                </c:pt>
                <c:pt idx="19">
                  <c:v>431.6</c:v>
                </c:pt>
                <c:pt idx="20">
                  <c:v>438.9</c:v>
                </c:pt>
                <c:pt idx="21">
                  <c:v>445.8</c:v>
                </c:pt>
                <c:pt idx="22">
                  <c:v>452.2</c:v>
                </c:pt>
                <c:pt idx="23">
                  <c:v>458.4</c:v>
                </c:pt>
                <c:pt idx="24">
                  <c:v>464.7</c:v>
                </c:pt>
                <c:pt idx="25">
                  <c:v>471.2</c:v>
                </c:pt>
                <c:pt idx="26">
                  <c:v>477.8</c:v>
                </c:pt>
                <c:pt idx="27">
                  <c:v>483.9</c:v>
                </c:pt>
                <c:pt idx="28">
                  <c:v>489.7</c:v>
                </c:pt>
                <c:pt idx="29">
                  <c:v>495.4</c:v>
                </c:pt>
                <c:pt idx="30">
                  <c:v>500.9</c:v>
                </c:pt>
                <c:pt idx="31">
                  <c:v>506.3</c:v>
                </c:pt>
                <c:pt idx="32">
                  <c:v>511.4</c:v>
                </c:pt>
                <c:pt idx="33">
                  <c:v>516.29999999999995</c:v>
                </c:pt>
                <c:pt idx="34">
                  <c:v>521.1</c:v>
                </c:pt>
                <c:pt idx="35">
                  <c:v>525.9</c:v>
                </c:pt>
                <c:pt idx="36">
                  <c:v>530.6</c:v>
                </c:pt>
                <c:pt idx="37">
                  <c:v>535</c:v>
                </c:pt>
                <c:pt idx="38">
                  <c:v>538.79999999999995</c:v>
                </c:pt>
                <c:pt idx="39">
                  <c:v>542.4</c:v>
                </c:pt>
                <c:pt idx="40">
                  <c:v>546.20000000000005</c:v>
                </c:pt>
                <c:pt idx="41">
                  <c:v>550.5</c:v>
                </c:pt>
                <c:pt idx="42">
                  <c:v>554.6</c:v>
                </c:pt>
                <c:pt idx="43">
                  <c:v>558.4</c:v>
                </c:pt>
                <c:pt idx="44">
                  <c:v>561.79999999999995</c:v>
                </c:pt>
                <c:pt idx="45">
                  <c:v>565.29999999999995</c:v>
                </c:pt>
                <c:pt idx="46">
                  <c:v>568.4</c:v>
                </c:pt>
                <c:pt idx="47">
                  <c:v>571.6</c:v>
                </c:pt>
                <c:pt idx="48">
                  <c:v>574.6</c:v>
                </c:pt>
                <c:pt idx="49">
                  <c:v>577.79999999999995</c:v>
                </c:pt>
                <c:pt idx="50">
                  <c:v>581</c:v>
                </c:pt>
                <c:pt idx="51">
                  <c:v>584.20000000000005</c:v>
                </c:pt>
                <c:pt idx="52">
                  <c:v>587.29999999999995</c:v>
                </c:pt>
                <c:pt idx="53">
                  <c:v>590.5</c:v>
                </c:pt>
                <c:pt idx="54">
                  <c:v>593.70000000000005</c:v>
                </c:pt>
                <c:pt idx="55">
                  <c:v>596.79999999999995</c:v>
                </c:pt>
                <c:pt idx="56">
                  <c:v>600</c:v>
                </c:pt>
                <c:pt idx="57">
                  <c:v>603.4</c:v>
                </c:pt>
                <c:pt idx="58">
                  <c:v>606.9</c:v>
                </c:pt>
                <c:pt idx="59">
                  <c:v>610.29999999999995</c:v>
                </c:pt>
                <c:pt idx="60">
                  <c:v>613.70000000000005</c:v>
                </c:pt>
                <c:pt idx="61">
                  <c:v>617.29999999999995</c:v>
                </c:pt>
                <c:pt idx="62">
                  <c:v>621.1</c:v>
                </c:pt>
                <c:pt idx="63">
                  <c:v>624.79999999999995</c:v>
                </c:pt>
                <c:pt idx="64">
                  <c:v>628.70000000000005</c:v>
                </c:pt>
                <c:pt idx="65">
                  <c:v>632.4</c:v>
                </c:pt>
                <c:pt idx="66">
                  <c:v>636.20000000000005</c:v>
                </c:pt>
                <c:pt idx="67">
                  <c:v>640.20000000000005</c:v>
                </c:pt>
                <c:pt idx="68">
                  <c:v>644.5</c:v>
                </c:pt>
                <c:pt idx="69">
                  <c:v>648.9</c:v>
                </c:pt>
                <c:pt idx="70">
                  <c:v>653.29999999999995</c:v>
                </c:pt>
                <c:pt idx="71">
                  <c:v>657.6</c:v>
                </c:pt>
                <c:pt idx="72">
                  <c:v>663.1</c:v>
                </c:pt>
                <c:pt idx="73">
                  <c:v>669.2</c:v>
                </c:pt>
                <c:pt idx="74">
                  <c:v>674.8</c:v>
                </c:pt>
                <c:pt idx="75">
                  <c:v>682.1</c:v>
                </c:pt>
                <c:pt idx="76">
                  <c:v>689</c:v>
                </c:pt>
                <c:pt idx="77">
                  <c:v>695.7</c:v>
                </c:pt>
                <c:pt idx="78">
                  <c:v>703.8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91AE-474B-B27B-C17375AAB463}"/>
            </c:ext>
          </c:extLst>
        </c:ser>
        <c:ser>
          <c:idx val="14"/>
          <c:order val="14"/>
          <c:tx>
            <c:v>TOP D2</c:v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'ABQ3358'!$B$19:$B$119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'!$I$10:$I$89</c:f>
              <c:numCache>
                <c:formatCode>General</c:formatCode>
                <c:ptCount val="80"/>
                <c:pt idx="0">
                  <c:v>140.19999999999999</c:v>
                </c:pt>
                <c:pt idx="1">
                  <c:v>179</c:v>
                </c:pt>
                <c:pt idx="2">
                  <c:v>220.7</c:v>
                </c:pt>
                <c:pt idx="3">
                  <c:v>247.3</c:v>
                </c:pt>
                <c:pt idx="4">
                  <c:v>269.8</c:v>
                </c:pt>
                <c:pt idx="5">
                  <c:v>290.8</c:v>
                </c:pt>
                <c:pt idx="6">
                  <c:v>307.5</c:v>
                </c:pt>
                <c:pt idx="7">
                  <c:v>322.5</c:v>
                </c:pt>
                <c:pt idx="8">
                  <c:v>336</c:v>
                </c:pt>
                <c:pt idx="9">
                  <c:v>348.4</c:v>
                </c:pt>
                <c:pt idx="10">
                  <c:v>359.3</c:v>
                </c:pt>
                <c:pt idx="11">
                  <c:v>369.5</c:v>
                </c:pt>
                <c:pt idx="12">
                  <c:v>378.5</c:v>
                </c:pt>
                <c:pt idx="13">
                  <c:v>386.6</c:v>
                </c:pt>
                <c:pt idx="14">
                  <c:v>394.8</c:v>
                </c:pt>
                <c:pt idx="15">
                  <c:v>403</c:v>
                </c:pt>
                <c:pt idx="16">
                  <c:v>411.5</c:v>
                </c:pt>
                <c:pt idx="17">
                  <c:v>418.5</c:v>
                </c:pt>
                <c:pt idx="18">
                  <c:v>425.2</c:v>
                </c:pt>
                <c:pt idx="19">
                  <c:v>431.6</c:v>
                </c:pt>
                <c:pt idx="20">
                  <c:v>438.9</c:v>
                </c:pt>
                <c:pt idx="21">
                  <c:v>445.8</c:v>
                </c:pt>
                <c:pt idx="22">
                  <c:v>452.2</c:v>
                </c:pt>
                <c:pt idx="23">
                  <c:v>458.4</c:v>
                </c:pt>
                <c:pt idx="24">
                  <c:v>464.7</c:v>
                </c:pt>
                <c:pt idx="25">
                  <c:v>471.2</c:v>
                </c:pt>
                <c:pt idx="26">
                  <c:v>477.8</c:v>
                </c:pt>
                <c:pt idx="27">
                  <c:v>483.9</c:v>
                </c:pt>
                <c:pt idx="28">
                  <c:v>489.7</c:v>
                </c:pt>
                <c:pt idx="29">
                  <c:v>495.4</c:v>
                </c:pt>
                <c:pt idx="30">
                  <c:v>500.9</c:v>
                </c:pt>
                <c:pt idx="31">
                  <c:v>506.3</c:v>
                </c:pt>
                <c:pt idx="32">
                  <c:v>511.4</c:v>
                </c:pt>
                <c:pt idx="33">
                  <c:v>516.29999999999995</c:v>
                </c:pt>
                <c:pt idx="34">
                  <c:v>521.1</c:v>
                </c:pt>
                <c:pt idx="35">
                  <c:v>525.9</c:v>
                </c:pt>
                <c:pt idx="36">
                  <c:v>530.6</c:v>
                </c:pt>
                <c:pt idx="37">
                  <c:v>535</c:v>
                </c:pt>
                <c:pt idx="38">
                  <c:v>538.79999999999995</c:v>
                </c:pt>
                <c:pt idx="39">
                  <c:v>542.4</c:v>
                </c:pt>
                <c:pt idx="40">
                  <c:v>546.20000000000005</c:v>
                </c:pt>
                <c:pt idx="41">
                  <c:v>550.5</c:v>
                </c:pt>
                <c:pt idx="42">
                  <c:v>554.6</c:v>
                </c:pt>
                <c:pt idx="43">
                  <c:v>558.4</c:v>
                </c:pt>
                <c:pt idx="44">
                  <c:v>561.79999999999995</c:v>
                </c:pt>
                <c:pt idx="45">
                  <c:v>565.29999999999995</c:v>
                </c:pt>
                <c:pt idx="46">
                  <c:v>568.4</c:v>
                </c:pt>
                <c:pt idx="47">
                  <c:v>571.6</c:v>
                </c:pt>
                <c:pt idx="48">
                  <c:v>574.6</c:v>
                </c:pt>
                <c:pt idx="49">
                  <c:v>577.79999999999995</c:v>
                </c:pt>
                <c:pt idx="50">
                  <c:v>581</c:v>
                </c:pt>
                <c:pt idx="51">
                  <c:v>584.20000000000005</c:v>
                </c:pt>
                <c:pt idx="52">
                  <c:v>587.29999999999995</c:v>
                </c:pt>
                <c:pt idx="53">
                  <c:v>590.5</c:v>
                </c:pt>
                <c:pt idx="54">
                  <c:v>593.70000000000005</c:v>
                </c:pt>
                <c:pt idx="55">
                  <c:v>596.79999999999995</c:v>
                </c:pt>
                <c:pt idx="56">
                  <c:v>600</c:v>
                </c:pt>
                <c:pt idx="57">
                  <c:v>603.4</c:v>
                </c:pt>
                <c:pt idx="58">
                  <c:v>606.9</c:v>
                </c:pt>
                <c:pt idx="59">
                  <c:v>610.29999999999995</c:v>
                </c:pt>
                <c:pt idx="60">
                  <c:v>613.70000000000005</c:v>
                </c:pt>
                <c:pt idx="61">
                  <c:v>617.29999999999995</c:v>
                </c:pt>
                <c:pt idx="62">
                  <c:v>621.1</c:v>
                </c:pt>
                <c:pt idx="63">
                  <c:v>624.79999999999995</c:v>
                </c:pt>
                <c:pt idx="64">
                  <c:v>628.70000000000005</c:v>
                </c:pt>
                <c:pt idx="65">
                  <c:v>632.4</c:v>
                </c:pt>
                <c:pt idx="66">
                  <c:v>636.20000000000005</c:v>
                </c:pt>
                <c:pt idx="67">
                  <c:v>640.20000000000005</c:v>
                </c:pt>
                <c:pt idx="68">
                  <c:v>644.5</c:v>
                </c:pt>
                <c:pt idx="69">
                  <c:v>648.9</c:v>
                </c:pt>
                <c:pt idx="70">
                  <c:v>653.29999999999995</c:v>
                </c:pt>
                <c:pt idx="71">
                  <c:v>657.6</c:v>
                </c:pt>
                <c:pt idx="72">
                  <c:v>663.1</c:v>
                </c:pt>
                <c:pt idx="73">
                  <c:v>669.2</c:v>
                </c:pt>
                <c:pt idx="74">
                  <c:v>674.8</c:v>
                </c:pt>
                <c:pt idx="75">
                  <c:v>682.1</c:v>
                </c:pt>
                <c:pt idx="76">
                  <c:v>689</c:v>
                </c:pt>
                <c:pt idx="77">
                  <c:v>695.7</c:v>
                </c:pt>
                <c:pt idx="78">
                  <c:v>703.8</c:v>
                </c:pt>
                <c:pt idx="79">
                  <c:v>713.1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C4-4D70-85A7-120EB1878462}"/>
            </c:ext>
          </c:extLst>
        </c:ser>
        <c:ser>
          <c:idx val="15"/>
          <c:order val="15"/>
          <c:tx>
            <c:v>TOP D2.5</c:v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'ABQ3358'!$B$19:$B$119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'!$J$10:$J$94</c:f>
              <c:numCache>
                <c:formatCode>General</c:formatCode>
                <c:ptCount val="85"/>
                <c:pt idx="0">
                  <c:v>158.69999999999999</c:v>
                </c:pt>
                <c:pt idx="1">
                  <c:v>192.8</c:v>
                </c:pt>
                <c:pt idx="2">
                  <c:v>227.2</c:v>
                </c:pt>
                <c:pt idx="3">
                  <c:v>252.8</c:v>
                </c:pt>
                <c:pt idx="4">
                  <c:v>275.39999999999998</c:v>
                </c:pt>
                <c:pt idx="5">
                  <c:v>295.8</c:v>
                </c:pt>
                <c:pt idx="6">
                  <c:v>312.89999999999998</c:v>
                </c:pt>
                <c:pt idx="7">
                  <c:v>327.9</c:v>
                </c:pt>
                <c:pt idx="8">
                  <c:v>341.7</c:v>
                </c:pt>
                <c:pt idx="9">
                  <c:v>354.5</c:v>
                </c:pt>
                <c:pt idx="10">
                  <c:v>365.9</c:v>
                </c:pt>
                <c:pt idx="11">
                  <c:v>375.7</c:v>
                </c:pt>
                <c:pt idx="12">
                  <c:v>384.8</c:v>
                </c:pt>
                <c:pt idx="13">
                  <c:v>393.7</c:v>
                </c:pt>
                <c:pt idx="14">
                  <c:v>403</c:v>
                </c:pt>
                <c:pt idx="15">
                  <c:v>411.9</c:v>
                </c:pt>
                <c:pt idx="16">
                  <c:v>419.9</c:v>
                </c:pt>
                <c:pt idx="17">
                  <c:v>427.2</c:v>
                </c:pt>
                <c:pt idx="18">
                  <c:v>434.8</c:v>
                </c:pt>
                <c:pt idx="19">
                  <c:v>442.4</c:v>
                </c:pt>
                <c:pt idx="20">
                  <c:v>449.8</c:v>
                </c:pt>
                <c:pt idx="21">
                  <c:v>456.7</c:v>
                </c:pt>
                <c:pt idx="22">
                  <c:v>463.4</c:v>
                </c:pt>
                <c:pt idx="23">
                  <c:v>470.3</c:v>
                </c:pt>
                <c:pt idx="24">
                  <c:v>477.3</c:v>
                </c:pt>
                <c:pt idx="25">
                  <c:v>483.9</c:v>
                </c:pt>
                <c:pt idx="26">
                  <c:v>489.9</c:v>
                </c:pt>
                <c:pt idx="27">
                  <c:v>495.8</c:v>
                </c:pt>
                <c:pt idx="28">
                  <c:v>501.6</c:v>
                </c:pt>
                <c:pt idx="29">
                  <c:v>507.1</c:v>
                </c:pt>
                <c:pt idx="30">
                  <c:v>512.29999999999995</c:v>
                </c:pt>
                <c:pt idx="31">
                  <c:v>517.29999999999995</c:v>
                </c:pt>
                <c:pt idx="32">
                  <c:v>522.1</c:v>
                </c:pt>
                <c:pt idx="33">
                  <c:v>527</c:v>
                </c:pt>
                <c:pt idx="34">
                  <c:v>531.70000000000005</c:v>
                </c:pt>
                <c:pt idx="35">
                  <c:v>535.79999999999995</c:v>
                </c:pt>
                <c:pt idx="36">
                  <c:v>539.6</c:v>
                </c:pt>
                <c:pt idx="37">
                  <c:v>543.20000000000005</c:v>
                </c:pt>
                <c:pt idx="38">
                  <c:v>547.1</c:v>
                </c:pt>
                <c:pt idx="39">
                  <c:v>551.29999999999995</c:v>
                </c:pt>
                <c:pt idx="40">
                  <c:v>555.4</c:v>
                </c:pt>
                <c:pt idx="41">
                  <c:v>559</c:v>
                </c:pt>
                <c:pt idx="42">
                  <c:v>562.29999999999995</c:v>
                </c:pt>
                <c:pt idx="43">
                  <c:v>565.70000000000005</c:v>
                </c:pt>
                <c:pt idx="44">
                  <c:v>568.79999999999995</c:v>
                </c:pt>
                <c:pt idx="45">
                  <c:v>571.79999999999995</c:v>
                </c:pt>
                <c:pt idx="46">
                  <c:v>574.79999999999995</c:v>
                </c:pt>
                <c:pt idx="47">
                  <c:v>578</c:v>
                </c:pt>
                <c:pt idx="48">
                  <c:v>581.1</c:v>
                </c:pt>
                <c:pt idx="49">
                  <c:v>584.29999999999995</c:v>
                </c:pt>
                <c:pt idx="50">
                  <c:v>587.4</c:v>
                </c:pt>
                <c:pt idx="51">
                  <c:v>590.5</c:v>
                </c:pt>
                <c:pt idx="52">
                  <c:v>593.6</c:v>
                </c:pt>
                <c:pt idx="53">
                  <c:v>596.70000000000005</c:v>
                </c:pt>
                <c:pt idx="54">
                  <c:v>599.9</c:v>
                </c:pt>
                <c:pt idx="55">
                  <c:v>603.20000000000005</c:v>
                </c:pt>
                <c:pt idx="56">
                  <c:v>606.70000000000005</c:v>
                </c:pt>
                <c:pt idx="57">
                  <c:v>610</c:v>
                </c:pt>
                <c:pt idx="58">
                  <c:v>613.5</c:v>
                </c:pt>
                <c:pt idx="59">
                  <c:v>617.1</c:v>
                </c:pt>
                <c:pt idx="60">
                  <c:v>620.79999999999995</c:v>
                </c:pt>
                <c:pt idx="61">
                  <c:v>624.6</c:v>
                </c:pt>
                <c:pt idx="62">
                  <c:v>628.4</c:v>
                </c:pt>
                <c:pt idx="63">
                  <c:v>632.1</c:v>
                </c:pt>
                <c:pt idx="64">
                  <c:v>636</c:v>
                </c:pt>
                <c:pt idx="65">
                  <c:v>640</c:v>
                </c:pt>
                <c:pt idx="66">
                  <c:v>644.29999999999995</c:v>
                </c:pt>
                <c:pt idx="67">
                  <c:v>648.79999999999995</c:v>
                </c:pt>
                <c:pt idx="68">
                  <c:v>653.20000000000005</c:v>
                </c:pt>
                <c:pt idx="69">
                  <c:v>657.5</c:v>
                </c:pt>
                <c:pt idx="70">
                  <c:v>663.1</c:v>
                </c:pt>
                <c:pt idx="71">
                  <c:v>669.2</c:v>
                </c:pt>
                <c:pt idx="72">
                  <c:v>674.8</c:v>
                </c:pt>
                <c:pt idx="73">
                  <c:v>682.2</c:v>
                </c:pt>
                <c:pt idx="74">
                  <c:v>689.1</c:v>
                </c:pt>
                <c:pt idx="75">
                  <c:v>695.9</c:v>
                </c:pt>
                <c:pt idx="76">
                  <c:v>703.9</c:v>
                </c:pt>
                <c:pt idx="77">
                  <c:v>713.1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C4-4D70-85A7-120EB1878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7734031"/>
        <c:axId val="1827733071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ART D2</c:v>
                </c:tx>
                <c:spPr>
                  <a:ln w="25400" cap="rnd">
                    <a:solidFill>
                      <a:srgbClr val="E97132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'ABQ3358'!$B$20:$B$120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'ABQ3358'!$H$19:$H$119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150.33000000000001</c:v>
                      </c:pt>
                      <c:pt idx="1">
                        <c:v>184.44</c:v>
                      </c:pt>
                      <c:pt idx="2">
                        <c:v>224.17</c:v>
                      </c:pt>
                      <c:pt idx="3">
                        <c:v>251.94</c:v>
                      </c:pt>
                      <c:pt idx="4">
                        <c:v>272.83</c:v>
                      </c:pt>
                      <c:pt idx="5">
                        <c:v>292</c:v>
                      </c:pt>
                      <c:pt idx="6">
                        <c:v>307.72000000000003</c:v>
                      </c:pt>
                      <c:pt idx="7">
                        <c:v>321.61</c:v>
                      </c:pt>
                      <c:pt idx="8">
                        <c:v>334.39</c:v>
                      </c:pt>
                      <c:pt idx="9">
                        <c:v>346.39</c:v>
                      </c:pt>
                      <c:pt idx="10">
                        <c:v>357.11</c:v>
                      </c:pt>
                      <c:pt idx="11">
                        <c:v>367.56</c:v>
                      </c:pt>
                      <c:pt idx="12">
                        <c:v>377.33</c:v>
                      </c:pt>
                      <c:pt idx="13">
                        <c:v>386.44</c:v>
                      </c:pt>
                      <c:pt idx="14">
                        <c:v>395.17</c:v>
                      </c:pt>
                      <c:pt idx="15">
                        <c:v>403.5</c:v>
                      </c:pt>
                      <c:pt idx="16">
                        <c:v>411.61</c:v>
                      </c:pt>
                      <c:pt idx="17">
                        <c:v>419.56</c:v>
                      </c:pt>
                      <c:pt idx="18">
                        <c:v>427.17</c:v>
                      </c:pt>
                      <c:pt idx="19">
                        <c:v>434.67</c:v>
                      </c:pt>
                      <c:pt idx="20">
                        <c:v>442.11</c:v>
                      </c:pt>
                      <c:pt idx="21">
                        <c:v>449.5</c:v>
                      </c:pt>
                      <c:pt idx="22">
                        <c:v>456.67</c:v>
                      </c:pt>
                      <c:pt idx="23">
                        <c:v>463.72</c:v>
                      </c:pt>
                      <c:pt idx="24">
                        <c:v>470.22</c:v>
                      </c:pt>
                      <c:pt idx="25">
                        <c:v>476.39</c:v>
                      </c:pt>
                      <c:pt idx="26">
                        <c:v>482.33</c:v>
                      </c:pt>
                      <c:pt idx="27">
                        <c:v>488.11</c:v>
                      </c:pt>
                      <c:pt idx="28">
                        <c:v>493.67</c:v>
                      </c:pt>
                      <c:pt idx="29">
                        <c:v>498.94</c:v>
                      </c:pt>
                      <c:pt idx="30">
                        <c:v>503.94</c:v>
                      </c:pt>
                      <c:pt idx="31">
                        <c:v>508.83</c:v>
                      </c:pt>
                      <c:pt idx="32">
                        <c:v>513.5</c:v>
                      </c:pt>
                      <c:pt idx="33">
                        <c:v>518</c:v>
                      </c:pt>
                      <c:pt idx="34">
                        <c:v>522.39</c:v>
                      </c:pt>
                      <c:pt idx="35">
                        <c:v>526.55999999999995</c:v>
                      </c:pt>
                      <c:pt idx="36">
                        <c:v>530.61</c:v>
                      </c:pt>
                      <c:pt idx="37">
                        <c:v>534.5</c:v>
                      </c:pt>
                      <c:pt idx="38">
                        <c:v>538.16999999999996</c:v>
                      </c:pt>
                      <c:pt idx="39">
                        <c:v>541.66999999999996</c:v>
                      </c:pt>
                      <c:pt idx="40">
                        <c:v>545.11</c:v>
                      </c:pt>
                      <c:pt idx="41">
                        <c:v>548.61</c:v>
                      </c:pt>
                      <c:pt idx="42">
                        <c:v>552.05999999999995</c:v>
                      </c:pt>
                      <c:pt idx="43">
                        <c:v>555.44000000000005</c:v>
                      </c:pt>
                      <c:pt idx="44">
                        <c:v>558.61</c:v>
                      </c:pt>
                      <c:pt idx="45">
                        <c:v>561.66999999999996</c:v>
                      </c:pt>
                      <c:pt idx="46">
                        <c:v>564.72</c:v>
                      </c:pt>
                      <c:pt idx="47">
                        <c:v>567.61</c:v>
                      </c:pt>
                      <c:pt idx="48">
                        <c:v>570.5</c:v>
                      </c:pt>
                      <c:pt idx="49">
                        <c:v>573.33000000000004</c:v>
                      </c:pt>
                      <c:pt idx="50">
                        <c:v>576.16999999999996</c:v>
                      </c:pt>
                      <c:pt idx="51">
                        <c:v>579.16999999999996</c:v>
                      </c:pt>
                      <c:pt idx="52">
                        <c:v>582.11</c:v>
                      </c:pt>
                      <c:pt idx="53">
                        <c:v>585</c:v>
                      </c:pt>
                      <c:pt idx="54">
                        <c:v>587.78</c:v>
                      </c:pt>
                      <c:pt idx="55">
                        <c:v>590.61</c:v>
                      </c:pt>
                      <c:pt idx="56">
                        <c:v>593.55999999999995</c:v>
                      </c:pt>
                      <c:pt idx="57">
                        <c:v>596.55999999999995</c:v>
                      </c:pt>
                      <c:pt idx="58">
                        <c:v>599.61</c:v>
                      </c:pt>
                      <c:pt idx="59">
                        <c:v>602.78</c:v>
                      </c:pt>
                      <c:pt idx="60">
                        <c:v>606.11</c:v>
                      </c:pt>
                      <c:pt idx="61">
                        <c:v>609.33000000000004</c:v>
                      </c:pt>
                      <c:pt idx="62">
                        <c:v>612.44000000000005</c:v>
                      </c:pt>
                      <c:pt idx="63">
                        <c:v>615.61</c:v>
                      </c:pt>
                      <c:pt idx="64">
                        <c:v>619</c:v>
                      </c:pt>
                      <c:pt idx="65">
                        <c:v>622.44000000000005</c:v>
                      </c:pt>
                      <c:pt idx="66">
                        <c:v>626.05999999999995</c:v>
                      </c:pt>
                      <c:pt idx="67">
                        <c:v>629.66999999999996</c:v>
                      </c:pt>
                      <c:pt idx="68">
                        <c:v>633.05999999999995</c:v>
                      </c:pt>
                      <c:pt idx="69">
                        <c:v>636.55999999999995</c:v>
                      </c:pt>
                      <c:pt idx="70">
                        <c:v>640.22</c:v>
                      </c:pt>
                      <c:pt idx="71">
                        <c:v>644.11</c:v>
                      </c:pt>
                      <c:pt idx="72">
                        <c:v>648.16999999999996</c:v>
                      </c:pt>
                      <c:pt idx="73">
                        <c:v>652.44000000000005</c:v>
                      </c:pt>
                      <c:pt idx="74">
                        <c:v>656.33</c:v>
                      </c:pt>
                      <c:pt idx="75">
                        <c:v>660.78</c:v>
                      </c:pt>
                      <c:pt idx="76">
                        <c:v>665.89</c:v>
                      </c:pt>
                      <c:pt idx="77">
                        <c:v>671.11</c:v>
                      </c:pt>
                      <c:pt idx="78">
                        <c:v>676.22</c:v>
                      </c:pt>
                      <c:pt idx="79">
                        <c:v>682.39</c:v>
                      </c:pt>
                      <c:pt idx="80">
                        <c:v>688.33</c:v>
                      </c:pt>
                      <c:pt idx="81">
                        <c:v>694.28</c:v>
                      </c:pt>
                      <c:pt idx="82">
                        <c:v>701.89</c:v>
                      </c:pt>
                      <c:pt idx="83">
                        <c:v>710.67</c:v>
                      </c:pt>
                      <c:pt idx="84">
                        <c:v>722.89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F-91AE-474B-B27B-C17375AAB463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ART D3</c:v>
                </c:tx>
                <c:spPr>
                  <a:ln w="25400" cap="rnd">
                    <a:solidFill>
                      <a:srgbClr val="196B24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'ABQ3358'!$B$20:$B$120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'ABQ3358'!$I$19:$I$119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149.94</c:v>
                      </c:pt>
                      <c:pt idx="1">
                        <c:v>185.33</c:v>
                      </c:pt>
                      <c:pt idx="2">
                        <c:v>227</c:v>
                      </c:pt>
                      <c:pt idx="3">
                        <c:v>253.94</c:v>
                      </c:pt>
                      <c:pt idx="4">
                        <c:v>275.77999999999997</c:v>
                      </c:pt>
                      <c:pt idx="5">
                        <c:v>294.44</c:v>
                      </c:pt>
                      <c:pt idx="6">
                        <c:v>310.06</c:v>
                      </c:pt>
                      <c:pt idx="7">
                        <c:v>324</c:v>
                      </c:pt>
                      <c:pt idx="8">
                        <c:v>336.5</c:v>
                      </c:pt>
                      <c:pt idx="9">
                        <c:v>348.5</c:v>
                      </c:pt>
                      <c:pt idx="10">
                        <c:v>359.28</c:v>
                      </c:pt>
                      <c:pt idx="11">
                        <c:v>369.22</c:v>
                      </c:pt>
                      <c:pt idx="12">
                        <c:v>378.94</c:v>
                      </c:pt>
                      <c:pt idx="13">
                        <c:v>388.11</c:v>
                      </c:pt>
                      <c:pt idx="14">
                        <c:v>396.83</c:v>
                      </c:pt>
                      <c:pt idx="15">
                        <c:v>405.06</c:v>
                      </c:pt>
                      <c:pt idx="16">
                        <c:v>413.11</c:v>
                      </c:pt>
                      <c:pt idx="17">
                        <c:v>420.83</c:v>
                      </c:pt>
                      <c:pt idx="18">
                        <c:v>428.61</c:v>
                      </c:pt>
                      <c:pt idx="19">
                        <c:v>436.06</c:v>
                      </c:pt>
                      <c:pt idx="20">
                        <c:v>443.5</c:v>
                      </c:pt>
                      <c:pt idx="21">
                        <c:v>450.83</c:v>
                      </c:pt>
                      <c:pt idx="22">
                        <c:v>457.94</c:v>
                      </c:pt>
                      <c:pt idx="23">
                        <c:v>465</c:v>
                      </c:pt>
                      <c:pt idx="24">
                        <c:v>471.39</c:v>
                      </c:pt>
                      <c:pt idx="25">
                        <c:v>477.5</c:v>
                      </c:pt>
                      <c:pt idx="26">
                        <c:v>483.39</c:v>
                      </c:pt>
                      <c:pt idx="27">
                        <c:v>489.11</c:v>
                      </c:pt>
                      <c:pt idx="28">
                        <c:v>494.67</c:v>
                      </c:pt>
                      <c:pt idx="29">
                        <c:v>499.89</c:v>
                      </c:pt>
                      <c:pt idx="30">
                        <c:v>504.83</c:v>
                      </c:pt>
                      <c:pt idx="31">
                        <c:v>509.67</c:v>
                      </c:pt>
                      <c:pt idx="32">
                        <c:v>514.28</c:v>
                      </c:pt>
                      <c:pt idx="33">
                        <c:v>518.78</c:v>
                      </c:pt>
                      <c:pt idx="34">
                        <c:v>523.11</c:v>
                      </c:pt>
                      <c:pt idx="35">
                        <c:v>527.22</c:v>
                      </c:pt>
                      <c:pt idx="36">
                        <c:v>531.22</c:v>
                      </c:pt>
                      <c:pt idx="37">
                        <c:v>535.05999999999995</c:v>
                      </c:pt>
                      <c:pt idx="38">
                        <c:v>538.66999999999996</c:v>
                      </c:pt>
                      <c:pt idx="39">
                        <c:v>542.16999999999996</c:v>
                      </c:pt>
                      <c:pt idx="40">
                        <c:v>545.61</c:v>
                      </c:pt>
                      <c:pt idx="41">
                        <c:v>549.11</c:v>
                      </c:pt>
                      <c:pt idx="42">
                        <c:v>552.5</c:v>
                      </c:pt>
                      <c:pt idx="43">
                        <c:v>555.83000000000004</c:v>
                      </c:pt>
                      <c:pt idx="44">
                        <c:v>558.94000000000005</c:v>
                      </c:pt>
                      <c:pt idx="45">
                        <c:v>562</c:v>
                      </c:pt>
                      <c:pt idx="46">
                        <c:v>565.05999999999995</c:v>
                      </c:pt>
                      <c:pt idx="47">
                        <c:v>567.94000000000005</c:v>
                      </c:pt>
                      <c:pt idx="48">
                        <c:v>570.78</c:v>
                      </c:pt>
                      <c:pt idx="49">
                        <c:v>573.61</c:v>
                      </c:pt>
                      <c:pt idx="50">
                        <c:v>576.44000000000005</c:v>
                      </c:pt>
                      <c:pt idx="51">
                        <c:v>579.39</c:v>
                      </c:pt>
                      <c:pt idx="52">
                        <c:v>582.39</c:v>
                      </c:pt>
                      <c:pt idx="53">
                        <c:v>585.28</c:v>
                      </c:pt>
                      <c:pt idx="54">
                        <c:v>588.05999999999995</c:v>
                      </c:pt>
                      <c:pt idx="55">
                        <c:v>590.89</c:v>
                      </c:pt>
                      <c:pt idx="56">
                        <c:v>593.78</c:v>
                      </c:pt>
                      <c:pt idx="57">
                        <c:v>596.78</c:v>
                      </c:pt>
                      <c:pt idx="58">
                        <c:v>599.83000000000004</c:v>
                      </c:pt>
                      <c:pt idx="59">
                        <c:v>603.05999999999995</c:v>
                      </c:pt>
                      <c:pt idx="60">
                        <c:v>606.33000000000004</c:v>
                      </c:pt>
                      <c:pt idx="61">
                        <c:v>609.55999999999995</c:v>
                      </c:pt>
                      <c:pt idx="62">
                        <c:v>612.66999999999996</c:v>
                      </c:pt>
                      <c:pt idx="63">
                        <c:v>615.89</c:v>
                      </c:pt>
                      <c:pt idx="64">
                        <c:v>619.28</c:v>
                      </c:pt>
                      <c:pt idx="65">
                        <c:v>622.72</c:v>
                      </c:pt>
                      <c:pt idx="66">
                        <c:v>626.33000000000004</c:v>
                      </c:pt>
                      <c:pt idx="67">
                        <c:v>629.94000000000005</c:v>
                      </c:pt>
                      <c:pt idx="68">
                        <c:v>633.39</c:v>
                      </c:pt>
                      <c:pt idx="69">
                        <c:v>636.94000000000005</c:v>
                      </c:pt>
                      <c:pt idx="70">
                        <c:v>640.61</c:v>
                      </c:pt>
                      <c:pt idx="71">
                        <c:v>644.55999999999995</c:v>
                      </c:pt>
                      <c:pt idx="72">
                        <c:v>648.66999999999996</c:v>
                      </c:pt>
                      <c:pt idx="73">
                        <c:v>653</c:v>
                      </c:pt>
                      <c:pt idx="74">
                        <c:v>656.83</c:v>
                      </c:pt>
                      <c:pt idx="75">
                        <c:v>661.56</c:v>
                      </c:pt>
                      <c:pt idx="76">
                        <c:v>666.78</c:v>
                      </c:pt>
                      <c:pt idx="77">
                        <c:v>672.06</c:v>
                      </c:pt>
                      <c:pt idx="78">
                        <c:v>677.61</c:v>
                      </c:pt>
                      <c:pt idx="79">
                        <c:v>683.83</c:v>
                      </c:pt>
                      <c:pt idx="80">
                        <c:v>690.33</c:v>
                      </c:pt>
                      <c:pt idx="81">
                        <c:v>697.06</c:v>
                      </c:pt>
                      <c:pt idx="82">
                        <c:v>705.67</c:v>
                      </c:pt>
                      <c:pt idx="83">
                        <c:v>718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91AE-474B-B27B-C17375AAB463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ART D4</c:v>
                </c:tx>
                <c:spPr>
                  <a:ln w="25400" cap="rnd">
                    <a:solidFill>
                      <a:srgbClr val="0F9ED5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'ABQ3358'!$B$20:$B$120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'ABQ3358'!$J$19:$J$119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153.88999999999999</c:v>
                      </c:pt>
                      <c:pt idx="1">
                        <c:v>190.5</c:v>
                      </c:pt>
                      <c:pt idx="2">
                        <c:v>232.17</c:v>
                      </c:pt>
                      <c:pt idx="3">
                        <c:v>259.22000000000003</c:v>
                      </c:pt>
                      <c:pt idx="4">
                        <c:v>281</c:v>
                      </c:pt>
                      <c:pt idx="5">
                        <c:v>299.22000000000003</c:v>
                      </c:pt>
                      <c:pt idx="6">
                        <c:v>314.33</c:v>
                      </c:pt>
                      <c:pt idx="7">
                        <c:v>327.83</c:v>
                      </c:pt>
                      <c:pt idx="8">
                        <c:v>340.33</c:v>
                      </c:pt>
                      <c:pt idx="9">
                        <c:v>351.67</c:v>
                      </c:pt>
                      <c:pt idx="10">
                        <c:v>362.22</c:v>
                      </c:pt>
                      <c:pt idx="11">
                        <c:v>372.06</c:v>
                      </c:pt>
                      <c:pt idx="12">
                        <c:v>381.39</c:v>
                      </c:pt>
                      <c:pt idx="13">
                        <c:v>390.44</c:v>
                      </c:pt>
                      <c:pt idx="14">
                        <c:v>399</c:v>
                      </c:pt>
                      <c:pt idx="15">
                        <c:v>407.06</c:v>
                      </c:pt>
                      <c:pt idx="16">
                        <c:v>415.11</c:v>
                      </c:pt>
                      <c:pt idx="17">
                        <c:v>422.67</c:v>
                      </c:pt>
                      <c:pt idx="18">
                        <c:v>430.28</c:v>
                      </c:pt>
                      <c:pt idx="19">
                        <c:v>437.67</c:v>
                      </c:pt>
                      <c:pt idx="20">
                        <c:v>445</c:v>
                      </c:pt>
                      <c:pt idx="21">
                        <c:v>452.17</c:v>
                      </c:pt>
                      <c:pt idx="22">
                        <c:v>459.17</c:v>
                      </c:pt>
                      <c:pt idx="23">
                        <c:v>466.06</c:v>
                      </c:pt>
                      <c:pt idx="24">
                        <c:v>472.33</c:v>
                      </c:pt>
                      <c:pt idx="25">
                        <c:v>478.39</c:v>
                      </c:pt>
                      <c:pt idx="26">
                        <c:v>484.22</c:v>
                      </c:pt>
                      <c:pt idx="27">
                        <c:v>489.89</c:v>
                      </c:pt>
                      <c:pt idx="28">
                        <c:v>495.39</c:v>
                      </c:pt>
                      <c:pt idx="29">
                        <c:v>500.56</c:v>
                      </c:pt>
                      <c:pt idx="30">
                        <c:v>505.44</c:v>
                      </c:pt>
                      <c:pt idx="31">
                        <c:v>510.22</c:v>
                      </c:pt>
                      <c:pt idx="32">
                        <c:v>514.83000000000004</c:v>
                      </c:pt>
                      <c:pt idx="33">
                        <c:v>519.28</c:v>
                      </c:pt>
                      <c:pt idx="34">
                        <c:v>523.55999999999995</c:v>
                      </c:pt>
                      <c:pt idx="35">
                        <c:v>527.72</c:v>
                      </c:pt>
                      <c:pt idx="36">
                        <c:v>531.72</c:v>
                      </c:pt>
                      <c:pt idx="37">
                        <c:v>535.55999999999995</c:v>
                      </c:pt>
                      <c:pt idx="38">
                        <c:v>539.11</c:v>
                      </c:pt>
                      <c:pt idx="39">
                        <c:v>542.61</c:v>
                      </c:pt>
                      <c:pt idx="40">
                        <c:v>546.05999999999995</c:v>
                      </c:pt>
                      <c:pt idx="41">
                        <c:v>549.5</c:v>
                      </c:pt>
                      <c:pt idx="42">
                        <c:v>552.89</c:v>
                      </c:pt>
                      <c:pt idx="43">
                        <c:v>556.22</c:v>
                      </c:pt>
                      <c:pt idx="44">
                        <c:v>559.33000000000004</c:v>
                      </c:pt>
                      <c:pt idx="45">
                        <c:v>562.39</c:v>
                      </c:pt>
                      <c:pt idx="46">
                        <c:v>565.39</c:v>
                      </c:pt>
                      <c:pt idx="47">
                        <c:v>568.28</c:v>
                      </c:pt>
                      <c:pt idx="48">
                        <c:v>571.05999999999995</c:v>
                      </c:pt>
                      <c:pt idx="49">
                        <c:v>573.89</c:v>
                      </c:pt>
                      <c:pt idx="50">
                        <c:v>576.78</c:v>
                      </c:pt>
                      <c:pt idx="51">
                        <c:v>579.72</c:v>
                      </c:pt>
                      <c:pt idx="52">
                        <c:v>582.66999999999996</c:v>
                      </c:pt>
                      <c:pt idx="53">
                        <c:v>585.5</c:v>
                      </c:pt>
                      <c:pt idx="54">
                        <c:v>588.22</c:v>
                      </c:pt>
                      <c:pt idx="55">
                        <c:v>591.05999999999995</c:v>
                      </c:pt>
                      <c:pt idx="56">
                        <c:v>593.94000000000005</c:v>
                      </c:pt>
                      <c:pt idx="57">
                        <c:v>596.89</c:v>
                      </c:pt>
                      <c:pt idx="58">
                        <c:v>599.89</c:v>
                      </c:pt>
                      <c:pt idx="59">
                        <c:v>603.11</c:v>
                      </c:pt>
                      <c:pt idx="60">
                        <c:v>606.33000000000004</c:v>
                      </c:pt>
                      <c:pt idx="61">
                        <c:v>609.5</c:v>
                      </c:pt>
                      <c:pt idx="62">
                        <c:v>612.61</c:v>
                      </c:pt>
                      <c:pt idx="63">
                        <c:v>615.78</c:v>
                      </c:pt>
                      <c:pt idx="64">
                        <c:v>619.05999999999995</c:v>
                      </c:pt>
                      <c:pt idx="65">
                        <c:v>622.44000000000005</c:v>
                      </c:pt>
                      <c:pt idx="66">
                        <c:v>626.05999999999995</c:v>
                      </c:pt>
                      <c:pt idx="67">
                        <c:v>629.61</c:v>
                      </c:pt>
                      <c:pt idx="68">
                        <c:v>632.94000000000005</c:v>
                      </c:pt>
                      <c:pt idx="69">
                        <c:v>636.44000000000005</c:v>
                      </c:pt>
                      <c:pt idx="70">
                        <c:v>640.11</c:v>
                      </c:pt>
                      <c:pt idx="71">
                        <c:v>643.94000000000005</c:v>
                      </c:pt>
                      <c:pt idx="72">
                        <c:v>648</c:v>
                      </c:pt>
                      <c:pt idx="73">
                        <c:v>652.28</c:v>
                      </c:pt>
                      <c:pt idx="74">
                        <c:v>656.22</c:v>
                      </c:pt>
                      <c:pt idx="75">
                        <c:v>660.78</c:v>
                      </c:pt>
                      <c:pt idx="76">
                        <c:v>666.06</c:v>
                      </c:pt>
                      <c:pt idx="77">
                        <c:v>671.56</c:v>
                      </c:pt>
                      <c:pt idx="78">
                        <c:v>677.28</c:v>
                      </c:pt>
                      <c:pt idx="79">
                        <c:v>684</c:v>
                      </c:pt>
                      <c:pt idx="80">
                        <c:v>691.17</c:v>
                      </c:pt>
                      <c:pt idx="81">
                        <c:v>699</c:v>
                      </c:pt>
                      <c:pt idx="82">
                        <c:v>709.22</c:v>
                      </c:pt>
                      <c:pt idx="83">
                        <c:v>724.33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91AE-474B-B27B-C17375AAB463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ART D5</c:v>
                </c:tx>
                <c:spPr>
                  <a:ln w="25400" cap="rnd">
                    <a:solidFill>
                      <a:srgbClr val="A02B93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'ABQ3358'!$B$20:$B$120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'ABQ3358'!$K$19:$K$119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103.56</c:v>
                      </c:pt>
                      <c:pt idx="1">
                        <c:v>128.66999999999999</c:v>
                      </c:pt>
                      <c:pt idx="2">
                        <c:v>157.88999999999999</c:v>
                      </c:pt>
                      <c:pt idx="3">
                        <c:v>175.89</c:v>
                      </c:pt>
                      <c:pt idx="4">
                        <c:v>192.83</c:v>
                      </c:pt>
                      <c:pt idx="5">
                        <c:v>204.83</c:v>
                      </c:pt>
                      <c:pt idx="6">
                        <c:v>216.39</c:v>
                      </c:pt>
                      <c:pt idx="7">
                        <c:v>226.44</c:v>
                      </c:pt>
                      <c:pt idx="8">
                        <c:v>234.94</c:v>
                      </c:pt>
                      <c:pt idx="9">
                        <c:v>244.72</c:v>
                      </c:pt>
                      <c:pt idx="10">
                        <c:v>253.33</c:v>
                      </c:pt>
                      <c:pt idx="11">
                        <c:v>260.56</c:v>
                      </c:pt>
                      <c:pt idx="12">
                        <c:v>268.5</c:v>
                      </c:pt>
                      <c:pt idx="13">
                        <c:v>274.89</c:v>
                      </c:pt>
                      <c:pt idx="14">
                        <c:v>282.11</c:v>
                      </c:pt>
                      <c:pt idx="15">
                        <c:v>288.27999999999997</c:v>
                      </c:pt>
                      <c:pt idx="16">
                        <c:v>294.56</c:v>
                      </c:pt>
                      <c:pt idx="17">
                        <c:v>300.89</c:v>
                      </c:pt>
                      <c:pt idx="18">
                        <c:v>305.94</c:v>
                      </c:pt>
                      <c:pt idx="19">
                        <c:v>311.56</c:v>
                      </c:pt>
                      <c:pt idx="20">
                        <c:v>316.72000000000003</c:v>
                      </c:pt>
                      <c:pt idx="21">
                        <c:v>322.17</c:v>
                      </c:pt>
                      <c:pt idx="22">
                        <c:v>327.78</c:v>
                      </c:pt>
                      <c:pt idx="23">
                        <c:v>332.22</c:v>
                      </c:pt>
                      <c:pt idx="24">
                        <c:v>337.28</c:v>
                      </c:pt>
                      <c:pt idx="25">
                        <c:v>342.83</c:v>
                      </c:pt>
                      <c:pt idx="26">
                        <c:v>347.22</c:v>
                      </c:pt>
                      <c:pt idx="27">
                        <c:v>351.89</c:v>
                      </c:pt>
                      <c:pt idx="28">
                        <c:v>356.39</c:v>
                      </c:pt>
                      <c:pt idx="29">
                        <c:v>361.11</c:v>
                      </c:pt>
                      <c:pt idx="30">
                        <c:v>365.72</c:v>
                      </c:pt>
                      <c:pt idx="31">
                        <c:v>369.89</c:v>
                      </c:pt>
                      <c:pt idx="32">
                        <c:v>374.56</c:v>
                      </c:pt>
                      <c:pt idx="33">
                        <c:v>379.17</c:v>
                      </c:pt>
                      <c:pt idx="34">
                        <c:v>383.39</c:v>
                      </c:pt>
                      <c:pt idx="35">
                        <c:v>387.83</c:v>
                      </c:pt>
                      <c:pt idx="36">
                        <c:v>391.89</c:v>
                      </c:pt>
                      <c:pt idx="37">
                        <c:v>396.28</c:v>
                      </c:pt>
                      <c:pt idx="38">
                        <c:v>400.72</c:v>
                      </c:pt>
                      <c:pt idx="39">
                        <c:v>404.67</c:v>
                      </c:pt>
                      <c:pt idx="40">
                        <c:v>408.89</c:v>
                      </c:pt>
                      <c:pt idx="41">
                        <c:v>413</c:v>
                      </c:pt>
                      <c:pt idx="42">
                        <c:v>417.28</c:v>
                      </c:pt>
                      <c:pt idx="43">
                        <c:v>421.39</c:v>
                      </c:pt>
                      <c:pt idx="44">
                        <c:v>425.56</c:v>
                      </c:pt>
                      <c:pt idx="45">
                        <c:v>429.83</c:v>
                      </c:pt>
                      <c:pt idx="46">
                        <c:v>433.94</c:v>
                      </c:pt>
                      <c:pt idx="47">
                        <c:v>438.22</c:v>
                      </c:pt>
                      <c:pt idx="48">
                        <c:v>442.39</c:v>
                      </c:pt>
                      <c:pt idx="49">
                        <c:v>446.78</c:v>
                      </c:pt>
                      <c:pt idx="50">
                        <c:v>451.06</c:v>
                      </c:pt>
                      <c:pt idx="51">
                        <c:v>455.39</c:v>
                      </c:pt>
                      <c:pt idx="52">
                        <c:v>459.67</c:v>
                      </c:pt>
                      <c:pt idx="53">
                        <c:v>464.11</c:v>
                      </c:pt>
                      <c:pt idx="54">
                        <c:v>468.28</c:v>
                      </c:pt>
                      <c:pt idx="55">
                        <c:v>472.39</c:v>
                      </c:pt>
                      <c:pt idx="56">
                        <c:v>476.44</c:v>
                      </c:pt>
                      <c:pt idx="57">
                        <c:v>480.61</c:v>
                      </c:pt>
                      <c:pt idx="58">
                        <c:v>484.72</c:v>
                      </c:pt>
                      <c:pt idx="59">
                        <c:v>488.83</c:v>
                      </c:pt>
                      <c:pt idx="60">
                        <c:v>492.94</c:v>
                      </c:pt>
                      <c:pt idx="61">
                        <c:v>497.06</c:v>
                      </c:pt>
                      <c:pt idx="62">
                        <c:v>501.06</c:v>
                      </c:pt>
                      <c:pt idx="63">
                        <c:v>505</c:v>
                      </c:pt>
                      <c:pt idx="64">
                        <c:v>509.06</c:v>
                      </c:pt>
                      <c:pt idx="65">
                        <c:v>513</c:v>
                      </c:pt>
                      <c:pt idx="66">
                        <c:v>517</c:v>
                      </c:pt>
                      <c:pt idx="67">
                        <c:v>521.05999999999995</c:v>
                      </c:pt>
                      <c:pt idx="68">
                        <c:v>525.05999999999995</c:v>
                      </c:pt>
                      <c:pt idx="69">
                        <c:v>529.05999999999995</c:v>
                      </c:pt>
                      <c:pt idx="70">
                        <c:v>533.05999999999995</c:v>
                      </c:pt>
                      <c:pt idx="71">
                        <c:v>536.94000000000005</c:v>
                      </c:pt>
                      <c:pt idx="72">
                        <c:v>540.78</c:v>
                      </c:pt>
                      <c:pt idx="73">
                        <c:v>544.61</c:v>
                      </c:pt>
                      <c:pt idx="74">
                        <c:v>548.66999999999996</c:v>
                      </c:pt>
                      <c:pt idx="75">
                        <c:v>552.72</c:v>
                      </c:pt>
                      <c:pt idx="76">
                        <c:v>556.78</c:v>
                      </c:pt>
                      <c:pt idx="77">
                        <c:v>560.72</c:v>
                      </c:pt>
                      <c:pt idx="78">
                        <c:v>564.72</c:v>
                      </c:pt>
                      <c:pt idx="79">
                        <c:v>568.55999999999995</c:v>
                      </c:pt>
                      <c:pt idx="80">
                        <c:v>572.44000000000005</c:v>
                      </c:pt>
                      <c:pt idx="81">
                        <c:v>576.5</c:v>
                      </c:pt>
                      <c:pt idx="82">
                        <c:v>580.72</c:v>
                      </c:pt>
                      <c:pt idx="83">
                        <c:v>585</c:v>
                      </c:pt>
                      <c:pt idx="84">
                        <c:v>589.16999999999996</c:v>
                      </c:pt>
                      <c:pt idx="85">
                        <c:v>593.55999999999995</c:v>
                      </c:pt>
                      <c:pt idx="86">
                        <c:v>598.28</c:v>
                      </c:pt>
                      <c:pt idx="87">
                        <c:v>603.33000000000004</c:v>
                      </c:pt>
                      <c:pt idx="88">
                        <c:v>608.61</c:v>
                      </c:pt>
                      <c:pt idx="89">
                        <c:v>613.78</c:v>
                      </c:pt>
                      <c:pt idx="90">
                        <c:v>619.33000000000004</c:v>
                      </c:pt>
                      <c:pt idx="91">
                        <c:v>625.39</c:v>
                      </c:pt>
                      <c:pt idx="92">
                        <c:v>631.66999999999996</c:v>
                      </c:pt>
                      <c:pt idx="93">
                        <c:v>638</c:v>
                      </c:pt>
                      <c:pt idx="94">
                        <c:v>645.16999999999996</c:v>
                      </c:pt>
                      <c:pt idx="95">
                        <c:v>653.22</c:v>
                      </c:pt>
                      <c:pt idx="96">
                        <c:v>661.78</c:v>
                      </c:pt>
                      <c:pt idx="97">
                        <c:v>672.67</c:v>
                      </c:pt>
                      <c:pt idx="98">
                        <c:v>685.89</c:v>
                      </c:pt>
                      <c:pt idx="99">
                        <c:v>702.33</c:v>
                      </c:pt>
                      <c:pt idx="100">
                        <c:v>714.72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91AE-474B-B27B-C17375AAB463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ART D6</c:v>
                </c:tx>
                <c:spPr>
                  <a:ln w="25400" cap="rnd">
                    <a:solidFill>
                      <a:srgbClr val="4EA72E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'ABQ3358'!$B$20:$B$120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'ABQ3358'!$L$19:$L$119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108.67</c:v>
                      </c:pt>
                      <c:pt idx="1">
                        <c:v>131.38999999999999</c:v>
                      </c:pt>
                      <c:pt idx="2">
                        <c:v>159.06</c:v>
                      </c:pt>
                      <c:pt idx="3">
                        <c:v>178.83</c:v>
                      </c:pt>
                      <c:pt idx="4">
                        <c:v>195.72</c:v>
                      </c:pt>
                      <c:pt idx="5">
                        <c:v>208.33</c:v>
                      </c:pt>
                      <c:pt idx="6">
                        <c:v>219.11</c:v>
                      </c:pt>
                      <c:pt idx="7">
                        <c:v>229.72</c:v>
                      </c:pt>
                      <c:pt idx="8">
                        <c:v>239.28</c:v>
                      </c:pt>
                      <c:pt idx="9">
                        <c:v>249</c:v>
                      </c:pt>
                      <c:pt idx="10">
                        <c:v>256.94</c:v>
                      </c:pt>
                      <c:pt idx="11">
                        <c:v>265.44</c:v>
                      </c:pt>
                      <c:pt idx="12">
                        <c:v>272.44</c:v>
                      </c:pt>
                      <c:pt idx="13">
                        <c:v>280.17</c:v>
                      </c:pt>
                      <c:pt idx="14">
                        <c:v>287.17</c:v>
                      </c:pt>
                      <c:pt idx="15">
                        <c:v>293.67</c:v>
                      </c:pt>
                      <c:pt idx="16">
                        <c:v>300.27999999999997</c:v>
                      </c:pt>
                      <c:pt idx="17">
                        <c:v>305.61</c:v>
                      </c:pt>
                      <c:pt idx="18">
                        <c:v>311.5</c:v>
                      </c:pt>
                      <c:pt idx="19">
                        <c:v>316.94</c:v>
                      </c:pt>
                      <c:pt idx="20">
                        <c:v>322.67</c:v>
                      </c:pt>
                      <c:pt idx="21">
                        <c:v>328.5</c:v>
                      </c:pt>
                      <c:pt idx="22">
                        <c:v>333.39</c:v>
                      </c:pt>
                      <c:pt idx="23">
                        <c:v>338.61</c:v>
                      </c:pt>
                      <c:pt idx="24">
                        <c:v>343.89</c:v>
                      </c:pt>
                      <c:pt idx="25">
                        <c:v>348.94</c:v>
                      </c:pt>
                      <c:pt idx="26">
                        <c:v>353.72</c:v>
                      </c:pt>
                      <c:pt idx="27">
                        <c:v>358.22</c:v>
                      </c:pt>
                      <c:pt idx="28">
                        <c:v>363.28</c:v>
                      </c:pt>
                      <c:pt idx="29">
                        <c:v>368</c:v>
                      </c:pt>
                      <c:pt idx="30">
                        <c:v>372.61</c:v>
                      </c:pt>
                      <c:pt idx="31">
                        <c:v>377.28</c:v>
                      </c:pt>
                      <c:pt idx="32">
                        <c:v>381.67</c:v>
                      </c:pt>
                      <c:pt idx="33">
                        <c:v>386.5</c:v>
                      </c:pt>
                      <c:pt idx="34">
                        <c:v>390.89</c:v>
                      </c:pt>
                      <c:pt idx="35">
                        <c:v>395.22</c:v>
                      </c:pt>
                      <c:pt idx="36">
                        <c:v>399.83</c:v>
                      </c:pt>
                      <c:pt idx="37">
                        <c:v>403.94</c:v>
                      </c:pt>
                      <c:pt idx="38">
                        <c:v>408.33</c:v>
                      </c:pt>
                      <c:pt idx="39">
                        <c:v>412.61</c:v>
                      </c:pt>
                      <c:pt idx="40">
                        <c:v>417.06</c:v>
                      </c:pt>
                      <c:pt idx="41">
                        <c:v>421.33</c:v>
                      </c:pt>
                      <c:pt idx="42">
                        <c:v>425.61</c:v>
                      </c:pt>
                      <c:pt idx="43">
                        <c:v>430.06</c:v>
                      </c:pt>
                      <c:pt idx="44">
                        <c:v>434.33</c:v>
                      </c:pt>
                      <c:pt idx="45">
                        <c:v>438.78</c:v>
                      </c:pt>
                      <c:pt idx="46">
                        <c:v>443.06</c:v>
                      </c:pt>
                      <c:pt idx="47">
                        <c:v>447.61</c:v>
                      </c:pt>
                      <c:pt idx="48">
                        <c:v>452</c:v>
                      </c:pt>
                      <c:pt idx="49">
                        <c:v>456.5</c:v>
                      </c:pt>
                      <c:pt idx="50">
                        <c:v>460.94</c:v>
                      </c:pt>
                      <c:pt idx="51">
                        <c:v>465.5</c:v>
                      </c:pt>
                      <c:pt idx="52">
                        <c:v>469.72</c:v>
                      </c:pt>
                      <c:pt idx="53">
                        <c:v>473.94</c:v>
                      </c:pt>
                      <c:pt idx="54">
                        <c:v>478.11</c:v>
                      </c:pt>
                      <c:pt idx="55">
                        <c:v>482.39</c:v>
                      </c:pt>
                      <c:pt idx="56">
                        <c:v>486.61</c:v>
                      </c:pt>
                      <c:pt idx="57">
                        <c:v>490.83</c:v>
                      </c:pt>
                      <c:pt idx="58">
                        <c:v>495.11</c:v>
                      </c:pt>
                      <c:pt idx="59">
                        <c:v>499.17</c:v>
                      </c:pt>
                      <c:pt idx="60">
                        <c:v>503.22</c:v>
                      </c:pt>
                      <c:pt idx="61">
                        <c:v>507.33</c:v>
                      </c:pt>
                      <c:pt idx="62">
                        <c:v>511.39</c:v>
                      </c:pt>
                      <c:pt idx="63">
                        <c:v>515.5</c:v>
                      </c:pt>
                      <c:pt idx="64">
                        <c:v>519.61</c:v>
                      </c:pt>
                      <c:pt idx="65">
                        <c:v>523.66999999999996</c:v>
                      </c:pt>
                      <c:pt idx="66">
                        <c:v>527.78</c:v>
                      </c:pt>
                      <c:pt idx="67">
                        <c:v>531.83000000000004</c:v>
                      </c:pt>
                      <c:pt idx="68">
                        <c:v>535.83000000000004</c:v>
                      </c:pt>
                      <c:pt idx="69">
                        <c:v>539.72</c:v>
                      </c:pt>
                      <c:pt idx="70">
                        <c:v>543.66999999999996</c:v>
                      </c:pt>
                      <c:pt idx="71">
                        <c:v>547.66999999999996</c:v>
                      </c:pt>
                      <c:pt idx="72">
                        <c:v>551.78</c:v>
                      </c:pt>
                      <c:pt idx="73">
                        <c:v>555.94000000000005</c:v>
                      </c:pt>
                      <c:pt idx="74">
                        <c:v>559.94000000000005</c:v>
                      </c:pt>
                      <c:pt idx="75">
                        <c:v>563.94000000000005</c:v>
                      </c:pt>
                      <c:pt idx="76">
                        <c:v>567.89</c:v>
                      </c:pt>
                      <c:pt idx="77">
                        <c:v>571.78</c:v>
                      </c:pt>
                      <c:pt idx="78">
                        <c:v>575.83000000000004</c:v>
                      </c:pt>
                      <c:pt idx="79">
                        <c:v>580.11</c:v>
                      </c:pt>
                      <c:pt idx="80">
                        <c:v>584.44000000000005</c:v>
                      </c:pt>
                      <c:pt idx="81">
                        <c:v>588.61</c:v>
                      </c:pt>
                      <c:pt idx="82">
                        <c:v>593</c:v>
                      </c:pt>
                      <c:pt idx="83">
                        <c:v>597.72</c:v>
                      </c:pt>
                      <c:pt idx="84">
                        <c:v>602.72</c:v>
                      </c:pt>
                      <c:pt idx="85">
                        <c:v>608.11</c:v>
                      </c:pt>
                      <c:pt idx="86">
                        <c:v>613.22</c:v>
                      </c:pt>
                      <c:pt idx="87">
                        <c:v>618.78</c:v>
                      </c:pt>
                      <c:pt idx="88">
                        <c:v>624.78</c:v>
                      </c:pt>
                      <c:pt idx="89">
                        <c:v>631.05999999999995</c:v>
                      </c:pt>
                      <c:pt idx="90">
                        <c:v>637.33000000000004</c:v>
                      </c:pt>
                      <c:pt idx="91">
                        <c:v>644.44000000000005</c:v>
                      </c:pt>
                      <c:pt idx="92">
                        <c:v>652.5</c:v>
                      </c:pt>
                      <c:pt idx="93">
                        <c:v>660.94</c:v>
                      </c:pt>
                      <c:pt idx="94">
                        <c:v>672.06</c:v>
                      </c:pt>
                      <c:pt idx="95">
                        <c:v>685.83</c:v>
                      </c:pt>
                      <c:pt idx="96">
                        <c:v>704.28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91AE-474B-B27B-C17375AAB463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ART D7</c:v>
                </c:tx>
                <c:spPr>
                  <a:ln w="25400" cap="rnd">
                    <a:solidFill>
                      <a:srgbClr val="0D3A4E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'ABQ3358'!$B$20:$B$120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'ABQ3358'!$M$19:$M$119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113.56</c:v>
                      </c:pt>
                      <c:pt idx="1">
                        <c:v>136.61000000000001</c:v>
                      </c:pt>
                      <c:pt idx="2">
                        <c:v>164</c:v>
                      </c:pt>
                      <c:pt idx="3">
                        <c:v>183</c:v>
                      </c:pt>
                      <c:pt idx="4">
                        <c:v>197.83</c:v>
                      </c:pt>
                      <c:pt idx="5">
                        <c:v>211.94</c:v>
                      </c:pt>
                      <c:pt idx="6">
                        <c:v>221.94</c:v>
                      </c:pt>
                      <c:pt idx="7">
                        <c:v>233.22</c:v>
                      </c:pt>
                      <c:pt idx="8">
                        <c:v>242.44</c:v>
                      </c:pt>
                      <c:pt idx="9">
                        <c:v>252.28</c:v>
                      </c:pt>
                      <c:pt idx="10">
                        <c:v>259.77999999999997</c:v>
                      </c:pt>
                      <c:pt idx="11">
                        <c:v>268.33</c:v>
                      </c:pt>
                      <c:pt idx="12">
                        <c:v>275.22000000000003</c:v>
                      </c:pt>
                      <c:pt idx="13">
                        <c:v>283.11</c:v>
                      </c:pt>
                      <c:pt idx="14">
                        <c:v>289.39</c:v>
                      </c:pt>
                      <c:pt idx="15">
                        <c:v>296</c:v>
                      </c:pt>
                      <c:pt idx="16">
                        <c:v>302.11</c:v>
                      </c:pt>
                      <c:pt idx="17">
                        <c:v>308.17</c:v>
                      </c:pt>
                      <c:pt idx="18">
                        <c:v>314.27999999999997</c:v>
                      </c:pt>
                      <c:pt idx="19">
                        <c:v>319.33</c:v>
                      </c:pt>
                      <c:pt idx="20">
                        <c:v>325.17</c:v>
                      </c:pt>
                      <c:pt idx="21">
                        <c:v>330.33</c:v>
                      </c:pt>
                      <c:pt idx="22">
                        <c:v>335.56</c:v>
                      </c:pt>
                      <c:pt idx="23">
                        <c:v>341.28</c:v>
                      </c:pt>
                      <c:pt idx="24">
                        <c:v>345.94</c:v>
                      </c:pt>
                      <c:pt idx="25">
                        <c:v>350.94</c:v>
                      </c:pt>
                      <c:pt idx="26">
                        <c:v>355.78</c:v>
                      </c:pt>
                      <c:pt idx="27">
                        <c:v>360.56</c:v>
                      </c:pt>
                      <c:pt idx="28">
                        <c:v>365.39</c:v>
                      </c:pt>
                      <c:pt idx="29">
                        <c:v>369.72</c:v>
                      </c:pt>
                      <c:pt idx="30">
                        <c:v>374.56</c:v>
                      </c:pt>
                      <c:pt idx="31">
                        <c:v>379.28</c:v>
                      </c:pt>
                      <c:pt idx="32">
                        <c:v>383.72</c:v>
                      </c:pt>
                      <c:pt idx="33">
                        <c:v>388.28</c:v>
                      </c:pt>
                      <c:pt idx="34">
                        <c:v>392.5</c:v>
                      </c:pt>
                      <c:pt idx="35">
                        <c:v>397.06</c:v>
                      </c:pt>
                      <c:pt idx="36">
                        <c:v>401.39</c:v>
                      </c:pt>
                      <c:pt idx="37">
                        <c:v>405.67</c:v>
                      </c:pt>
                      <c:pt idx="38">
                        <c:v>410.11</c:v>
                      </c:pt>
                      <c:pt idx="39">
                        <c:v>414.28</c:v>
                      </c:pt>
                      <c:pt idx="40">
                        <c:v>418.61</c:v>
                      </c:pt>
                      <c:pt idx="41">
                        <c:v>422.78</c:v>
                      </c:pt>
                      <c:pt idx="42">
                        <c:v>427.17</c:v>
                      </c:pt>
                      <c:pt idx="43">
                        <c:v>431.44</c:v>
                      </c:pt>
                      <c:pt idx="44">
                        <c:v>435.83</c:v>
                      </c:pt>
                      <c:pt idx="45">
                        <c:v>440.17</c:v>
                      </c:pt>
                      <c:pt idx="46">
                        <c:v>444.5</c:v>
                      </c:pt>
                      <c:pt idx="47">
                        <c:v>448.94</c:v>
                      </c:pt>
                      <c:pt idx="48">
                        <c:v>453.39</c:v>
                      </c:pt>
                      <c:pt idx="49">
                        <c:v>457.78</c:v>
                      </c:pt>
                      <c:pt idx="50">
                        <c:v>462.22</c:v>
                      </c:pt>
                      <c:pt idx="51">
                        <c:v>466.61</c:v>
                      </c:pt>
                      <c:pt idx="52">
                        <c:v>470.78</c:v>
                      </c:pt>
                      <c:pt idx="53">
                        <c:v>474.94</c:v>
                      </c:pt>
                      <c:pt idx="54">
                        <c:v>479.11</c:v>
                      </c:pt>
                      <c:pt idx="55">
                        <c:v>483.28</c:v>
                      </c:pt>
                      <c:pt idx="56">
                        <c:v>487.5</c:v>
                      </c:pt>
                      <c:pt idx="57">
                        <c:v>491.67</c:v>
                      </c:pt>
                      <c:pt idx="58">
                        <c:v>495.83</c:v>
                      </c:pt>
                      <c:pt idx="59">
                        <c:v>499.89</c:v>
                      </c:pt>
                      <c:pt idx="60">
                        <c:v>503.89</c:v>
                      </c:pt>
                      <c:pt idx="61">
                        <c:v>507.94</c:v>
                      </c:pt>
                      <c:pt idx="62">
                        <c:v>511.94</c:v>
                      </c:pt>
                      <c:pt idx="63">
                        <c:v>516</c:v>
                      </c:pt>
                      <c:pt idx="64">
                        <c:v>520.05999999999995</c:v>
                      </c:pt>
                      <c:pt idx="65">
                        <c:v>524.05999999999995</c:v>
                      </c:pt>
                      <c:pt idx="66">
                        <c:v>528.05999999999995</c:v>
                      </c:pt>
                      <c:pt idx="67">
                        <c:v>532.11</c:v>
                      </c:pt>
                      <c:pt idx="68">
                        <c:v>536</c:v>
                      </c:pt>
                      <c:pt idx="69">
                        <c:v>539.83000000000004</c:v>
                      </c:pt>
                      <c:pt idx="70">
                        <c:v>543.72</c:v>
                      </c:pt>
                      <c:pt idx="71">
                        <c:v>547.66999999999996</c:v>
                      </c:pt>
                      <c:pt idx="72">
                        <c:v>551.72</c:v>
                      </c:pt>
                      <c:pt idx="73">
                        <c:v>555.78</c:v>
                      </c:pt>
                      <c:pt idx="74">
                        <c:v>559.72</c:v>
                      </c:pt>
                      <c:pt idx="75">
                        <c:v>563.61</c:v>
                      </c:pt>
                      <c:pt idx="76">
                        <c:v>567.5</c:v>
                      </c:pt>
                      <c:pt idx="77">
                        <c:v>571.33000000000004</c:v>
                      </c:pt>
                      <c:pt idx="78">
                        <c:v>575.28</c:v>
                      </c:pt>
                      <c:pt idx="79">
                        <c:v>579.44000000000005</c:v>
                      </c:pt>
                      <c:pt idx="80">
                        <c:v>583.72</c:v>
                      </c:pt>
                      <c:pt idx="81">
                        <c:v>587.78</c:v>
                      </c:pt>
                      <c:pt idx="82">
                        <c:v>592</c:v>
                      </c:pt>
                      <c:pt idx="83">
                        <c:v>596.61</c:v>
                      </c:pt>
                      <c:pt idx="84">
                        <c:v>601.39</c:v>
                      </c:pt>
                      <c:pt idx="85">
                        <c:v>606.61</c:v>
                      </c:pt>
                      <c:pt idx="86">
                        <c:v>611.66999999999996</c:v>
                      </c:pt>
                      <c:pt idx="87">
                        <c:v>616.94000000000005</c:v>
                      </c:pt>
                      <c:pt idx="88">
                        <c:v>622.61</c:v>
                      </c:pt>
                      <c:pt idx="89">
                        <c:v>628.89</c:v>
                      </c:pt>
                      <c:pt idx="90">
                        <c:v>634.78</c:v>
                      </c:pt>
                      <c:pt idx="91">
                        <c:v>641.33000000000004</c:v>
                      </c:pt>
                      <c:pt idx="92">
                        <c:v>648.72</c:v>
                      </c:pt>
                      <c:pt idx="93">
                        <c:v>656.39</c:v>
                      </c:pt>
                      <c:pt idx="94">
                        <c:v>665.89</c:v>
                      </c:pt>
                      <c:pt idx="95">
                        <c:v>676.89</c:v>
                      </c:pt>
                      <c:pt idx="96">
                        <c:v>690.83</c:v>
                      </c:pt>
                      <c:pt idx="97">
                        <c:v>709.11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91AE-474B-B27B-C17375AAB463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ART D8</c:v>
                </c:tx>
                <c:spPr>
                  <a:ln w="25400" cap="rnd">
                    <a:solidFill>
                      <a:srgbClr val="994010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'ABQ3358'!$B$20:$B$120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'ABQ3358'!$N$19:$N$119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112.17</c:v>
                      </c:pt>
                      <c:pt idx="1">
                        <c:v>135.22</c:v>
                      </c:pt>
                      <c:pt idx="2">
                        <c:v>164</c:v>
                      </c:pt>
                      <c:pt idx="3">
                        <c:v>183.39</c:v>
                      </c:pt>
                      <c:pt idx="4">
                        <c:v>198.72</c:v>
                      </c:pt>
                      <c:pt idx="5">
                        <c:v>213.5</c:v>
                      </c:pt>
                      <c:pt idx="6">
                        <c:v>223.67</c:v>
                      </c:pt>
                      <c:pt idx="7">
                        <c:v>234.28</c:v>
                      </c:pt>
                      <c:pt idx="8">
                        <c:v>244.39</c:v>
                      </c:pt>
                      <c:pt idx="9">
                        <c:v>253.5</c:v>
                      </c:pt>
                      <c:pt idx="10">
                        <c:v>262.06</c:v>
                      </c:pt>
                      <c:pt idx="11">
                        <c:v>270.22000000000003</c:v>
                      </c:pt>
                      <c:pt idx="12">
                        <c:v>277.72000000000003</c:v>
                      </c:pt>
                      <c:pt idx="13">
                        <c:v>285.83</c:v>
                      </c:pt>
                      <c:pt idx="14">
                        <c:v>292</c:v>
                      </c:pt>
                      <c:pt idx="15">
                        <c:v>298.94</c:v>
                      </c:pt>
                      <c:pt idx="16">
                        <c:v>304.61</c:v>
                      </c:pt>
                      <c:pt idx="17">
                        <c:v>310.83</c:v>
                      </c:pt>
                      <c:pt idx="18">
                        <c:v>316.44</c:v>
                      </c:pt>
                      <c:pt idx="19">
                        <c:v>322.33</c:v>
                      </c:pt>
                      <c:pt idx="20">
                        <c:v>328.33</c:v>
                      </c:pt>
                      <c:pt idx="21">
                        <c:v>333.44</c:v>
                      </c:pt>
                      <c:pt idx="22">
                        <c:v>338.78</c:v>
                      </c:pt>
                      <c:pt idx="23">
                        <c:v>344</c:v>
                      </c:pt>
                      <c:pt idx="24">
                        <c:v>349.28</c:v>
                      </c:pt>
                      <c:pt idx="25">
                        <c:v>354.17</c:v>
                      </c:pt>
                      <c:pt idx="26">
                        <c:v>358.83</c:v>
                      </c:pt>
                      <c:pt idx="27">
                        <c:v>363.83</c:v>
                      </c:pt>
                      <c:pt idx="28">
                        <c:v>368.44</c:v>
                      </c:pt>
                      <c:pt idx="29">
                        <c:v>373.28</c:v>
                      </c:pt>
                      <c:pt idx="30">
                        <c:v>378.11</c:v>
                      </c:pt>
                      <c:pt idx="31">
                        <c:v>382.5</c:v>
                      </c:pt>
                      <c:pt idx="32">
                        <c:v>387.22</c:v>
                      </c:pt>
                      <c:pt idx="33">
                        <c:v>391.5</c:v>
                      </c:pt>
                      <c:pt idx="34">
                        <c:v>396.11</c:v>
                      </c:pt>
                      <c:pt idx="35">
                        <c:v>400.72</c:v>
                      </c:pt>
                      <c:pt idx="36">
                        <c:v>404.89</c:v>
                      </c:pt>
                      <c:pt idx="37">
                        <c:v>409.33</c:v>
                      </c:pt>
                      <c:pt idx="38">
                        <c:v>413.61</c:v>
                      </c:pt>
                      <c:pt idx="39">
                        <c:v>418</c:v>
                      </c:pt>
                      <c:pt idx="40">
                        <c:v>422.22</c:v>
                      </c:pt>
                      <c:pt idx="41">
                        <c:v>426.67</c:v>
                      </c:pt>
                      <c:pt idx="42">
                        <c:v>431</c:v>
                      </c:pt>
                      <c:pt idx="43">
                        <c:v>435.39</c:v>
                      </c:pt>
                      <c:pt idx="44">
                        <c:v>439.83</c:v>
                      </c:pt>
                      <c:pt idx="45">
                        <c:v>444.17</c:v>
                      </c:pt>
                      <c:pt idx="46">
                        <c:v>448.72</c:v>
                      </c:pt>
                      <c:pt idx="47">
                        <c:v>453.17</c:v>
                      </c:pt>
                      <c:pt idx="48">
                        <c:v>457.61</c:v>
                      </c:pt>
                      <c:pt idx="49">
                        <c:v>462.11</c:v>
                      </c:pt>
                      <c:pt idx="50">
                        <c:v>466.56</c:v>
                      </c:pt>
                      <c:pt idx="51">
                        <c:v>470.78</c:v>
                      </c:pt>
                      <c:pt idx="52">
                        <c:v>474.94</c:v>
                      </c:pt>
                      <c:pt idx="53">
                        <c:v>479.17</c:v>
                      </c:pt>
                      <c:pt idx="54">
                        <c:v>483.39</c:v>
                      </c:pt>
                      <c:pt idx="55">
                        <c:v>487.61</c:v>
                      </c:pt>
                      <c:pt idx="56">
                        <c:v>491.78</c:v>
                      </c:pt>
                      <c:pt idx="57">
                        <c:v>496.06</c:v>
                      </c:pt>
                      <c:pt idx="58">
                        <c:v>500.11</c:v>
                      </c:pt>
                      <c:pt idx="59">
                        <c:v>504.11</c:v>
                      </c:pt>
                      <c:pt idx="60">
                        <c:v>508.22</c:v>
                      </c:pt>
                      <c:pt idx="61">
                        <c:v>512.22</c:v>
                      </c:pt>
                      <c:pt idx="62">
                        <c:v>516.28</c:v>
                      </c:pt>
                      <c:pt idx="63">
                        <c:v>520.39</c:v>
                      </c:pt>
                      <c:pt idx="64">
                        <c:v>524.39</c:v>
                      </c:pt>
                      <c:pt idx="65">
                        <c:v>528.44000000000005</c:v>
                      </c:pt>
                      <c:pt idx="66">
                        <c:v>532.5</c:v>
                      </c:pt>
                      <c:pt idx="67">
                        <c:v>536.39</c:v>
                      </c:pt>
                      <c:pt idx="68">
                        <c:v>540.28</c:v>
                      </c:pt>
                      <c:pt idx="69">
                        <c:v>544.11</c:v>
                      </c:pt>
                      <c:pt idx="70">
                        <c:v>548.11</c:v>
                      </c:pt>
                      <c:pt idx="71">
                        <c:v>552.16999999999996</c:v>
                      </c:pt>
                      <c:pt idx="72">
                        <c:v>556.22</c:v>
                      </c:pt>
                      <c:pt idx="73">
                        <c:v>560.16999999999996</c:v>
                      </c:pt>
                      <c:pt idx="74">
                        <c:v>564.11</c:v>
                      </c:pt>
                      <c:pt idx="75">
                        <c:v>568</c:v>
                      </c:pt>
                      <c:pt idx="76">
                        <c:v>571.83000000000004</c:v>
                      </c:pt>
                      <c:pt idx="77">
                        <c:v>575.78</c:v>
                      </c:pt>
                      <c:pt idx="78">
                        <c:v>579.94000000000005</c:v>
                      </c:pt>
                      <c:pt idx="79">
                        <c:v>584.22</c:v>
                      </c:pt>
                      <c:pt idx="80">
                        <c:v>588.33000000000004</c:v>
                      </c:pt>
                      <c:pt idx="81">
                        <c:v>592.55999999999995</c:v>
                      </c:pt>
                      <c:pt idx="82">
                        <c:v>597.16999999999996</c:v>
                      </c:pt>
                      <c:pt idx="83">
                        <c:v>602.05999999999995</c:v>
                      </c:pt>
                      <c:pt idx="84">
                        <c:v>607.22</c:v>
                      </c:pt>
                      <c:pt idx="85">
                        <c:v>612.28</c:v>
                      </c:pt>
                      <c:pt idx="86">
                        <c:v>617.55999999999995</c:v>
                      </c:pt>
                      <c:pt idx="87">
                        <c:v>623.28</c:v>
                      </c:pt>
                      <c:pt idx="88">
                        <c:v>629.44000000000005</c:v>
                      </c:pt>
                      <c:pt idx="89">
                        <c:v>635.33000000000004</c:v>
                      </c:pt>
                      <c:pt idx="90">
                        <c:v>641.89</c:v>
                      </c:pt>
                      <c:pt idx="91">
                        <c:v>649.28</c:v>
                      </c:pt>
                      <c:pt idx="92">
                        <c:v>656.83</c:v>
                      </c:pt>
                      <c:pt idx="93">
                        <c:v>666.39</c:v>
                      </c:pt>
                      <c:pt idx="94">
                        <c:v>677.17</c:v>
                      </c:pt>
                      <c:pt idx="95">
                        <c:v>690.72</c:v>
                      </c:pt>
                      <c:pt idx="96">
                        <c:v>707.94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91AE-474B-B27B-C17375AAB463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ART D9</c:v>
                </c:tx>
                <c:spPr>
                  <a:ln w="25400" cap="rnd">
                    <a:solidFill>
                      <a:srgbClr val="0F4016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'ABQ3358'!$B$20:$B$120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'ABQ3358'!$O$19:$O$119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100.06</c:v>
                      </c:pt>
                      <c:pt idx="1">
                        <c:v>133.5</c:v>
                      </c:pt>
                      <c:pt idx="2">
                        <c:v>161.56</c:v>
                      </c:pt>
                      <c:pt idx="3">
                        <c:v>180.83</c:v>
                      </c:pt>
                      <c:pt idx="4">
                        <c:v>196.83</c:v>
                      </c:pt>
                      <c:pt idx="5">
                        <c:v>210.22</c:v>
                      </c:pt>
                      <c:pt idx="6">
                        <c:v>221.17</c:v>
                      </c:pt>
                      <c:pt idx="7">
                        <c:v>232.39</c:v>
                      </c:pt>
                      <c:pt idx="8">
                        <c:v>241.78</c:v>
                      </c:pt>
                      <c:pt idx="9">
                        <c:v>252.56</c:v>
                      </c:pt>
                      <c:pt idx="10">
                        <c:v>260.33</c:v>
                      </c:pt>
                      <c:pt idx="11">
                        <c:v>269.5</c:v>
                      </c:pt>
                      <c:pt idx="12">
                        <c:v>276.61</c:v>
                      </c:pt>
                      <c:pt idx="13">
                        <c:v>285.33</c:v>
                      </c:pt>
                      <c:pt idx="14">
                        <c:v>291.61</c:v>
                      </c:pt>
                      <c:pt idx="15">
                        <c:v>298.72000000000003</c:v>
                      </c:pt>
                      <c:pt idx="16">
                        <c:v>304.61</c:v>
                      </c:pt>
                      <c:pt idx="17">
                        <c:v>311</c:v>
                      </c:pt>
                      <c:pt idx="18">
                        <c:v>316.89</c:v>
                      </c:pt>
                      <c:pt idx="19">
                        <c:v>322.94</c:v>
                      </c:pt>
                      <c:pt idx="20">
                        <c:v>329.17</c:v>
                      </c:pt>
                      <c:pt idx="21">
                        <c:v>334.33</c:v>
                      </c:pt>
                      <c:pt idx="22">
                        <c:v>340</c:v>
                      </c:pt>
                      <c:pt idx="23">
                        <c:v>345.11</c:v>
                      </c:pt>
                      <c:pt idx="24">
                        <c:v>350.5</c:v>
                      </c:pt>
                      <c:pt idx="25">
                        <c:v>355.78</c:v>
                      </c:pt>
                      <c:pt idx="26">
                        <c:v>360.72</c:v>
                      </c:pt>
                      <c:pt idx="27">
                        <c:v>365.78</c:v>
                      </c:pt>
                      <c:pt idx="28">
                        <c:v>370.39</c:v>
                      </c:pt>
                      <c:pt idx="29">
                        <c:v>375.44</c:v>
                      </c:pt>
                      <c:pt idx="30">
                        <c:v>380.22</c:v>
                      </c:pt>
                      <c:pt idx="31">
                        <c:v>385.17</c:v>
                      </c:pt>
                      <c:pt idx="32">
                        <c:v>389.89</c:v>
                      </c:pt>
                      <c:pt idx="33">
                        <c:v>394.33</c:v>
                      </c:pt>
                      <c:pt idx="34">
                        <c:v>399.17</c:v>
                      </c:pt>
                      <c:pt idx="35">
                        <c:v>403.44</c:v>
                      </c:pt>
                      <c:pt idx="36">
                        <c:v>408.11</c:v>
                      </c:pt>
                      <c:pt idx="37">
                        <c:v>412.61</c:v>
                      </c:pt>
                      <c:pt idx="38">
                        <c:v>417.28</c:v>
                      </c:pt>
                      <c:pt idx="39">
                        <c:v>421.72</c:v>
                      </c:pt>
                      <c:pt idx="40">
                        <c:v>426.28</c:v>
                      </c:pt>
                      <c:pt idx="41">
                        <c:v>430.89</c:v>
                      </c:pt>
                      <c:pt idx="42">
                        <c:v>435.39</c:v>
                      </c:pt>
                      <c:pt idx="43">
                        <c:v>440</c:v>
                      </c:pt>
                      <c:pt idx="44">
                        <c:v>444.56</c:v>
                      </c:pt>
                      <c:pt idx="45">
                        <c:v>449.28</c:v>
                      </c:pt>
                      <c:pt idx="46">
                        <c:v>453.83</c:v>
                      </c:pt>
                      <c:pt idx="47">
                        <c:v>458.5</c:v>
                      </c:pt>
                      <c:pt idx="48">
                        <c:v>463.22</c:v>
                      </c:pt>
                      <c:pt idx="49">
                        <c:v>467.78</c:v>
                      </c:pt>
                      <c:pt idx="50">
                        <c:v>472.22</c:v>
                      </c:pt>
                      <c:pt idx="51">
                        <c:v>476.61</c:v>
                      </c:pt>
                      <c:pt idx="52">
                        <c:v>481.06</c:v>
                      </c:pt>
                      <c:pt idx="53">
                        <c:v>485.44</c:v>
                      </c:pt>
                      <c:pt idx="54">
                        <c:v>489.89</c:v>
                      </c:pt>
                      <c:pt idx="55">
                        <c:v>494.33</c:v>
                      </c:pt>
                      <c:pt idx="56">
                        <c:v>498.61</c:v>
                      </c:pt>
                      <c:pt idx="57">
                        <c:v>502.89</c:v>
                      </c:pt>
                      <c:pt idx="58">
                        <c:v>507.17</c:v>
                      </c:pt>
                      <c:pt idx="59">
                        <c:v>511.39</c:v>
                      </c:pt>
                      <c:pt idx="60">
                        <c:v>515.66999999999996</c:v>
                      </c:pt>
                      <c:pt idx="61">
                        <c:v>519.94000000000005</c:v>
                      </c:pt>
                      <c:pt idx="62">
                        <c:v>524.16999999999996</c:v>
                      </c:pt>
                      <c:pt idx="63">
                        <c:v>528.39</c:v>
                      </c:pt>
                      <c:pt idx="64">
                        <c:v>532.61</c:v>
                      </c:pt>
                      <c:pt idx="65">
                        <c:v>536.72</c:v>
                      </c:pt>
                      <c:pt idx="66">
                        <c:v>540.72</c:v>
                      </c:pt>
                      <c:pt idx="67">
                        <c:v>544.83000000000004</c:v>
                      </c:pt>
                      <c:pt idx="68">
                        <c:v>549.11</c:v>
                      </c:pt>
                      <c:pt idx="69">
                        <c:v>553.39</c:v>
                      </c:pt>
                      <c:pt idx="70">
                        <c:v>557.61</c:v>
                      </c:pt>
                      <c:pt idx="71">
                        <c:v>561.72</c:v>
                      </c:pt>
                      <c:pt idx="72">
                        <c:v>565.94000000000005</c:v>
                      </c:pt>
                      <c:pt idx="73">
                        <c:v>569.94000000000005</c:v>
                      </c:pt>
                      <c:pt idx="74">
                        <c:v>574</c:v>
                      </c:pt>
                      <c:pt idx="75">
                        <c:v>578.28</c:v>
                      </c:pt>
                      <c:pt idx="76">
                        <c:v>582.72</c:v>
                      </c:pt>
                      <c:pt idx="77">
                        <c:v>587.05999999999995</c:v>
                      </c:pt>
                      <c:pt idx="78">
                        <c:v>591.5</c:v>
                      </c:pt>
                      <c:pt idx="79">
                        <c:v>596.22</c:v>
                      </c:pt>
                      <c:pt idx="80">
                        <c:v>601.28</c:v>
                      </c:pt>
                      <c:pt idx="81">
                        <c:v>606.66999999999996</c:v>
                      </c:pt>
                      <c:pt idx="82">
                        <c:v>611.94000000000005</c:v>
                      </c:pt>
                      <c:pt idx="83">
                        <c:v>617.44000000000005</c:v>
                      </c:pt>
                      <c:pt idx="84">
                        <c:v>623.44000000000005</c:v>
                      </c:pt>
                      <c:pt idx="85">
                        <c:v>630</c:v>
                      </c:pt>
                      <c:pt idx="86">
                        <c:v>636.22</c:v>
                      </c:pt>
                      <c:pt idx="87">
                        <c:v>643.33000000000004</c:v>
                      </c:pt>
                      <c:pt idx="88">
                        <c:v>651.28</c:v>
                      </c:pt>
                      <c:pt idx="89">
                        <c:v>659.39</c:v>
                      </c:pt>
                      <c:pt idx="90">
                        <c:v>670.28</c:v>
                      </c:pt>
                      <c:pt idx="91">
                        <c:v>682.61</c:v>
                      </c:pt>
                      <c:pt idx="92">
                        <c:v>697.56</c:v>
                      </c:pt>
                      <c:pt idx="93">
                        <c:v>723.78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91AE-474B-B27B-C17375AAB463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ART D10</c:v>
                </c:tx>
                <c:spPr>
                  <a:ln w="25400" cap="rnd">
                    <a:solidFill>
                      <a:srgbClr val="095F80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'ABQ3358'!$B$20:$B$120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'ABQ3358'!$P$19:$P$119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99.94</c:v>
                      </c:pt>
                      <c:pt idx="1">
                        <c:v>134.78</c:v>
                      </c:pt>
                      <c:pt idx="2">
                        <c:v>163.72</c:v>
                      </c:pt>
                      <c:pt idx="3">
                        <c:v>182.67</c:v>
                      </c:pt>
                      <c:pt idx="4">
                        <c:v>197.72</c:v>
                      </c:pt>
                      <c:pt idx="5">
                        <c:v>212.39</c:v>
                      </c:pt>
                      <c:pt idx="6">
                        <c:v>222.67</c:v>
                      </c:pt>
                      <c:pt idx="7">
                        <c:v>234.22</c:v>
                      </c:pt>
                      <c:pt idx="8">
                        <c:v>244.11</c:v>
                      </c:pt>
                      <c:pt idx="9">
                        <c:v>253.61</c:v>
                      </c:pt>
                      <c:pt idx="10">
                        <c:v>262.22000000000003</c:v>
                      </c:pt>
                      <c:pt idx="11">
                        <c:v>270.56</c:v>
                      </c:pt>
                      <c:pt idx="12">
                        <c:v>278.44</c:v>
                      </c:pt>
                      <c:pt idx="13">
                        <c:v>286.5</c:v>
                      </c:pt>
                      <c:pt idx="14">
                        <c:v>293.27999999999997</c:v>
                      </c:pt>
                      <c:pt idx="15">
                        <c:v>300.5</c:v>
                      </c:pt>
                      <c:pt idx="16">
                        <c:v>306.33</c:v>
                      </c:pt>
                      <c:pt idx="17">
                        <c:v>312.72000000000003</c:v>
                      </c:pt>
                      <c:pt idx="18">
                        <c:v>318.27999999999997</c:v>
                      </c:pt>
                      <c:pt idx="19">
                        <c:v>324.61</c:v>
                      </c:pt>
                      <c:pt idx="20">
                        <c:v>330.28</c:v>
                      </c:pt>
                      <c:pt idx="21">
                        <c:v>335.72</c:v>
                      </c:pt>
                      <c:pt idx="22">
                        <c:v>341.83</c:v>
                      </c:pt>
                      <c:pt idx="23">
                        <c:v>346.78</c:v>
                      </c:pt>
                      <c:pt idx="24">
                        <c:v>352</c:v>
                      </c:pt>
                      <c:pt idx="25">
                        <c:v>356.78</c:v>
                      </c:pt>
                      <c:pt idx="26">
                        <c:v>362.11</c:v>
                      </c:pt>
                      <c:pt idx="27">
                        <c:v>367.28</c:v>
                      </c:pt>
                      <c:pt idx="28">
                        <c:v>371.94</c:v>
                      </c:pt>
                      <c:pt idx="29">
                        <c:v>376.89</c:v>
                      </c:pt>
                      <c:pt idx="30">
                        <c:v>381.5</c:v>
                      </c:pt>
                      <c:pt idx="31">
                        <c:v>386.56</c:v>
                      </c:pt>
                      <c:pt idx="32">
                        <c:v>391.11</c:v>
                      </c:pt>
                      <c:pt idx="33">
                        <c:v>395.78</c:v>
                      </c:pt>
                      <c:pt idx="34">
                        <c:v>400.56</c:v>
                      </c:pt>
                      <c:pt idx="35">
                        <c:v>404.94</c:v>
                      </c:pt>
                      <c:pt idx="36">
                        <c:v>409.61</c:v>
                      </c:pt>
                      <c:pt idx="37">
                        <c:v>414.06</c:v>
                      </c:pt>
                      <c:pt idx="38">
                        <c:v>418.67</c:v>
                      </c:pt>
                      <c:pt idx="39">
                        <c:v>423.06</c:v>
                      </c:pt>
                      <c:pt idx="40">
                        <c:v>427.72</c:v>
                      </c:pt>
                      <c:pt idx="41">
                        <c:v>432.22</c:v>
                      </c:pt>
                      <c:pt idx="42">
                        <c:v>436.83</c:v>
                      </c:pt>
                      <c:pt idx="43">
                        <c:v>441.33</c:v>
                      </c:pt>
                      <c:pt idx="44">
                        <c:v>446.11</c:v>
                      </c:pt>
                      <c:pt idx="45">
                        <c:v>450.67</c:v>
                      </c:pt>
                      <c:pt idx="46">
                        <c:v>455.39</c:v>
                      </c:pt>
                      <c:pt idx="47">
                        <c:v>460.06</c:v>
                      </c:pt>
                      <c:pt idx="48">
                        <c:v>464.78</c:v>
                      </c:pt>
                      <c:pt idx="49">
                        <c:v>469.22</c:v>
                      </c:pt>
                      <c:pt idx="50">
                        <c:v>473.67</c:v>
                      </c:pt>
                      <c:pt idx="51">
                        <c:v>478.06</c:v>
                      </c:pt>
                      <c:pt idx="52">
                        <c:v>482.44</c:v>
                      </c:pt>
                      <c:pt idx="53">
                        <c:v>486.94</c:v>
                      </c:pt>
                      <c:pt idx="54">
                        <c:v>491.28</c:v>
                      </c:pt>
                      <c:pt idx="55">
                        <c:v>495.78</c:v>
                      </c:pt>
                      <c:pt idx="56">
                        <c:v>500</c:v>
                      </c:pt>
                      <c:pt idx="57">
                        <c:v>504.28</c:v>
                      </c:pt>
                      <c:pt idx="58">
                        <c:v>508.56</c:v>
                      </c:pt>
                      <c:pt idx="59">
                        <c:v>512.78</c:v>
                      </c:pt>
                      <c:pt idx="60">
                        <c:v>517.05999999999995</c:v>
                      </c:pt>
                      <c:pt idx="61">
                        <c:v>521.33000000000004</c:v>
                      </c:pt>
                      <c:pt idx="62">
                        <c:v>525.55999999999995</c:v>
                      </c:pt>
                      <c:pt idx="63">
                        <c:v>529.72</c:v>
                      </c:pt>
                      <c:pt idx="64">
                        <c:v>533.94000000000005</c:v>
                      </c:pt>
                      <c:pt idx="65">
                        <c:v>538</c:v>
                      </c:pt>
                      <c:pt idx="66">
                        <c:v>542</c:v>
                      </c:pt>
                      <c:pt idx="67">
                        <c:v>546.11</c:v>
                      </c:pt>
                      <c:pt idx="68">
                        <c:v>550.39</c:v>
                      </c:pt>
                      <c:pt idx="69">
                        <c:v>554.66999999999996</c:v>
                      </c:pt>
                      <c:pt idx="70">
                        <c:v>558.83000000000004</c:v>
                      </c:pt>
                      <c:pt idx="71">
                        <c:v>563</c:v>
                      </c:pt>
                      <c:pt idx="72">
                        <c:v>567.11</c:v>
                      </c:pt>
                      <c:pt idx="73">
                        <c:v>571.11</c:v>
                      </c:pt>
                      <c:pt idx="74">
                        <c:v>575.16999999999996</c:v>
                      </c:pt>
                      <c:pt idx="75">
                        <c:v>579.5</c:v>
                      </c:pt>
                      <c:pt idx="76">
                        <c:v>583.94000000000005</c:v>
                      </c:pt>
                      <c:pt idx="77">
                        <c:v>588.22</c:v>
                      </c:pt>
                      <c:pt idx="78">
                        <c:v>592.66999999999996</c:v>
                      </c:pt>
                      <c:pt idx="79">
                        <c:v>597.44000000000005</c:v>
                      </c:pt>
                      <c:pt idx="80">
                        <c:v>602.55999999999995</c:v>
                      </c:pt>
                      <c:pt idx="81">
                        <c:v>607.94000000000005</c:v>
                      </c:pt>
                      <c:pt idx="82">
                        <c:v>613.11</c:v>
                      </c:pt>
                      <c:pt idx="83">
                        <c:v>618.66999999999996</c:v>
                      </c:pt>
                      <c:pt idx="84">
                        <c:v>624.78</c:v>
                      </c:pt>
                      <c:pt idx="85">
                        <c:v>631.11</c:v>
                      </c:pt>
                      <c:pt idx="86">
                        <c:v>637.39</c:v>
                      </c:pt>
                      <c:pt idx="87">
                        <c:v>644.5</c:v>
                      </c:pt>
                      <c:pt idx="88">
                        <c:v>652.39</c:v>
                      </c:pt>
                      <c:pt idx="89">
                        <c:v>660.56</c:v>
                      </c:pt>
                      <c:pt idx="90">
                        <c:v>671.11</c:v>
                      </c:pt>
                      <c:pt idx="91">
                        <c:v>683.33</c:v>
                      </c:pt>
                      <c:pt idx="92">
                        <c:v>697.89</c:v>
                      </c:pt>
                      <c:pt idx="93">
                        <c:v>722.11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91AE-474B-B27B-C17375AAB463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v>ART D11</c:v>
                </c:tx>
                <c:spPr>
                  <a:ln w="25400" cap="rnd">
                    <a:solidFill>
                      <a:srgbClr val="601A58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'ABQ3358'!$B$20:$B$120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'ABQ3358'!$Q$19:$Q$119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113.11</c:v>
                      </c:pt>
                      <c:pt idx="1">
                        <c:v>139.5</c:v>
                      </c:pt>
                      <c:pt idx="2">
                        <c:v>165.28</c:v>
                      </c:pt>
                      <c:pt idx="3">
                        <c:v>185.39</c:v>
                      </c:pt>
                      <c:pt idx="4">
                        <c:v>200.56</c:v>
                      </c:pt>
                      <c:pt idx="5">
                        <c:v>215.17</c:v>
                      </c:pt>
                      <c:pt idx="6">
                        <c:v>225.67</c:v>
                      </c:pt>
                      <c:pt idx="7">
                        <c:v>235.11</c:v>
                      </c:pt>
                      <c:pt idx="8">
                        <c:v>245.89</c:v>
                      </c:pt>
                      <c:pt idx="9">
                        <c:v>254.78</c:v>
                      </c:pt>
                      <c:pt idx="10">
                        <c:v>263.89</c:v>
                      </c:pt>
                      <c:pt idx="11">
                        <c:v>271.33</c:v>
                      </c:pt>
                      <c:pt idx="12">
                        <c:v>279.61</c:v>
                      </c:pt>
                      <c:pt idx="13">
                        <c:v>286.89</c:v>
                      </c:pt>
                      <c:pt idx="14">
                        <c:v>293.94</c:v>
                      </c:pt>
                      <c:pt idx="15">
                        <c:v>300.89</c:v>
                      </c:pt>
                      <c:pt idx="16">
                        <c:v>306.77999999999997</c:v>
                      </c:pt>
                      <c:pt idx="17">
                        <c:v>313.06</c:v>
                      </c:pt>
                      <c:pt idx="18">
                        <c:v>318.39</c:v>
                      </c:pt>
                      <c:pt idx="19">
                        <c:v>324.56</c:v>
                      </c:pt>
                      <c:pt idx="20">
                        <c:v>330</c:v>
                      </c:pt>
                      <c:pt idx="21">
                        <c:v>335.44</c:v>
                      </c:pt>
                      <c:pt idx="22">
                        <c:v>341.39</c:v>
                      </c:pt>
                      <c:pt idx="23">
                        <c:v>346.28</c:v>
                      </c:pt>
                      <c:pt idx="24">
                        <c:v>351.44</c:v>
                      </c:pt>
                      <c:pt idx="25">
                        <c:v>356.22</c:v>
                      </c:pt>
                      <c:pt idx="26">
                        <c:v>361.44</c:v>
                      </c:pt>
                      <c:pt idx="27">
                        <c:v>366.44</c:v>
                      </c:pt>
                      <c:pt idx="28">
                        <c:v>371</c:v>
                      </c:pt>
                      <c:pt idx="29">
                        <c:v>375.89</c:v>
                      </c:pt>
                      <c:pt idx="30">
                        <c:v>380.44</c:v>
                      </c:pt>
                      <c:pt idx="31">
                        <c:v>385.44</c:v>
                      </c:pt>
                      <c:pt idx="32">
                        <c:v>390.06</c:v>
                      </c:pt>
                      <c:pt idx="33">
                        <c:v>394.44</c:v>
                      </c:pt>
                      <c:pt idx="34">
                        <c:v>399.17</c:v>
                      </c:pt>
                      <c:pt idx="35">
                        <c:v>403.44</c:v>
                      </c:pt>
                      <c:pt idx="36">
                        <c:v>408</c:v>
                      </c:pt>
                      <c:pt idx="37">
                        <c:v>412.39</c:v>
                      </c:pt>
                      <c:pt idx="38">
                        <c:v>416.94</c:v>
                      </c:pt>
                      <c:pt idx="39">
                        <c:v>421.28</c:v>
                      </c:pt>
                      <c:pt idx="40">
                        <c:v>425.78</c:v>
                      </c:pt>
                      <c:pt idx="41">
                        <c:v>430.28</c:v>
                      </c:pt>
                      <c:pt idx="42">
                        <c:v>434.72</c:v>
                      </c:pt>
                      <c:pt idx="43">
                        <c:v>439.28</c:v>
                      </c:pt>
                      <c:pt idx="44">
                        <c:v>443.72</c:v>
                      </c:pt>
                      <c:pt idx="45">
                        <c:v>448.33</c:v>
                      </c:pt>
                      <c:pt idx="46">
                        <c:v>452.83</c:v>
                      </c:pt>
                      <c:pt idx="47">
                        <c:v>457.39</c:v>
                      </c:pt>
                      <c:pt idx="48">
                        <c:v>462</c:v>
                      </c:pt>
                      <c:pt idx="49">
                        <c:v>466.56</c:v>
                      </c:pt>
                      <c:pt idx="50">
                        <c:v>470.89</c:v>
                      </c:pt>
                      <c:pt idx="51">
                        <c:v>475.17</c:v>
                      </c:pt>
                      <c:pt idx="52">
                        <c:v>479.56</c:v>
                      </c:pt>
                      <c:pt idx="53">
                        <c:v>483.83</c:v>
                      </c:pt>
                      <c:pt idx="54">
                        <c:v>488.22</c:v>
                      </c:pt>
                      <c:pt idx="55">
                        <c:v>492.5</c:v>
                      </c:pt>
                      <c:pt idx="56">
                        <c:v>496.78</c:v>
                      </c:pt>
                      <c:pt idx="57">
                        <c:v>501</c:v>
                      </c:pt>
                      <c:pt idx="58">
                        <c:v>505.11</c:v>
                      </c:pt>
                      <c:pt idx="59">
                        <c:v>509.28</c:v>
                      </c:pt>
                      <c:pt idx="60">
                        <c:v>513.44000000000005</c:v>
                      </c:pt>
                      <c:pt idx="61">
                        <c:v>517.61</c:v>
                      </c:pt>
                      <c:pt idx="62">
                        <c:v>521.78</c:v>
                      </c:pt>
                      <c:pt idx="63">
                        <c:v>525.94000000000005</c:v>
                      </c:pt>
                      <c:pt idx="64">
                        <c:v>530.11</c:v>
                      </c:pt>
                      <c:pt idx="65">
                        <c:v>534.22</c:v>
                      </c:pt>
                      <c:pt idx="66">
                        <c:v>538.22</c:v>
                      </c:pt>
                      <c:pt idx="67">
                        <c:v>542.16999999999996</c:v>
                      </c:pt>
                      <c:pt idx="68">
                        <c:v>546.16999999999996</c:v>
                      </c:pt>
                      <c:pt idx="69">
                        <c:v>550.33000000000004</c:v>
                      </c:pt>
                      <c:pt idx="70">
                        <c:v>554.5</c:v>
                      </c:pt>
                      <c:pt idx="71">
                        <c:v>558.61</c:v>
                      </c:pt>
                      <c:pt idx="72">
                        <c:v>562.61</c:v>
                      </c:pt>
                      <c:pt idx="73">
                        <c:v>566.66999999999996</c:v>
                      </c:pt>
                      <c:pt idx="74">
                        <c:v>570.61</c:v>
                      </c:pt>
                      <c:pt idx="75">
                        <c:v>574.61</c:v>
                      </c:pt>
                      <c:pt idx="76">
                        <c:v>578.83000000000004</c:v>
                      </c:pt>
                      <c:pt idx="77">
                        <c:v>583.16999999999996</c:v>
                      </c:pt>
                      <c:pt idx="78">
                        <c:v>587.39</c:v>
                      </c:pt>
                      <c:pt idx="79">
                        <c:v>591.72</c:v>
                      </c:pt>
                      <c:pt idx="80">
                        <c:v>596.44000000000005</c:v>
                      </c:pt>
                      <c:pt idx="81">
                        <c:v>601.39</c:v>
                      </c:pt>
                      <c:pt idx="82">
                        <c:v>606.78</c:v>
                      </c:pt>
                      <c:pt idx="83">
                        <c:v>611.94000000000005</c:v>
                      </c:pt>
                      <c:pt idx="84">
                        <c:v>617.33000000000004</c:v>
                      </c:pt>
                      <c:pt idx="85">
                        <c:v>623.28</c:v>
                      </c:pt>
                      <c:pt idx="86">
                        <c:v>629.72</c:v>
                      </c:pt>
                      <c:pt idx="87">
                        <c:v>635.89</c:v>
                      </c:pt>
                      <c:pt idx="88">
                        <c:v>642.89</c:v>
                      </c:pt>
                      <c:pt idx="89">
                        <c:v>650.83000000000004</c:v>
                      </c:pt>
                      <c:pt idx="90">
                        <c:v>659.22</c:v>
                      </c:pt>
                      <c:pt idx="91">
                        <c:v>670.72</c:v>
                      </c:pt>
                      <c:pt idx="92">
                        <c:v>685.17</c:v>
                      </c:pt>
                      <c:pt idx="93">
                        <c:v>706.39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91AE-474B-B27B-C17375AAB463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v>TOP D1.7</c:v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'!$J$10:$J$84</c15:sqref>
                        </c15:formulaRef>
                      </c:ext>
                    </c:extLst>
                    <c:numCache>
                      <c:formatCode>General</c:formatCode>
                      <c:ptCount val="75"/>
                      <c:pt idx="0">
                        <c:v>158.69999999999999</c:v>
                      </c:pt>
                      <c:pt idx="1">
                        <c:v>192.8</c:v>
                      </c:pt>
                      <c:pt idx="2">
                        <c:v>227.2</c:v>
                      </c:pt>
                      <c:pt idx="3">
                        <c:v>252.8</c:v>
                      </c:pt>
                      <c:pt idx="4">
                        <c:v>275.39999999999998</c:v>
                      </c:pt>
                      <c:pt idx="5">
                        <c:v>295.8</c:v>
                      </c:pt>
                      <c:pt idx="6">
                        <c:v>312.89999999999998</c:v>
                      </c:pt>
                      <c:pt idx="7">
                        <c:v>327.9</c:v>
                      </c:pt>
                      <c:pt idx="8">
                        <c:v>341.7</c:v>
                      </c:pt>
                      <c:pt idx="9">
                        <c:v>354.5</c:v>
                      </c:pt>
                      <c:pt idx="10">
                        <c:v>365.9</c:v>
                      </c:pt>
                      <c:pt idx="11">
                        <c:v>375.7</c:v>
                      </c:pt>
                      <c:pt idx="12">
                        <c:v>384.8</c:v>
                      </c:pt>
                      <c:pt idx="13">
                        <c:v>393.7</c:v>
                      </c:pt>
                      <c:pt idx="14">
                        <c:v>403</c:v>
                      </c:pt>
                      <c:pt idx="15">
                        <c:v>411.9</c:v>
                      </c:pt>
                      <c:pt idx="16">
                        <c:v>419.9</c:v>
                      </c:pt>
                      <c:pt idx="17">
                        <c:v>427.2</c:v>
                      </c:pt>
                      <c:pt idx="18">
                        <c:v>434.8</c:v>
                      </c:pt>
                      <c:pt idx="19">
                        <c:v>442.4</c:v>
                      </c:pt>
                      <c:pt idx="20">
                        <c:v>449.8</c:v>
                      </c:pt>
                      <c:pt idx="21">
                        <c:v>456.7</c:v>
                      </c:pt>
                      <c:pt idx="22">
                        <c:v>463.4</c:v>
                      </c:pt>
                      <c:pt idx="23">
                        <c:v>470.3</c:v>
                      </c:pt>
                      <c:pt idx="24">
                        <c:v>477.3</c:v>
                      </c:pt>
                      <c:pt idx="25">
                        <c:v>483.9</c:v>
                      </c:pt>
                      <c:pt idx="26">
                        <c:v>489.9</c:v>
                      </c:pt>
                      <c:pt idx="27">
                        <c:v>495.8</c:v>
                      </c:pt>
                      <c:pt idx="28">
                        <c:v>501.6</c:v>
                      </c:pt>
                      <c:pt idx="29">
                        <c:v>507.1</c:v>
                      </c:pt>
                      <c:pt idx="30">
                        <c:v>512.29999999999995</c:v>
                      </c:pt>
                      <c:pt idx="31">
                        <c:v>517.29999999999995</c:v>
                      </c:pt>
                      <c:pt idx="32">
                        <c:v>522.1</c:v>
                      </c:pt>
                      <c:pt idx="33">
                        <c:v>527</c:v>
                      </c:pt>
                      <c:pt idx="34">
                        <c:v>531.70000000000005</c:v>
                      </c:pt>
                      <c:pt idx="35">
                        <c:v>535.79999999999995</c:v>
                      </c:pt>
                      <c:pt idx="36">
                        <c:v>539.6</c:v>
                      </c:pt>
                      <c:pt idx="37">
                        <c:v>543.20000000000005</c:v>
                      </c:pt>
                      <c:pt idx="38">
                        <c:v>547.1</c:v>
                      </c:pt>
                      <c:pt idx="39">
                        <c:v>551.29999999999995</c:v>
                      </c:pt>
                      <c:pt idx="40">
                        <c:v>555.4</c:v>
                      </c:pt>
                      <c:pt idx="41">
                        <c:v>559</c:v>
                      </c:pt>
                      <c:pt idx="42">
                        <c:v>562.29999999999995</c:v>
                      </c:pt>
                      <c:pt idx="43">
                        <c:v>565.70000000000005</c:v>
                      </c:pt>
                      <c:pt idx="44">
                        <c:v>568.79999999999995</c:v>
                      </c:pt>
                      <c:pt idx="45">
                        <c:v>571.79999999999995</c:v>
                      </c:pt>
                      <c:pt idx="46">
                        <c:v>574.79999999999995</c:v>
                      </c:pt>
                      <c:pt idx="47">
                        <c:v>578</c:v>
                      </c:pt>
                      <c:pt idx="48">
                        <c:v>581.1</c:v>
                      </c:pt>
                      <c:pt idx="49">
                        <c:v>584.29999999999995</c:v>
                      </c:pt>
                      <c:pt idx="50">
                        <c:v>587.4</c:v>
                      </c:pt>
                      <c:pt idx="51">
                        <c:v>590.5</c:v>
                      </c:pt>
                      <c:pt idx="52">
                        <c:v>593.6</c:v>
                      </c:pt>
                      <c:pt idx="53">
                        <c:v>596.70000000000005</c:v>
                      </c:pt>
                      <c:pt idx="54">
                        <c:v>599.9</c:v>
                      </c:pt>
                      <c:pt idx="55">
                        <c:v>603.20000000000005</c:v>
                      </c:pt>
                      <c:pt idx="56">
                        <c:v>606.70000000000005</c:v>
                      </c:pt>
                      <c:pt idx="57">
                        <c:v>610</c:v>
                      </c:pt>
                      <c:pt idx="58">
                        <c:v>613.5</c:v>
                      </c:pt>
                      <c:pt idx="59">
                        <c:v>617.1</c:v>
                      </c:pt>
                      <c:pt idx="60">
                        <c:v>620.79999999999995</c:v>
                      </c:pt>
                      <c:pt idx="61">
                        <c:v>624.6</c:v>
                      </c:pt>
                      <c:pt idx="62">
                        <c:v>628.4</c:v>
                      </c:pt>
                      <c:pt idx="63">
                        <c:v>632.1</c:v>
                      </c:pt>
                      <c:pt idx="64">
                        <c:v>636</c:v>
                      </c:pt>
                      <c:pt idx="65">
                        <c:v>640</c:v>
                      </c:pt>
                      <c:pt idx="66">
                        <c:v>644.29999999999995</c:v>
                      </c:pt>
                      <c:pt idx="67">
                        <c:v>648.79999999999995</c:v>
                      </c:pt>
                      <c:pt idx="68">
                        <c:v>653.20000000000005</c:v>
                      </c:pt>
                      <c:pt idx="69">
                        <c:v>657.5</c:v>
                      </c:pt>
                      <c:pt idx="70">
                        <c:v>663.1</c:v>
                      </c:pt>
                      <c:pt idx="71">
                        <c:v>669.2</c:v>
                      </c:pt>
                      <c:pt idx="72">
                        <c:v>674.8</c:v>
                      </c:pt>
                      <c:pt idx="73">
                        <c:v>682.2</c:v>
                      </c:pt>
                      <c:pt idx="74">
                        <c:v>689.1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5457-490C-92FF-1B08E033BB32}"/>
                  </c:ext>
                </c:extLst>
              </c15:ser>
            </c15:filteredScatterSeries>
          </c:ext>
        </c:extLst>
      </c:scatterChart>
      <c:valAx>
        <c:axId val="1827734031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WT%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733071"/>
        <c:crosses val="autoZero"/>
        <c:crossBetween val="midCat"/>
      </c:valAx>
      <c:valAx>
        <c:axId val="18277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7340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LCF PRODUCT_Low Sedimentation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7"/>
          <c:order val="1"/>
          <c:tx>
            <c:strRef>
              <c:f>'LCF R1 Products'!$K$72</c:f>
              <c:strCache>
                <c:ptCount val="1"/>
                <c:pt idx="0">
                  <c:v>560+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'LCF R1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R1 Products'!$K$73:$K$136</c:f>
              <c:numCache>
                <c:formatCode>General</c:formatCode>
                <c:ptCount val="6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6E7-42A2-81A5-4D3753E5A413}"/>
            </c:ext>
          </c:extLst>
        </c:ser>
        <c:ser>
          <c:idx val="6"/>
          <c:order val="2"/>
          <c:tx>
            <c:strRef>
              <c:f>'LCF R1 Products'!$J$72</c:f>
              <c:strCache>
                <c:ptCount val="1"/>
                <c:pt idx="0">
                  <c:v>360-560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'LCF R1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R1 Products'!$J$73:$J$173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6E7-42A2-81A5-4D3753E5A413}"/>
            </c:ext>
          </c:extLst>
        </c:ser>
        <c:ser>
          <c:idx val="4"/>
          <c:order val="3"/>
          <c:tx>
            <c:strRef>
              <c:f>'LCF R1 Products'!$H$72</c:f>
              <c:strCache>
                <c:ptCount val="1"/>
                <c:pt idx="0">
                  <c:v>250-360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'LCF R1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R1 Products'!$H$73:$H$173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6E7-42A2-81A5-4D3753E5A413}"/>
            </c:ext>
          </c:extLst>
        </c:ser>
        <c:ser>
          <c:idx val="3"/>
          <c:order val="4"/>
          <c:tx>
            <c:strRef>
              <c:f>'LCF R1 Products'!$G$72</c:f>
              <c:strCache>
                <c:ptCount val="1"/>
                <c:pt idx="0">
                  <c:v>160-250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'LCF R1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R1 Products'!$G$73:$G$173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6E7-42A2-81A5-4D3753E5A413}"/>
            </c:ext>
          </c:extLst>
        </c:ser>
        <c:ser>
          <c:idx val="1"/>
          <c:order val="5"/>
          <c:tx>
            <c:strRef>
              <c:f>'LCF R1 Products'!$E$72</c:f>
              <c:strCache>
                <c:ptCount val="1"/>
                <c:pt idx="0">
                  <c:v>IBP-160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'LCF R1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R1 Products'!$E$73:$E$173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6E7-42A2-81A5-4D3753E5A413}"/>
            </c:ext>
          </c:extLst>
        </c:ser>
        <c:ser>
          <c:idx val="8"/>
          <c:order val="8"/>
          <c:tx>
            <c:v>5%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'LCF R1 Products'!$X$75:$X$76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'LCF R1 Products'!$Y$75:$Y$76</c:f>
              <c:numCache>
                <c:formatCode>General</c:formatCode>
                <c:ptCount val="2"/>
                <c:pt idx="0">
                  <c:v>900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C6-4F29-8A03-9452358A7B22}"/>
            </c:ext>
          </c:extLst>
        </c:ser>
        <c:ser>
          <c:idx val="9"/>
          <c:order val="9"/>
          <c:tx>
            <c:v>95%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'LCF R1 Products'!$X$78:$X$79</c:f>
              <c:numCache>
                <c:formatCode>General</c:formatCode>
                <c:ptCount val="2"/>
                <c:pt idx="0">
                  <c:v>95</c:v>
                </c:pt>
                <c:pt idx="1">
                  <c:v>95</c:v>
                </c:pt>
              </c:numCache>
            </c:numRef>
          </c:xVal>
          <c:yVal>
            <c:numRef>
              <c:f>'LCF R1 Products'!$Y$78:$Y$79</c:f>
              <c:numCache>
                <c:formatCode>General</c:formatCode>
                <c:ptCount val="2"/>
                <c:pt idx="0">
                  <c:v>900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5C6-4F29-8A03-9452358A7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99136"/>
        <c:axId val="2720825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'LCF R1 Products'!$D$72</c15:sqref>
                        </c15:formulaRef>
                      </c:ext>
                    </c:extLst>
                    <c:strCache>
                      <c:ptCount val="1"/>
                      <c:pt idx="0">
                        <c:v>LCF FEED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'LCF R1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'LCF R1 Products'!$D$73:$D$161</c15:sqref>
                        </c15:formulaRef>
                      </c:ext>
                    </c:extLst>
                    <c:numCache>
                      <c:formatCode>General</c:formatCode>
                      <c:ptCount val="89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36E7-42A2-81A5-4D3753E5A413}"/>
                  </c:ext>
                </c:extLst>
              </c15:ser>
            </c15:filteredScatterSeries>
            <c15:filteredScatterSeries>
              <c15:ser>
                <c:idx val="2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Products'!$F$72</c15:sqref>
                        </c15:formulaRef>
                      </c:ext>
                    </c:extLst>
                    <c:strCache>
                      <c:ptCount val="1"/>
                      <c:pt idx="0">
                        <c:v>160-FBP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Products'!$F$73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6E7-42A2-81A5-4D3753E5A413}"/>
                  </c:ext>
                </c:extLst>
              </c15:ser>
            </c15:filteredScatterSeries>
            <c15:filteredScatterSeries>
              <c15:ser>
                <c:idx val="5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Products'!$I$72</c15:sqref>
                        </c15:formulaRef>
                      </c:ext>
                    </c:extLst>
                    <c:strCache>
                      <c:ptCount val="1"/>
                      <c:pt idx="0">
                        <c:v>360-FBP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Products'!$I$73:$I$162</c15:sqref>
                        </c15:formulaRef>
                      </c:ext>
                    </c:extLst>
                    <c:numCache>
                      <c:formatCode>General</c:formatCode>
                      <c:ptCount val="90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6E7-42A2-81A5-4D3753E5A413}"/>
                  </c:ext>
                </c:extLst>
              </c15:ser>
            </c15:filteredScatterSeries>
          </c:ext>
        </c:extLst>
      </c:scatterChart>
      <c:valAx>
        <c:axId val="271991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%wt</a:t>
                </a:r>
              </a:p>
            </c:rich>
          </c:tx>
          <c:overlay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08256"/>
        <c:crosses val="autoZero"/>
        <c:crossBetween val="midCat"/>
        <c:majorUnit val="10"/>
      </c:valAx>
      <c:valAx>
        <c:axId val="27208256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Boiling Temp (deg.C)</a:t>
                </a:r>
              </a:p>
            </c:rich>
          </c:tx>
          <c:overlay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99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LCF LS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5"/>
          <c:order val="0"/>
          <c:tx>
            <c:strRef>
              <c:f>'LCF R1 Products'!$I$72</c:f>
              <c:strCache>
                <c:ptCount val="1"/>
                <c:pt idx="0">
                  <c:v>360-FBP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'LCF R1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R1 Products'!$I$73:$I$162</c:f>
              <c:numCache>
                <c:formatCode>General</c:formatCode>
                <c:ptCount val="9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797-49CC-8B94-0D280BEAC781}"/>
            </c:ext>
          </c:extLst>
        </c:ser>
        <c:ser>
          <c:idx val="2"/>
          <c:order val="1"/>
          <c:tx>
            <c:strRef>
              <c:f>'LCF R1 Products'!$F$72</c:f>
              <c:strCache>
                <c:ptCount val="1"/>
                <c:pt idx="0">
                  <c:v>160-FBP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'LCF R1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R1 Products'!$F$73:$F$163</c:f>
              <c:numCache>
                <c:formatCode>General</c:formatCode>
                <c:ptCount val="9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797-49CC-8B94-0D280BEAC781}"/>
            </c:ext>
          </c:extLst>
        </c:ser>
        <c:ser>
          <c:idx val="0"/>
          <c:order val="2"/>
          <c:tx>
            <c:strRef>
              <c:f>'LCF R1 Products'!$D$72</c:f>
              <c:strCache>
                <c:ptCount val="1"/>
                <c:pt idx="0">
                  <c:v>LCF FEED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'LCF R1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R1 Products'!$D$73:$D$161</c:f>
              <c:numCache>
                <c:formatCode>General</c:formatCode>
                <c:ptCount val="8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97-49CC-8B94-0D280BEAC781}"/>
            </c:ext>
          </c:extLst>
        </c:ser>
        <c:ser>
          <c:idx val="8"/>
          <c:order val="8"/>
          <c:tx>
            <c:v>5%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'LCF R1 Products'!$X$75:$X$76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'LCF R1 Products'!$Y$75:$Y$76</c:f>
              <c:numCache>
                <c:formatCode>General</c:formatCode>
                <c:ptCount val="2"/>
                <c:pt idx="0">
                  <c:v>900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797-49CC-8B94-0D280BEAC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99136"/>
        <c:axId val="27208256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3"/>
                <c:tx>
                  <c:strRef>
                    <c:extLst>
                      <c:ext uri="{02D57815-91ED-43cb-92C2-25804820EDAC}">
                        <c15:formulaRef>
                          <c15:sqref>'LCF R1 Products'!$E$72</c15:sqref>
                        </c15:formulaRef>
                      </c:ext>
                    </c:extLst>
                    <c:strCache>
                      <c:ptCount val="1"/>
                      <c:pt idx="0">
                        <c:v>IBP-160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'LCF R1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'LCF R1 Products'!$E$73:$E$173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9797-49CC-8B94-0D280BEAC781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Products'!$G$72</c15:sqref>
                        </c15:formulaRef>
                      </c:ext>
                    </c:extLst>
                    <c:strCache>
                      <c:ptCount val="1"/>
                      <c:pt idx="0">
                        <c:v>160-250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Products'!$G$73:$G$173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797-49CC-8B94-0D280BEAC781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Products'!$H$72</c15:sqref>
                        </c15:formulaRef>
                      </c:ext>
                    </c:extLst>
                    <c:strCache>
                      <c:ptCount val="1"/>
                      <c:pt idx="0">
                        <c:v>250-360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Products'!$H$73:$H$173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797-49CC-8B94-0D280BEAC781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Products'!$J$72</c15:sqref>
                        </c15:formulaRef>
                      </c:ext>
                    </c:extLst>
                    <c:strCache>
                      <c:ptCount val="1"/>
                      <c:pt idx="0">
                        <c:v>360-560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Products'!$J$73:$J$173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797-49CC-8B94-0D280BEAC781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Products'!$K$72</c15:sqref>
                        </c15:formulaRef>
                      </c:ext>
                    </c:extLst>
                    <c:strCache>
                      <c:ptCount val="1"/>
                      <c:pt idx="0">
                        <c:v>560+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Products'!$K$73:$K$136</c15:sqref>
                        </c15:formulaRef>
                      </c:ext>
                    </c:extLst>
                    <c:numCache>
                      <c:formatCode>General</c:formatCode>
                      <c:ptCount val="64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797-49CC-8B94-0D280BEAC781}"/>
                  </c:ext>
                </c:extLst>
              </c15:ser>
            </c15:filteredScatterSeries>
          </c:ext>
        </c:extLst>
      </c:scatterChart>
      <c:valAx>
        <c:axId val="271991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%wt</a:t>
                </a:r>
              </a:p>
            </c:rich>
          </c:tx>
          <c:overlay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08256"/>
        <c:crosses val="autoZero"/>
        <c:crossBetween val="midCat"/>
        <c:majorUnit val="10"/>
      </c:valAx>
      <c:valAx>
        <c:axId val="27208256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Boiling Temp (deg.C)</a:t>
                </a:r>
              </a:p>
            </c:rich>
          </c:tx>
          <c:overlay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99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ayout>
        <c:manualLayout>
          <c:xMode val="edge"/>
          <c:yMode val="edge"/>
          <c:x val="0.79232151583460764"/>
          <c:y val="0.25626344994587941"/>
          <c:w val="0.16875097428244645"/>
          <c:h val="0.152817055066164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 in VGO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'LCF R1 Products'!$Y$32</c:f>
              <c:strCache>
                <c:ptCount val="1"/>
                <c:pt idx="0">
                  <c:v>LCF VGO ABQ_3358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Products'!$Y$33</c:f>
              <c:numCache>
                <c:formatCode>0.0</c:formatCode>
                <c:ptCount val="1"/>
                <c:pt idx="0">
                  <c:v>0.15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D8-4817-85EE-64DDC5044A5C}"/>
            </c:ext>
          </c:extLst>
        </c:ser>
        <c:ser>
          <c:idx val="1"/>
          <c:order val="1"/>
          <c:tx>
            <c:strRef>
              <c:f>'LCF R1 Products'!$AA$32</c:f>
              <c:strCache>
                <c:ptCount val="1"/>
                <c:pt idx="0">
                  <c:v>LCF VGO 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Products'!$AA$33</c:f>
              <c:numCache>
                <c:formatCode>0.0</c:formatCode>
                <c:ptCount val="1"/>
                <c:pt idx="0">
                  <c:v>0.13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D8-4817-85EE-64DDC5044A5C}"/>
            </c:ext>
          </c:extLst>
        </c:ser>
        <c:ser>
          <c:idx val="2"/>
          <c:order val="2"/>
          <c:tx>
            <c:strRef>
              <c:f>'LCF R1 Products'!$AC$32</c:f>
              <c:strCache>
                <c:ptCount val="1"/>
                <c:pt idx="0">
                  <c:v>LCF VGO HS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Products'!$AC$33</c:f>
              <c:numCache>
                <c:formatCode>0.0</c:formatCode>
                <c:ptCount val="1"/>
                <c:pt idx="0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D8-4817-85EE-64DDC5044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914400"/>
        <c:axId val="566920160"/>
      </c:scatterChart>
      <c:valAx>
        <c:axId val="566914400"/>
        <c:scaling>
          <c:orientation val="minMax"/>
          <c:max val="1.2"/>
          <c:min val="0.8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66920160"/>
        <c:crosses val="autoZero"/>
        <c:crossBetween val="midCat"/>
        <c:majorUnit val="0.2"/>
      </c:valAx>
      <c:valAx>
        <c:axId val="56692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1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 in VGO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'LCF R1 Products'!$Y$32</c:f>
              <c:strCache>
                <c:ptCount val="1"/>
                <c:pt idx="0">
                  <c:v>LCF VGO ABQ_3358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Products'!$Y$34</c:f>
              <c:numCache>
                <c:formatCode>0.0</c:formatCode>
                <c:ptCount val="1"/>
                <c:pt idx="0">
                  <c:v>0.48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D8-4817-85EE-64DDC5044A5C}"/>
            </c:ext>
          </c:extLst>
        </c:ser>
        <c:ser>
          <c:idx val="1"/>
          <c:order val="1"/>
          <c:tx>
            <c:strRef>
              <c:f>'LCF R1 Products'!$AA$32</c:f>
              <c:strCache>
                <c:ptCount val="1"/>
                <c:pt idx="0">
                  <c:v>LCF VGO 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Products'!$AA$34</c:f>
              <c:numCache>
                <c:formatCode>0.0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D8-4817-85EE-64DDC5044A5C}"/>
            </c:ext>
          </c:extLst>
        </c:ser>
        <c:ser>
          <c:idx val="2"/>
          <c:order val="2"/>
          <c:tx>
            <c:strRef>
              <c:f>'LCF R1 Products'!$AC$32</c:f>
              <c:strCache>
                <c:ptCount val="1"/>
                <c:pt idx="0">
                  <c:v>LCF VGO HS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Products'!$AC$34</c:f>
              <c:numCache>
                <c:formatCode>0.0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D8-4817-85EE-64DDC5044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914400"/>
        <c:axId val="566920160"/>
      </c:scatterChart>
      <c:valAx>
        <c:axId val="566914400"/>
        <c:scaling>
          <c:orientation val="minMax"/>
          <c:max val="1.2"/>
          <c:min val="0.8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66920160"/>
        <c:crosses val="autoZero"/>
        <c:crossBetween val="midCat"/>
        <c:majorUnit val="0.2"/>
      </c:valAx>
      <c:valAx>
        <c:axId val="56692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1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Aromatics in HVGO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'LCF R1 Products'!$Y$32</c:f>
              <c:strCache>
                <c:ptCount val="1"/>
                <c:pt idx="0">
                  <c:v>LCF VGO ABQ_3358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Products'!$Y$41</c:f>
              <c:numCache>
                <c:formatCode>0.0</c:formatCode>
                <c:ptCount val="1"/>
                <c:pt idx="0">
                  <c:v>73.900000000000006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D8-4817-85EE-64DDC5044A5C}"/>
            </c:ext>
          </c:extLst>
        </c:ser>
        <c:ser>
          <c:idx val="1"/>
          <c:order val="1"/>
          <c:tx>
            <c:strRef>
              <c:f>'LCF R1 Products'!$AA$32</c:f>
              <c:strCache>
                <c:ptCount val="1"/>
                <c:pt idx="0">
                  <c:v>LCF VGO 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Products'!$AA$41</c:f>
              <c:numCache>
                <c:formatCode>0.0</c:formatCode>
                <c:ptCount val="1"/>
                <c:pt idx="0">
                  <c:v>66.900000000000006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D8-4817-85EE-64DDC5044A5C}"/>
            </c:ext>
          </c:extLst>
        </c:ser>
        <c:ser>
          <c:idx val="2"/>
          <c:order val="2"/>
          <c:tx>
            <c:strRef>
              <c:f>'LCF R1 Products'!$AC$32</c:f>
              <c:strCache>
                <c:ptCount val="1"/>
                <c:pt idx="0">
                  <c:v>LCF VGO HS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Products'!$AC$41</c:f>
              <c:numCache>
                <c:formatCode>0.0</c:formatCode>
                <c:ptCount val="1"/>
                <c:pt idx="0">
                  <c:v>64.900000000000006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D8-4817-85EE-64DDC5044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914400"/>
        <c:axId val="566920160"/>
      </c:scatterChart>
      <c:valAx>
        <c:axId val="566914400"/>
        <c:scaling>
          <c:orientation val="minMax"/>
          <c:max val="1.2"/>
          <c:min val="0.8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66920160"/>
        <c:crosses val="autoZero"/>
        <c:crossBetween val="midCat"/>
        <c:majorUnit val="0.2"/>
      </c:valAx>
      <c:valAx>
        <c:axId val="56692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1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Aromatics in VTB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'LCF R1 Products'!$Z$32</c:f>
              <c:strCache>
                <c:ptCount val="1"/>
                <c:pt idx="0">
                  <c:v>LCF VTB ABQ_3358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'LCF R1 Products'!$Z$41</c:f>
              <c:numCache>
                <c:formatCode>0.0</c:formatCode>
                <c:ptCount val="1"/>
                <c:pt idx="0">
                  <c:v>68.8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D8-4817-85EE-64DDC5044A5C}"/>
            </c:ext>
          </c:extLst>
        </c:ser>
        <c:ser>
          <c:idx val="1"/>
          <c:order val="1"/>
          <c:tx>
            <c:strRef>
              <c:f>'LCF R1 Products'!$AB$32</c:f>
              <c:strCache>
                <c:ptCount val="1"/>
                <c:pt idx="0">
                  <c:v>LCF VTB 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'LCF R1 Products'!$AB$41</c:f>
              <c:numCache>
                <c:formatCode>0.0</c:formatCode>
                <c:ptCount val="1"/>
                <c:pt idx="0">
                  <c:v>53.6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D8-4817-85EE-64DDC5044A5C}"/>
            </c:ext>
          </c:extLst>
        </c:ser>
        <c:ser>
          <c:idx val="2"/>
          <c:order val="2"/>
          <c:tx>
            <c:strRef>
              <c:f>'LCF R1 Products'!$AD$32</c:f>
              <c:strCache>
                <c:ptCount val="1"/>
                <c:pt idx="0">
                  <c:v>LCF VTB HS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'LCF R1 Products'!$AD$41</c:f>
              <c:numCache>
                <c:formatCode>0.0</c:formatCode>
                <c:ptCount val="1"/>
                <c:pt idx="0">
                  <c:v>43.1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D8-4817-85EE-64DDC5044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914400"/>
        <c:axId val="566920160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v>Asphaletene in VTB_ABQ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'LCF R1 Products'!$Z$43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18.3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2483-432A-9511-970C52B67C9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Asphaltene in VTB_LS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Products'!$AB$43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31.8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Products'!$AB$43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31.8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483-432A-9511-970C52B67C98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Asphaltene in HS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Products'!$AD$43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40.1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483-432A-9511-970C52B67C98}"/>
                  </c:ext>
                </c:extLst>
              </c15:ser>
            </c15:filteredScatterSeries>
          </c:ext>
        </c:extLst>
      </c:scatterChart>
      <c:valAx>
        <c:axId val="566914400"/>
        <c:scaling>
          <c:orientation val="minMax"/>
          <c:max val="1.2"/>
          <c:min val="0.8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66920160"/>
        <c:crosses val="autoZero"/>
        <c:crossBetween val="midCat"/>
        <c:majorUnit val="0.2"/>
      </c:valAx>
      <c:valAx>
        <c:axId val="56692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1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608077265576715"/>
          <c:y val="0.2782189004465499"/>
          <c:w val="0.20391952246151929"/>
          <c:h val="0.221835173673276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 in VTB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'LCF R1 Products'!$Y$32</c:f>
              <c:strCache>
                <c:ptCount val="1"/>
                <c:pt idx="0">
                  <c:v>LCF VGO ABQ_3358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Products'!$Z$33</c:f>
              <c:numCache>
                <c:formatCode>General</c:formatCode>
                <c:ptCount val="1"/>
                <c:pt idx="0">
                  <c:v>29.65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D8-4817-85EE-64DDC5044A5C}"/>
            </c:ext>
          </c:extLst>
        </c:ser>
        <c:ser>
          <c:idx val="1"/>
          <c:order val="1"/>
          <c:tx>
            <c:strRef>
              <c:f>'LCF R1 Products'!$AA$32</c:f>
              <c:strCache>
                <c:ptCount val="1"/>
                <c:pt idx="0">
                  <c:v>LCF VGO 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Products'!$AB$33</c:f>
              <c:numCache>
                <c:formatCode>General</c:formatCode>
                <c:ptCount val="1"/>
                <c:pt idx="0">
                  <c:v>50.7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D8-4817-85EE-64DDC5044A5C}"/>
            </c:ext>
          </c:extLst>
        </c:ser>
        <c:ser>
          <c:idx val="2"/>
          <c:order val="2"/>
          <c:tx>
            <c:strRef>
              <c:f>'LCF R1 Products'!$AC$32</c:f>
              <c:strCache>
                <c:ptCount val="1"/>
                <c:pt idx="0">
                  <c:v>LCF VGO HS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Products'!$AD$33</c:f>
              <c:numCache>
                <c:formatCode>General</c:formatCode>
                <c:ptCount val="1"/>
                <c:pt idx="0">
                  <c:v>52.5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D8-4817-85EE-64DDC5044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914400"/>
        <c:axId val="566920160"/>
      </c:scatterChart>
      <c:valAx>
        <c:axId val="566914400"/>
        <c:scaling>
          <c:orientation val="minMax"/>
          <c:max val="1.2"/>
          <c:min val="0.8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66920160"/>
        <c:crosses val="autoZero"/>
        <c:crossBetween val="midCat"/>
        <c:majorUnit val="0.2"/>
      </c:valAx>
      <c:valAx>
        <c:axId val="56692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1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 in VTB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'LCF R1 Products'!$Y$32</c:f>
              <c:strCache>
                <c:ptCount val="1"/>
                <c:pt idx="0">
                  <c:v>LCF VGO ABQ_3358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Products'!$Z$34</c:f>
              <c:numCache>
                <c:formatCode>General</c:formatCode>
                <c:ptCount val="1"/>
                <c:pt idx="0">
                  <c:v>10.28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D8-4817-85EE-64DDC5044A5C}"/>
            </c:ext>
          </c:extLst>
        </c:ser>
        <c:ser>
          <c:idx val="1"/>
          <c:order val="1"/>
          <c:tx>
            <c:strRef>
              <c:f>'LCF R1 Products'!$AA$32</c:f>
              <c:strCache>
                <c:ptCount val="1"/>
                <c:pt idx="0">
                  <c:v>LCF VGO 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Products'!$AB$34</c:f>
              <c:numCache>
                <c:formatCode>General</c:formatCode>
                <c:ptCount val="1"/>
                <c:pt idx="0">
                  <c:v>47.5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D8-4817-85EE-64DDC5044A5C}"/>
            </c:ext>
          </c:extLst>
        </c:ser>
        <c:ser>
          <c:idx val="2"/>
          <c:order val="2"/>
          <c:tx>
            <c:strRef>
              <c:f>'LCF R1 Products'!$AC$32</c:f>
              <c:strCache>
                <c:ptCount val="1"/>
                <c:pt idx="0">
                  <c:v>LCF VGO HS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Products'!$AD$34</c:f>
              <c:numCache>
                <c:formatCode>General</c:formatCode>
                <c:ptCount val="1"/>
                <c:pt idx="0">
                  <c:v>48.6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D8-4817-85EE-64DDC5044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914400"/>
        <c:axId val="566920160"/>
      </c:scatterChart>
      <c:valAx>
        <c:axId val="566914400"/>
        <c:scaling>
          <c:orientation val="minMax"/>
          <c:max val="1.2"/>
          <c:min val="0.8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66920160"/>
        <c:crosses val="autoZero"/>
        <c:crossBetween val="midCat"/>
        <c:majorUnit val="0.2"/>
      </c:valAx>
      <c:valAx>
        <c:axId val="56692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1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Nitrogen in VGO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'LCF R1 Products'!$Y$32</c:f>
              <c:strCache>
                <c:ptCount val="1"/>
                <c:pt idx="0">
                  <c:v>LCF VGO ABQ_3358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Products'!$Y$46</c:f>
              <c:numCache>
                <c:formatCode>General</c:formatCode>
                <c:ptCount val="1"/>
                <c:pt idx="0">
                  <c:v>3192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D8-4817-85EE-64DDC5044A5C}"/>
            </c:ext>
          </c:extLst>
        </c:ser>
        <c:ser>
          <c:idx val="1"/>
          <c:order val="1"/>
          <c:tx>
            <c:strRef>
              <c:f>'LCF R1 Products'!$AA$32</c:f>
              <c:strCache>
                <c:ptCount val="1"/>
                <c:pt idx="0">
                  <c:v>LCF VGO 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Products'!$AA$46</c:f>
              <c:numCache>
                <c:formatCode>General</c:formatCode>
                <c:ptCount val="1"/>
                <c:pt idx="0">
                  <c:v>4325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D8-4817-85EE-64DDC5044A5C}"/>
            </c:ext>
          </c:extLst>
        </c:ser>
        <c:ser>
          <c:idx val="2"/>
          <c:order val="2"/>
          <c:tx>
            <c:strRef>
              <c:f>'LCF R1 Products'!$AC$32</c:f>
              <c:strCache>
                <c:ptCount val="1"/>
                <c:pt idx="0">
                  <c:v>LCF VGO HS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Products'!$AC$46</c:f>
              <c:numCache>
                <c:formatCode>General</c:formatCode>
                <c:ptCount val="1"/>
                <c:pt idx="0">
                  <c:v>5243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D8-4817-85EE-64DDC5044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914400"/>
        <c:axId val="566920160"/>
      </c:scatterChart>
      <c:valAx>
        <c:axId val="566914400"/>
        <c:scaling>
          <c:orientation val="minMax"/>
          <c:max val="1.2"/>
          <c:min val="0.8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66920160"/>
        <c:crosses val="autoZero"/>
        <c:crossBetween val="midCat"/>
        <c:majorUnit val="0.2"/>
      </c:valAx>
      <c:valAx>
        <c:axId val="56692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1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Nitrogen in VTB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'LCF R1 Products'!$AC$32</c:f>
              <c:strCache>
                <c:ptCount val="1"/>
                <c:pt idx="0">
                  <c:v>LCF VGO HS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Products'!$AD$46</c:f>
              <c:numCache>
                <c:formatCode>General</c:formatCode>
                <c:ptCount val="1"/>
                <c:pt idx="0">
                  <c:v>9436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D8-4817-85EE-64DDC5044A5C}"/>
            </c:ext>
          </c:extLst>
        </c:ser>
        <c:ser>
          <c:idx val="1"/>
          <c:order val="1"/>
          <c:tx>
            <c:strRef>
              <c:f>'LCF R1 Products'!$AA$32</c:f>
              <c:strCache>
                <c:ptCount val="1"/>
                <c:pt idx="0">
                  <c:v>LCF VGO 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Products'!$AB$46</c:f>
              <c:numCache>
                <c:formatCode>General</c:formatCode>
                <c:ptCount val="1"/>
                <c:pt idx="0">
                  <c:v>7675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D8-4817-85EE-64DDC5044A5C}"/>
            </c:ext>
          </c:extLst>
        </c:ser>
        <c:ser>
          <c:idx val="0"/>
          <c:order val="2"/>
          <c:tx>
            <c:strRef>
              <c:f>'LCF R1 Products'!$Y$32</c:f>
              <c:strCache>
                <c:ptCount val="1"/>
                <c:pt idx="0">
                  <c:v>LCF VGO ABQ_3358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Products'!$Z$46</c:f>
              <c:numCache>
                <c:formatCode>General</c:formatCode>
                <c:ptCount val="1"/>
                <c:pt idx="0">
                  <c:v>3613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D8-4817-85EE-64DDC5044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914400"/>
        <c:axId val="566920160"/>
      </c:scatterChart>
      <c:valAx>
        <c:axId val="566914400"/>
        <c:scaling>
          <c:orientation val="minMax"/>
          <c:max val="1.2"/>
          <c:min val="0.8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66920160"/>
        <c:crosses val="autoZero"/>
        <c:crossBetween val="midCat"/>
        <c:majorUnit val="0.2"/>
      </c:valAx>
      <c:valAx>
        <c:axId val="56692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1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883336968095341"/>
          <c:y val="0.24415427082584235"/>
          <c:w val="0.17858205795948737"/>
          <c:h val="0.365683933304541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Asphaltene/Aromatic ratio</a:t>
            </a:r>
            <a:r>
              <a:rPr lang="en-US" baseline="0"/>
              <a:t> in VTB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450819258051293"/>
          <c:y val="0.16594020145626537"/>
          <c:w val="0.59057560109079033"/>
          <c:h val="0.78484593453675378"/>
        </c:manualLayout>
      </c:layout>
      <c:scatterChart>
        <c:scatterStyle val="lineMarker"/>
        <c:varyColors val="0"/>
        <c:ser>
          <c:idx val="7"/>
          <c:order val="6"/>
          <c:tx>
            <c:v>HS_ART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2"/>
            <c:spPr>
              <a:solidFill>
                <a:schemeClr val="accent2"/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Pt>
            <c:idx val="0"/>
            <c:marker>
              <c:symbol val="square"/>
              <c:size val="12"/>
              <c:spPr>
                <a:solidFill>
                  <a:schemeClr val="accent2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8B5D-49D2-BEB8-9F9965FC2DFC}"/>
              </c:ext>
            </c:extLst>
          </c:dPt>
          <c:yVal>
            <c:numRef>
              <c:f>'LCF R1 Products'!$AD$52</c:f>
              <c:numCache>
                <c:formatCode>General</c:formatCode>
                <c:ptCount val="1"/>
                <c:pt idx="0">
                  <c:v>2.3364485981308412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B5D-49D2-BEB8-9F9965FC2DFC}"/>
            </c:ext>
          </c:extLst>
        </c:ser>
        <c:ser>
          <c:idx val="6"/>
          <c:order val="7"/>
          <c:tx>
            <c:v>LS_ART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chemeClr val="accent2"/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Pt>
            <c:idx val="0"/>
            <c:marker>
              <c:symbol val="triangle"/>
              <c:size val="15"/>
              <c:spPr>
                <a:solidFill>
                  <a:schemeClr val="accent2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D91E-4EB6-8034-CCDDDFF83FBF}"/>
              </c:ext>
            </c:extLst>
          </c:dPt>
          <c:yVal>
            <c:numRef>
              <c:f>'LCF R1 Products'!$AB$52</c:f>
              <c:numCache>
                <c:formatCode>0.000</c:formatCode>
                <c:ptCount val="1"/>
                <c:pt idx="0">
                  <c:v>1.1022727272727271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B5D-49D2-BEB8-9F9965FC2DFC}"/>
            </c:ext>
          </c:extLst>
        </c:ser>
        <c:ser>
          <c:idx val="9"/>
          <c:order val="8"/>
          <c:tx>
            <c:v>HS_TOP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Pt>
            <c:idx val="0"/>
            <c:marker>
              <c:symbol val="square"/>
              <c:size val="11"/>
              <c:spPr>
                <a:solidFill>
                  <a:srgbClr val="2D0DA3"/>
                </a:solidFill>
                <a:ln w="9525">
                  <a:solidFill>
                    <a:schemeClr val="accent4">
                      <a:lumMod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D91E-4EB6-8034-CCDDDFF83FBF}"/>
              </c:ext>
            </c:extLst>
          </c:dPt>
          <c:yVal>
            <c:numRef>
              <c:f>'LCF R1 Products'!$AD$51</c:f>
              <c:numCache>
                <c:formatCode>General</c:formatCode>
                <c:ptCount val="1"/>
                <c:pt idx="0">
                  <c:v>0.93039443155452439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B5D-49D2-BEB8-9F9965FC2DFC}"/>
            </c:ext>
          </c:extLst>
        </c:ser>
        <c:ser>
          <c:idx val="8"/>
          <c:order val="9"/>
          <c:tx>
            <c:v>LS_TOP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2"/>
            <c:spPr>
              <a:solidFill>
                <a:srgbClr val="2D0DA3"/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yVal>
            <c:numRef>
              <c:f>'LCF R1 Products'!$AB$51</c:f>
              <c:numCache>
                <c:formatCode>0.000</c:formatCode>
                <c:ptCount val="1"/>
                <c:pt idx="0">
                  <c:v>0.59328358208955223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B5D-49D2-BEB8-9F9965FC2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914400"/>
        <c:axId val="56692016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'LCF R1 Products'!$Z$32</c15:sqref>
                        </c15:formulaRef>
                      </c:ext>
                    </c:extLst>
                    <c:strCache>
                      <c:ptCount val="1"/>
                      <c:pt idx="0">
                        <c:v>LCF VTB ABQ_3358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7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'LCF R1 Products'!$Z$41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68.8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8B5D-49D2-BEB8-9F9965FC2DFC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Products'!$AB$32</c15:sqref>
                        </c15:formulaRef>
                      </c:ext>
                    </c:extLst>
                    <c:strCache>
                      <c:ptCount val="1"/>
                      <c:pt idx="0">
                        <c:v>LCF VTB LS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Products'!$AB$41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53.6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B5D-49D2-BEB8-9F9965FC2DFC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Products'!$AD$32</c15:sqref>
                        </c15:formulaRef>
                      </c:ext>
                    </c:extLst>
                    <c:strCache>
                      <c:ptCount val="1"/>
                      <c:pt idx="0">
                        <c:v>LCF VTB HS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tar"/>
                  <c:size val="7"/>
                  <c:spPr>
                    <a:noFill/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Products'!$AD$41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43.1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B5D-49D2-BEB8-9F9965FC2DFC}"/>
                  </c:ext>
                </c:extLst>
              </c15:ser>
            </c15:filteredScatterSeries>
            <c15:filteredScatterSeries>
              <c15:ser>
                <c:idx val="3"/>
                <c:order val="3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Products'!$Z$43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18.3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B5D-49D2-BEB8-9F9965FC2DFC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Asphaltene in VTB_LS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Products'!$AB$43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31.8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Products'!$AB$43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31.8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B5D-49D2-BEB8-9F9965FC2DFC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Asphaltene in HS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Products'!$AD$43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40.1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B5D-49D2-BEB8-9F9965FC2DFC}"/>
                  </c:ext>
                </c:extLst>
              </c15:ser>
            </c15:filteredScatterSeries>
          </c:ext>
        </c:extLst>
      </c:scatterChart>
      <c:valAx>
        <c:axId val="566914400"/>
        <c:scaling>
          <c:orientation val="minMax"/>
          <c:max val="1.2"/>
          <c:min val="0.8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66920160"/>
        <c:crosses val="autoZero"/>
        <c:crossBetween val="midCat"/>
        <c:majorUnit val="0.2"/>
      </c:valAx>
      <c:valAx>
        <c:axId val="56692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wt%/wt%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1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432642878007604"/>
          <c:y val="0.23363854779881393"/>
          <c:w val="0.20937948949564161"/>
          <c:h val="0.322535831523230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Nitrogen in VTB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6"/>
          <c:order val="3"/>
          <c:tx>
            <c:v>N in VTB_HS_TOP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2"/>
            <c:spPr>
              <a:solidFill>
                <a:schemeClr val="accent1">
                  <a:lumMod val="60000"/>
                </a:schemeClr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triangle"/>
              <c:size val="12"/>
              <c:spPr>
                <a:solidFill>
                  <a:srgbClr val="2D0DA3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D717-4D8C-A238-F35D2F795B19}"/>
              </c:ext>
            </c:extLst>
          </c:dPt>
          <c:yVal>
            <c:numRef>
              <c:f>'LCF R1 Products'!$AD$57</c:f>
              <c:numCache>
                <c:formatCode>General</c:formatCode>
                <c:ptCount val="1"/>
                <c:pt idx="0">
                  <c:v>9436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717-4D8C-A238-F35D2F795B19}"/>
            </c:ext>
          </c:extLst>
        </c:ser>
        <c:ser>
          <c:idx val="5"/>
          <c:order val="4"/>
          <c:tx>
            <c:v>N in VTB_LS_TOP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3"/>
            <c:spPr>
              <a:solidFill>
                <a:srgbClr val="2D0DA3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0"/>
            <c:marker>
              <c:symbol val="diamond"/>
              <c:size val="13"/>
              <c:spPr>
                <a:solidFill>
                  <a:srgbClr val="2D0DA3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D717-4D8C-A238-F35D2F795B19}"/>
              </c:ext>
            </c:extLst>
          </c:dPt>
          <c:yVal>
            <c:numRef>
              <c:f>'LCF R1 Products'!$AB$57</c:f>
              <c:numCache>
                <c:formatCode>General</c:formatCode>
                <c:ptCount val="1"/>
                <c:pt idx="0">
                  <c:v>7675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717-4D8C-A238-F35D2F795B19}"/>
            </c:ext>
          </c:extLst>
        </c:ser>
        <c:ser>
          <c:idx val="4"/>
          <c:order val="5"/>
          <c:tx>
            <c:v>N in VTB_HS_ART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3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Pt>
            <c:idx val="0"/>
            <c:marker>
              <c:symbol val="triangle"/>
              <c:size val="13"/>
              <c:spPr>
                <a:solidFill>
                  <a:schemeClr val="accent2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D717-4D8C-A238-F35D2F795B19}"/>
              </c:ext>
            </c:extLst>
          </c:dPt>
          <c:yVal>
            <c:numRef>
              <c:f>'LCF R1 Products'!$AD$56</c:f>
              <c:numCache>
                <c:formatCode>General</c:formatCode>
                <c:ptCount val="1"/>
                <c:pt idx="0">
                  <c:v>8611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717-4D8C-A238-F35D2F795B19}"/>
            </c:ext>
          </c:extLst>
        </c:ser>
        <c:ser>
          <c:idx val="3"/>
          <c:order val="6"/>
          <c:tx>
            <c:v>N in VTB_LS_ART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2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yVal>
            <c:numRef>
              <c:f>'LCF R1 Products'!$AB$56</c:f>
              <c:numCache>
                <c:formatCode>General</c:formatCode>
                <c:ptCount val="1"/>
                <c:pt idx="0">
                  <c:v>6308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717-4D8C-A238-F35D2F795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914400"/>
        <c:axId val="566920160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'LCF R1 Products'!$AC$32</c15:sqref>
                        </c15:formulaRef>
                      </c:ext>
                    </c:extLst>
                    <c:strCache>
                      <c:ptCount val="1"/>
                      <c:pt idx="0">
                        <c:v>LCF VGO HS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noFill/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1"/>
                    <c:pt idx="0">
                      <c:v>1</c:v>
                    </c:pt>
                  </c:numLit>
                </c:xVal>
                <c:yVal>
                  <c:numRef>
                    <c:extLst>
                      <c:ext uri="{02D57815-91ED-43cb-92C2-25804820EDAC}">
                        <c15:formulaRef>
                          <c15:sqref>'LCF R1 Products'!$AD$46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9436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D717-4D8C-A238-F35D2F795B19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Products'!$AA$32</c15:sqref>
                        </c15:formulaRef>
                      </c:ext>
                    </c:extLst>
                    <c:strCache>
                      <c:ptCount val="1"/>
                      <c:pt idx="0">
                        <c:v>LCF VGO LS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1"/>
                    <c:pt idx="0">
                      <c:v>1</c:v>
                    </c:pt>
                  </c:numLit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Products'!$AB$46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7675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717-4D8C-A238-F35D2F795B19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Products'!$Y$32</c15:sqref>
                        </c15:formulaRef>
                      </c:ext>
                    </c:extLst>
                    <c:strCache>
                      <c:ptCount val="1"/>
                      <c:pt idx="0">
                        <c:v>LCF VGO ABQ_3358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1"/>
                    <c:pt idx="0">
                      <c:v>1</c:v>
                    </c:pt>
                  </c:numLit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Products'!$Z$46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3613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717-4D8C-A238-F35D2F795B19}"/>
                  </c:ext>
                </c:extLst>
              </c15:ser>
            </c15:filteredScatterSeries>
          </c:ext>
        </c:extLst>
      </c:scatterChart>
      <c:valAx>
        <c:axId val="566914400"/>
        <c:scaling>
          <c:orientation val="minMax"/>
          <c:max val="1.2"/>
          <c:min val="0.8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66920160"/>
        <c:crosses val="autoZero"/>
        <c:crossBetween val="midCat"/>
        <c:majorUnit val="0.2"/>
      </c:valAx>
      <c:valAx>
        <c:axId val="566920160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1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427540904449384"/>
          <c:y val="0.24415427082584235"/>
          <c:w val="0.24950736810632171"/>
          <c:h val="0.32087309853867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LCF PRODUCT_High Sedimentation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7"/>
          <c:order val="1"/>
          <c:tx>
            <c:strRef>
              <c:f>'LCF R2 Products'!$K$72</c:f>
              <c:strCache>
                <c:ptCount val="1"/>
                <c:pt idx="0">
                  <c:v>560+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'LCF R2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R2 Products'!$K$73:$K$136</c:f>
              <c:numCache>
                <c:formatCode>General</c:formatCode>
                <c:ptCount val="6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503-4F00-BD6F-452E63881FA0}"/>
            </c:ext>
          </c:extLst>
        </c:ser>
        <c:ser>
          <c:idx val="6"/>
          <c:order val="2"/>
          <c:tx>
            <c:strRef>
              <c:f>'LCF R2 Products'!$J$72</c:f>
              <c:strCache>
                <c:ptCount val="1"/>
                <c:pt idx="0">
                  <c:v>360-560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'LCF R2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R2 Products'!$J$73:$J$173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503-4F00-BD6F-452E63881FA0}"/>
            </c:ext>
          </c:extLst>
        </c:ser>
        <c:ser>
          <c:idx val="4"/>
          <c:order val="3"/>
          <c:tx>
            <c:strRef>
              <c:f>'LCF R2 Products'!$H$72</c:f>
              <c:strCache>
                <c:ptCount val="1"/>
                <c:pt idx="0">
                  <c:v>250-360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'LCF R2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R2 Products'!$H$73:$H$173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503-4F00-BD6F-452E63881FA0}"/>
            </c:ext>
          </c:extLst>
        </c:ser>
        <c:ser>
          <c:idx val="3"/>
          <c:order val="4"/>
          <c:tx>
            <c:strRef>
              <c:f>'LCF R2 Products'!$G$72</c:f>
              <c:strCache>
                <c:ptCount val="1"/>
                <c:pt idx="0">
                  <c:v>160-250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'LCF R2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R2 Products'!$G$73:$G$173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503-4F00-BD6F-452E63881FA0}"/>
            </c:ext>
          </c:extLst>
        </c:ser>
        <c:ser>
          <c:idx val="1"/>
          <c:order val="5"/>
          <c:tx>
            <c:strRef>
              <c:f>'LCF R2 Products'!$E$72</c:f>
              <c:strCache>
                <c:ptCount val="1"/>
                <c:pt idx="0">
                  <c:v>IBP-160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'LCF R2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R2 Products'!$E$73:$E$173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503-4F00-BD6F-452E63881FA0}"/>
            </c:ext>
          </c:extLst>
        </c:ser>
        <c:ser>
          <c:idx val="8"/>
          <c:order val="8"/>
          <c:tx>
            <c:v>5%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bg1">
                    <a:lumMod val="50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7E7F-4978-BF28-14A2D2FECA05}"/>
              </c:ext>
            </c:extLst>
          </c:dPt>
          <c:xVal>
            <c:numRef>
              <c:f>'LCF R2 Products'!$X$75:$X$76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'LCF R2 Products'!$Y$75:$Y$76</c:f>
              <c:numCache>
                <c:formatCode>General</c:formatCode>
                <c:ptCount val="2"/>
                <c:pt idx="0">
                  <c:v>900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7F-4978-BF28-14A2D2FECA05}"/>
            </c:ext>
          </c:extLst>
        </c:ser>
        <c:ser>
          <c:idx val="9"/>
          <c:order val="9"/>
          <c:tx>
            <c:v>95%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bg1">
                    <a:lumMod val="50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7E7F-4978-BF28-14A2D2FECA05}"/>
              </c:ext>
            </c:extLst>
          </c:dPt>
          <c:xVal>
            <c:numRef>
              <c:f>'LCF R2 Products'!$X$78:$X$79</c:f>
              <c:numCache>
                <c:formatCode>General</c:formatCode>
                <c:ptCount val="2"/>
                <c:pt idx="0">
                  <c:v>95</c:v>
                </c:pt>
                <c:pt idx="1">
                  <c:v>95</c:v>
                </c:pt>
              </c:numCache>
            </c:numRef>
          </c:xVal>
          <c:yVal>
            <c:numRef>
              <c:f>'LCF R2 Products'!$Y$78:$Y$79</c:f>
              <c:numCache>
                <c:formatCode>General</c:formatCode>
                <c:ptCount val="2"/>
                <c:pt idx="0">
                  <c:v>900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7F-4978-BF28-14A2D2FEC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99136"/>
        <c:axId val="2720825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'LCF R2 Products'!$D$72</c15:sqref>
                        </c15:formulaRef>
                      </c:ext>
                    </c:extLst>
                    <c:strCache>
                      <c:ptCount val="1"/>
                      <c:pt idx="0">
                        <c:v>LCF FEED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'LCF R2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'LCF R2 Products'!$D$73:$D$155</c15:sqref>
                        </c15:formulaRef>
                      </c:ext>
                    </c:extLst>
                    <c:numCache>
                      <c:formatCode>General</c:formatCode>
                      <c:ptCount val="83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8503-4F00-BD6F-452E63881FA0}"/>
                  </c:ext>
                </c:extLst>
              </c15:ser>
            </c15:filteredScatterSeries>
            <c15:filteredScatterSeries>
              <c15:ser>
                <c:idx val="2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Products'!$F$72</c15:sqref>
                        </c15:formulaRef>
                      </c:ext>
                    </c:extLst>
                    <c:strCache>
                      <c:ptCount val="1"/>
                      <c:pt idx="0">
                        <c:v>160-FBP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Products'!$F$73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503-4F00-BD6F-452E63881FA0}"/>
                  </c:ext>
                </c:extLst>
              </c15:ser>
            </c15:filteredScatterSeries>
            <c15:filteredScatterSeries>
              <c15:ser>
                <c:idx val="5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Products'!$I$72</c15:sqref>
                        </c15:formulaRef>
                      </c:ext>
                    </c:extLst>
                    <c:strCache>
                      <c:ptCount val="1"/>
                      <c:pt idx="0">
                        <c:v>360-FBP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Products'!$I$73:$I$155</c15:sqref>
                        </c15:formulaRef>
                      </c:ext>
                    </c:extLst>
                    <c:numCache>
                      <c:formatCode>General</c:formatCode>
                      <c:ptCount val="83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503-4F00-BD6F-452E63881FA0}"/>
                  </c:ext>
                </c:extLst>
              </c15:ser>
            </c15:filteredScatterSeries>
          </c:ext>
        </c:extLst>
      </c:scatterChart>
      <c:valAx>
        <c:axId val="271991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%wt</a:t>
                </a:r>
              </a:p>
            </c:rich>
          </c:tx>
          <c:overlay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08256"/>
        <c:crosses val="autoZero"/>
        <c:crossBetween val="midCat"/>
        <c:majorUnit val="10"/>
      </c:valAx>
      <c:valAx>
        <c:axId val="27208256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Boiling Temp (deg.C)</a:t>
                </a:r>
              </a:p>
            </c:rich>
          </c:tx>
          <c:overlay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99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80523600174978116"/>
          <c:y val="0.26322761738116063"/>
          <c:w val="0.16698622047244094"/>
          <c:h val="0.390627734033245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LCF HS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5"/>
          <c:order val="0"/>
          <c:tx>
            <c:strRef>
              <c:f>'LCF R2 Products'!$I$72</c:f>
              <c:strCache>
                <c:ptCount val="1"/>
                <c:pt idx="0">
                  <c:v>360-FBP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'LCF R2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R2 Products'!$I$73:$I$155</c:f>
              <c:numCache>
                <c:formatCode>General</c:formatCode>
                <c:ptCount val="8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E01-40AB-AC9A-34C66892D7BE}"/>
            </c:ext>
          </c:extLst>
        </c:ser>
        <c:ser>
          <c:idx val="2"/>
          <c:order val="1"/>
          <c:tx>
            <c:strRef>
              <c:f>'LCF R2 Products'!$F$72</c:f>
              <c:strCache>
                <c:ptCount val="1"/>
                <c:pt idx="0">
                  <c:v>160-FBP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'LCF R2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R2 Products'!$F$73:$F$163</c:f>
              <c:numCache>
                <c:formatCode>General</c:formatCode>
                <c:ptCount val="9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E01-40AB-AC9A-34C66892D7BE}"/>
            </c:ext>
          </c:extLst>
        </c:ser>
        <c:ser>
          <c:idx val="0"/>
          <c:order val="2"/>
          <c:tx>
            <c:strRef>
              <c:f>'LCF R2 Products'!$D$72</c:f>
              <c:strCache>
                <c:ptCount val="1"/>
                <c:pt idx="0">
                  <c:v>LCF FEED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'LCF R2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R2 Products'!$D$73:$D$155</c:f>
              <c:numCache>
                <c:formatCode>General</c:formatCode>
                <c:ptCount val="8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01-40AB-AC9A-34C66892D7BE}"/>
            </c:ext>
          </c:extLst>
        </c:ser>
        <c:ser>
          <c:idx val="8"/>
          <c:order val="8"/>
          <c:tx>
            <c:v>5%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bg1">
                    <a:lumMod val="50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BE01-40AB-AC9A-34C66892D7BE}"/>
              </c:ext>
            </c:extLst>
          </c:dPt>
          <c:xVal>
            <c:numRef>
              <c:f>'LCF R2 Products'!$X$75:$X$76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'LCF R2 Products'!$Y$75:$Y$76</c:f>
              <c:numCache>
                <c:formatCode>General</c:formatCode>
                <c:ptCount val="2"/>
                <c:pt idx="0">
                  <c:v>900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E01-40AB-AC9A-34C66892D7BE}"/>
            </c:ext>
          </c:extLst>
        </c:ser>
        <c:ser>
          <c:idx val="9"/>
          <c:order val="9"/>
          <c:tx>
            <c:v>95%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bg1">
                    <a:lumMod val="50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BE01-40AB-AC9A-34C66892D7BE}"/>
              </c:ext>
            </c:extLst>
          </c:dPt>
          <c:xVal>
            <c:numRef>
              <c:f>'LCF R2 Products'!$X$78:$X$79</c:f>
              <c:numCache>
                <c:formatCode>General</c:formatCode>
                <c:ptCount val="2"/>
                <c:pt idx="0">
                  <c:v>95</c:v>
                </c:pt>
                <c:pt idx="1">
                  <c:v>95</c:v>
                </c:pt>
              </c:numCache>
            </c:numRef>
          </c:xVal>
          <c:yVal>
            <c:numRef>
              <c:f>'LCF R2 Products'!$Y$78:$Y$79</c:f>
              <c:numCache>
                <c:formatCode>General</c:formatCode>
                <c:ptCount val="2"/>
                <c:pt idx="0">
                  <c:v>900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BE01-40AB-AC9A-34C66892D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99136"/>
        <c:axId val="27208256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3"/>
                <c:tx>
                  <c:strRef>
                    <c:extLst>
                      <c:ext uri="{02D57815-91ED-43cb-92C2-25804820EDAC}">
                        <c15:formulaRef>
                          <c15:sqref>'LCF R2 Products'!$E$72</c15:sqref>
                        </c15:formulaRef>
                      </c:ext>
                    </c:extLst>
                    <c:strCache>
                      <c:ptCount val="1"/>
                      <c:pt idx="0">
                        <c:v>IBP-160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'LCF R2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'LCF R2 Products'!$E$73:$E$173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BE01-40AB-AC9A-34C66892D7BE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Products'!$G$72</c15:sqref>
                        </c15:formulaRef>
                      </c:ext>
                    </c:extLst>
                    <c:strCache>
                      <c:ptCount val="1"/>
                      <c:pt idx="0">
                        <c:v>160-250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Products'!$G$73:$G$173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E01-40AB-AC9A-34C66892D7BE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Products'!$H$72</c15:sqref>
                        </c15:formulaRef>
                      </c:ext>
                    </c:extLst>
                    <c:strCache>
                      <c:ptCount val="1"/>
                      <c:pt idx="0">
                        <c:v>250-360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Products'!$H$73:$H$173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E01-40AB-AC9A-34C66892D7BE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Products'!$J$72</c15:sqref>
                        </c15:formulaRef>
                      </c:ext>
                    </c:extLst>
                    <c:strCache>
                      <c:ptCount val="1"/>
                      <c:pt idx="0">
                        <c:v>360-560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Products'!$J$73:$J$173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E01-40AB-AC9A-34C66892D7BE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Products'!$K$72</c15:sqref>
                        </c15:formulaRef>
                      </c:ext>
                    </c:extLst>
                    <c:strCache>
                      <c:ptCount val="1"/>
                      <c:pt idx="0">
                        <c:v>560+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Products'!$K$73:$K$136</c15:sqref>
                        </c15:formulaRef>
                      </c:ext>
                    </c:extLst>
                    <c:numCache>
                      <c:formatCode>General</c:formatCode>
                      <c:ptCount val="64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E01-40AB-AC9A-34C66892D7BE}"/>
                  </c:ext>
                </c:extLst>
              </c15:ser>
            </c15:filteredScatterSeries>
          </c:ext>
        </c:extLst>
      </c:scatterChart>
      <c:valAx>
        <c:axId val="271991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%wt</a:t>
                </a:r>
              </a:p>
            </c:rich>
          </c:tx>
          <c:overlay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08256"/>
        <c:crosses val="autoZero"/>
        <c:crossBetween val="midCat"/>
        <c:majorUnit val="10"/>
      </c:valAx>
      <c:valAx>
        <c:axId val="27208256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Boiling Temp (deg.C)</a:t>
                </a:r>
              </a:p>
            </c:rich>
          </c:tx>
          <c:overlay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99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Kinetic!$N$6</c:f>
              <c:strCache>
                <c:ptCount val="1"/>
                <c:pt idx="0">
                  <c:v>K0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Kinetic!$M$7:$M$38</c:f>
              <c:numCache>
                <c:formatCode>General</c:formatCode>
                <c:ptCount val="32"/>
                <c:pt idx="0">
                  <c:v>399</c:v>
                </c:pt>
                <c:pt idx="1">
                  <c:v>400</c:v>
                </c:pt>
                <c:pt idx="2">
                  <c:v>401</c:v>
                </c:pt>
                <c:pt idx="3">
                  <c:v>402</c:v>
                </c:pt>
                <c:pt idx="4">
                  <c:v>403</c:v>
                </c:pt>
                <c:pt idx="5">
                  <c:v>404</c:v>
                </c:pt>
                <c:pt idx="6">
                  <c:v>405</c:v>
                </c:pt>
                <c:pt idx="7">
                  <c:v>406</c:v>
                </c:pt>
                <c:pt idx="8">
                  <c:v>407</c:v>
                </c:pt>
                <c:pt idx="9">
                  <c:v>408</c:v>
                </c:pt>
                <c:pt idx="10">
                  <c:v>409</c:v>
                </c:pt>
                <c:pt idx="11">
                  <c:v>410</c:v>
                </c:pt>
                <c:pt idx="12">
                  <c:v>411</c:v>
                </c:pt>
                <c:pt idx="13">
                  <c:v>412</c:v>
                </c:pt>
                <c:pt idx="14">
                  <c:v>413</c:v>
                </c:pt>
                <c:pt idx="15">
                  <c:v>414</c:v>
                </c:pt>
                <c:pt idx="16">
                  <c:v>415</c:v>
                </c:pt>
                <c:pt idx="17">
                  <c:v>416</c:v>
                </c:pt>
                <c:pt idx="18">
                  <c:v>417</c:v>
                </c:pt>
                <c:pt idx="19">
                  <c:v>418</c:v>
                </c:pt>
                <c:pt idx="20">
                  <c:v>419</c:v>
                </c:pt>
                <c:pt idx="21">
                  <c:v>420</c:v>
                </c:pt>
                <c:pt idx="22">
                  <c:v>421</c:v>
                </c:pt>
                <c:pt idx="23">
                  <c:v>422</c:v>
                </c:pt>
                <c:pt idx="24">
                  <c:v>423</c:v>
                </c:pt>
                <c:pt idx="25">
                  <c:v>424</c:v>
                </c:pt>
                <c:pt idx="26">
                  <c:v>425</c:v>
                </c:pt>
                <c:pt idx="27">
                  <c:v>426</c:v>
                </c:pt>
                <c:pt idx="28">
                  <c:v>427</c:v>
                </c:pt>
                <c:pt idx="29">
                  <c:v>428</c:v>
                </c:pt>
                <c:pt idx="30">
                  <c:v>429</c:v>
                </c:pt>
                <c:pt idx="31">
                  <c:v>430</c:v>
                </c:pt>
              </c:numCache>
            </c:numRef>
          </c:xVal>
          <c:yVal>
            <c:numRef>
              <c:f>Kinetic!$N$7:$N$38</c:f>
              <c:numCache>
                <c:formatCode>General</c:formatCode>
                <c:ptCount val="32"/>
                <c:pt idx="0">
                  <c:v>102279636497990.81</c:v>
                </c:pt>
                <c:pt idx="1">
                  <c:v>97286170789893.844</c:v>
                </c:pt>
                <c:pt idx="2">
                  <c:v>92550236736249.922</c:v>
                </c:pt>
                <c:pt idx="3">
                  <c:v>88057867092310.938</c:v>
                </c:pt>
                <c:pt idx="4">
                  <c:v>83795888213200.188</c:v>
                </c:pt>
                <c:pt idx="5">
                  <c:v>79751872966149.359</c:v>
                </c:pt>
                <c:pt idx="6">
                  <c:v>75914096552292.141</c:v>
                </c:pt>
                <c:pt idx="7">
                  <c:v>72271495051247.547</c:v>
                </c:pt>
                <c:pt idx="8">
                  <c:v>68813626514146.727</c:v>
                </c:pt>
                <c:pt idx="9">
                  <c:v>65530634442336.383</c:v>
                </c:pt>
                <c:pt idx="10">
                  <c:v>62413213499771.117</c:v>
                </c:pt>
                <c:pt idx="11">
                  <c:v>59452577317136.195</c:v>
                </c:pt>
                <c:pt idx="12">
                  <c:v>56640428255109.063</c:v>
                </c:pt>
                <c:pt idx="13">
                  <c:v>53968929002874.234</c:v>
                </c:pt>
                <c:pt idx="14">
                  <c:v>51430675896133.563</c:v>
                </c:pt>
                <c:pt idx="15">
                  <c:v>49018673846419.883</c:v>
                </c:pt>
                <c:pt idx="16">
                  <c:v>46726312780591.219</c:v>
                </c:pt>
                <c:pt idx="17">
                  <c:v>44547345495949.055</c:v>
                </c:pt>
                <c:pt idx="18">
                  <c:v>42475866842584.445</c:v>
                </c:pt>
                <c:pt idx="19">
                  <c:v>40506294150256.945</c:v>
                </c:pt>
                <c:pt idx="20">
                  <c:v>38633348822475.703</c:v>
                </c:pt>
                <c:pt idx="21">
                  <c:v>36852039025427.352</c:v>
                </c:pt>
                <c:pt idx="22">
                  <c:v>35157643404040.473</c:v>
                </c:pt>
                <c:pt idx="23">
                  <c:v>33545695761838.301</c:v>
                </c:pt>
                <c:pt idx="24">
                  <c:v>32011970645264.883</c:v>
                </c:pt>
                <c:pt idx="25">
                  <c:v>30552469776970.207</c:v>
                </c:pt>
                <c:pt idx="26">
                  <c:v>29163409286068.105</c:v>
                </c:pt>
                <c:pt idx="27">
                  <c:v>27841207686686.723</c:v>
                </c:pt>
                <c:pt idx="28">
                  <c:v>26582474559211.508</c:v>
                </c:pt>
                <c:pt idx="29">
                  <c:v>25383999891512.547</c:v>
                </c:pt>
                <c:pt idx="30">
                  <c:v>24242744040130.563</c:v>
                </c:pt>
                <c:pt idx="31">
                  <c:v>23155828273923.426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13-4319-AFD6-83F3DD9A3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5579807"/>
        <c:axId val="1485580767"/>
      </c:scatterChart>
      <c:valAx>
        <c:axId val="1485579807"/>
        <c:scaling>
          <c:orientation val="minMax"/>
          <c:max val="43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580767"/>
        <c:crosses val="autoZero"/>
        <c:crossBetween val="midCat"/>
      </c:valAx>
      <c:valAx>
        <c:axId val="148558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579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CII (&lt;0.7:</a:t>
            </a:r>
            <a:r>
              <a:rPr lang="en-US" b="1" baseline="0"/>
              <a:t> Stable, &gt; 0.9 Unstable by TLC IP 469)</a:t>
            </a:r>
            <a:r>
              <a:rPr lang="en-US" b="1"/>
              <a:t> </a:t>
            </a:r>
          </a:p>
        </c:rich>
      </c:tx>
      <c:layout>
        <c:manualLayout>
          <c:xMode val="edge"/>
          <c:yMode val="edge"/>
          <c:x val="0.40969353007945514"/>
          <c:y val="4.12371134020618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40889658360316"/>
          <c:y val="0.19611413336704986"/>
          <c:w val="0.68274178989290646"/>
          <c:h val="0.65890051043486697"/>
        </c:manualLayout>
      </c:layout>
      <c:scatterChart>
        <c:scatterStyle val="smoothMarker"/>
        <c:varyColors val="0"/>
        <c:ser>
          <c:idx val="0"/>
          <c:order val="0"/>
          <c:tx>
            <c:v>CII HPS_Commissioing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'HPS DAILY'!$P$6:$V$6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'HPS DAILY'!$P$124:$V$124</c:f>
              <c:numCache>
                <c:formatCode>0.00</c:formatCode>
                <c:ptCount val="7"/>
                <c:pt idx="0">
                  <c:v>0.24902700000000011</c:v>
                </c:pt>
                <c:pt idx="1">
                  <c:v>0.26087999999999995</c:v>
                </c:pt>
                <c:pt idx="2">
                  <c:v>0.27664</c:v>
                </c:pt>
                <c:pt idx="3">
                  <c:v>0.29554999999999998</c:v>
                </c:pt>
                <c:pt idx="4">
                  <c:v>0.29115999999999997</c:v>
                </c:pt>
                <c:pt idx="5">
                  <c:v>0.2846499999999999</c:v>
                </c:pt>
                <c:pt idx="6">
                  <c:v>0.28665000000000007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6827-4D75-B83E-A953CEE81114}"/>
            </c:ext>
          </c:extLst>
        </c:ser>
        <c:ser>
          <c:idx val="2"/>
          <c:order val="2"/>
          <c:tx>
            <c:v>CII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'HPS DAILY'!$K$6:$Z$6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'HPS DAILY'!$K$79:$Z$79</c:f>
              <c:numCache>
                <c:formatCode>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FA-4107-B048-2316E46A9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496688"/>
        <c:axId val="1201497168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CII VR Feed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'HPS DAILY'!$O$119:$Y$119</c15:sqref>
                        </c15:formulaRef>
                      </c:ext>
                    </c:extLst>
                    <c:numCache>
                      <c:formatCode>General</c:formatCode>
                      <c:ptCount val="11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'HPS DAILY'!$O$124:$Y$124</c15:sqref>
                        </c15:formulaRef>
                      </c:ext>
                    </c:extLst>
                    <c:numCache>
                      <c:formatCode>0.00</c:formatCode>
                      <c:ptCount val="11"/>
                      <c:pt idx="0" formatCode="General">
                        <c:v>0</c:v>
                      </c:pt>
                      <c:pt idx="1">
                        <c:v>0.24902700000000011</c:v>
                      </c:pt>
                      <c:pt idx="2">
                        <c:v>0.26087999999999995</c:v>
                      </c:pt>
                      <c:pt idx="3">
                        <c:v>0.27664</c:v>
                      </c:pt>
                      <c:pt idx="4">
                        <c:v>0.29554999999999998</c:v>
                      </c:pt>
                      <c:pt idx="5">
                        <c:v>0.29115999999999997</c:v>
                      </c:pt>
                      <c:pt idx="6">
                        <c:v>0.2846499999999999</c:v>
                      </c:pt>
                      <c:pt idx="7">
                        <c:v>0.28665000000000007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10-6827-4D75-B83E-A953CEE81114}"/>
                  </c:ext>
                </c:extLst>
              </c15:ser>
            </c15:filteredScatterSeries>
          </c:ext>
        </c:extLst>
      </c:scatterChart>
      <c:valAx>
        <c:axId val="1201496688"/>
        <c:scaling>
          <c:orientation val="minMax"/>
          <c:max val="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Day on stream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7168"/>
        <c:crosses val="autoZero"/>
        <c:crossBetween val="midCat"/>
        <c:majorUnit val="1"/>
      </c:valAx>
      <c:valAx>
        <c:axId val="120149716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6688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181644138930387"/>
          <c:y val="0.43149626040491162"/>
          <c:w val="0.18620816814211766"/>
          <c:h val="0.116798353703132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SARA by TLC</a:t>
            </a:r>
            <a:r>
              <a:rPr lang="en-US" b="1" baseline="0"/>
              <a:t> FID (IP 469)</a:t>
            </a:r>
            <a:endParaRPr lang="en-US" b="1"/>
          </a:p>
        </c:rich>
      </c:tx>
      <c:layout>
        <c:manualLayout>
          <c:xMode val="edge"/>
          <c:yMode val="edge"/>
          <c:x val="0.40969353007945514"/>
          <c:y val="4.12371134020618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40889658360316"/>
          <c:y val="0.19611413336704986"/>
          <c:w val="0.68274178989290646"/>
          <c:h val="0.65890051043486697"/>
        </c:manualLayout>
      </c:layout>
      <c:scatterChart>
        <c:scatterStyle val="smoothMarker"/>
        <c:varyColors val="0"/>
        <c:ser>
          <c:idx val="1"/>
          <c:order val="0"/>
          <c:tx>
            <c:v>Saturates in HPS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dLbls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A04-4E32-99E0-BE938A97A8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'HPS DAILY'!$K$6:$Z$6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'HPS DAILY'!$K$75:$Z$75</c:f>
              <c:numCache>
                <c:formatCode>General</c:formatCode>
                <c:ptCount val="1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A04-4E32-99E0-BE938A97A8E8}"/>
            </c:ext>
          </c:extLst>
        </c:ser>
        <c:ser>
          <c:idx val="5"/>
          <c:order val="1"/>
          <c:tx>
            <c:v>Aromatics in HPS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dLbls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A04-4E32-99E0-BE938A97A8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'HPS DAILY'!$K$6:$Z$6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'HPS DAILY'!$K$76:$Z$76</c:f>
              <c:numCache>
                <c:formatCode>General</c:formatCode>
                <c:ptCount val="16"/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3-AA04-4E32-99E0-BE938A97A8E8}"/>
            </c:ext>
          </c:extLst>
        </c:ser>
        <c:ser>
          <c:idx val="3"/>
          <c:order val="5"/>
          <c:tx>
            <c:v>Asphaltenes in HPS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'HPS DAILY'!$K$6:$Z$6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'HPS DAILY'!$K$78:$Z$78</c:f>
              <c:numCache>
                <c:formatCode>General</c:formatCode>
                <c:ptCount val="1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A04-4E32-99E0-BE938A97A8E8}"/>
            </c:ext>
          </c:extLst>
        </c:ser>
        <c:ser>
          <c:idx val="2"/>
          <c:order val="6"/>
          <c:tx>
            <c:v>Resins in HPS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'HPS DAILY'!$K$6:$Z$6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'HPS DAILY'!$K$77:$Z$77</c:f>
              <c:numCache>
                <c:formatCode>0.0</c:formatCode>
                <c:ptCount val="1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AA04-4E32-99E0-BE938A97A8E8}"/>
            </c:ext>
          </c:extLst>
        </c:ser>
        <c:ser>
          <c:idx val="8"/>
          <c:order val="8"/>
          <c:tx>
            <c:v>Aromatics in HPS_Com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>
                  <a:lumMod val="95000"/>
                  <a:lumOff val="5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'HPS DAILY'!$P$6:$V$6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'HPS DAILY'!$P$121:$V$121</c:f>
              <c:numCache>
                <c:formatCode>General</c:formatCode>
                <c:ptCount val="7"/>
                <c:pt idx="0">
                  <c:v>76.599999999999994</c:v>
                </c:pt>
                <c:pt idx="1">
                  <c:v>72.3</c:v>
                </c:pt>
                <c:pt idx="2">
                  <c:v>68.400000000000006</c:v>
                </c:pt>
                <c:pt idx="3">
                  <c:v>68.2</c:v>
                </c:pt>
                <c:pt idx="4">
                  <c:v>66.599999999999994</c:v>
                </c:pt>
                <c:pt idx="5">
                  <c:v>68.7</c:v>
                </c:pt>
                <c:pt idx="6">
                  <c:v>69.7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DC-4317-B3FE-957E4A63D405}"/>
            </c:ext>
          </c:extLst>
        </c:ser>
        <c:ser>
          <c:idx val="9"/>
          <c:order val="9"/>
          <c:tx>
            <c:v>Asphaltene in HPS_Com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'HPS DAILY'!$P$6:$V$6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'HPS DAILY'!$P$123:$V$123</c:f>
              <c:numCache>
                <c:formatCode>General</c:formatCode>
                <c:ptCount val="7"/>
                <c:pt idx="0">
                  <c:v>4.7</c:v>
                </c:pt>
                <c:pt idx="1">
                  <c:v>4.5999999999999996</c:v>
                </c:pt>
                <c:pt idx="2">
                  <c:v>6.7</c:v>
                </c:pt>
                <c:pt idx="3">
                  <c:v>7</c:v>
                </c:pt>
                <c:pt idx="4">
                  <c:v>10.3</c:v>
                </c:pt>
                <c:pt idx="5">
                  <c:v>8.3000000000000007</c:v>
                </c:pt>
                <c:pt idx="6">
                  <c:v>8.1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5DC-4317-B3FE-957E4A63D405}"/>
            </c:ext>
          </c:extLst>
        </c:ser>
        <c:ser>
          <c:idx val="10"/>
          <c:order val="10"/>
          <c:tx>
            <c:v>Saturates in HPS_Com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3333FF"/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'HPS DAILY'!$P$6:$V$6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'HPS DAILY'!$P$120:$V$120</c:f>
              <c:numCache>
                <c:formatCode>General</c:formatCode>
                <c:ptCount val="7"/>
                <c:pt idx="0">
                  <c:v>18.8</c:v>
                </c:pt>
                <c:pt idx="1">
                  <c:v>18.399999999999999</c:v>
                </c:pt>
                <c:pt idx="2">
                  <c:v>19.399999999999999</c:v>
                </c:pt>
                <c:pt idx="3">
                  <c:v>17.399999999999999</c:v>
                </c:pt>
                <c:pt idx="4">
                  <c:v>15.7</c:v>
                </c:pt>
                <c:pt idx="5">
                  <c:v>13.8</c:v>
                </c:pt>
                <c:pt idx="6">
                  <c:v>13.5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5DC-4317-B3FE-957E4A63D405}"/>
            </c:ext>
          </c:extLst>
        </c:ser>
        <c:ser>
          <c:idx val="11"/>
          <c:order val="11"/>
          <c:tx>
            <c:v>Resin in HPS_Com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00B050"/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'HPS DAILY'!$P$6:$V$6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'HPS DAILY'!$P$122:$V$122</c:f>
              <c:numCache>
                <c:formatCode>0.0</c:formatCode>
                <c:ptCount val="7"/>
                <c:pt idx="0">
                  <c:v>0</c:v>
                </c:pt>
                <c:pt idx="1">
                  <c:v>4.7</c:v>
                </c:pt>
                <c:pt idx="2">
                  <c:v>5.6</c:v>
                </c:pt>
                <c:pt idx="3">
                  <c:v>7.5</c:v>
                </c:pt>
                <c:pt idx="4">
                  <c:v>7.4</c:v>
                </c:pt>
                <c:pt idx="5">
                  <c:v>9.1999999999999993</c:v>
                </c:pt>
                <c:pt idx="6">
                  <c:v>8.6999999999999993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5DC-4317-B3FE-957E4A63D405}"/>
            </c:ext>
          </c:extLst>
        </c:ser>
        <c:ser>
          <c:idx val="12"/>
          <c:order val="12"/>
          <c:tx>
            <c:strRef>
              <c:f>CII!$P$8:$P$9</c:f>
              <c:strCache>
                <c:ptCount val="1"/>
                <c:pt idx="0">
                  <c:v>4.5 4.5</c:v>
                </c:pt>
              </c:strCache>
            </c:strRef>
          </c:tx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CII!$P$8:$P$9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CII!$Q$8:$Q$9</c:f>
              <c:numCache>
                <c:formatCode>General</c:formatCode>
                <c:ptCount val="2"/>
                <c:pt idx="0">
                  <c:v>-5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5DC-4317-B3FE-957E4A63D405}"/>
            </c:ext>
          </c:extLst>
        </c:ser>
        <c:ser>
          <c:idx val="13"/>
          <c:order val="13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CII!$P$11:$P$12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CII!$Q$11:$Q$12</c:f>
              <c:numCache>
                <c:formatCode>General</c:formatCode>
                <c:ptCount val="2"/>
                <c:pt idx="0">
                  <c:v>-5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5DC-4317-B3FE-957E4A63D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496688"/>
        <c:axId val="1201497168"/>
        <c:extLst>
          <c:ext xmlns:c15="http://schemas.microsoft.com/office/drawing/2012/chart" uri="{02D57815-91ED-43cb-92C2-25804820EDAC}">
            <c15:filteredScatterSeries>
              <c15:ser>
                <c:idx val="7"/>
                <c:order val="2"/>
                <c:tx>
                  <c:v>Asphaltenes in VR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3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AA04-4E32-99E0-BE938A97A8E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Lit>
                    <c:formatCode>General</c:formatCode>
                    <c:ptCount val="11"/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</c:numLit>
                </c:xVal>
                <c:yVal>
                  <c:numLit>
                    <c:formatCode>General</c:formatCode>
                    <c:ptCount val="11"/>
                    <c:pt idx="1">
                      <c:v>31.6</c:v>
                    </c:pt>
                    <c:pt idx="2">
                      <c:v>31.6</c:v>
                    </c:pt>
                    <c:pt idx="3">
                      <c:v>31.6</c:v>
                    </c:pt>
                    <c:pt idx="4">
                      <c:v>31.6</c:v>
                    </c:pt>
                    <c:pt idx="5">
                      <c:v>31.6</c:v>
                    </c:pt>
                    <c:pt idx="6">
                      <c:v>31.6</c:v>
                    </c:pt>
                  </c:numLit>
                </c:yVal>
                <c:smooth val="1"/>
                <c:extLst>
                  <c:ext xmlns:c16="http://schemas.microsoft.com/office/drawing/2014/chart" uri="{C3380CC4-5D6E-409C-BE32-E72D297353CC}">
                    <c16:uniqueId val="{00000005-AA04-4E32-99E0-BE938A97A8E8}"/>
                  </c:ext>
                </c:extLst>
              </c15:ser>
            </c15:filteredScatterSeries>
            <c15:filteredScatterSeries>
              <c15:ser>
                <c:idx val="6"/>
                <c:order val="3"/>
                <c:tx>
                  <c:v>Resin in VR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3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6-AA04-4E32-99E0-BE938A97A8E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Lit>
                    <c:formatCode>General</c:formatCode>
                    <c:ptCount val="11"/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</c:numLit>
                </c:xVal>
                <c:yVal>
                  <c:numLit>
                    <c:formatCode>General</c:formatCode>
                    <c:ptCount val="11"/>
                    <c:pt idx="1">
                      <c:v>24.4</c:v>
                    </c:pt>
                    <c:pt idx="2">
                      <c:v>24.4</c:v>
                    </c:pt>
                    <c:pt idx="3">
                      <c:v>24.4</c:v>
                    </c:pt>
                    <c:pt idx="4">
                      <c:v>24.4</c:v>
                    </c:pt>
                    <c:pt idx="5">
                      <c:v>24.4</c:v>
                    </c:pt>
                    <c:pt idx="6">
                      <c:v>24.4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A04-4E32-99E0-BE938A97A8E8}"/>
                  </c:ext>
                </c:extLst>
              </c15:ser>
            </c15:filteredScatterSeries>
            <c15:filteredScatterSeries>
              <c15:ser>
                <c:idx val="0"/>
                <c:order val="4"/>
                <c:tx>
                  <c:v>Saturates in HPS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5"/>
                  <c:spPr>
                    <a:solidFill>
                      <a:srgbClr val="2D0DA3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Lbl>
                    <c:idx val="3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8-AA04-4E32-99E0-BE938A97A8E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Lit>
                    <c:formatCode>General</c:formatCode>
                    <c:ptCount val="11"/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</c:numLit>
                </c:xVal>
                <c:yVal>
                  <c:numLit>
                    <c:formatCode>General</c:formatCode>
                    <c:ptCount val="11"/>
                    <c:pt idx="0">
                      <c:v>18.8</c:v>
                    </c:pt>
                    <c:pt idx="1">
                      <c:v>18.399999999999999</c:v>
                    </c:pt>
                    <c:pt idx="2">
                      <c:v>19.399999999999999</c:v>
                    </c:pt>
                    <c:pt idx="3">
                      <c:v>17.399999999999999</c:v>
                    </c:pt>
                    <c:pt idx="4">
                      <c:v>15.7</c:v>
                    </c:pt>
                    <c:pt idx="5">
                      <c:v>13.8</c:v>
                    </c:pt>
                    <c:pt idx="6">
                      <c:v>13.5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A04-4E32-99E0-BE938A97A8E8}"/>
                  </c:ext>
                </c:extLst>
              </c15:ser>
            </c15:filteredScatterSeries>
            <c15:filteredScatterSeries>
              <c15:ser>
                <c:idx val="4"/>
                <c:order val="7"/>
                <c:tx>
                  <c:v>Saturates in VR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3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D-AA04-4E32-99E0-BE938A97A8E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Lit>
                    <c:formatCode>General</c:formatCode>
                    <c:ptCount val="11"/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</c:numLit>
                </c:xVal>
                <c:yVal>
                  <c:numLit>
                    <c:formatCode>General</c:formatCode>
                    <c:ptCount val="11"/>
                    <c:pt idx="1">
                      <c:v>2.2999999999999998</c:v>
                    </c:pt>
                    <c:pt idx="2">
                      <c:v>2.2999999999999998</c:v>
                    </c:pt>
                    <c:pt idx="3">
                      <c:v>2.2999999999999998</c:v>
                    </c:pt>
                    <c:pt idx="4">
                      <c:v>2.2999999999999998</c:v>
                    </c:pt>
                    <c:pt idx="5">
                      <c:v>2.2999999999999998</c:v>
                    </c:pt>
                    <c:pt idx="6">
                      <c:v>2.2999999999999998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AA04-4E32-99E0-BE938A97A8E8}"/>
                  </c:ext>
                </c:extLst>
              </c15:ser>
            </c15:filteredScatterSeries>
          </c:ext>
        </c:extLst>
      </c:scatterChart>
      <c:valAx>
        <c:axId val="1201496688"/>
        <c:scaling>
          <c:orientation val="minMax"/>
          <c:max val="1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Day on stream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7168"/>
        <c:crosses val="autoZero"/>
        <c:crossBetween val="midCat"/>
        <c:majorUnit val="1"/>
      </c:valAx>
      <c:valAx>
        <c:axId val="1201497168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%wt</a:t>
                </a:r>
                <a:r>
                  <a:rPr lang="en-US" sz="1800" b="1" baseline="0"/>
                  <a:t> </a:t>
                </a:r>
                <a:endParaRPr lang="en-US" sz="1800" b="1"/>
              </a:p>
            </c:rich>
          </c:tx>
          <c:layout>
            <c:manualLayout>
              <c:xMode val="edge"/>
              <c:yMode val="edge"/>
              <c:x val="3.16868596563794E-2"/>
              <c:y val="0.391218639114354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6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83242736490766489"/>
          <c:y val="0.15641455202609833"/>
          <c:w val="0.16757278168118189"/>
          <c:h val="0.635445493319448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SARA by TLC</a:t>
            </a:r>
            <a:r>
              <a:rPr lang="en-US" b="1" baseline="0"/>
              <a:t> FID (IP 469)</a:t>
            </a:r>
            <a:endParaRPr lang="en-US" b="1"/>
          </a:p>
        </c:rich>
      </c:tx>
      <c:layout>
        <c:manualLayout>
          <c:xMode val="edge"/>
          <c:yMode val="edge"/>
          <c:x val="0.40969353007945514"/>
          <c:y val="4.12371134020618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40889658360316"/>
          <c:y val="0.19611413336704986"/>
          <c:w val="0.68274178989290646"/>
          <c:h val="0.65890051043486697"/>
        </c:manualLayout>
      </c:layout>
      <c:scatterChart>
        <c:scatterStyle val="smoothMarker"/>
        <c:varyColors val="0"/>
        <c:ser>
          <c:idx val="1"/>
          <c:order val="0"/>
          <c:tx>
            <c:v>Aromatics in HPS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2D0DA3"/>
              </a:solidFill>
              <a:ln w="9525">
                <a:noFill/>
              </a:ln>
              <a:effectLst/>
            </c:spPr>
          </c:marker>
          <c:dLbls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086-434D-B7D0-8E4044FEFB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Lit>
              <c:formatCode>General</c:formatCode>
              <c:ptCount val="11"/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11"/>
              <c:pt idx="0">
                <c:v>76.599999999999994</c:v>
              </c:pt>
              <c:pt idx="1">
                <c:v>72.3</c:v>
              </c:pt>
              <c:pt idx="2">
                <c:v>68.400000000000006</c:v>
              </c:pt>
              <c:pt idx="3">
                <c:v>68.2</c:v>
              </c:pt>
              <c:pt idx="4">
                <c:v>66.599999999999994</c:v>
              </c:pt>
              <c:pt idx="5">
                <c:v>68.7</c:v>
              </c:pt>
              <c:pt idx="6">
                <c:v>69.7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5086-434D-B7D0-8E4044FEFB2D}"/>
            </c:ext>
          </c:extLst>
        </c:ser>
        <c:ser>
          <c:idx val="0"/>
          <c:order val="4"/>
          <c:tx>
            <c:v>Saturates in HPS</c:v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rgbClr val="2D0DA3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086-434D-B7D0-8E4044FEFB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Lit>
              <c:formatCode>General</c:formatCode>
              <c:ptCount val="11"/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11"/>
              <c:pt idx="0">
                <c:v>18.8</c:v>
              </c:pt>
              <c:pt idx="1">
                <c:v>18.399999999999999</c:v>
              </c:pt>
              <c:pt idx="2">
                <c:v>19.399999999999999</c:v>
              </c:pt>
              <c:pt idx="3">
                <c:v>17.399999999999999</c:v>
              </c:pt>
              <c:pt idx="4">
                <c:v>15.7</c:v>
              </c:pt>
              <c:pt idx="5">
                <c:v>13.8</c:v>
              </c:pt>
              <c:pt idx="6">
                <c:v>13.5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9-5086-434D-B7D0-8E4044FEF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496688"/>
        <c:axId val="1201497168"/>
        <c:extLst>
          <c:ext xmlns:c15="http://schemas.microsoft.com/office/drawing/2012/chart" uri="{02D57815-91ED-43cb-92C2-25804820EDAC}">
            <c15:filteredScatterSeries>
              <c15:ser>
                <c:idx val="5"/>
                <c:order val="1"/>
                <c:tx>
                  <c:v>Aromatics in VR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7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3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5086-434D-B7D0-8E4044FEFB2D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Lit>
                    <c:formatCode>General</c:formatCode>
                    <c:ptCount val="11"/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</c:numLit>
                </c:xVal>
                <c:yVal>
                  <c:numLit>
                    <c:formatCode>General</c:formatCode>
                    <c:ptCount val="11"/>
                    <c:pt idx="1">
                      <c:v>41.8</c:v>
                    </c:pt>
                    <c:pt idx="2">
                      <c:v>41.8</c:v>
                    </c:pt>
                    <c:pt idx="3">
                      <c:v>41.8</c:v>
                    </c:pt>
                    <c:pt idx="4">
                      <c:v>41.8</c:v>
                    </c:pt>
                    <c:pt idx="5">
                      <c:v>41.8</c:v>
                    </c:pt>
                    <c:pt idx="6">
                      <c:v>41.8</c:v>
                    </c:pt>
                  </c:numLit>
                </c:yVal>
                <c:smooth val="1"/>
                <c:extLst>
                  <c:ext xmlns:c16="http://schemas.microsoft.com/office/drawing/2014/chart" uri="{C3380CC4-5D6E-409C-BE32-E72D297353CC}">
                    <c16:uniqueId val="{00000003-5086-434D-B7D0-8E4044FEFB2D}"/>
                  </c:ext>
                </c:extLst>
              </c15:ser>
            </c15:filteredScatterSeries>
            <c15:filteredScatterSeries>
              <c15:ser>
                <c:idx val="7"/>
                <c:order val="2"/>
                <c:tx>
                  <c:v>Asphaltenes in VR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3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4-5086-434D-B7D0-8E4044FEFB2D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Lit>
                    <c:formatCode>General</c:formatCode>
                    <c:ptCount val="11"/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</c:numLit>
                </c:xVal>
                <c:yVal>
                  <c:numLit>
                    <c:formatCode>General</c:formatCode>
                    <c:ptCount val="11"/>
                    <c:pt idx="1">
                      <c:v>31.6</c:v>
                    </c:pt>
                    <c:pt idx="2">
                      <c:v>31.6</c:v>
                    </c:pt>
                    <c:pt idx="3">
                      <c:v>31.6</c:v>
                    </c:pt>
                    <c:pt idx="4">
                      <c:v>31.6</c:v>
                    </c:pt>
                    <c:pt idx="5">
                      <c:v>31.6</c:v>
                    </c:pt>
                    <c:pt idx="6">
                      <c:v>31.6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086-434D-B7D0-8E4044FEFB2D}"/>
                  </c:ext>
                </c:extLst>
              </c15:ser>
            </c15:filteredScatterSeries>
            <c15:filteredScatterSeries>
              <c15:ser>
                <c:idx val="6"/>
                <c:order val="3"/>
                <c:tx>
                  <c:v>Resin in VR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3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6-5086-434D-B7D0-8E4044FEFB2D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Lit>
                    <c:formatCode>General</c:formatCode>
                    <c:ptCount val="11"/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</c:numLit>
                </c:xVal>
                <c:yVal>
                  <c:numLit>
                    <c:formatCode>General</c:formatCode>
                    <c:ptCount val="11"/>
                    <c:pt idx="1">
                      <c:v>24.4</c:v>
                    </c:pt>
                    <c:pt idx="2">
                      <c:v>24.4</c:v>
                    </c:pt>
                    <c:pt idx="3">
                      <c:v>24.4</c:v>
                    </c:pt>
                    <c:pt idx="4">
                      <c:v>24.4</c:v>
                    </c:pt>
                    <c:pt idx="5">
                      <c:v>24.4</c:v>
                    </c:pt>
                    <c:pt idx="6">
                      <c:v>24.4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086-434D-B7D0-8E4044FEFB2D}"/>
                  </c:ext>
                </c:extLst>
              </c15:ser>
            </c15:filteredScatterSeries>
            <c15:filteredScatterSeries>
              <c15:ser>
                <c:idx val="3"/>
                <c:order val="5"/>
                <c:tx>
                  <c:v>Asphaltenes in HPS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2D0DA3"/>
                    </a:solidFill>
                    <a:ln w="9525">
                      <a:noFill/>
                    </a:ln>
                    <a:effectLst/>
                  </c:spPr>
                </c:marker>
                <c:xVal>
                  <c:numLit>
                    <c:formatCode>General</c:formatCode>
                    <c:ptCount val="11"/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</c:numLit>
                </c:xVal>
                <c:yVal>
                  <c:numLit>
                    <c:formatCode>General</c:formatCode>
                    <c:ptCount val="11"/>
                    <c:pt idx="0">
                      <c:v>4.7</c:v>
                    </c:pt>
                    <c:pt idx="1">
                      <c:v>4.5999999999999996</c:v>
                    </c:pt>
                    <c:pt idx="2">
                      <c:v>6.7</c:v>
                    </c:pt>
                    <c:pt idx="3">
                      <c:v>7</c:v>
                    </c:pt>
                    <c:pt idx="4">
                      <c:v>10.3</c:v>
                    </c:pt>
                    <c:pt idx="5">
                      <c:v>8.3000000000000007</c:v>
                    </c:pt>
                    <c:pt idx="6">
                      <c:v>8.1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5086-434D-B7D0-8E4044FEFB2D}"/>
                  </c:ext>
                </c:extLst>
              </c15:ser>
            </c15:filteredScatterSeries>
            <c15:filteredScatterSeries>
              <c15:ser>
                <c:idx val="2"/>
                <c:order val="6"/>
                <c:tx>
                  <c:v>Resins in HPS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rgbClr val="2D0DA3"/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3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B-5086-434D-B7D0-8E4044FEFB2D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Lit>
                    <c:formatCode>General</c:formatCode>
                    <c:ptCount val="11"/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</c:numLit>
                </c:xVal>
                <c:yVal>
                  <c:numLit>
                    <c:formatCode>General</c:formatCode>
                    <c:ptCount val="11"/>
                    <c:pt idx="0">
                      <c:v>0</c:v>
                    </c:pt>
                    <c:pt idx="1">
                      <c:v>4.7</c:v>
                    </c:pt>
                    <c:pt idx="2">
                      <c:v>5.6</c:v>
                    </c:pt>
                    <c:pt idx="3">
                      <c:v>7.5</c:v>
                    </c:pt>
                    <c:pt idx="4">
                      <c:v>7.4</c:v>
                    </c:pt>
                    <c:pt idx="5">
                      <c:v>9.1999999999999993</c:v>
                    </c:pt>
                    <c:pt idx="6">
                      <c:v>8.6999999999999993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5086-434D-B7D0-8E4044FEFB2D}"/>
                  </c:ext>
                </c:extLst>
              </c15:ser>
            </c15:filteredScatterSeries>
            <c15:filteredScatterSeries>
              <c15:ser>
                <c:idx val="4"/>
                <c:order val="7"/>
                <c:tx>
                  <c:v>Saturates in VR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3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D-5086-434D-B7D0-8E4044FEFB2D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Lit>
                    <c:formatCode>General</c:formatCode>
                    <c:ptCount val="11"/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</c:numLit>
                </c:xVal>
                <c:yVal>
                  <c:numLit>
                    <c:formatCode>General</c:formatCode>
                    <c:ptCount val="11"/>
                    <c:pt idx="1">
                      <c:v>2.2999999999999998</c:v>
                    </c:pt>
                    <c:pt idx="2">
                      <c:v>2.2999999999999998</c:v>
                    </c:pt>
                    <c:pt idx="3">
                      <c:v>2.2999999999999998</c:v>
                    </c:pt>
                    <c:pt idx="4">
                      <c:v>2.2999999999999998</c:v>
                    </c:pt>
                    <c:pt idx="5">
                      <c:v>2.2999999999999998</c:v>
                    </c:pt>
                    <c:pt idx="6">
                      <c:v>2.2999999999999998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5086-434D-B7D0-8E4044FEFB2D}"/>
                  </c:ext>
                </c:extLst>
              </c15:ser>
            </c15:filteredScatterSeries>
          </c:ext>
        </c:extLst>
      </c:scatterChart>
      <c:valAx>
        <c:axId val="1201496688"/>
        <c:scaling>
          <c:orientation val="minMax"/>
          <c:max val="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Day on stream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7168"/>
        <c:crosses val="autoZero"/>
        <c:crossBetween val="midCat"/>
        <c:majorUnit val="1"/>
      </c:valAx>
      <c:valAx>
        <c:axId val="1201497168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%wt</a:t>
                </a:r>
                <a:r>
                  <a:rPr lang="en-US" b="1" baseline="0"/>
                  <a:t> 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3.16868596563794E-2"/>
              <c:y val="0.391218639114354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6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242736490766489"/>
          <c:y val="0.15641455202609833"/>
          <c:w val="0.15777574011541631"/>
          <c:h val="0.702086646400415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78325210952363"/>
          <c:y val="0.25328466513760584"/>
          <c:w val="0.77418349832696154"/>
          <c:h val="0.58405914437029727"/>
        </c:manualLayout>
      </c:layout>
      <c:scatterChart>
        <c:scatterStyle val="lineMarker"/>
        <c:varyColors val="0"/>
        <c:ser>
          <c:idx val="5"/>
          <c:order val="2"/>
          <c:tx>
            <c:v>V_TOP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chemeClr val="tx2">
                  <a:lumMod val="75000"/>
                  <a:lumOff val="2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Template'!$F$172:$U$172</c:f>
              <c:numCache>
                <c:formatCode>0.00</c:formatCode>
                <c:ptCount val="16"/>
                <c:pt idx="0">
                  <c:v>88.365956525370336</c:v>
                </c:pt>
                <c:pt idx="1">
                  <c:v>87.291811879994228</c:v>
                </c:pt>
                <c:pt idx="2">
                  <c:v>83.972230418852888</c:v>
                </c:pt>
                <c:pt idx="3">
                  <c:v>84.065216870895796</c:v>
                </c:pt>
                <c:pt idx="4">
                  <c:v>99.738730013766016</c:v>
                </c:pt>
                <c:pt idx="5">
                  <c:v>99.694359320154177</c:v>
                </c:pt>
                <c:pt idx="6">
                  <c:v>99.535600224715751</c:v>
                </c:pt>
                <c:pt idx="7">
                  <c:v>99.351538265392492</c:v>
                </c:pt>
                <c:pt idx="8">
                  <c:v>98.98818030144102</c:v>
                </c:pt>
                <c:pt idx="9">
                  <c:v>98.951835366818557</c:v>
                </c:pt>
                <c:pt idx="10">
                  <c:v>98.706331490929699</c:v>
                </c:pt>
                <c:pt idx="11">
                  <c:v>98.736642037490199</c:v>
                </c:pt>
                <c:pt idx="12">
                  <c:v>98.575404959733333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B0A-4EE7-9EDE-0DD5C7F7BBAC}"/>
            </c:ext>
          </c:extLst>
        </c:ser>
        <c:ser>
          <c:idx val="6"/>
          <c:order val="3"/>
          <c:tx>
            <c:v>V_ART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Lit>
              <c:formatCode>General</c:formatCode>
              <c:ptCount val="4"/>
              <c:pt idx="0">
                <c:v>6</c:v>
              </c:pt>
              <c:pt idx="1">
                <c:v>8</c:v>
              </c:pt>
              <c:pt idx="2">
                <c:v>12</c:v>
              </c:pt>
              <c:pt idx="3">
                <c:v>14</c:v>
              </c:pt>
            </c:numLit>
          </c:xVal>
          <c:yVal>
            <c:numRef>
              <c:f>('Master Template'!$K$173,'Master Template'!$M$173,'Master Template'!$Q$173,'Master Template'!$S$173)</c:f>
              <c:numCache>
                <c:formatCode>0.00</c:formatCode>
                <c:ptCount val="4"/>
                <c:pt idx="0">
                  <c:v>98.2</c:v>
                </c:pt>
                <c:pt idx="1">
                  <c:v>97.8</c:v>
                </c:pt>
                <c:pt idx="2">
                  <c:v>94.4</c:v>
                </c:pt>
                <c:pt idx="3">
                  <c:v>95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9B0A-4EE7-9EDE-0DD5C7F7BBAC}"/>
            </c:ext>
          </c:extLst>
        </c:ser>
        <c:ser>
          <c:idx val="3"/>
          <c:order val="4"/>
          <c:tx>
            <c:v>Ni_TOP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1"/>
            <c:spPr>
              <a:solidFill>
                <a:srgbClr val="2D0DA3"/>
              </a:solidFill>
              <a:ln w="9525">
                <a:noFill/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Template'!$F$166:$U$166</c:f>
              <c:numCache>
                <c:formatCode>0.00</c:formatCode>
                <c:ptCount val="16"/>
                <c:pt idx="0">
                  <c:v>70.205740913664116</c:v>
                </c:pt>
                <c:pt idx="1">
                  <c:v>70.931587442575676</c:v>
                </c:pt>
                <c:pt idx="2">
                  <c:v>67.287729486705459</c:v>
                </c:pt>
                <c:pt idx="3">
                  <c:v>68.667837436712745</c:v>
                </c:pt>
                <c:pt idx="4">
                  <c:v>95.458451159462328</c:v>
                </c:pt>
                <c:pt idx="5">
                  <c:v>94.368397357724433</c:v>
                </c:pt>
                <c:pt idx="6">
                  <c:v>92.675146032917581</c:v>
                </c:pt>
                <c:pt idx="7">
                  <c:v>91.737268623248113</c:v>
                </c:pt>
                <c:pt idx="8">
                  <c:v>90.720493302188004</c:v>
                </c:pt>
                <c:pt idx="9">
                  <c:v>89.961645390444048</c:v>
                </c:pt>
                <c:pt idx="10">
                  <c:v>88.732310773517284</c:v>
                </c:pt>
                <c:pt idx="11">
                  <c:v>88.984914704384693</c:v>
                </c:pt>
                <c:pt idx="12">
                  <c:v>88.368595784930676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B0A-4EE7-9EDE-0DD5C7F7BBAC}"/>
            </c:ext>
          </c:extLst>
        </c:ser>
        <c:ser>
          <c:idx val="4"/>
          <c:order val="5"/>
          <c:tx>
            <c:v>Ni_ART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Lit>
              <c:formatCode>General</c:formatCode>
              <c:ptCount val="4"/>
              <c:pt idx="0">
                <c:v>6</c:v>
              </c:pt>
              <c:pt idx="1">
                <c:v>8</c:v>
              </c:pt>
              <c:pt idx="2">
                <c:v>12</c:v>
              </c:pt>
              <c:pt idx="3">
                <c:v>14</c:v>
              </c:pt>
            </c:numLit>
          </c:xVal>
          <c:yVal>
            <c:numRef>
              <c:f>('Master Template'!$K$167,'Master Template'!$M$167,'Master Template'!$Q$167,'Master Template'!$S$167)</c:f>
              <c:numCache>
                <c:formatCode>0.00</c:formatCode>
                <c:ptCount val="4"/>
                <c:pt idx="0">
                  <c:v>90.5</c:v>
                </c:pt>
                <c:pt idx="1">
                  <c:v>89</c:v>
                </c:pt>
                <c:pt idx="2">
                  <c:v>83.2</c:v>
                </c:pt>
                <c:pt idx="3">
                  <c:v>84.1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9B0A-4EE7-9EDE-0DD5C7F7BBAC}"/>
            </c:ext>
          </c:extLst>
        </c:ser>
        <c:ser>
          <c:idx val="2"/>
          <c:order val="8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MetConv_Ni_V!$G$47:$G$48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MetConv_Ni_V!$H$47:$H$48</c:f>
              <c:numCache>
                <c:formatCode>General</c:formatCode>
                <c:ptCount val="2"/>
                <c:pt idx="0">
                  <c:v>-5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BD-4E28-904C-72A52655BB3B}"/>
            </c:ext>
          </c:extLst>
        </c:ser>
        <c:ser>
          <c:idx val="9"/>
          <c:order val="9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MetConv_Ni_V!$G$50:$G$51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MetConv_Ni_V!$H$50:$H$51</c:f>
              <c:numCache>
                <c:formatCode>General</c:formatCode>
                <c:ptCount val="2"/>
                <c:pt idx="0">
                  <c:v>-5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BD-4E28-904C-72A52655B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7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Template'!$F$6:$L$6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Template'!$F$185:$L$185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84.090392001192257</c:v>
                      </c:pt>
                      <c:pt idx="1">
                        <c:v>83.440029681597395</c:v>
                      </c:pt>
                      <c:pt idx="2">
                        <c:v>80.044101931043414</c:v>
                      </c:pt>
                      <c:pt idx="3">
                        <c:v>80.440122836678171</c:v>
                      </c:pt>
                      <c:pt idx="4">
                        <c:v>98.714944276710753</c:v>
                      </c:pt>
                      <c:pt idx="5">
                        <c:v>98.420460100304993</c:v>
                      </c:pt>
                      <c:pt idx="6">
                        <c:v>97.894670885679375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9B0A-4EE7-9EDE-0DD5C7F7BBAC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Template'!$F$6:$L$6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Template'!$F$201:$L$201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88</c:v>
                      </c:pt>
                      <c:pt idx="1">
                        <c:v>84.3</c:v>
                      </c:pt>
                      <c:pt idx="2">
                        <c:v>82.5</c:v>
                      </c:pt>
                      <c:pt idx="3">
                        <c:v>81.2</c:v>
                      </c:pt>
                      <c:pt idx="4">
                        <c:v>97.6</c:v>
                      </c:pt>
                      <c:pt idx="5">
                        <c:v>97</c:v>
                      </c:pt>
                      <c:pt idx="6">
                        <c:v>96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B0A-4EE7-9EDE-0DD5C7F7BBAC}"/>
                  </c:ext>
                </c:extLst>
              </c15:ser>
            </c15:filteredScatterSeries>
            <c15:filteredScatterSeries>
              <c15:ser>
                <c:idx val="7"/>
                <c:order val="6"/>
                <c:tx>
                  <c:v>+5 absolute difference_Ni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9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MetConv_Ni_V!$V$12:$AA$12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MetConv_Ni_V!$V$16:$AA$16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27F2-450E-B1E4-6277627EF755}"/>
                  </c:ext>
                </c:extLst>
              </c15:ser>
            </c15:filteredScatterSeries>
            <c15:filteredScatterSeries>
              <c15:ser>
                <c:idx val="8"/>
                <c:order val="7"/>
                <c:tx>
                  <c:v>-5% absolute difference_Ni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MetConv_Ni_V!$V$12:$AA$12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MetConv_Ni_V!$V$17:$AA$17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7F2-450E-B1E4-6277627EF755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16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Day on stream</a:t>
                </a:r>
              </a:p>
            </c:rich>
          </c:tx>
          <c:layout>
            <c:manualLayout>
              <c:xMode val="edge"/>
              <c:yMode val="edge"/>
              <c:x val="0.43761128968496077"/>
              <c:y val="0.907502455267853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100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%wt Conversion</a:t>
                </a:r>
              </a:p>
            </c:rich>
          </c:tx>
          <c:layout>
            <c:manualLayout>
              <c:xMode val="edge"/>
              <c:yMode val="edge"/>
              <c:x val="5.0795376707640533E-2"/>
              <c:y val="0.393774858988087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alpha val="87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90639329434467164"/>
          <c:y val="0.28662853049994375"/>
          <c:w val="8.3228971904184226E-2"/>
          <c:h val="0.142589252785397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78325210952363"/>
          <c:y val="0.25328466513760584"/>
          <c:w val="0.79598068672667277"/>
          <c:h val="0.62404708638353756"/>
        </c:manualLayout>
      </c:layout>
      <c:scatterChart>
        <c:scatterStyle val="lineMarker"/>
        <c:varyColors val="0"/>
        <c:ser>
          <c:idx val="2"/>
          <c:order val="8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MetConv_Ni_V!$AA$47:$AA$48</c:f>
              <c:numCache>
                <c:formatCode>General</c:formatCode>
                <c:ptCount val="2"/>
                <c:pt idx="0">
                  <c:v>8.5</c:v>
                </c:pt>
                <c:pt idx="1">
                  <c:v>8.5</c:v>
                </c:pt>
              </c:numCache>
            </c:numRef>
          </c:xVal>
          <c:yVal>
            <c:numRef>
              <c:f>MetConv_Ni_V!$AB$47:$AB$48</c:f>
              <c:numCache>
                <c:formatCode>General</c:formatCode>
                <c:ptCount val="2"/>
                <c:pt idx="0">
                  <c:v>-5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6D-46E5-BCE6-72B1E6433D51}"/>
            </c:ext>
          </c:extLst>
        </c:ser>
        <c:ser>
          <c:idx val="9"/>
          <c:order val="9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MetConv_Ni_V!$AA$50:$AA$51</c:f>
              <c:numCache>
                <c:formatCode>General</c:formatCode>
                <c:ptCount val="2"/>
                <c:pt idx="0">
                  <c:v>21</c:v>
                </c:pt>
                <c:pt idx="1">
                  <c:v>21</c:v>
                </c:pt>
              </c:numCache>
            </c:numRef>
          </c:xVal>
          <c:yVal>
            <c:numRef>
              <c:f>MetConv_Ni_V!$AB$50:$AB$51</c:f>
              <c:numCache>
                <c:formatCode>General</c:formatCode>
                <c:ptCount val="2"/>
                <c:pt idx="0">
                  <c:v>-5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96D-46E5-BCE6-72B1E6433D51}"/>
            </c:ext>
          </c:extLst>
        </c:ser>
        <c:ser>
          <c:idx val="13"/>
          <c:order val="10"/>
          <c:tx>
            <c:v>MoC and Metal(Ni+V) Conversion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0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Template'!$F$189:$U$189</c:f>
              <c:numCache>
                <c:formatCode>0.00</c:formatCode>
                <c:ptCount val="16"/>
                <c:pt idx="0">
                  <c:v>1.101110946537847</c:v>
                </c:pt>
                <c:pt idx="1">
                  <c:v>2.199993382309855</c:v>
                </c:pt>
                <c:pt idx="2">
                  <c:v>3.3217922779380005</c:v>
                </c:pt>
                <c:pt idx="3">
                  <c:v>4.4140395432377089</c:v>
                </c:pt>
                <c:pt idx="4">
                  <c:v>5.9347621163913598</c:v>
                </c:pt>
                <c:pt idx="5">
                  <c:v>7.3953519708873845</c:v>
                </c:pt>
                <c:pt idx="6">
                  <c:v>8.8490911690147911</c:v>
                </c:pt>
                <c:pt idx="7">
                  <c:v>10.272184841602693</c:v>
                </c:pt>
                <c:pt idx="8">
                  <c:v>11.681401411890672</c:v>
                </c:pt>
                <c:pt idx="9">
                  <c:v>13.137048190576191</c:v>
                </c:pt>
                <c:pt idx="10">
                  <c:v>14.586797110592267</c:v>
                </c:pt>
                <c:pt idx="11">
                  <c:v>16.018798076879655</c:v>
                </c:pt>
                <c:pt idx="12">
                  <c:v>17.445457230436492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'Master Template'!$F$185:$U$185</c:f>
              <c:numCache>
                <c:formatCode>0.00</c:formatCode>
                <c:ptCount val="16"/>
                <c:pt idx="0">
                  <c:v>84.090392001192257</c:v>
                </c:pt>
                <c:pt idx="1">
                  <c:v>83.440029681597395</c:v>
                </c:pt>
                <c:pt idx="2">
                  <c:v>80.044101931043414</c:v>
                </c:pt>
                <c:pt idx="3">
                  <c:v>80.440122836678171</c:v>
                </c:pt>
                <c:pt idx="4">
                  <c:v>98.714944276710753</c:v>
                </c:pt>
                <c:pt idx="5">
                  <c:v>98.420460100304993</c:v>
                </c:pt>
                <c:pt idx="6">
                  <c:v>97.894670885679375</c:v>
                </c:pt>
                <c:pt idx="7">
                  <c:v>97.530306302927627</c:v>
                </c:pt>
                <c:pt idx="8">
                  <c:v>97.010659603283301</c:v>
                </c:pt>
                <c:pt idx="9">
                  <c:v>96.801501572099795</c:v>
                </c:pt>
                <c:pt idx="10">
                  <c:v>96.320678476450652</c:v>
                </c:pt>
                <c:pt idx="11">
                  <c:v>96.404158642104136</c:v>
                </c:pt>
                <c:pt idx="12">
                  <c:v>96.134072044355392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96D-46E5-BCE6-72B1E6433D51}"/>
            </c:ext>
          </c:extLst>
        </c:ser>
        <c:ser>
          <c:idx val="10"/>
          <c:order val="11"/>
          <c:tx>
            <c:v>MoC and S Conversion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1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xVal>
            <c:numRef>
              <c:f>'Master Template'!$F$189:$U$189</c:f>
              <c:numCache>
                <c:formatCode>0.00</c:formatCode>
                <c:ptCount val="16"/>
                <c:pt idx="0">
                  <c:v>1.101110946537847</c:v>
                </c:pt>
                <c:pt idx="1">
                  <c:v>2.199993382309855</c:v>
                </c:pt>
                <c:pt idx="2">
                  <c:v>3.3217922779380005</c:v>
                </c:pt>
                <c:pt idx="3">
                  <c:v>4.4140395432377089</c:v>
                </c:pt>
                <c:pt idx="4">
                  <c:v>5.9347621163913598</c:v>
                </c:pt>
                <c:pt idx="5">
                  <c:v>7.3953519708873845</c:v>
                </c:pt>
                <c:pt idx="6">
                  <c:v>8.8490911690147911</c:v>
                </c:pt>
                <c:pt idx="7">
                  <c:v>10.272184841602693</c:v>
                </c:pt>
                <c:pt idx="8">
                  <c:v>11.681401411890672</c:v>
                </c:pt>
                <c:pt idx="9">
                  <c:v>13.137048190576191</c:v>
                </c:pt>
                <c:pt idx="10">
                  <c:v>14.586797110592267</c:v>
                </c:pt>
                <c:pt idx="11">
                  <c:v>16.018798076879655</c:v>
                </c:pt>
                <c:pt idx="12">
                  <c:v>17.445457230436492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'Master Template'!$F$211:$U$211</c:f>
              <c:numCache>
                <c:formatCode>0.00</c:formatCode>
                <c:ptCount val="16"/>
                <c:pt idx="0">
                  <c:v>69.721114131735945</c:v>
                </c:pt>
                <c:pt idx="1">
                  <c:v>69.771809222142551</c:v>
                </c:pt>
                <c:pt idx="2">
                  <c:v>65.922034958745556</c:v>
                </c:pt>
                <c:pt idx="3">
                  <c:v>66.402544175827117</c:v>
                </c:pt>
                <c:pt idx="4">
                  <c:v>88.026117668562591</c:v>
                </c:pt>
                <c:pt idx="5">
                  <c:v>87.188491509400862</c:v>
                </c:pt>
                <c:pt idx="6">
                  <c:v>85.979058902118339</c:v>
                </c:pt>
                <c:pt idx="7">
                  <c:v>84.993673789191547</c:v>
                </c:pt>
                <c:pt idx="8">
                  <c:v>84.26128439793392</c:v>
                </c:pt>
                <c:pt idx="9">
                  <c:v>83.758194734907406</c:v>
                </c:pt>
                <c:pt idx="10">
                  <c:v>83.087048087569627</c:v>
                </c:pt>
                <c:pt idx="11">
                  <c:v>82.962508326538568</c:v>
                </c:pt>
                <c:pt idx="12">
                  <c:v>82.443809517519483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96D-46E5-BCE6-72B1E6433D51}"/>
            </c:ext>
          </c:extLst>
        </c:ser>
        <c:ser>
          <c:idx val="11"/>
          <c:order val="12"/>
          <c:spPr>
            <a:ln w="25400" cap="rnd">
              <a:noFill/>
              <a:round/>
            </a:ln>
            <a:effectLst/>
          </c:spPr>
          <c:marker>
            <c:symbol val="diamond"/>
            <c:size val="12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xVal>
            <c:numRef>
              <c:f>'Master Template'!$F$189:$U$189</c:f>
              <c:numCache>
                <c:formatCode>0.00</c:formatCode>
                <c:ptCount val="16"/>
                <c:pt idx="0">
                  <c:v>1.101110946537847</c:v>
                </c:pt>
                <c:pt idx="1">
                  <c:v>2.199993382309855</c:v>
                </c:pt>
                <c:pt idx="2">
                  <c:v>3.3217922779380005</c:v>
                </c:pt>
                <c:pt idx="3">
                  <c:v>4.4140395432377089</c:v>
                </c:pt>
                <c:pt idx="4">
                  <c:v>5.9347621163913598</c:v>
                </c:pt>
                <c:pt idx="5">
                  <c:v>7.3953519708873845</c:v>
                </c:pt>
                <c:pt idx="6">
                  <c:v>8.8490911690147911</c:v>
                </c:pt>
                <c:pt idx="7">
                  <c:v>10.272184841602693</c:v>
                </c:pt>
                <c:pt idx="8">
                  <c:v>11.681401411890672</c:v>
                </c:pt>
                <c:pt idx="9">
                  <c:v>13.137048190576191</c:v>
                </c:pt>
                <c:pt idx="10">
                  <c:v>14.586797110592267</c:v>
                </c:pt>
                <c:pt idx="11">
                  <c:v>16.018798076879655</c:v>
                </c:pt>
                <c:pt idx="12">
                  <c:v>17.445457230436492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'Master Template'!$F$211:$U$211</c:f>
              <c:numCache>
                <c:formatCode>0.00</c:formatCode>
                <c:ptCount val="16"/>
                <c:pt idx="0">
                  <c:v>69.721114131735945</c:v>
                </c:pt>
                <c:pt idx="1">
                  <c:v>69.771809222142551</c:v>
                </c:pt>
                <c:pt idx="2">
                  <c:v>65.922034958745556</c:v>
                </c:pt>
                <c:pt idx="3">
                  <c:v>66.402544175827117</c:v>
                </c:pt>
                <c:pt idx="4">
                  <c:v>88.026117668562591</c:v>
                </c:pt>
                <c:pt idx="5">
                  <c:v>87.188491509400862</c:v>
                </c:pt>
                <c:pt idx="6">
                  <c:v>85.979058902118339</c:v>
                </c:pt>
                <c:pt idx="7">
                  <c:v>84.993673789191547</c:v>
                </c:pt>
                <c:pt idx="8">
                  <c:v>84.26128439793392</c:v>
                </c:pt>
                <c:pt idx="9">
                  <c:v>83.758194734907406</c:v>
                </c:pt>
                <c:pt idx="10">
                  <c:v>83.087048087569627</c:v>
                </c:pt>
                <c:pt idx="11">
                  <c:v>82.962508326538568</c:v>
                </c:pt>
                <c:pt idx="12">
                  <c:v>82.443809517519483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96D-46E5-BCE6-72B1E6433D51}"/>
            </c:ext>
          </c:extLst>
        </c:ser>
        <c:ser>
          <c:idx val="14"/>
          <c:order val="13"/>
          <c:tx>
            <c:v>MoC on MCR Conversion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4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Template'!$F$189:$U$189</c:f>
              <c:numCache>
                <c:formatCode>0.00</c:formatCode>
                <c:ptCount val="16"/>
                <c:pt idx="0">
                  <c:v>1.101110946537847</c:v>
                </c:pt>
                <c:pt idx="1">
                  <c:v>2.199993382309855</c:v>
                </c:pt>
                <c:pt idx="2">
                  <c:v>3.3217922779380005</c:v>
                </c:pt>
                <c:pt idx="3">
                  <c:v>4.4140395432377089</c:v>
                </c:pt>
                <c:pt idx="4">
                  <c:v>5.9347621163913598</c:v>
                </c:pt>
                <c:pt idx="5">
                  <c:v>7.3953519708873845</c:v>
                </c:pt>
                <c:pt idx="6">
                  <c:v>8.8490911690147911</c:v>
                </c:pt>
                <c:pt idx="7">
                  <c:v>10.272184841602693</c:v>
                </c:pt>
                <c:pt idx="8">
                  <c:v>11.681401411890672</c:v>
                </c:pt>
                <c:pt idx="9">
                  <c:v>13.137048190576191</c:v>
                </c:pt>
                <c:pt idx="10">
                  <c:v>14.586797110592267</c:v>
                </c:pt>
                <c:pt idx="11">
                  <c:v>16.018798076879655</c:v>
                </c:pt>
                <c:pt idx="12">
                  <c:v>17.445457230436492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'Master Template'!$F$230:$U$230</c:f>
              <c:numCache>
                <c:formatCode>0.00</c:formatCode>
                <c:ptCount val="16"/>
                <c:pt idx="0">
                  <c:v>54.319879670531634</c:v>
                </c:pt>
                <c:pt idx="1">
                  <c:v>52.147203807922267</c:v>
                </c:pt>
                <c:pt idx="2">
                  <c:v>49.477786017117467</c:v>
                </c:pt>
                <c:pt idx="3">
                  <c:v>49.272730566014246</c:v>
                </c:pt>
                <c:pt idx="4">
                  <c:v>78.552417199708088</c:v>
                </c:pt>
                <c:pt idx="5">
                  <c:v>78.400462920135425</c:v>
                </c:pt>
                <c:pt idx="6">
                  <c:v>75.658491414669342</c:v>
                </c:pt>
                <c:pt idx="7">
                  <c:v>74.518313571684345</c:v>
                </c:pt>
                <c:pt idx="8">
                  <c:v>73.468038731480178</c:v>
                </c:pt>
                <c:pt idx="9">
                  <c:v>72.979876659450639</c:v>
                </c:pt>
                <c:pt idx="10">
                  <c:v>72.10174054834097</c:v>
                </c:pt>
                <c:pt idx="11">
                  <c:v>70.403480504793393</c:v>
                </c:pt>
                <c:pt idx="12">
                  <c:v>70.875527144471249</c:v>
                </c:pt>
                <c:pt idx="13" formatCode="0.0">
                  <c:v>0</c:v>
                </c:pt>
                <c:pt idx="14" formatCode="0.0">
                  <c:v>0</c:v>
                </c:pt>
                <c:pt idx="15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96D-46E5-BCE6-72B1E6433D51}"/>
            </c:ext>
          </c:extLst>
        </c:ser>
        <c:ser>
          <c:idx val="12"/>
          <c:order val="14"/>
          <c:tx>
            <c:v>MoC and N Conversion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Template'!$F$189:$U$189</c:f>
              <c:numCache>
                <c:formatCode>0.00</c:formatCode>
                <c:ptCount val="16"/>
                <c:pt idx="0">
                  <c:v>1.101110946537847</c:v>
                </c:pt>
                <c:pt idx="1">
                  <c:v>2.199993382309855</c:v>
                </c:pt>
                <c:pt idx="2">
                  <c:v>3.3217922779380005</c:v>
                </c:pt>
                <c:pt idx="3">
                  <c:v>4.4140395432377089</c:v>
                </c:pt>
                <c:pt idx="4">
                  <c:v>5.9347621163913598</c:v>
                </c:pt>
                <c:pt idx="5">
                  <c:v>7.3953519708873845</c:v>
                </c:pt>
                <c:pt idx="6">
                  <c:v>8.8490911690147911</c:v>
                </c:pt>
                <c:pt idx="7">
                  <c:v>10.272184841602693</c:v>
                </c:pt>
                <c:pt idx="8">
                  <c:v>11.681401411890672</c:v>
                </c:pt>
                <c:pt idx="9">
                  <c:v>13.137048190576191</c:v>
                </c:pt>
                <c:pt idx="10">
                  <c:v>14.586797110592267</c:v>
                </c:pt>
                <c:pt idx="11">
                  <c:v>16.018798076879655</c:v>
                </c:pt>
                <c:pt idx="12">
                  <c:v>17.445457230436492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'Master Template'!$F$218:$U$218</c:f>
              <c:numCache>
                <c:formatCode>0.00</c:formatCode>
                <c:ptCount val="16"/>
                <c:pt idx="0">
                  <c:v>33.796811410187729</c:v>
                </c:pt>
                <c:pt idx="1">
                  <c:v>35.590094259568701</c:v>
                </c:pt>
                <c:pt idx="2">
                  <c:v>29.462279141827107</c:v>
                </c:pt>
                <c:pt idx="3">
                  <c:v>31.044840543417891</c:v>
                </c:pt>
                <c:pt idx="4">
                  <c:v>52.700197050373099</c:v>
                </c:pt>
                <c:pt idx="5">
                  <c:v>50.289742314490923</c:v>
                </c:pt>
                <c:pt idx="6">
                  <c:v>46.338833666972768</c:v>
                </c:pt>
                <c:pt idx="7">
                  <c:v>49.040691671668171</c:v>
                </c:pt>
                <c:pt idx="8">
                  <c:v>48.064929704309975</c:v>
                </c:pt>
                <c:pt idx="9">
                  <c:v>49.465450385312188</c:v>
                </c:pt>
                <c:pt idx="10">
                  <c:v>45.062302840345147</c:v>
                </c:pt>
                <c:pt idx="11">
                  <c:v>49.035402076370161</c:v>
                </c:pt>
                <c:pt idx="12">
                  <c:v>46.998497671309515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96D-46E5-BCE6-72B1E6433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7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Template'!$F$6:$L$6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Template'!$F$185:$L$185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84.090392001192257</c:v>
                      </c:pt>
                      <c:pt idx="1">
                        <c:v>83.440029681597395</c:v>
                      </c:pt>
                      <c:pt idx="2">
                        <c:v>80.044101931043414</c:v>
                      </c:pt>
                      <c:pt idx="3">
                        <c:v>80.440122836678171</c:v>
                      </c:pt>
                      <c:pt idx="4">
                        <c:v>98.714944276710753</c:v>
                      </c:pt>
                      <c:pt idx="5">
                        <c:v>98.420460100304993</c:v>
                      </c:pt>
                      <c:pt idx="6">
                        <c:v>97.894670885679375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D96D-46E5-BCE6-72B1E6433D51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Template'!$F$6:$L$6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Template'!$F$201:$L$201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88</c:v>
                      </c:pt>
                      <c:pt idx="1">
                        <c:v>84.3</c:v>
                      </c:pt>
                      <c:pt idx="2">
                        <c:v>82.5</c:v>
                      </c:pt>
                      <c:pt idx="3">
                        <c:v>81.2</c:v>
                      </c:pt>
                      <c:pt idx="4">
                        <c:v>97.6</c:v>
                      </c:pt>
                      <c:pt idx="5">
                        <c:v>97</c:v>
                      </c:pt>
                      <c:pt idx="6">
                        <c:v>96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96D-46E5-BCE6-72B1E6433D51}"/>
                  </c:ext>
                </c:extLst>
              </c15:ser>
            </c15:filteredScatterSeries>
            <c15:filteredScatterSeries>
              <c15:ser>
                <c:idx val="5"/>
                <c:order val="2"/>
                <c:tx>
                  <c:v>V_TOP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1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Template'!$F$172:$U$172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88.365956525370336</c:v>
                      </c:pt>
                      <c:pt idx="1">
                        <c:v>87.291811879994228</c:v>
                      </c:pt>
                      <c:pt idx="2">
                        <c:v>83.972230418852888</c:v>
                      </c:pt>
                      <c:pt idx="3">
                        <c:v>84.065216870895796</c:v>
                      </c:pt>
                      <c:pt idx="4">
                        <c:v>99.738730013766016</c:v>
                      </c:pt>
                      <c:pt idx="5">
                        <c:v>99.694359320154177</c:v>
                      </c:pt>
                      <c:pt idx="6">
                        <c:v>99.535600224715751</c:v>
                      </c:pt>
                      <c:pt idx="7">
                        <c:v>99.351538265392492</c:v>
                      </c:pt>
                      <c:pt idx="8">
                        <c:v>98.98818030144102</c:v>
                      </c:pt>
                      <c:pt idx="9">
                        <c:v>98.951835366818557</c:v>
                      </c:pt>
                      <c:pt idx="10">
                        <c:v>98.706331490929699</c:v>
                      </c:pt>
                      <c:pt idx="11">
                        <c:v>98.736642037490199</c:v>
                      </c:pt>
                      <c:pt idx="12">
                        <c:v>98.575404959733333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D96D-46E5-BCE6-72B1E6433D51}"/>
                  </c:ext>
                </c:extLst>
              </c15:ser>
            </c15:filteredScatterSeries>
            <c15:filteredScatterSeries>
              <c15:ser>
                <c:idx val="6"/>
                <c:order val="3"/>
                <c:tx>
                  <c:v>V_ART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Template'!$F$173:$U$173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92</c:v>
                      </c:pt>
                      <c:pt idx="1">
                        <c:v>88.5</c:v>
                      </c:pt>
                      <c:pt idx="2">
                        <c:v>86.2</c:v>
                      </c:pt>
                      <c:pt idx="3">
                        <c:v>85.2</c:v>
                      </c:pt>
                      <c:pt idx="4">
                        <c:v>98.5</c:v>
                      </c:pt>
                      <c:pt idx="5">
                        <c:v>98.2</c:v>
                      </c:pt>
                      <c:pt idx="6">
                        <c:v>98</c:v>
                      </c:pt>
                      <c:pt idx="7">
                        <c:v>97.8</c:v>
                      </c:pt>
                      <c:pt idx="8">
                        <c:v>97.6</c:v>
                      </c:pt>
                      <c:pt idx="9">
                        <c:v>97.4</c:v>
                      </c:pt>
                      <c:pt idx="10">
                        <c:v>97</c:v>
                      </c:pt>
                      <c:pt idx="11">
                        <c:v>94.4</c:v>
                      </c:pt>
                      <c:pt idx="12">
                        <c:v>94</c:v>
                      </c:pt>
                      <c:pt idx="13">
                        <c:v>95</c:v>
                      </c:pt>
                      <c:pt idx="14">
                        <c:v>94.5</c:v>
                      </c:pt>
                      <c:pt idx="15">
                        <c:v>93.9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96D-46E5-BCE6-72B1E6433D51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v>Ni_TOP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11"/>
                  <c:spPr>
                    <a:solidFill>
                      <a:srgbClr val="2D0DA3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Template'!$F$166:$U$166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70.205740913664116</c:v>
                      </c:pt>
                      <c:pt idx="1">
                        <c:v>70.931587442575676</c:v>
                      </c:pt>
                      <c:pt idx="2">
                        <c:v>67.287729486705459</c:v>
                      </c:pt>
                      <c:pt idx="3">
                        <c:v>68.667837436712745</c:v>
                      </c:pt>
                      <c:pt idx="4">
                        <c:v>95.458451159462328</c:v>
                      </c:pt>
                      <c:pt idx="5">
                        <c:v>94.368397357724433</c:v>
                      </c:pt>
                      <c:pt idx="6">
                        <c:v>92.675146032917581</c:v>
                      </c:pt>
                      <c:pt idx="7">
                        <c:v>91.737268623248113</c:v>
                      </c:pt>
                      <c:pt idx="8">
                        <c:v>90.720493302188004</c:v>
                      </c:pt>
                      <c:pt idx="9">
                        <c:v>89.961645390444048</c:v>
                      </c:pt>
                      <c:pt idx="10">
                        <c:v>88.732310773517284</c:v>
                      </c:pt>
                      <c:pt idx="11">
                        <c:v>88.984914704384693</c:v>
                      </c:pt>
                      <c:pt idx="12">
                        <c:v>88.368595784930676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96D-46E5-BCE6-72B1E6433D51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v>Ni_ART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9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Template'!$F$167:$U$167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77</c:v>
                      </c:pt>
                      <c:pt idx="1">
                        <c:v>71.2</c:v>
                      </c:pt>
                      <c:pt idx="2">
                        <c:v>69.099999999999994</c:v>
                      </c:pt>
                      <c:pt idx="3">
                        <c:v>67.7</c:v>
                      </c:pt>
                      <c:pt idx="4">
                        <c:v>94</c:v>
                      </c:pt>
                      <c:pt idx="5">
                        <c:v>90.5</c:v>
                      </c:pt>
                      <c:pt idx="6">
                        <c:v>89.8</c:v>
                      </c:pt>
                      <c:pt idx="7">
                        <c:v>89</c:v>
                      </c:pt>
                      <c:pt idx="8">
                        <c:v>88.2</c:v>
                      </c:pt>
                      <c:pt idx="9">
                        <c:v>87.1</c:v>
                      </c:pt>
                      <c:pt idx="10">
                        <c:v>88.5</c:v>
                      </c:pt>
                      <c:pt idx="11">
                        <c:v>83.2</c:v>
                      </c:pt>
                      <c:pt idx="12">
                        <c:v>83</c:v>
                      </c:pt>
                      <c:pt idx="13">
                        <c:v>84.1</c:v>
                      </c:pt>
                      <c:pt idx="14">
                        <c:v>83</c:v>
                      </c:pt>
                      <c:pt idx="15">
                        <c:v>82.9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96D-46E5-BCE6-72B1E6433D51}"/>
                  </c:ext>
                </c:extLst>
              </c15:ser>
            </c15:filteredScatterSeries>
            <c15:filteredScatterSeries>
              <c15:ser>
                <c:idx val="7"/>
                <c:order val="6"/>
                <c:tx>
                  <c:v>+5 absolute difference_Ni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9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MetConv_Ni_V!$V$12:$AA$12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MetConv_Ni_V!$V$16:$AA$16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96D-46E5-BCE6-72B1E6433D51}"/>
                  </c:ext>
                </c:extLst>
              </c15:ser>
            </c15:filteredScatterSeries>
            <c15:filteredScatterSeries>
              <c15:ser>
                <c:idx val="8"/>
                <c:order val="7"/>
                <c:tx>
                  <c:v>-5% absolute difference_Ni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MetConv_Ni_V!$V$12:$AA$12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MetConv_Ni_V!$V$17:$AA$17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96D-46E5-BCE6-72B1E6433D51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37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MoC on Rx1 </a:t>
                </a:r>
              </a:p>
            </c:rich>
          </c:tx>
          <c:layout>
            <c:manualLayout>
              <c:xMode val="edge"/>
              <c:yMode val="edge"/>
              <c:x val="0.44695294517585171"/>
              <c:y val="0.93692967173124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5"/>
      </c:valAx>
      <c:valAx>
        <c:axId val="1784276527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% S, N, and Metal Conversion</a:t>
                </a:r>
              </a:p>
            </c:rich>
          </c:tx>
          <c:layout>
            <c:manualLayout>
              <c:xMode val="edge"/>
              <c:yMode val="edge"/>
              <c:x val="5.0795376707640533E-2"/>
              <c:y val="0.393774858988087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alpha val="87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81764996977025628"/>
          <c:y val="0.52209924129755914"/>
          <c:w val="0.13781192179762999"/>
          <c:h val="0.118990699427224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78325210952363"/>
          <c:y val="0.25328466513760584"/>
          <c:w val="0.79598068672667277"/>
          <c:h val="0.62404708638353756"/>
        </c:manualLayout>
      </c:layout>
      <c:scatterChart>
        <c:scatterStyle val="lineMarker"/>
        <c:varyColors val="0"/>
        <c:ser>
          <c:idx val="2"/>
          <c:order val="8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MetConv_Ni_V!$AA$47:$AA$48</c:f>
              <c:numCache>
                <c:formatCode>General</c:formatCode>
                <c:ptCount val="2"/>
                <c:pt idx="0">
                  <c:v>8.5</c:v>
                </c:pt>
                <c:pt idx="1">
                  <c:v>8.5</c:v>
                </c:pt>
              </c:numCache>
            </c:numRef>
          </c:xVal>
          <c:yVal>
            <c:numRef>
              <c:f>MetConv_Ni_V!$AB$47:$AB$48</c:f>
              <c:numCache>
                <c:formatCode>General</c:formatCode>
                <c:ptCount val="2"/>
                <c:pt idx="0">
                  <c:v>-5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97-4881-847F-EABFF7212655}"/>
            </c:ext>
          </c:extLst>
        </c:ser>
        <c:ser>
          <c:idx val="9"/>
          <c:order val="9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MetConv_Ni_V!$AA$50:$AA$51</c:f>
              <c:numCache>
                <c:formatCode>General</c:formatCode>
                <c:ptCount val="2"/>
                <c:pt idx="0">
                  <c:v>21</c:v>
                </c:pt>
                <c:pt idx="1">
                  <c:v>21</c:v>
                </c:pt>
              </c:numCache>
            </c:numRef>
          </c:xVal>
          <c:yVal>
            <c:numRef>
              <c:f>MetConv_Ni_V!$AB$50:$AB$51</c:f>
              <c:numCache>
                <c:formatCode>General</c:formatCode>
                <c:ptCount val="2"/>
                <c:pt idx="0">
                  <c:v>-5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97-4881-847F-EABFF7212655}"/>
            </c:ext>
          </c:extLst>
        </c:ser>
        <c:ser>
          <c:idx val="13"/>
          <c:order val="10"/>
          <c:tx>
            <c:v>MoC and Metal(Ni+V) Conversion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0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Template'!$F$194:$U$194</c:f>
              <c:numCache>
                <c:formatCode>0.00</c:formatCode>
                <c:ptCount val="16"/>
                <c:pt idx="0">
                  <c:v>1.3682019916640433</c:v>
                </c:pt>
                <c:pt idx="1">
                  <c:v>2.7081394091582425</c:v>
                </c:pt>
                <c:pt idx="2">
                  <c:v>4.0564799918955678</c:v>
                </c:pt>
                <c:pt idx="3">
                  <c:v>5.3876294701374503</c:v>
                </c:pt>
                <c:pt idx="4">
                  <c:v>5.908193719049871</c:v>
                </c:pt>
                <c:pt idx="5">
                  <c:v>6.4081737114544453</c:v>
                </c:pt>
                <c:pt idx="6">
                  <c:v>6.9058086299776669</c:v>
                </c:pt>
                <c:pt idx="7">
                  <c:v>7.3929531636886763</c:v>
                </c:pt>
                <c:pt idx="8">
                  <c:v>7.8753473744523106</c:v>
                </c:pt>
                <c:pt idx="9">
                  <c:v>8.3736352840325505</c:v>
                </c:pt>
                <c:pt idx="10">
                  <c:v>8.8699042754861992</c:v>
                </c:pt>
                <c:pt idx="11">
                  <c:v>9.3600978983186369</c:v>
                </c:pt>
                <c:pt idx="12">
                  <c:v>9.8484629451958021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'Master Template'!$F$185:$U$185</c:f>
              <c:numCache>
                <c:formatCode>0.00</c:formatCode>
                <c:ptCount val="16"/>
                <c:pt idx="0">
                  <c:v>84.090392001192257</c:v>
                </c:pt>
                <c:pt idx="1">
                  <c:v>83.440029681597395</c:v>
                </c:pt>
                <c:pt idx="2">
                  <c:v>80.044101931043414</c:v>
                </c:pt>
                <c:pt idx="3">
                  <c:v>80.440122836678171</c:v>
                </c:pt>
                <c:pt idx="4">
                  <c:v>98.714944276710753</c:v>
                </c:pt>
                <c:pt idx="5">
                  <c:v>98.420460100304993</c:v>
                </c:pt>
                <c:pt idx="6">
                  <c:v>97.894670885679375</c:v>
                </c:pt>
                <c:pt idx="7">
                  <c:v>97.530306302927627</c:v>
                </c:pt>
                <c:pt idx="8">
                  <c:v>97.010659603283301</c:v>
                </c:pt>
                <c:pt idx="9">
                  <c:v>96.801501572099795</c:v>
                </c:pt>
                <c:pt idx="10">
                  <c:v>96.320678476450652</c:v>
                </c:pt>
                <c:pt idx="11">
                  <c:v>96.404158642104136</c:v>
                </c:pt>
                <c:pt idx="12">
                  <c:v>96.134072044355392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297-4881-847F-EABFF7212655}"/>
            </c:ext>
          </c:extLst>
        </c:ser>
        <c:ser>
          <c:idx val="10"/>
          <c:order val="11"/>
          <c:tx>
            <c:v>MoC and S Conversion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1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xVal>
            <c:numRef>
              <c:f>'Master Template'!$F$194:$U$194</c:f>
              <c:numCache>
                <c:formatCode>0.00</c:formatCode>
                <c:ptCount val="16"/>
                <c:pt idx="0">
                  <c:v>1.3682019916640433</c:v>
                </c:pt>
                <c:pt idx="1">
                  <c:v>2.7081394091582425</c:v>
                </c:pt>
                <c:pt idx="2">
                  <c:v>4.0564799918955678</c:v>
                </c:pt>
                <c:pt idx="3">
                  <c:v>5.3876294701374503</c:v>
                </c:pt>
                <c:pt idx="4">
                  <c:v>5.908193719049871</c:v>
                </c:pt>
                <c:pt idx="5">
                  <c:v>6.4081737114544453</c:v>
                </c:pt>
                <c:pt idx="6">
                  <c:v>6.9058086299776669</c:v>
                </c:pt>
                <c:pt idx="7">
                  <c:v>7.3929531636886763</c:v>
                </c:pt>
                <c:pt idx="8">
                  <c:v>7.8753473744523106</c:v>
                </c:pt>
                <c:pt idx="9">
                  <c:v>8.3736352840325505</c:v>
                </c:pt>
                <c:pt idx="10">
                  <c:v>8.8699042754861992</c:v>
                </c:pt>
                <c:pt idx="11">
                  <c:v>9.3600978983186369</c:v>
                </c:pt>
                <c:pt idx="12">
                  <c:v>9.8484629451958021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'Master Template'!$F$211:$U$211</c:f>
              <c:numCache>
                <c:formatCode>0.00</c:formatCode>
                <c:ptCount val="16"/>
                <c:pt idx="0">
                  <c:v>69.721114131735945</c:v>
                </c:pt>
                <c:pt idx="1">
                  <c:v>69.771809222142551</c:v>
                </c:pt>
                <c:pt idx="2">
                  <c:v>65.922034958745556</c:v>
                </c:pt>
                <c:pt idx="3">
                  <c:v>66.402544175827117</c:v>
                </c:pt>
                <c:pt idx="4">
                  <c:v>88.026117668562591</c:v>
                </c:pt>
                <c:pt idx="5">
                  <c:v>87.188491509400862</c:v>
                </c:pt>
                <c:pt idx="6">
                  <c:v>85.979058902118339</c:v>
                </c:pt>
                <c:pt idx="7">
                  <c:v>84.993673789191547</c:v>
                </c:pt>
                <c:pt idx="8">
                  <c:v>84.26128439793392</c:v>
                </c:pt>
                <c:pt idx="9">
                  <c:v>83.758194734907406</c:v>
                </c:pt>
                <c:pt idx="10">
                  <c:v>83.087048087569627</c:v>
                </c:pt>
                <c:pt idx="11">
                  <c:v>82.962508326538568</c:v>
                </c:pt>
                <c:pt idx="12">
                  <c:v>82.443809517519483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297-4881-847F-EABFF7212655}"/>
            </c:ext>
          </c:extLst>
        </c:ser>
        <c:ser>
          <c:idx val="14"/>
          <c:order val="12"/>
          <c:tx>
            <c:v>MoC on MCR Conversion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4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Template'!$F$194:$U$194</c:f>
              <c:numCache>
                <c:formatCode>0.00</c:formatCode>
                <c:ptCount val="16"/>
                <c:pt idx="0">
                  <c:v>1.3682019916640433</c:v>
                </c:pt>
                <c:pt idx="1">
                  <c:v>2.7081394091582425</c:v>
                </c:pt>
                <c:pt idx="2">
                  <c:v>4.0564799918955678</c:v>
                </c:pt>
                <c:pt idx="3">
                  <c:v>5.3876294701374503</c:v>
                </c:pt>
                <c:pt idx="4">
                  <c:v>5.908193719049871</c:v>
                </c:pt>
                <c:pt idx="5">
                  <c:v>6.4081737114544453</c:v>
                </c:pt>
                <c:pt idx="6">
                  <c:v>6.9058086299776669</c:v>
                </c:pt>
                <c:pt idx="7">
                  <c:v>7.3929531636886763</c:v>
                </c:pt>
                <c:pt idx="8">
                  <c:v>7.8753473744523106</c:v>
                </c:pt>
                <c:pt idx="9">
                  <c:v>8.3736352840325505</c:v>
                </c:pt>
                <c:pt idx="10">
                  <c:v>8.8699042754861992</c:v>
                </c:pt>
                <c:pt idx="11">
                  <c:v>9.3600978983186369</c:v>
                </c:pt>
                <c:pt idx="12">
                  <c:v>9.8484629451958021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'Master Template'!$F$230:$U$230</c:f>
              <c:numCache>
                <c:formatCode>0.00</c:formatCode>
                <c:ptCount val="16"/>
                <c:pt idx="0">
                  <c:v>54.319879670531634</c:v>
                </c:pt>
                <c:pt idx="1">
                  <c:v>52.147203807922267</c:v>
                </c:pt>
                <c:pt idx="2">
                  <c:v>49.477786017117467</c:v>
                </c:pt>
                <c:pt idx="3">
                  <c:v>49.272730566014246</c:v>
                </c:pt>
                <c:pt idx="4">
                  <c:v>78.552417199708088</c:v>
                </c:pt>
                <c:pt idx="5">
                  <c:v>78.400462920135425</c:v>
                </c:pt>
                <c:pt idx="6">
                  <c:v>75.658491414669342</c:v>
                </c:pt>
                <c:pt idx="7">
                  <c:v>74.518313571684345</c:v>
                </c:pt>
                <c:pt idx="8">
                  <c:v>73.468038731480178</c:v>
                </c:pt>
                <c:pt idx="9">
                  <c:v>72.979876659450639</c:v>
                </c:pt>
                <c:pt idx="10">
                  <c:v>72.10174054834097</c:v>
                </c:pt>
                <c:pt idx="11">
                  <c:v>70.403480504793393</c:v>
                </c:pt>
                <c:pt idx="12">
                  <c:v>70.875527144471249</c:v>
                </c:pt>
                <c:pt idx="13" formatCode="0.0">
                  <c:v>0</c:v>
                </c:pt>
                <c:pt idx="14" formatCode="0.0">
                  <c:v>0</c:v>
                </c:pt>
                <c:pt idx="15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297-4881-847F-EABFF7212655}"/>
            </c:ext>
          </c:extLst>
        </c:ser>
        <c:ser>
          <c:idx val="12"/>
          <c:order val="13"/>
          <c:tx>
            <c:v>MoC and N Conversion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Template'!$F$194:$U$194</c:f>
              <c:numCache>
                <c:formatCode>0.00</c:formatCode>
                <c:ptCount val="16"/>
                <c:pt idx="0">
                  <c:v>1.3682019916640433</c:v>
                </c:pt>
                <c:pt idx="1">
                  <c:v>2.7081394091582425</c:v>
                </c:pt>
                <c:pt idx="2">
                  <c:v>4.0564799918955678</c:v>
                </c:pt>
                <c:pt idx="3">
                  <c:v>5.3876294701374503</c:v>
                </c:pt>
                <c:pt idx="4">
                  <c:v>5.908193719049871</c:v>
                </c:pt>
                <c:pt idx="5">
                  <c:v>6.4081737114544453</c:v>
                </c:pt>
                <c:pt idx="6">
                  <c:v>6.9058086299776669</c:v>
                </c:pt>
                <c:pt idx="7">
                  <c:v>7.3929531636886763</c:v>
                </c:pt>
                <c:pt idx="8">
                  <c:v>7.8753473744523106</c:v>
                </c:pt>
                <c:pt idx="9">
                  <c:v>8.3736352840325505</c:v>
                </c:pt>
                <c:pt idx="10">
                  <c:v>8.8699042754861992</c:v>
                </c:pt>
                <c:pt idx="11">
                  <c:v>9.3600978983186369</c:v>
                </c:pt>
                <c:pt idx="12">
                  <c:v>9.8484629451958021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'Master Template'!$F$218:$U$218</c:f>
              <c:numCache>
                <c:formatCode>0.00</c:formatCode>
                <c:ptCount val="16"/>
                <c:pt idx="0">
                  <c:v>33.796811410187729</c:v>
                </c:pt>
                <c:pt idx="1">
                  <c:v>35.590094259568701</c:v>
                </c:pt>
                <c:pt idx="2">
                  <c:v>29.462279141827107</c:v>
                </c:pt>
                <c:pt idx="3">
                  <c:v>31.044840543417891</c:v>
                </c:pt>
                <c:pt idx="4">
                  <c:v>52.700197050373099</c:v>
                </c:pt>
                <c:pt idx="5">
                  <c:v>50.289742314490923</c:v>
                </c:pt>
                <c:pt idx="6">
                  <c:v>46.338833666972768</c:v>
                </c:pt>
                <c:pt idx="7">
                  <c:v>49.040691671668171</c:v>
                </c:pt>
                <c:pt idx="8">
                  <c:v>48.064929704309975</c:v>
                </c:pt>
                <c:pt idx="9">
                  <c:v>49.465450385312188</c:v>
                </c:pt>
                <c:pt idx="10">
                  <c:v>45.062302840345147</c:v>
                </c:pt>
                <c:pt idx="11">
                  <c:v>49.035402076370161</c:v>
                </c:pt>
                <c:pt idx="12">
                  <c:v>46.998497671309515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297-4881-847F-EABFF7212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7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Template'!$F$6:$L$6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Template'!$F$185:$L$185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84.090392001192257</c:v>
                      </c:pt>
                      <c:pt idx="1">
                        <c:v>83.440029681597395</c:v>
                      </c:pt>
                      <c:pt idx="2">
                        <c:v>80.044101931043414</c:v>
                      </c:pt>
                      <c:pt idx="3">
                        <c:v>80.440122836678171</c:v>
                      </c:pt>
                      <c:pt idx="4">
                        <c:v>98.714944276710753</c:v>
                      </c:pt>
                      <c:pt idx="5">
                        <c:v>98.420460100304993</c:v>
                      </c:pt>
                      <c:pt idx="6">
                        <c:v>97.894670885679375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F297-4881-847F-EABFF7212655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Template'!$F$6:$L$6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Template'!$F$201:$L$201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88</c:v>
                      </c:pt>
                      <c:pt idx="1">
                        <c:v>84.3</c:v>
                      </c:pt>
                      <c:pt idx="2">
                        <c:v>82.5</c:v>
                      </c:pt>
                      <c:pt idx="3">
                        <c:v>81.2</c:v>
                      </c:pt>
                      <c:pt idx="4">
                        <c:v>97.6</c:v>
                      </c:pt>
                      <c:pt idx="5">
                        <c:v>97</c:v>
                      </c:pt>
                      <c:pt idx="6">
                        <c:v>96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297-4881-847F-EABFF7212655}"/>
                  </c:ext>
                </c:extLst>
              </c15:ser>
            </c15:filteredScatterSeries>
            <c15:filteredScatterSeries>
              <c15:ser>
                <c:idx val="5"/>
                <c:order val="2"/>
                <c:tx>
                  <c:v>V_TOP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1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Template'!$F$172:$U$172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88.365956525370336</c:v>
                      </c:pt>
                      <c:pt idx="1">
                        <c:v>87.291811879994228</c:v>
                      </c:pt>
                      <c:pt idx="2">
                        <c:v>83.972230418852888</c:v>
                      </c:pt>
                      <c:pt idx="3">
                        <c:v>84.065216870895796</c:v>
                      </c:pt>
                      <c:pt idx="4">
                        <c:v>99.738730013766016</c:v>
                      </c:pt>
                      <c:pt idx="5">
                        <c:v>99.694359320154177</c:v>
                      </c:pt>
                      <c:pt idx="6">
                        <c:v>99.535600224715751</c:v>
                      </c:pt>
                      <c:pt idx="7">
                        <c:v>99.351538265392492</c:v>
                      </c:pt>
                      <c:pt idx="8">
                        <c:v>98.98818030144102</c:v>
                      </c:pt>
                      <c:pt idx="9">
                        <c:v>98.951835366818557</c:v>
                      </c:pt>
                      <c:pt idx="10">
                        <c:v>98.706331490929699</c:v>
                      </c:pt>
                      <c:pt idx="11">
                        <c:v>98.736642037490199</c:v>
                      </c:pt>
                      <c:pt idx="12">
                        <c:v>98.575404959733333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297-4881-847F-EABFF7212655}"/>
                  </c:ext>
                </c:extLst>
              </c15:ser>
            </c15:filteredScatterSeries>
            <c15:filteredScatterSeries>
              <c15:ser>
                <c:idx val="6"/>
                <c:order val="3"/>
                <c:tx>
                  <c:v>V_ART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Template'!$F$173:$U$173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92</c:v>
                      </c:pt>
                      <c:pt idx="1">
                        <c:v>88.5</c:v>
                      </c:pt>
                      <c:pt idx="2">
                        <c:v>86.2</c:v>
                      </c:pt>
                      <c:pt idx="3">
                        <c:v>85.2</c:v>
                      </c:pt>
                      <c:pt idx="4">
                        <c:v>98.5</c:v>
                      </c:pt>
                      <c:pt idx="5">
                        <c:v>98.2</c:v>
                      </c:pt>
                      <c:pt idx="6">
                        <c:v>98</c:v>
                      </c:pt>
                      <c:pt idx="7">
                        <c:v>97.8</c:v>
                      </c:pt>
                      <c:pt idx="8">
                        <c:v>97.6</c:v>
                      </c:pt>
                      <c:pt idx="9">
                        <c:v>97.4</c:v>
                      </c:pt>
                      <c:pt idx="10">
                        <c:v>97</c:v>
                      </c:pt>
                      <c:pt idx="11">
                        <c:v>94.4</c:v>
                      </c:pt>
                      <c:pt idx="12">
                        <c:v>94</c:v>
                      </c:pt>
                      <c:pt idx="13">
                        <c:v>95</c:v>
                      </c:pt>
                      <c:pt idx="14">
                        <c:v>94.5</c:v>
                      </c:pt>
                      <c:pt idx="15">
                        <c:v>93.9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F297-4881-847F-EABFF7212655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v>Ni_TOP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11"/>
                  <c:spPr>
                    <a:solidFill>
                      <a:srgbClr val="2D0DA3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Template'!$F$166:$U$166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70.205740913664116</c:v>
                      </c:pt>
                      <c:pt idx="1">
                        <c:v>70.931587442575676</c:v>
                      </c:pt>
                      <c:pt idx="2">
                        <c:v>67.287729486705459</c:v>
                      </c:pt>
                      <c:pt idx="3">
                        <c:v>68.667837436712745</c:v>
                      </c:pt>
                      <c:pt idx="4">
                        <c:v>95.458451159462328</c:v>
                      </c:pt>
                      <c:pt idx="5">
                        <c:v>94.368397357724433</c:v>
                      </c:pt>
                      <c:pt idx="6">
                        <c:v>92.675146032917581</c:v>
                      </c:pt>
                      <c:pt idx="7">
                        <c:v>91.737268623248113</c:v>
                      </c:pt>
                      <c:pt idx="8">
                        <c:v>90.720493302188004</c:v>
                      </c:pt>
                      <c:pt idx="9">
                        <c:v>89.961645390444048</c:v>
                      </c:pt>
                      <c:pt idx="10">
                        <c:v>88.732310773517284</c:v>
                      </c:pt>
                      <c:pt idx="11">
                        <c:v>88.984914704384693</c:v>
                      </c:pt>
                      <c:pt idx="12">
                        <c:v>88.368595784930676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F297-4881-847F-EABFF7212655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v>Ni_ART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9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Template'!$F$167:$U$167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77</c:v>
                      </c:pt>
                      <c:pt idx="1">
                        <c:v>71.2</c:v>
                      </c:pt>
                      <c:pt idx="2">
                        <c:v>69.099999999999994</c:v>
                      </c:pt>
                      <c:pt idx="3">
                        <c:v>67.7</c:v>
                      </c:pt>
                      <c:pt idx="4">
                        <c:v>94</c:v>
                      </c:pt>
                      <c:pt idx="5">
                        <c:v>90.5</c:v>
                      </c:pt>
                      <c:pt idx="6">
                        <c:v>89.8</c:v>
                      </c:pt>
                      <c:pt idx="7">
                        <c:v>89</c:v>
                      </c:pt>
                      <c:pt idx="8">
                        <c:v>88.2</c:v>
                      </c:pt>
                      <c:pt idx="9">
                        <c:v>87.1</c:v>
                      </c:pt>
                      <c:pt idx="10">
                        <c:v>88.5</c:v>
                      </c:pt>
                      <c:pt idx="11">
                        <c:v>83.2</c:v>
                      </c:pt>
                      <c:pt idx="12">
                        <c:v>83</c:v>
                      </c:pt>
                      <c:pt idx="13">
                        <c:v>84.1</c:v>
                      </c:pt>
                      <c:pt idx="14">
                        <c:v>83</c:v>
                      </c:pt>
                      <c:pt idx="15">
                        <c:v>82.9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F297-4881-847F-EABFF7212655}"/>
                  </c:ext>
                </c:extLst>
              </c15:ser>
            </c15:filteredScatterSeries>
            <c15:filteredScatterSeries>
              <c15:ser>
                <c:idx val="7"/>
                <c:order val="6"/>
                <c:tx>
                  <c:v>+5 absolute difference_Ni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9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MetConv_Ni_V!$V$12:$AA$12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MetConv_Ni_V!$V$16:$AA$16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F297-4881-847F-EABFF7212655}"/>
                  </c:ext>
                </c:extLst>
              </c15:ser>
            </c15:filteredScatterSeries>
            <c15:filteredScatterSeries>
              <c15:ser>
                <c:idx val="8"/>
                <c:order val="7"/>
                <c:tx>
                  <c:v>-5% absolute difference_Ni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MetConv_Ni_V!$V$12:$AA$12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MetConv_Ni_V!$V$17:$AA$17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F297-4881-847F-EABFF7212655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1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MoC on Rx2 </a:t>
                </a:r>
              </a:p>
            </c:rich>
          </c:tx>
          <c:layout>
            <c:manualLayout>
              <c:xMode val="edge"/>
              <c:yMode val="edge"/>
              <c:x val="0.44695294185626555"/>
              <c:y val="0.923149910838251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2"/>
      </c:valAx>
      <c:valAx>
        <c:axId val="1784276527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% S, N, and Metal Conversion</a:t>
                </a:r>
              </a:p>
            </c:rich>
          </c:tx>
          <c:layout>
            <c:manualLayout>
              <c:xMode val="edge"/>
              <c:yMode val="edge"/>
              <c:x val="5.0795376707640533E-2"/>
              <c:y val="0.393774858988087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alpha val="87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81764996977025628"/>
          <c:y val="0.52209924129755914"/>
          <c:w val="0.13781192179762999"/>
          <c:h val="0.118990699427224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78325210952363"/>
          <c:y val="0.25328466513760584"/>
          <c:w val="0.79598068672667277"/>
          <c:h val="0.62404708638353756"/>
        </c:manualLayout>
      </c:layout>
      <c:scatterChart>
        <c:scatterStyle val="lineMarker"/>
        <c:varyColors val="0"/>
        <c:ser>
          <c:idx val="2"/>
          <c:order val="8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MetConv_Ni_V!$AA$47:$AA$48</c:f>
              <c:numCache>
                <c:formatCode>General</c:formatCode>
                <c:ptCount val="2"/>
                <c:pt idx="0">
                  <c:v>8.5</c:v>
                </c:pt>
                <c:pt idx="1">
                  <c:v>8.5</c:v>
                </c:pt>
              </c:numCache>
            </c:numRef>
          </c:xVal>
          <c:yVal>
            <c:numRef>
              <c:f>MetConv_Ni_V!$AB$47:$AB$48</c:f>
              <c:numCache>
                <c:formatCode>General</c:formatCode>
                <c:ptCount val="2"/>
                <c:pt idx="0">
                  <c:v>-5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94-4826-8A62-CBA35E652D3A}"/>
            </c:ext>
          </c:extLst>
        </c:ser>
        <c:ser>
          <c:idx val="9"/>
          <c:order val="9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MetConv_Ni_V!$AA$50:$AA$51</c:f>
              <c:numCache>
                <c:formatCode>General</c:formatCode>
                <c:ptCount val="2"/>
                <c:pt idx="0">
                  <c:v>21</c:v>
                </c:pt>
                <c:pt idx="1">
                  <c:v>21</c:v>
                </c:pt>
              </c:numCache>
            </c:numRef>
          </c:xVal>
          <c:yVal>
            <c:numRef>
              <c:f>MetConv_Ni_V!$AB$50:$AB$51</c:f>
              <c:numCache>
                <c:formatCode>General</c:formatCode>
                <c:ptCount val="2"/>
                <c:pt idx="0">
                  <c:v>-5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94-4826-8A62-CBA35E652D3A}"/>
            </c:ext>
          </c:extLst>
        </c:ser>
        <c:ser>
          <c:idx val="13"/>
          <c:order val="10"/>
          <c:tx>
            <c:v>MoC and Metal(Ni+V) Conversion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0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Template'!$F$199:$U$199</c:f>
              <c:numCache>
                <c:formatCode>0.00</c:formatCode>
                <c:ptCount val="16"/>
                <c:pt idx="0">
                  <c:v>0.58637228214173298</c:v>
                </c:pt>
                <c:pt idx="1">
                  <c:v>1.1606311753535323</c:v>
                </c:pt>
                <c:pt idx="2">
                  <c:v>1.7384914250981005</c:v>
                </c:pt>
                <c:pt idx="3">
                  <c:v>2.3089840586303358</c:v>
                </c:pt>
                <c:pt idx="4">
                  <c:v>2.5172097581953041</c:v>
                </c:pt>
                <c:pt idx="5">
                  <c:v>2.7172017551571339</c:v>
                </c:pt>
                <c:pt idx="6">
                  <c:v>2.9162557225664227</c:v>
                </c:pt>
                <c:pt idx="7">
                  <c:v>3.111113536050826</c:v>
                </c:pt>
                <c:pt idx="8">
                  <c:v>3.3040712203562799</c:v>
                </c:pt>
                <c:pt idx="9">
                  <c:v>3.5033863841883757</c:v>
                </c:pt>
                <c:pt idx="10">
                  <c:v>3.7018939807698357</c:v>
                </c:pt>
                <c:pt idx="11">
                  <c:v>3.8979714299028108</c:v>
                </c:pt>
                <c:pt idx="12">
                  <c:v>4.0933174486536767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'Master Template'!$F$185:$U$185</c:f>
              <c:numCache>
                <c:formatCode>0.00</c:formatCode>
                <c:ptCount val="16"/>
                <c:pt idx="0">
                  <c:v>84.090392001192257</c:v>
                </c:pt>
                <c:pt idx="1">
                  <c:v>83.440029681597395</c:v>
                </c:pt>
                <c:pt idx="2">
                  <c:v>80.044101931043414</c:v>
                </c:pt>
                <c:pt idx="3">
                  <c:v>80.440122836678171</c:v>
                </c:pt>
                <c:pt idx="4">
                  <c:v>98.714944276710753</c:v>
                </c:pt>
                <c:pt idx="5">
                  <c:v>98.420460100304993</c:v>
                </c:pt>
                <c:pt idx="6">
                  <c:v>97.894670885679375</c:v>
                </c:pt>
                <c:pt idx="7">
                  <c:v>97.530306302927627</c:v>
                </c:pt>
                <c:pt idx="8">
                  <c:v>97.010659603283301</c:v>
                </c:pt>
                <c:pt idx="9">
                  <c:v>96.801501572099795</c:v>
                </c:pt>
                <c:pt idx="10">
                  <c:v>96.320678476450652</c:v>
                </c:pt>
                <c:pt idx="11">
                  <c:v>96.404158642104136</c:v>
                </c:pt>
                <c:pt idx="12">
                  <c:v>96.134072044355392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E94-4826-8A62-CBA35E652D3A}"/>
            </c:ext>
          </c:extLst>
        </c:ser>
        <c:ser>
          <c:idx val="10"/>
          <c:order val="11"/>
          <c:tx>
            <c:v>MoC and S Conversion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1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xVal>
            <c:numRef>
              <c:f>'Master Template'!$F$199:$U$199</c:f>
              <c:numCache>
                <c:formatCode>0.00</c:formatCode>
                <c:ptCount val="16"/>
                <c:pt idx="0">
                  <c:v>0.58637228214173298</c:v>
                </c:pt>
                <c:pt idx="1">
                  <c:v>1.1606311753535323</c:v>
                </c:pt>
                <c:pt idx="2">
                  <c:v>1.7384914250981005</c:v>
                </c:pt>
                <c:pt idx="3">
                  <c:v>2.3089840586303358</c:v>
                </c:pt>
                <c:pt idx="4">
                  <c:v>2.5172097581953041</c:v>
                </c:pt>
                <c:pt idx="5">
                  <c:v>2.7172017551571339</c:v>
                </c:pt>
                <c:pt idx="6">
                  <c:v>2.9162557225664227</c:v>
                </c:pt>
                <c:pt idx="7">
                  <c:v>3.111113536050826</c:v>
                </c:pt>
                <c:pt idx="8">
                  <c:v>3.3040712203562799</c:v>
                </c:pt>
                <c:pt idx="9">
                  <c:v>3.5033863841883757</c:v>
                </c:pt>
                <c:pt idx="10">
                  <c:v>3.7018939807698357</c:v>
                </c:pt>
                <c:pt idx="11">
                  <c:v>3.8979714299028108</c:v>
                </c:pt>
                <c:pt idx="12">
                  <c:v>4.0933174486536767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'Master Template'!$F$211:$U$211</c:f>
              <c:numCache>
                <c:formatCode>0.00</c:formatCode>
                <c:ptCount val="16"/>
                <c:pt idx="0">
                  <c:v>69.721114131735945</c:v>
                </c:pt>
                <c:pt idx="1">
                  <c:v>69.771809222142551</c:v>
                </c:pt>
                <c:pt idx="2">
                  <c:v>65.922034958745556</c:v>
                </c:pt>
                <c:pt idx="3">
                  <c:v>66.402544175827117</c:v>
                </c:pt>
                <c:pt idx="4">
                  <c:v>88.026117668562591</c:v>
                </c:pt>
                <c:pt idx="5">
                  <c:v>87.188491509400862</c:v>
                </c:pt>
                <c:pt idx="6">
                  <c:v>85.979058902118339</c:v>
                </c:pt>
                <c:pt idx="7">
                  <c:v>84.993673789191547</c:v>
                </c:pt>
                <c:pt idx="8">
                  <c:v>84.26128439793392</c:v>
                </c:pt>
                <c:pt idx="9">
                  <c:v>83.758194734907406</c:v>
                </c:pt>
                <c:pt idx="10">
                  <c:v>83.087048087569627</c:v>
                </c:pt>
                <c:pt idx="11">
                  <c:v>82.962508326538568</c:v>
                </c:pt>
                <c:pt idx="12">
                  <c:v>82.443809517519483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E94-4826-8A62-CBA35E652D3A}"/>
            </c:ext>
          </c:extLst>
        </c:ser>
        <c:ser>
          <c:idx val="14"/>
          <c:order val="12"/>
          <c:tx>
            <c:v>MoC on MCR Conversion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4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Template'!$F$199:$U$199</c:f>
              <c:numCache>
                <c:formatCode>0.00</c:formatCode>
                <c:ptCount val="16"/>
                <c:pt idx="0">
                  <c:v>0.58637228214173298</c:v>
                </c:pt>
                <c:pt idx="1">
                  <c:v>1.1606311753535323</c:v>
                </c:pt>
                <c:pt idx="2">
                  <c:v>1.7384914250981005</c:v>
                </c:pt>
                <c:pt idx="3">
                  <c:v>2.3089840586303358</c:v>
                </c:pt>
                <c:pt idx="4">
                  <c:v>2.5172097581953041</c:v>
                </c:pt>
                <c:pt idx="5">
                  <c:v>2.7172017551571339</c:v>
                </c:pt>
                <c:pt idx="6">
                  <c:v>2.9162557225664227</c:v>
                </c:pt>
                <c:pt idx="7">
                  <c:v>3.111113536050826</c:v>
                </c:pt>
                <c:pt idx="8">
                  <c:v>3.3040712203562799</c:v>
                </c:pt>
                <c:pt idx="9">
                  <c:v>3.5033863841883757</c:v>
                </c:pt>
                <c:pt idx="10">
                  <c:v>3.7018939807698357</c:v>
                </c:pt>
                <c:pt idx="11">
                  <c:v>3.8979714299028108</c:v>
                </c:pt>
                <c:pt idx="12">
                  <c:v>4.0933174486536767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'Master Template'!$F$230:$U$230</c:f>
              <c:numCache>
                <c:formatCode>0.00</c:formatCode>
                <c:ptCount val="16"/>
                <c:pt idx="0">
                  <c:v>54.319879670531634</c:v>
                </c:pt>
                <c:pt idx="1">
                  <c:v>52.147203807922267</c:v>
                </c:pt>
                <c:pt idx="2">
                  <c:v>49.477786017117467</c:v>
                </c:pt>
                <c:pt idx="3">
                  <c:v>49.272730566014246</c:v>
                </c:pt>
                <c:pt idx="4">
                  <c:v>78.552417199708088</c:v>
                </c:pt>
                <c:pt idx="5">
                  <c:v>78.400462920135425</c:v>
                </c:pt>
                <c:pt idx="6">
                  <c:v>75.658491414669342</c:v>
                </c:pt>
                <c:pt idx="7">
                  <c:v>74.518313571684345</c:v>
                </c:pt>
                <c:pt idx="8">
                  <c:v>73.468038731480178</c:v>
                </c:pt>
                <c:pt idx="9">
                  <c:v>72.979876659450639</c:v>
                </c:pt>
                <c:pt idx="10">
                  <c:v>72.10174054834097</c:v>
                </c:pt>
                <c:pt idx="11">
                  <c:v>70.403480504793393</c:v>
                </c:pt>
                <c:pt idx="12">
                  <c:v>70.875527144471249</c:v>
                </c:pt>
                <c:pt idx="13" formatCode="0.0">
                  <c:v>0</c:v>
                </c:pt>
                <c:pt idx="14" formatCode="0.0">
                  <c:v>0</c:v>
                </c:pt>
                <c:pt idx="15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E94-4826-8A62-CBA35E652D3A}"/>
            </c:ext>
          </c:extLst>
        </c:ser>
        <c:ser>
          <c:idx val="12"/>
          <c:order val="13"/>
          <c:tx>
            <c:v>MoC and N Conversion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Template'!$F$199:$U$199</c:f>
              <c:numCache>
                <c:formatCode>0.00</c:formatCode>
                <c:ptCount val="16"/>
                <c:pt idx="0">
                  <c:v>0.58637228214173298</c:v>
                </c:pt>
                <c:pt idx="1">
                  <c:v>1.1606311753535323</c:v>
                </c:pt>
                <c:pt idx="2">
                  <c:v>1.7384914250981005</c:v>
                </c:pt>
                <c:pt idx="3">
                  <c:v>2.3089840586303358</c:v>
                </c:pt>
                <c:pt idx="4">
                  <c:v>2.5172097581953041</c:v>
                </c:pt>
                <c:pt idx="5">
                  <c:v>2.7172017551571339</c:v>
                </c:pt>
                <c:pt idx="6">
                  <c:v>2.9162557225664227</c:v>
                </c:pt>
                <c:pt idx="7">
                  <c:v>3.111113536050826</c:v>
                </c:pt>
                <c:pt idx="8">
                  <c:v>3.3040712203562799</c:v>
                </c:pt>
                <c:pt idx="9">
                  <c:v>3.5033863841883757</c:v>
                </c:pt>
                <c:pt idx="10">
                  <c:v>3.7018939807698357</c:v>
                </c:pt>
                <c:pt idx="11">
                  <c:v>3.8979714299028108</c:v>
                </c:pt>
                <c:pt idx="12">
                  <c:v>4.0933174486536767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'Master Template'!$F$218:$U$218</c:f>
              <c:numCache>
                <c:formatCode>0.00</c:formatCode>
                <c:ptCount val="16"/>
                <c:pt idx="0">
                  <c:v>33.796811410187729</c:v>
                </c:pt>
                <c:pt idx="1">
                  <c:v>35.590094259568701</c:v>
                </c:pt>
                <c:pt idx="2">
                  <c:v>29.462279141827107</c:v>
                </c:pt>
                <c:pt idx="3">
                  <c:v>31.044840543417891</c:v>
                </c:pt>
                <c:pt idx="4">
                  <c:v>52.700197050373099</c:v>
                </c:pt>
                <c:pt idx="5">
                  <c:v>50.289742314490923</c:v>
                </c:pt>
                <c:pt idx="6">
                  <c:v>46.338833666972768</c:v>
                </c:pt>
                <c:pt idx="7">
                  <c:v>49.040691671668171</c:v>
                </c:pt>
                <c:pt idx="8">
                  <c:v>48.064929704309975</c:v>
                </c:pt>
                <c:pt idx="9">
                  <c:v>49.465450385312188</c:v>
                </c:pt>
                <c:pt idx="10">
                  <c:v>45.062302840345147</c:v>
                </c:pt>
                <c:pt idx="11">
                  <c:v>49.035402076370161</c:v>
                </c:pt>
                <c:pt idx="12">
                  <c:v>46.998497671309515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E94-4826-8A62-CBA35E652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7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Template'!$F$6:$L$6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Template'!$F$185:$L$185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84.090392001192257</c:v>
                      </c:pt>
                      <c:pt idx="1">
                        <c:v>83.440029681597395</c:v>
                      </c:pt>
                      <c:pt idx="2">
                        <c:v>80.044101931043414</c:v>
                      </c:pt>
                      <c:pt idx="3">
                        <c:v>80.440122836678171</c:v>
                      </c:pt>
                      <c:pt idx="4">
                        <c:v>98.714944276710753</c:v>
                      </c:pt>
                      <c:pt idx="5">
                        <c:v>98.420460100304993</c:v>
                      </c:pt>
                      <c:pt idx="6">
                        <c:v>97.894670885679375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7E94-4826-8A62-CBA35E652D3A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Template'!$F$6:$L$6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Template'!$F$201:$L$201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88</c:v>
                      </c:pt>
                      <c:pt idx="1">
                        <c:v>84.3</c:v>
                      </c:pt>
                      <c:pt idx="2">
                        <c:v>82.5</c:v>
                      </c:pt>
                      <c:pt idx="3">
                        <c:v>81.2</c:v>
                      </c:pt>
                      <c:pt idx="4">
                        <c:v>97.6</c:v>
                      </c:pt>
                      <c:pt idx="5">
                        <c:v>97</c:v>
                      </c:pt>
                      <c:pt idx="6">
                        <c:v>96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E94-4826-8A62-CBA35E652D3A}"/>
                  </c:ext>
                </c:extLst>
              </c15:ser>
            </c15:filteredScatterSeries>
            <c15:filteredScatterSeries>
              <c15:ser>
                <c:idx val="5"/>
                <c:order val="2"/>
                <c:tx>
                  <c:v>V_TOP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1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Template'!$F$172:$U$172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88.365956525370336</c:v>
                      </c:pt>
                      <c:pt idx="1">
                        <c:v>87.291811879994228</c:v>
                      </c:pt>
                      <c:pt idx="2">
                        <c:v>83.972230418852888</c:v>
                      </c:pt>
                      <c:pt idx="3">
                        <c:v>84.065216870895796</c:v>
                      </c:pt>
                      <c:pt idx="4">
                        <c:v>99.738730013766016</c:v>
                      </c:pt>
                      <c:pt idx="5">
                        <c:v>99.694359320154177</c:v>
                      </c:pt>
                      <c:pt idx="6">
                        <c:v>99.535600224715751</c:v>
                      </c:pt>
                      <c:pt idx="7">
                        <c:v>99.351538265392492</c:v>
                      </c:pt>
                      <c:pt idx="8">
                        <c:v>98.98818030144102</c:v>
                      </c:pt>
                      <c:pt idx="9">
                        <c:v>98.951835366818557</c:v>
                      </c:pt>
                      <c:pt idx="10">
                        <c:v>98.706331490929699</c:v>
                      </c:pt>
                      <c:pt idx="11">
                        <c:v>98.736642037490199</c:v>
                      </c:pt>
                      <c:pt idx="12">
                        <c:v>98.575404959733333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E94-4826-8A62-CBA35E652D3A}"/>
                  </c:ext>
                </c:extLst>
              </c15:ser>
            </c15:filteredScatterSeries>
            <c15:filteredScatterSeries>
              <c15:ser>
                <c:idx val="6"/>
                <c:order val="3"/>
                <c:tx>
                  <c:v>V_ART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Template'!$F$173:$U$173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92</c:v>
                      </c:pt>
                      <c:pt idx="1">
                        <c:v>88.5</c:v>
                      </c:pt>
                      <c:pt idx="2">
                        <c:v>86.2</c:v>
                      </c:pt>
                      <c:pt idx="3">
                        <c:v>85.2</c:v>
                      </c:pt>
                      <c:pt idx="4">
                        <c:v>98.5</c:v>
                      </c:pt>
                      <c:pt idx="5">
                        <c:v>98.2</c:v>
                      </c:pt>
                      <c:pt idx="6">
                        <c:v>98</c:v>
                      </c:pt>
                      <c:pt idx="7">
                        <c:v>97.8</c:v>
                      </c:pt>
                      <c:pt idx="8">
                        <c:v>97.6</c:v>
                      </c:pt>
                      <c:pt idx="9">
                        <c:v>97.4</c:v>
                      </c:pt>
                      <c:pt idx="10">
                        <c:v>97</c:v>
                      </c:pt>
                      <c:pt idx="11">
                        <c:v>94.4</c:v>
                      </c:pt>
                      <c:pt idx="12">
                        <c:v>94</c:v>
                      </c:pt>
                      <c:pt idx="13">
                        <c:v>95</c:v>
                      </c:pt>
                      <c:pt idx="14">
                        <c:v>94.5</c:v>
                      </c:pt>
                      <c:pt idx="15">
                        <c:v>93.9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E94-4826-8A62-CBA35E652D3A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v>Ni_TOP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11"/>
                  <c:spPr>
                    <a:solidFill>
                      <a:srgbClr val="2D0DA3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Template'!$F$166:$U$166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70.205740913664116</c:v>
                      </c:pt>
                      <c:pt idx="1">
                        <c:v>70.931587442575676</c:v>
                      </c:pt>
                      <c:pt idx="2">
                        <c:v>67.287729486705459</c:v>
                      </c:pt>
                      <c:pt idx="3">
                        <c:v>68.667837436712745</c:v>
                      </c:pt>
                      <c:pt idx="4">
                        <c:v>95.458451159462328</c:v>
                      </c:pt>
                      <c:pt idx="5">
                        <c:v>94.368397357724433</c:v>
                      </c:pt>
                      <c:pt idx="6">
                        <c:v>92.675146032917581</c:v>
                      </c:pt>
                      <c:pt idx="7">
                        <c:v>91.737268623248113</c:v>
                      </c:pt>
                      <c:pt idx="8">
                        <c:v>90.720493302188004</c:v>
                      </c:pt>
                      <c:pt idx="9">
                        <c:v>89.961645390444048</c:v>
                      </c:pt>
                      <c:pt idx="10">
                        <c:v>88.732310773517284</c:v>
                      </c:pt>
                      <c:pt idx="11">
                        <c:v>88.984914704384693</c:v>
                      </c:pt>
                      <c:pt idx="12">
                        <c:v>88.368595784930676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7E94-4826-8A62-CBA35E652D3A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v>Ni_ART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9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Template'!$F$167:$U$167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77</c:v>
                      </c:pt>
                      <c:pt idx="1">
                        <c:v>71.2</c:v>
                      </c:pt>
                      <c:pt idx="2">
                        <c:v>69.099999999999994</c:v>
                      </c:pt>
                      <c:pt idx="3">
                        <c:v>67.7</c:v>
                      </c:pt>
                      <c:pt idx="4">
                        <c:v>94</c:v>
                      </c:pt>
                      <c:pt idx="5">
                        <c:v>90.5</c:v>
                      </c:pt>
                      <c:pt idx="6">
                        <c:v>89.8</c:v>
                      </c:pt>
                      <c:pt idx="7">
                        <c:v>89</c:v>
                      </c:pt>
                      <c:pt idx="8">
                        <c:v>88.2</c:v>
                      </c:pt>
                      <c:pt idx="9">
                        <c:v>87.1</c:v>
                      </c:pt>
                      <c:pt idx="10">
                        <c:v>88.5</c:v>
                      </c:pt>
                      <c:pt idx="11">
                        <c:v>83.2</c:v>
                      </c:pt>
                      <c:pt idx="12">
                        <c:v>83</c:v>
                      </c:pt>
                      <c:pt idx="13">
                        <c:v>84.1</c:v>
                      </c:pt>
                      <c:pt idx="14">
                        <c:v>83</c:v>
                      </c:pt>
                      <c:pt idx="15">
                        <c:v>82.9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7E94-4826-8A62-CBA35E652D3A}"/>
                  </c:ext>
                </c:extLst>
              </c15:ser>
            </c15:filteredScatterSeries>
            <c15:filteredScatterSeries>
              <c15:ser>
                <c:idx val="7"/>
                <c:order val="6"/>
                <c:tx>
                  <c:v>+5 absolute difference_Ni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9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MetConv_Ni_V!$V$12:$AA$12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MetConv_Ni_V!$V$16:$AA$16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7E94-4826-8A62-CBA35E652D3A}"/>
                  </c:ext>
                </c:extLst>
              </c15:ser>
            </c15:filteredScatterSeries>
            <c15:filteredScatterSeries>
              <c15:ser>
                <c:idx val="8"/>
                <c:order val="7"/>
                <c:tx>
                  <c:v>-5% absolute difference_Ni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MetConv_Ni_V!$V$12:$AA$12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MetConv_Ni_V!$V$17:$AA$17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7E94-4826-8A62-CBA35E652D3A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4.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MoC on Rx3 </a:t>
                </a:r>
              </a:p>
            </c:rich>
          </c:tx>
          <c:layout>
            <c:manualLayout>
              <c:xMode val="edge"/>
              <c:yMode val="edge"/>
              <c:x val="0.50552833484632453"/>
              <c:y val="0.926462662036905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% S, N, and Metal Conversion</a:t>
                </a:r>
              </a:p>
            </c:rich>
          </c:tx>
          <c:layout>
            <c:manualLayout>
              <c:xMode val="edge"/>
              <c:yMode val="edge"/>
              <c:x val="5.0795376707640533E-2"/>
              <c:y val="0.393774858988087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alpha val="87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81764996977025628"/>
          <c:y val="0.52209924129755914"/>
          <c:w val="0.13781192179762999"/>
          <c:h val="0.118990699427224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55255905511811"/>
          <c:y val="0.26160130278588128"/>
          <c:w val="0.74259675979666939"/>
          <c:h val="0.61882603706213446"/>
        </c:manualLayout>
      </c:layout>
      <c:scatterChart>
        <c:scatterStyle val="lineMarker"/>
        <c:varyColors val="0"/>
        <c:ser>
          <c:idx val="0"/>
          <c:order val="1"/>
          <c:tx>
            <c:v>LTO TOP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9C-4E8B-8D38-1769DB81C640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9C-4E8B-8D38-1769DB81C6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Template'!$F$6:$AH$6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'LTO DAILY'!$H$9:$X$9</c:f>
              <c:numCache>
                <c:formatCode>0.00</c:formatCode>
                <c:ptCount val="17"/>
                <c:pt idx="1">
                  <c:v>40.72</c:v>
                </c:pt>
                <c:pt idx="2">
                  <c:v>42</c:v>
                </c:pt>
                <c:pt idx="3">
                  <c:v>42.5</c:v>
                </c:pt>
                <c:pt idx="4">
                  <c:v>40.68</c:v>
                </c:pt>
                <c:pt idx="5">
                  <c:v>42.6</c:v>
                </c:pt>
                <c:pt idx="6">
                  <c:v>40.17</c:v>
                </c:pt>
                <c:pt idx="7">
                  <c:v>41.06</c:v>
                </c:pt>
                <c:pt idx="8">
                  <c:v>40.409999999999997</c:v>
                </c:pt>
                <c:pt idx="9">
                  <c:v>41.09</c:v>
                </c:pt>
                <c:pt idx="10">
                  <c:v>40.409999999999997</c:v>
                </c:pt>
                <c:pt idx="11">
                  <c:v>41.33</c:v>
                </c:pt>
                <c:pt idx="12">
                  <c:v>41.15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A9C-4E8B-8D38-1769DB81C640}"/>
            </c:ext>
          </c:extLst>
        </c:ser>
        <c:ser>
          <c:idx val="1"/>
          <c:order val="2"/>
          <c:tx>
            <c:v>LTO ART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'Master Template'!$F$6:$V$6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'HPS LTO DAILY '!$AI$11:$AI$26</c:f>
              <c:numCache>
                <c:formatCode>General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9C-4E8B-8D38-1769DB81C640}"/>
            </c:ext>
          </c:extLst>
        </c:ser>
        <c:ser>
          <c:idx val="5"/>
          <c:order val="5"/>
          <c:tx>
            <c:v>HPS ART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'HPS LTO DAILY '!$AJ$11:$AJ$26</c:f>
              <c:numCache>
                <c:formatCode>General</c:formatCode>
                <c:ptCount val="16"/>
                <c:pt idx="0">
                  <c:v>12.4</c:v>
                </c:pt>
                <c:pt idx="1">
                  <c:v>12.2</c:v>
                </c:pt>
                <c:pt idx="2">
                  <c:v>11.5</c:v>
                </c:pt>
                <c:pt idx="3">
                  <c:v>11.3</c:v>
                </c:pt>
                <c:pt idx="4">
                  <c:v>16</c:v>
                </c:pt>
                <c:pt idx="5">
                  <c:v>15.8</c:v>
                </c:pt>
                <c:pt idx="6">
                  <c:v>15.8</c:v>
                </c:pt>
                <c:pt idx="7">
                  <c:v>15.8</c:v>
                </c:pt>
                <c:pt idx="8">
                  <c:v>15.7</c:v>
                </c:pt>
                <c:pt idx="9">
                  <c:v>15.7</c:v>
                </c:pt>
                <c:pt idx="10">
                  <c:v>15.6</c:v>
                </c:pt>
                <c:pt idx="11">
                  <c:v>15</c:v>
                </c:pt>
                <c:pt idx="12">
                  <c:v>15.6</c:v>
                </c:pt>
                <c:pt idx="13">
                  <c:v>15.6</c:v>
                </c:pt>
                <c:pt idx="14">
                  <c:v>15</c:v>
                </c:pt>
                <c:pt idx="15">
                  <c:v>15.1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A9C-4E8B-8D38-1769DB81C640}"/>
            </c:ext>
          </c:extLst>
        </c:ser>
        <c:ser>
          <c:idx val="6"/>
          <c:order val="6"/>
          <c:tx>
            <c:v>HPS TOP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'Master Template'!$F$6:$V$6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'HPS DAILY'!$K$10:$AA$10</c:f>
              <c:numCache>
                <c:formatCode>0.00</c:formatCode>
                <c:ptCount val="17"/>
                <c:pt idx="0">
                  <c:v>13.26</c:v>
                </c:pt>
                <c:pt idx="1">
                  <c:v>12.63</c:v>
                </c:pt>
                <c:pt idx="2">
                  <c:v>11.93</c:v>
                </c:pt>
                <c:pt idx="3">
                  <c:v>11.94</c:v>
                </c:pt>
                <c:pt idx="4">
                  <c:v>18.440000000000001</c:v>
                </c:pt>
                <c:pt idx="5">
                  <c:v>17.690000000000001</c:v>
                </c:pt>
                <c:pt idx="6">
                  <c:v>17.2</c:v>
                </c:pt>
                <c:pt idx="7">
                  <c:v>16.96</c:v>
                </c:pt>
                <c:pt idx="8">
                  <c:v>16.23</c:v>
                </c:pt>
                <c:pt idx="9">
                  <c:v>16.47</c:v>
                </c:pt>
                <c:pt idx="10">
                  <c:v>16.18</c:v>
                </c:pt>
                <c:pt idx="11">
                  <c:v>16.05</c:v>
                </c:pt>
                <c:pt idx="12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A9C-4E8B-8D38-1769DB81C640}"/>
            </c:ext>
          </c:extLst>
        </c:ser>
        <c:ser>
          <c:idx val="7"/>
          <c:order val="7"/>
          <c:tx>
            <c:v>Aging</c:v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38100" cap="rnd">
                <a:solidFill>
                  <a:schemeClr val="bg1">
                    <a:lumMod val="50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9A9C-4E8B-8D38-1769DB81C640}"/>
              </c:ext>
            </c:extLst>
          </c:dPt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8-9A9C-4E8B-8D38-1769DB81C640}"/>
            </c:ext>
          </c:extLst>
        </c:ser>
        <c:ser>
          <c:idx val="8"/>
          <c:order val="8"/>
          <c:tx>
            <c:v>Change Cond.</c:v>
          </c:tx>
          <c:spPr>
            <a:ln w="381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10.5</c:v>
              </c:pt>
              <c:pt idx="1">
                <c:v>10.5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9-9A9C-4E8B-8D38-1769DB81C640}"/>
            </c:ext>
          </c:extLst>
        </c:ser>
        <c:ser>
          <c:idx val="10"/>
          <c:order val="10"/>
          <c:tx>
            <c:v>SR Feed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API!$C$40:$Q$40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API!$C$41:$Q$41</c:f>
              <c:numCache>
                <c:formatCode>0.000</c:formatCode>
                <c:ptCount val="15"/>
                <c:pt idx="0">
                  <c:v>2.725004742933038</c:v>
                </c:pt>
                <c:pt idx="1">
                  <c:v>2.725004742933038</c:v>
                </c:pt>
                <c:pt idx="2">
                  <c:v>2.725004742933038</c:v>
                </c:pt>
                <c:pt idx="3">
                  <c:v>2.725004742933038</c:v>
                </c:pt>
                <c:pt idx="4" formatCode="0.00000">
                  <c:v>2.725004742933038</c:v>
                </c:pt>
                <c:pt idx="5" formatCode="0.00000">
                  <c:v>2.725004742933038</c:v>
                </c:pt>
                <c:pt idx="6" formatCode="0.00000">
                  <c:v>2.725004742933038</c:v>
                </c:pt>
                <c:pt idx="7" formatCode="0.00000">
                  <c:v>2.725004742933038</c:v>
                </c:pt>
                <c:pt idx="8" formatCode="0.00000">
                  <c:v>2.725004742933038</c:v>
                </c:pt>
                <c:pt idx="9" formatCode="0.00000">
                  <c:v>2.725004742933038</c:v>
                </c:pt>
                <c:pt idx="10" formatCode="0.00000">
                  <c:v>1.0509999999999999</c:v>
                </c:pt>
                <c:pt idx="11" formatCode="0.00000">
                  <c:v>1.0509999999999999</c:v>
                </c:pt>
                <c:pt idx="12" formatCode="0.00000">
                  <c:v>1.0509999999999999</c:v>
                </c:pt>
                <c:pt idx="13" formatCode="0.00000">
                  <c:v>1.0509999999999999</c:v>
                </c:pt>
                <c:pt idx="14" formatCode="0.00000">
                  <c:v>1.0509999999999999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3B-408D-9BBD-5FA1E3BD7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Template'!$C$162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Template'!$F$162:$U$162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45.4</c:v>
                      </c:pt>
                      <c:pt idx="1">
                        <c:v>45</c:v>
                      </c:pt>
                      <c:pt idx="2">
                        <c:v>45.1</c:v>
                      </c:pt>
                      <c:pt idx="3">
                        <c:v>45.8</c:v>
                      </c:pt>
                      <c:pt idx="4">
                        <c:v>81.8</c:v>
                      </c:pt>
                      <c:pt idx="5">
                        <c:v>80.2</c:v>
                      </c:pt>
                      <c:pt idx="6">
                        <c:v>79.8</c:v>
                      </c:pt>
                      <c:pt idx="7">
                        <c:v>78.5</c:v>
                      </c:pt>
                      <c:pt idx="8">
                        <c:v>76.8</c:v>
                      </c:pt>
                      <c:pt idx="9">
                        <c:v>76.400000000000006</c:v>
                      </c:pt>
                      <c:pt idx="10">
                        <c:v>77.400000000000006</c:v>
                      </c:pt>
                      <c:pt idx="11">
                        <c:v>76.86666666666666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A-9A9C-4E8B-8D38-1769DB81C640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Template'!$G$163:$L$163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</c:v>
                      </c:pt>
                      <c:pt idx="1">
                        <c:v>39.1</c:v>
                      </c:pt>
                      <c:pt idx="2">
                        <c:v>39.799999999999997</c:v>
                      </c:pt>
                      <c:pt idx="3">
                        <c:v>75.8</c:v>
                      </c:pt>
                      <c:pt idx="4">
                        <c:v>74.2</c:v>
                      </c:pt>
                      <c:pt idx="5">
                        <c:v>73.8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9A9C-4E8B-8D38-1769DB81C640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Template'!$F$163:$U$163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39.4</c:v>
                      </c:pt>
                      <c:pt idx="1">
                        <c:v>39</c:v>
                      </c:pt>
                      <c:pt idx="2">
                        <c:v>39.1</c:v>
                      </c:pt>
                      <c:pt idx="3">
                        <c:v>39.799999999999997</c:v>
                      </c:pt>
                      <c:pt idx="4">
                        <c:v>75.8</c:v>
                      </c:pt>
                      <c:pt idx="5">
                        <c:v>74.2</c:v>
                      </c:pt>
                      <c:pt idx="6">
                        <c:v>73.8</c:v>
                      </c:pt>
                      <c:pt idx="7">
                        <c:v>72.5</c:v>
                      </c:pt>
                      <c:pt idx="8">
                        <c:v>70.8</c:v>
                      </c:pt>
                      <c:pt idx="9">
                        <c:v>70.400000000000006</c:v>
                      </c:pt>
                      <c:pt idx="10">
                        <c:v>71.400000000000006</c:v>
                      </c:pt>
                      <c:pt idx="11">
                        <c:v>70.86666666666666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A9C-4E8B-8D38-1769DB81C640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VR Feed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Template'!$F$117:$U$117</c15:sqref>
                        </c15:formulaRef>
                      </c:ext>
                    </c:extLst>
                    <c:numCache>
                      <c:formatCode>0.000</c:formatCode>
                      <c:ptCount val="16"/>
                      <c:pt idx="0">
                        <c:v>0.11618593563766388</c:v>
                      </c:pt>
                      <c:pt idx="1">
                        <c:v>0.11618593563766386</c:v>
                      </c:pt>
                      <c:pt idx="2">
                        <c:v>0.11618593563766386</c:v>
                      </c:pt>
                      <c:pt idx="3">
                        <c:v>0.11618593563766387</c:v>
                      </c:pt>
                      <c:pt idx="4">
                        <c:v>0.11618593563766387</c:v>
                      </c:pt>
                      <c:pt idx="5">
                        <c:v>0.1161859356376639</c:v>
                      </c:pt>
                      <c:pt idx="6">
                        <c:v>0.1161859356376639</c:v>
                      </c:pt>
                      <c:pt idx="7">
                        <c:v>0.11618593563766388</c:v>
                      </c:pt>
                      <c:pt idx="8">
                        <c:v>0.1161859356376639</c:v>
                      </c:pt>
                      <c:pt idx="9">
                        <c:v>0.11618593563766387</c:v>
                      </c:pt>
                      <c:pt idx="10">
                        <c:v>0.11618593563766388</c:v>
                      </c:pt>
                      <c:pt idx="11">
                        <c:v>0.11618593563766388</c:v>
                      </c:pt>
                      <c:pt idx="12">
                        <c:v>0.1161859356376639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01E-4741-9062-DDDB0B03CB41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layout>
            <c:manualLayout>
              <c:xMode val="edge"/>
              <c:yMode val="edge"/>
              <c:x val="0.40550964566929132"/>
              <c:y val="0.924855308329628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API</a:t>
                </a:r>
              </a:p>
            </c:rich>
          </c:tx>
          <c:layout>
            <c:manualLayout>
              <c:xMode val="edge"/>
              <c:yMode val="edge"/>
              <c:x val="3.9582383604640184E-2"/>
              <c:y val="0.484671479462528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84303079457890673"/>
          <c:y val="0.3418276707740161"/>
          <c:w val="0.12873134429730498"/>
          <c:h val="0.23889323038752203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976469281501913E-2"/>
          <c:y val="0.2638248855252105"/>
          <c:w val="0.68265135355199713"/>
          <c:h val="0.5922410549750492"/>
        </c:manualLayout>
      </c:layout>
      <c:scatterChart>
        <c:scatterStyle val="lineMarker"/>
        <c:varyColors val="0"/>
        <c:ser>
          <c:idx val="8"/>
          <c:order val="1"/>
          <c:tx>
            <c:v>LTO_TOP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dPt>
            <c:idx val="1"/>
            <c:marker>
              <c:symbol val="none"/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665-4284-8531-C8EA4A7B9C58}"/>
              </c:ext>
            </c:extLst>
          </c:dPt>
          <c:dLbls>
            <c:dLbl>
              <c:idx val="14"/>
              <c:layout>
                <c:manualLayout>
                  <c:x val="-1.5226206164575344E-2"/>
                  <c:y val="-3.62097496794344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3F6-44B1-898C-71078CFE9E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Template'!$CO$6:$DD$6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Template'!$CO$117:$DD$117</c:f>
              <c:numCache>
                <c:formatCode>0.000</c:formatCode>
                <c:ptCount val="16"/>
                <c:pt idx="0">
                  <c:v>0</c:v>
                </c:pt>
                <c:pt idx="1">
                  <c:v>0.15448755066589462</c:v>
                </c:pt>
                <c:pt idx="2">
                  <c:v>0.15596646376478696</c:v>
                </c:pt>
                <c:pt idx="3">
                  <c:v>0.15389055645347496</c:v>
                </c:pt>
                <c:pt idx="4">
                  <c:v>0.15036127996329854</c:v>
                </c:pt>
                <c:pt idx="5">
                  <c:v>0.15527950310559008</c:v>
                </c:pt>
                <c:pt idx="6">
                  <c:v>0.14943447960699191</c:v>
                </c:pt>
                <c:pt idx="7">
                  <c:v>0.1530355097365407</c:v>
                </c:pt>
                <c:pt idx="8">
                  <c:v>0.14894220407237252</c:v>
                </c:pt>
                <c:pt idx="9">
                  <c:v>0.15157750342935525</c:v>
                </c:pt>
                <c:pt idx="10">
                  <c:v>0.15408805031446543</c:v>
                </c:pt>
                <c:pt idx="11">
                  <c:v>0.1515775034293553</c:v>
                </c:pt>
                <c:pt idx="12">
                  <c:v>0.15113235461477181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3F6-44B1-898C-71078CFE9E96}"/>
            </c:ext>
          </c:extLst>
        </c:ser>
        <c:ser>
          <c:idx val="7"/>
          <c:order val="2"/>
          <c:tx>
            <c:v>LTO_ART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13"/>
              <c:layout>
                <c:manualLayout>
                  <c:x val="-1.0940758806233993E-2"/>
                  <c:y val="3.51113888074845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665-4284-8531-C8EA4A7B9C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Template'!$CO$6:$DD$6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Template'!$CO$118:$DD$118</c:f>
              <c:numCache>
                <c:formatCode>0.000</c:formatCode>
                <c:ptCount val="16"/>
                <c:pt idx="0">
                  <c:v>0.155</c:v>
                </c:pt>
                <c:pt idx="1">
                  <c:v>0.155</c:v>
                </c:pt>
                <c:pt idx="2">
                  <c:v>0.156</c:v>
                </c:pt>
                <c:pt idx="3">
                  <c:v>0.157</c:v>
                </c:pt>
                <c:pt idx="4">
                  <c:v>0.156</c:v>
                </c:pt>
                <c:pt idx="5">
                  <c:v>0.157</c:v>
                </c:pt>
                <c:pt idx="6">
                  <c:v>0.1565</c:v>
                </c:pt>
                <c:pt idx="7">
                  <c:v>0.156</c:v>
                </c:pt>
                <c:pt idx="8">
                  <c:v>0.155</c:v>
                </c:pt>
                <c:pt idx="9">
                  <c:v>0.159</c:v>
                </c:pt>
                <c:pt idx="10">
                  <c:v>0.156</c:v>
                </c:pt>
                <c:pt idx="11">
                  <c:v>0.1555</c:v>
                </c:pt>
                <c:pt idx="12">
                  <c:v>0.158</c:v>
                </c:pt>
                <c:pt idx="13">
                  <c:v>0.158</c:v>
                </c:pt>
                <c:pt idx="14">
                  <c:v>0.156</c:v>
                </c:pt>
                <c:pt idx="15">
                  <c:v>0.157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F6-44B1-898C-71078CFE9E96}"/>
            </c:ext>
          </c:extLst>
        </c:ser>
        <c:ser>
          <c:idx val="0"/>
          <c:order val="3"/>
          <c:tx>
            <c:v>HPS_TOP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4"/>
              <c:layout>
                <c:manualLayout>
                  <c:x val="-1.8097156522630671E-2"/>
                  <c:y val="-1.416303003316635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972350412145643E-2"/>
                      <c:h val="2.137986002571353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2540-4319-AC03-62C27BCD85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Template'!$BL$6:$CA$6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Template'!$BL$58:$CA$58</c:f>
              <c:numCache>
                <c:formatCode>General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540-4319-AC03-62C27BCD8592}"/>
            </c:ext>
          </c:extLst>
        </c:ser>
        <c:ser>
          <c:idx val="1"/>
          <c:order val="4"/>
          <c:tx>
            <c:v>HPS_ART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14"/>
              <c:layout>
                <c:manualLayout>
                  <c:x val="-8.0646456599323766E-3"/>
                  <c:y val="4.38526824099621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540-4319-AC03-62C27BCD85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Template'!$BL$6:$CA$6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Template'!$BL$118:$CA$118</c:f>
              <c:numCache>
                <c:formatCode>0.000</c:formatCode>
                <c:ptCount val="16"/>
                <c:pt idx="0">
                  <c:v>0.125</c:v>
                </c:pt>
                <c:pt idx="1">
                  <c:v>0.123</c:v>
                </c:pt>
                <c:pt idx="2">
                  <c:v>0.122</c:v>
                </c:pt>
                <c:pt idx="3">
                  <c:v>0.121</c:v>
                </c:pt>
                <c:pt idx="4">
                  <c:v>0.1275</c:v>
                </c:pt>
                <c:pt idx="5">
                  <c:v>0.122</c:v>
                </c:pt>
                <c:pt idx="6">
                  <c:v>0.128</c:v>
                </c:pt>
                <c:pt idx="7">
                  <c:v>0.125</c:v>
                </c:pt>
                <c:pt idx="8">
                  <c:v>0.127</c:v>
                </c:pt>
                <c:pt idx="9">
                  <c:v>0.123</c:v>
                </c:pt>
                <c:pt idx="10">
                  <c:v>0.121</c:v>
                </c:pt>
                <c:pt idx="11">
                  <c:v>0.123</c:v>
                </c:pt>
                <c:pt idx="12">
                  <c:v>0.126</c:v>
                </c:pt>
                <c:pt idx="13">
                  <c:v>0.123</c:v>
                </c:pt>
                <c:pt idx="14">
                  <c:v>0.124</c:v>
                </c:pt>
                <c:pt idx="15">
                  <c:v>0.123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40-4319-AC03-62C27BCD8592}"/>
            </c:ext>
          </c:extLst>
        </c:ser>
        <c:ser>
          <c:idx val="5"/>
          <c:order val="7"/>
          <c:tx>
            <c:v>Aging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2540-4319-AC03-62C27BCD8592}"/>
            </c:ext>
          </c:extLst>
        </c:ser>
        <c:ser>
          <c:idx val="6"/>
          <c:order val="8"/>
          <c:tx>
            <c:v>Change Cond.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10.5</c:v>
              </c:pt>
              <c:pt idx="1">
                <c:v>10.5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2540-4319-AC03-62C27BCD8592}"/>
            </c:ext>
          </c:extLst>
        </c:ser>
        <c:ser>
          <c:idx val="9"/>
          <c:order val="9"/>
          <c:tx>
            <c:v>H/C Ratio_SR Feed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2"/>
              <c:layout>
                <c:manualLayout>
                  <c:x val="-2.0826063342717659E-2"/>
                  <c:y val="2.22082045405843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1D9-48DE-BC88-D7013F48C974}"/>
                </c:ext>
              </c:extLst>
            </c:dLbl>
            <c:dLbl>
              <c:idx val="6"/>
              <c:layout>
                <c:manualLayout>
                  <c:x val="-2.9156488679804738E-2"/>
                  <c:y val="2.624605991159965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0.115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1D9-48DE-BC88-D7013F48C974}"/>
                </c:ext>
              </c:extLst>
            </c:dLbl>
            <c:dLbl>
              <c:idx val="13"/>
              <c:layout>
                <c:manualLayout>
                  <c:x val="-2.9156488679804686E-2"/>
                  <c:y val="3.028391528261490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0.116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1D9-48DE-BC88-D7013F48C9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Template'!$F$58:$U$58</c:f>
              <c:numCache>
                <c:formatCode>0.000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3F6-44B1-898C-71078CFE9E96}"/>
            </c:ext>
          </c:extLst>
        </c:ser>
        <c:ser>
          <c:idx val="11"/>
          <c:order val="11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API!$X$40:$X$41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API!$Y$40:$Y$41</c:f>
              <c:numCache>
                <c:formatCode>General</c:formatCode>
                <c:ptCount val="2"/>
                <c:pt idx="0">
                  <c:v>0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665-4284-8531-C8EA4A7B9C58}"/>
            </c:ext>
          </c:extLst>
        </c:ser>
        <c:ser>
          <c:idx val="12"/>
          <c:order val="12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API!$X$43:$X$44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API!$Y$43:$Y$44</c:f>
              <c:numCache>
                <c:formatCode>General</c:formatCode>
                <c:ptCount val="2"/>
                <c:pt idx="0">
                  <c:v>0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665-4284-8531-C8EA4A7B9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Template'!$C$162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Template'!$F$162:$U$162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45.4</c:v>
                      </c:pt>
                      <c:pt idx="1">
                        <c:v>45</c:v>
                      </c:pt>
                      <c:pt idx="2">
                        <c:v>45.1</c:v>
                      </c:pt>
                      <c:pt idx="3">
                        <c:v>45.8</c:v>
                      </c:pt>
                      <c:pt idx="4">
                        <c:v>81.8</c:v>
                      </c:pt>
                      <c:pt idx="5">
                        <c:v>80.2</c:v>
                      </c:pt>
                      <c:pt idx="6">
                        <c:v>79.8</c:v>
                      </c:pt>
                      <c:pt idx="7">
                        <c:v>78.5</c:v>
                      </c:pt>
                      <c:pt idx="8">
                        <c:v>76.8</c:v>
                      </c:pt>
                      <c:pt idx="9">
                        <c:v>76.400000000000006</c:v>
                      </c:pt>
                      <c:pt idx="10">
                        <c:v>77.400000000000006</c:v>
                      </c:pt>
                      <c:pt idx="11">
                        <c:v>76.86666666666666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2540-4319-AC03-62C27BCD8592}"/>
                  </c:ext>
                </c:extLst>
              </c15:ser>
            </c15:filteredScatterSeries>
            <c15:filteredScatterSeries>
              <c15:ser>
                <c:idx val="3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Template'!$G$163:$L$163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</c:v>
                      </c:pt>
                      <c:pt idx="1">
                        <c:v>39.1</c:v>
                      </c:pt>
                      <c:pt idx="2">
                        <c:v>39.799999999999997</c:v>
                      </c:pt>
                      <c:pt idx="3">
                        <c:v>75.8</c:v>
                      </c:pt>
                      <c:pt idx="4">
                        <c:v>74.2</c:v>
                      </c:pt>
                      <c:pt idx="5">
                        <c:v>73.8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540-4319-AC03-62C27BCD8592}"/>
                  </c:ext>
                </c:extLst>
              </c15:ser>
            </c15:filteredScatterSeries>
            <c15:filteredScatterSeries>
              <c15:ser>
                <c:idx val="4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Template'!$F$163:$U$163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39.4</c:v>
                      </c:pt>
                      <c:pt idx="1">
                        <c:v>39</c:v>
                      </c:pt>
                      <c:pt idx="2">
                        <c:v>39.1</c:v>
                      </c:pt>
                      <c:pt idx="3">
                        <c:v>39.799999999999997</c:v>
                      </c:pt>
                      <c:pt idx="4">
                        <c:v>75.8</c:v>
                      </c:pt>
                      <c:pt idx="5">
                        <c:v>74.2</c:v>
                      </c:pt>
                      <c:pt idx="6">
                        <c:v>73.8</c:v>
                      </c:pt>
                      <c:pt idx="7">
                        <c:v>72.5</c:v>
                      </c:pt>
                      <c:pt idx="8">
                        <c:v>70.8</c:v>
                      </c:pt>
                      <c:pt idx="9">
                        <c:v>70.400000000000006</c:v>
                      </c:pt>
                      <c:pt idx="10">
                        <c:v>71.400000000000006</c:v>
                      </c:pt>
                      <c:pt idx="11">
                        <c:v>70.86666666666666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540-4319-AC03-62C27BCD8592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v>H/C Ratio VR Feed 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13"/>
                    <c:layout>
                      <c:manualLayout>
                        <c:x val="-2.3504594990462178E-2"/>
                        <c:y val="4.5865682927283602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2-7665-4284-8531-C8EA4A7B9C5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Template'!$F$118:$U$118</c15:sqref>
                        </c15:formulaRef>
                      </c:ext>
                    </c:extLst>
                    <c:numCache>
                      <c:formatCode>0.000</c:formatCode>
                      <c:ptCount val="16"/>
                      <c:pt idx="0">
                        <c:v>0.113</c:v>
                      </c:pt>
                      <c:pt idx="1">
                        <c:v>0.113</c:v>
                      </c:pt>
                      <c:pt idx="2">
                        <c:v>0.113</c:v>
                      </c:pt>
                      <c:pt idx="3">
                        <c:v>0.113</c:v>
                      </c:pt>
                      <c:pt idx="4">
                        <c:v>0.113</c:v>
                      </c:pt>
                      <c:pt idx="5">
                        <c:v>0.113</c:v>
                      </c:pt>
                      <c:pt idx="6">
                        <c:v>0.113</c:v>
                      </c:pt>
                      <c:pt idx="7">
                        <c:v>0.113</c:v>
                      </c:pt>
                      <c:pt idx="8">
                        <c:v>0.113</c:v>
                      </c:pt>
                      <c:pt idx="9">
                        <c:v>0.113</c:v>
                      </c:pt>
                      <c:pt idx="10">
                        <c:v>0.11600000000000001</c:v>
                      </c:pt>
                      <c:pt idx="11">
                        <c:v>0.11600000000000001</c:v>
                      </c:pt>
                      <c:pt idx="12">
                        <c:v>0.11600000000000001</c:v>
                      </c:pt>
                      <c:pt idx="13">
                        <c:v>0.11600000000000001</c:v>
                      </c:pt>
                      <c:pt idx="14">
                        <c:v>0.11600000000000001</c:v>
                      </c:pt>
                      <c:pt idx="15">
                        <c:v>0.11600000000000001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3F6-44B1-898C-71078CFE9E96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layout>
            <c:manualLayout>
              <c:xMode val="edge"/>
              <c:yMode val="edge"/>
              <c:x val="0.44881340053370039"/>
              <c:y val="0.916732236737268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0.2"/>
          <c:min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80036751287947228"/>
          <c:y val="0.31028291887538623"/>
          <c:w val="0.1996325037483859"/>
          <c:h val="0.39218736938973614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248968487386559"/>
          <c:y val="0.2443541011328266"/>
          <c:w val="0.70870663148881918"/>
          <c:h val="0.61752164216507233"/>
        </c:manualLayout>
      </c:layout>
      <c:scatterChart>
        <c:scatterStyle val="lineMarker"/>
        <c:varyColors val="0"/>
        <c:ser>
          <c:idx val="2"/>
          <c:order val="8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MetConv_Ni_V!$G$47:$G$48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MetConv_Ni_V!$H$47:$H$48</c:f>
              <c:numCache>
                <c:formatCode>General</c:formatCode>
                <c:ptCount val="2"/>
                <c:pt idx="0">
                  <c:v>-5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EF-48DB-AE45-9BAB2E2647D7}"/>
            </c:ext>
          </c:extLst>
        </c:ser>
        <c:ser>
          <c:idx val="9"/>
          <c:order val="9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MetConv_Ni_V!$G$50:$G$51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MetConv_Ni_V!$H$50:$H$51</c:f>
              <c:numCache>
                <c:formatCode>General</c:formatCode>
                <c:ptCount val="2"/>
                <c:pt idx="0">
                  <c:v>-5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8EF-48DB-AE45-9BAB2E2647D7}"/>
            </c:ext>
          </c:extLst>
        </c:ser>
        <c:ser>
          <c:idx val="10"/>
          <c:order val="10"/>
          <c:tx>
            <c:v>LTO Split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1"/>
            <c:spPr>
              <a:solidFill>
                <a:schemeClr val="accent2"/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Template'!$F$75:$U$75</c:f>
              <c:numCache>
                <c:formatCode>0.00</c:formatCode>
                <c:ptCount val="16"/>
                <c:pt idx="0">
                  <c:v>0</c:v>
                </c:pt>
                <c:pt idx="1">
                  <c:v>4.8230593607305945</c:v>
                </c:pt>
                <c:pt idx="2">
                  <c:v>2.6541332596074092</c:v>
                </c:pt>
                <c:pt idx="3">
                  <c:v>3.7589828634604761</c:v>
                </c:pt>
                <c:pt idx="4">
                  <c:v>10.020449897750511</c:v>
                </c:pt>
                <c:pt idx="5">
                  <c:v>11.492870640783369</c:v>
                </c:pt>
                <c:pt idx="6">
                  <c:v>12.922142150628799</c:v>
                </c:pt>
                <c:pt idx="7">
                  <c:v>10.140405616224649</c:v>
                </c:pt>
                <c:pt idx="8">
                  <c:v>10.569592365878878</c:v>
                </c:pt>
                <c:pt idx="9">
                  <c:v>10.949271722752387</c:v>
                </c:pt>
                <c:pt idx="10">
                  <c:v>8.9139344262295079</c:v>
                </c:pt>
                <c:pt idx="11">
                  <c:v>10.248447204968944</c:v>
                </c:pt>
                <c:pt idx="12">
                  <c:v>9.3023255813953494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8EF-48DB-AE45-9BAB2E264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7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Template'!$F$6:$L$6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Template'!$F$185:$L$185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84.090392001192257</c:v>
                      </c:pt>
                      <c:pt idx="1">
                        <c:v>83.440029681597395</c:v>
                      </c:pt>
                      <c:pt idx="2">
                        <c:v>80.044101931043414</c:v>
                      </c:pt>
                      <c:pt idx="3">
                        <c:v>80.440122836678171</c:v>
                      </c:pt>
                      <c:pt idx="4">
                        <c:v>98.714944276710753</c:v>
                      </c:pt>
                      <c:pt idx="5">
                        <c:v>98.420460100304993</c:v>
                      </c:pt>
                      <c:pt idx="6">
                        <c:v>97.894670885679375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58EF-48DB-AE45-9BAB2E2647D7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Template'!$F$6:$L$6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Template'!$F$201:$L$201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88</c:v>
                      </c:pt>
                      <c:pt idx="1">
                        <c:v>84.3</c:v>
                      </c:pt>
                      <c:pt idx="2">
                        <c:v>82.5</c:v>
                      </c:pt>
                      <c:pt idx="3">
                        <c:v>81.2</c:v>
                      </c:pt>
                      <c:pt idx="4">
                        <c:v>97.6</c:v>
                      </c:pt>
                      <c:pt idx="5">
                        <c:v>97</c:v>
                      </c:pt>
                      <c:pt idx="6">
                        <c:v>96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8EF-48DB-AE45-9BAB2E2647D7}"/>
                  </c:ext>
                </c:extLst>
              </c15:ser>
            </c15:filteredScatterSeries>
            <c15:filteredScatterSeries>
              <c15:ser>
                <c:idx val="5"/>
                <c:order val="2"/>
                <c:tx>
                  <c:v>V_TOP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1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Template'!$F$172:$U$172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88.365956525370336</c:v>
                      </c:pt>
                      <c:pt idx="1">
                        <c:v>87.291811879994228</c:v>
                      </c:pt>
                      <c:pt idx="2">
                        <c:v>83.972230418852888</c:v>
                      </c:pt>
                      <c:pt idx="3">
                        <c:v>84.065216870895796</c:v>
                      </c:pt>
                      <c:pt idx="4">
                        <c:v>99.738730013766016</c:v>
                      </c:pt>
                      <c:pt idx="5">
                        <c:v>99.694359320154177</c:v>
                      </c:pt>
                      <c:pt idx="6">
                        <c:v>99.535600224715751</c:v>
                      </c:pt>
                      <c:pt idx="7">
                        <c:v>99.351538265392492</c:v>
                      </c:pt>
                      <c:pt idx="8">
                        <c:v>98.98818030144102</c:v>
                      </c:pt>
                      <c:pt idx="9">
                        <c:v>98.951835366818557</c:v>
                      </c:pt>
                      <c:pt idx="10">
                        <c:v>98.706331490929699</c:v>
                      </c:pt>
                      <c:pt idx="11">
                        <c:v>98.736642037490199</c:v>
                      </c:pt>
                      <c:pt idx="12">
                        <c:v>98.575404959733333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58EF-48DB-AE45-9BAB2E2647D7}"/>
                  </c:ext>
                </c:extLst>
              </c15:ser>
            </c15:filteredScatterSeries>
            <c15:filteredScatterSeries>
              <c15:ser>
                <c:idx val="6"/>
                <c:order val="3"/>
                <c:tx>
                  <c:v>V_ART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Template'!$F$173:$U$173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92</c:v>
                      </c:pt>
                      <c:pt idx="1">
                        <c:v>88.5</c:v>
                      </c:pt>
                      <c:pt idx="2">
                        <c:v>86.2</c:v>
                      </c:pt>
                      <c:pt idx="3">
                        <c:v>85.2</c:v>
                      </c:pt>
                      <c:pt idx="4">
                        <c:v>98.5</c:v>
                      </c:pt>
                      <c:pt idx="5">
                        <c:v>98.2</c:v>
                      </c:pt>
                      <c:pt idx="6">
                        <c:v>98</c:v>
                      </c:pt>
                      <c:pt idx="7">
                        <c:v>97.8</c:v>
                      </c:pt>
                      <c:pt idx="8">
                        <c:v>97.6</c:v>
                      </c:pt>
                      <c:pt idx="9">
                        <c:v>97.4</c:v>
                      </c:pt>
                      <c:pt idx="10">
                        <c:v>97</c:v>
                      </c:pt>
                      <c:pt idx="11">
                        <c:v>94.4</c:v>
                      </c:pt>
                      <c:pt idx="12">
                        <c:v>94</c:v>
                      </c:pt>
                      <c:pt idx="13">
                        <c:v>95</c:v>
                      </c:pt>
                      <c:pt idx="14">
                        <c:v>94.5</c:v>
                      </c:pt>
                      <c:pt idx="15">
                        <c:v>93.9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8EF-48DB-AE45-9BAB2E2647D7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v>Ni_TOP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11"/>
                  <c:spPr>
                    <a:solidFill>
                      <a:srgbClr val="2D0DA3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Template'!$F$166:$U$166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70.205740913664116</c:v>
                      </c:pt>
                      <c:pt idx="1">
                        <c:v>70.931587442575676</c:v>
                      </c:pt>
                      <c:pt idx="2">
                        <c:v>67.287729486705459</c:v>
                      </c:pt>
                      <c:pt idx="3">
                        <c:v>68.667837436712745</c:v>
                      </c:pt>
                      <c:pt idx="4">
                        <c:v>95.458451159462328</c:v>
                      </c:pt>
                      <c:pt idx="5">
                        <c:v>94.368397357724433</c:v>
                      </c:pt>
                      <c:pt idx="6">
                        <c:v>92.675146032917581</c:v>
                      </c:pt>
                      <c:pt idx="7">
                        <c:v>91.737268623248113</c:v>
                      </c:pt>
                      <c:pt idx="8">
                        <c:v>90.720493302188004</c:v>
                      </c:pt>
                      <c:pt idx="9">
                        <c:v>89.961645390444048</c:v>
                      </c:pt>
                      <c:pt idx="10">
                        <c:v>88.732310773517284</c:v>
                      </c:pt>
                      <c:pt idx="11">
                        <c:v>88.984914704384693</c:v>
                      </c:pt>
                      <c:pt idx="12">
                        <c:v>88.368595784930676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8EF-48DB-AE45-9BAB2E2647D7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v>Ni_ART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9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Template'!$F$167:$U$167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77</c:v>
                      </c:pt>
                      <c:pt idx="1">
                        <c:v>71.2</c:v>
                      </c:pt>
                      <c:pt idx="2">
                        <c:v>69.099999999999994</c:v>
                      </c:pt>
                      <c:pt idx="3">
                        <c:v>67.7</c:v>
                      </c:pt>
                      <c:pt idx="4">
                        <c:v>94</c:v>
                      </c:pt>
                      <c:pt idx="5">
                        <c:v>90.5</c:v>
                      </c:pt>
                      <c:pt idx="6">
                        <c:v>89.8</c:v>
                      </c:pt>
                      <c:pt idx="7">
                        <c:v>89</c:v>
                      </c:pt>
                      <c:pt idx="8">
                        <c:v>88.2</c:v>
                      </c:pt>
                      <c:pt idx="9">
                        <c:v>87.1</c:v>
                      </c:pt>
                      <c:pt idx="10">
                        <c:v>88.5</c:v>
                      </c:pt>
                      <c:pt idx="11">
                        <c:v>83.2</c:v>
                      </c:pt>
                      <c:pt idx="12">
                        <c:v>83</c:v>
                      </c:pt>
                      <c:pt idx="13">
                        <c:v>84.1</c:v>
                      </c:pt>
                      <c:pt idx="14">
                        <c:v>83</c:v>
                      </c:pt>
                      <c:pt idx="15">
                        <c:v>82.9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8EF-48DB-AE45-9BAB2E2647D7}"/>
                  </c:ext>
                </c:extLst>
              </c15:ser>
            </c15:filteredScatterSeries>
            <c15:filteredScatterSeries>
              <c15:ser>
                <c:idx val="7"/>
                <c:order val="6"/>
                <c:tx>
                  <c:v>+5 absolute difference_Ni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9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MetConv_Ni_V!$V$12:$AA$12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MetConv_Ni_V!$V$16:$AA$16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8EF-48DB-AE45-9BAB2E2647D7}"/>
                  </c:ext>
                </c:extLst>
              </c15:ser>
            </c15:filteredScatterSeries>
            <c15:filteredScatterSeries>
              <c15:ser>
                <c:idx val="8"/>
                <c:order val="7"/>
                <c:tx>
                  <c:v>-5% absolute difference_Ni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MetConv_Ni_V!$V$12:$AA$12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MetConv_Ni_V!$V$17:$AA$17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58EF-48DB-AE45-9BAB2E2647D7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1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Day on stream</a:t>
                </a:r>
              </a:p>
            </c:rich>
          </c:tx>
          <c:layout>
            <c:manualLayout>
              <c:xMode val="edge"/>
              <c:yMode val="edge"/>
              <c:x val="0.44342749497534123"/>
              <c:y val="0.915622872974190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%wt LTO of  Liquid Recovery</a:t>
                </a:r>
              </a:p>
            </c:rich>
          </c:tx>
          <c:layout>
            <c:manualLayout>
              <c:xMode val="edge"/>
              <c:yMode val="edge"/>
              <c:x val="7.4630391476631572E-2"/>
              <c:y val="0.439215605863648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alpha val="87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>
          <a:solidFill>
            <a:schemeClr val="bg1">
              <a:lumMod val="50000"/>
            </a:schemeClr>
          </a:solidFill>
          <a:prstDash val="sysDot"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065644253173317E-2"/>
          <c:y val="0.22080823987910603"/>
          <c:w val="0.81557944686997375"/>
          <c:h val="0.66679424162888734"/>
        </c:manualLayout>
      </c:layout>
      <c:scatterChart>
        <c:scatterStyle val="lineMarker"/>
        <c:varyColors val="0"/>
        <c:ser>
          <c:idx val="3"/>
          <c:order val="0"/>
          <c:tx>
            <c:v>Rx-1 Temperature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 w="12700">
                <a:solidFill>
                  <a:schemeClr val="accent4"/>
                </a:solidFill>
              </a:ln>
            </c:spPr>
          </c:marker>
          <c:dLbls>
            <c:dLbl>
              <c:idx val="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2B8-415D-ACE4-44EE79D86A25}"/>
                </c:ext>
              </c:extLst>
            </c:dLbl>
            <c:dLbl>
              <c:idx val="8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2B8-415D-ACE4-44EE79D86A25}"/>
                </c:ext>
              </c:extLst>
            </c:dLbl>
            <c:dLbl>
              <c:idx val="14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2B8-415D-ACE4-44EE79D86A25}"/>
                </c:ext>
              </c:extLst>
            </c:dLbl>
            <c:dLbl>
              <c:idx val="2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2B8-415D-ACE4-44EE79D86A25}"/>
                </c:ext>
              </c:extLst>
            </c:dLbl>
            <c:dLbl>
              <c:idx val="23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2B8-415D-ACE4-44EE79D86A25}"/>
                </c:ext>
              </c:extLst>
            </c:dLbl>
            <c:dLbl>
              <c:idx val="26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2B8-415D-ACE4-44EE79D86A25}"/>
                </c:ext>
              </c:extLst>
            </c:dLbl>
            <c:dLbl>
              <c:idx val="34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2B8-415D-ACE4-44EE79D86A25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FF0000"/>
                    </a:solidFill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'[2]91_376_Calcs'!$D$4:$D$14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'[2]91_376_Calcs'!$NG$4:$NG$14</c:f>
              <c:numCache>
                <c:formatCode>General</c:formatCode>
                <c:ptCount val="11"/>
                <c:pt idx="0">
                  <c:v>400.11111111111109</c:v>
                </c:pt>
                <c:pt idx="1">
                  <c:v>399.11111111111114</c:v>
                </c:pt>
                <c:pt idx="2">
                  <c:v>399.11111111111114</c:v>
                </c:pt>
                <c:pt idx="3">
                  <c:v>399.11111111111114</c:v>
                </c:pt>
                <c:pt idx="4">
                  <c:v>420.65740740740745</c:v>
                </c:pt>
                <c:pt idx="5">
                  <c:v>423.24074074074076</c:v>
                </c:pt>
                <c:pt idx="6">
                  <c:v>423.44444444444446</c:v>
                </c:pt>
                <c:pt idx="7">
                  <c:v>423.44444444444446</c:v>
                </c:pt>
                <c:pt idx="8">
                  <c:v>423.44444444444446</c:v>
                </c:pt>
                <c:pt idx="9">
                  <c:v>423.46296296296305</c:v>
                </c:pt>
                <c:pt idx="10">
                  <c:v>423.2592592592593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2B8-415D-ACE4-44EE79D86A25}"/>
            </c:ext>
          </c:extLst>
        </c:ser>
        <c:ser>
          <c:idx val="4"/>
          <c:order val="1"/>
          <c:tx>
            <c:v>Rx-2 Temperature</c:v>
          </c:tx>
          <c:spPr>
            <a:ln>
              <a:noFill/>
            </a:ln>
          </c:spPr>
          <c:marker>
            <c:symbol val="triangle"/>
            <c:size val="7"/>
            <c:spPr>
              <a:solidFill>
                <a:srgbClr val="00FF00"/>
              </a:solidFill>
              <a:ln w="12700">
                <a:solidFill>
                  <a:schemeClr val="accent5"/>
                </a:solidFill>
              </a:ln>
            </c:spPr>
          </c:marker>
          <c:dLbls>
            <c:dLbl>
              <c:idx val="2"/>
              <c:layout>
                <c:manualLayout>
                  <c:x val="-2.9470550628869514E-2"/>
                  <c:y val="2.0401101992153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2B8-415D-ACE4-44EE79D86A25}"/>
                </c:ext>
              </c:extLst>
            </c:dLbl>
            <c:dLbl>
              <c:idx val="8"/>
              <c:layout>
                <c:manualLayout>
                  <c:x val="-2.9470550628869514E-2"/>
                  <c:y val="1.63622873937783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2B8-415D-ACE4-44EE79D86A25}"/>
                </c:ext>
              </c:extLst>
            </c:dLbl>
            <c:dLbl>
              <c:idx val="14"/>
              <c:layout>
                <c:manualLayout>
                  <c:x val="-2.8004721585394524E-2"/>
                  <c:y val="-1.39288220940331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2B8-415D-ACE4-44EE79D86A25}"/>
                </c:ext>
              </c:extLst>
            </c:dLbl>
            <c:dLbl>
              <c:idx val="20"/>
              <c:layout>
                <c:manualLayout>
                  <c:x val="-2.9176469610470202E-2"/>
                  <c:y val="-1.19141016463851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2B8-415D-ACE4-44EE79D86A25}"/>
                </c:ext>
              </c:extLst>
            </c:dLbl>
            <c:dLbl>
              <c:idx val="23"/>
              <c:layout>
                <c:manualLayout>
                  <c:x val="1.608871718971735E-3"/>
                  <c:y val="2.227312495029030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2B8-415D-ACE4-44EE79D86A25}"/>
                </c:ext>
              </c:extLst>
            </c:dLbl>
            <c:dLbl>
              <c:idx val="26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2B8-415D-ACE4-44EE79D86A25}"/>
                </c:ext>
              </c:extLst>
            </c:dLbl>
            <c:dLbl>
              <c:idx val="34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2B8-415D-ACE4-44EE79D86A25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00B050"/>
                    </a:solidFill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'[2]91_376_Calcs'!$D$4:$D$14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'[2]91_376_Calcs'!$NH$4:$NH$14</c:f>
              <c:numCache>
                <c:formatCode>General</c:formatCode>
                <c:ptCount val="11"/>
                <c:pt idx="0">
                  <c:v>405.28703703703712</c:v>
                </c:pt>
                <c:pt idx="1">
                  <c:v>405.62037037037044</c:v>
                </c:pt>
                <c:pt idx="2">
                  <c:v>405.83333333333331</c:v>
                </c:pt>
                <c:pt idx="3">
                  <c:v>405.72222222222229</c:v>
                </c:pt>
                <c:pt idx="4">
                  <c:v>421.6018518518519</c:v>
                </c:pt>
                <c:pt idx="5">
                  <c:v>423.03703703703712</c:v>
                </c:pt>
                <c:pt idx="6">
                  <c:v>423.0555555555556</c:v>
                </c:pt>
                <c:pt idx="7">
                  <c:v>423.22222222222229</c:v>
                </c:pt>
                <c:pt idx="8">
                  <c:v>423.22222222222229</c:v>
                </c:pt>
                <c:pt idx="9">
                  <c:v>423.24074074074076</c:v>
                </c:pt>
                <c:pt idx="10">
                  <c:v>423.42592592592598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42B8-415D-ACE4-44EE79D86A25}"/>
            </c:ext>
          </c:extLst>
        </c:ser>
        <c:ser>
          <c:idx val="1"/>
          <c:order val="2"/>
          <c:tx>
            <c:v>Rx-3 Temperature</c:v>
          </c:tx>
          <c:spPr>
            <a:ln w="28575">
              <a:noFill/>
            </a:ln>
          </c:spPr>
          <c:marker>
            <c:spPr>
              <a:solidFill>
                <a:srgbClr val="0000FF"/>
              </a:solidFill>
              <a:ln>
                <a:solidFill>
                  <a:schemeClr val="accent4"/>
                </a:solidFill>
              </a:ln>
            </c:spPr>
          </c:marker>
          <c:dLbls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2B8-415D-ACE4-44EE79D86A25}"/>
                </c:ext>
              </c:extLst>
            </c:dLbl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2B8-415D-ACE4-44EE79D86A25}"/>
                </c:ext>
              </c:extLst>
            </c:dLbl>
            <c:dLbl>
              <c:idx val="1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2B8-415D-ACE4-44EE79D86A25}"/>
                </c:ext>
              </c:extLst>
            </c:dLbl>
            <c:dLbl>
              <c:idx val="2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2B8-415D-ACE4-44EE79D86A25}"/>
                </c:ext>
              </c:extLst>
            </c:dLbl>
            <c:dLbl>
              <c:idx val="2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2B8-415D-ACE4-44EE79D86A25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0000FF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'[2]91_376_Calcs'!$D$4:$D$14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'[2]91_376_Calcs'!$NI$4:$NI$14</c:f>
              <c:numCache>
                <c:formatCode>General</c:formatCode>
                <c:ptCount val="11"/>
                <c:pt idx="0">
                  <c:v>409</c:v>
                </c:pt>
                <c:pt idx="1">
                  <c:v>408.75925925925924</c:v>
                </c:pt>
                <c:pt idx="2">
                  <c:v>407.22222222222223</c:v>
                </c:pt>
                <c:pt idx="3">
                  <c:v>407.22222222222223</c:v>
                </c:pt>
                <c:pt idx="4">
                  <c:v>421.77777777777777</c:v>
                </c:pt>
                <c:pt idx="5">
                  <c:v>423.00000000000006</c:v>
                </c:pt>
                <c:pt idx="6">
                  <c:v>423.00000000000006</c:v>
                </c:pt>
                <c:pt idx="7">
                  <c:v>423.00000000000006</c:v>
                </c:pt>
                <c:pt idx="8">
                  <c:v>423.00000000000006</c:v>
                </c:pt>
                <c:pt idx="9">
                  <c:v>423.00000000000006</c:v>
                </c:pt>
                <c:pt idx="10">
                  <c:v>423.00000000000006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42B8-415D-ACE4-44EE79D86A25}"/>
            </c:ext>
          </c:extLst>
        </c:ser>
        <c:ser>
          <c:idx val="2"/>
          <c:order val="3"/>
          <c:tx>
            <c:v>Average Rx Temperature</c:v>
          </c:tx>
          <c:spPr>
            <a:ln w="28575"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2B8-415D-ACE4-44EE79D86A25}"/>
                </c:ext>
              </c:extLst>
            </c:dLbl>
            <c:dLbl>
              <c:idx val="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2B8-415D-ACE4-44EE79D86A25}"/>
                </c:ext>
              </c:extLst>
            </c:dLbl>
            <c:dLbl>
              <c:idx val="8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42B8-415D-ACE4-44EE79D86A25}"/>
                </c:ext>
              </c:extLst>
            </c:dLbl>
            <c:dLbl>
              <c:idx val="14"/>
              <c:layout>
                <c:manualLayout>
                  <c:x val="-2.8004721585394524E-2"/>
                  <c:y val="1.63622873937783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42B8-415D-ACE4-44EE79D86A25}"/>
                </c:ext>
              </c:extLst>
            </c:dLbl>
            <c:dLbl>
              <c:idx val="20"/>
              <c:layout>
                <c:manualLayout>
                  <c:x val="-2.771050097573487E-2"/>
                  <c:y val="2.04091306768471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42B8-415D-ACE4-44EE79D86A25}"/>
                </c:ext>
              </c:extLst>
            </c:dLbl>
            <c:dLbl>
              <c:idx val="23"/>
              <c:layout>
                <c:manualLayout>
                  <c:x val="-2.9176469610470095E-2"/>
                  <c:y val="1.23283225960391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42B8-415D-ACE4-44EE79D86A25}"/>
                </c:ext>
              </c:extLst>
            </c:dLbl>
            <c:dLbl>
              <c:idx val="26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42B8-415D-ACE4-44EE79D86A25}"/>
                </c:ext>
              </c:extLst>
            </c:dLbl>
            <c:dLbl>
              <c:idx val="34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42B8-415D-ACE4-44EE79D86A25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ysClr val="windowText" lastClr="000000"/>
                    </a:solidFill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'[2]91_376_Calcs'!$D$4:$D$14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'[2]91_376_Calcs'!$NJ$4:$NJ$14</c:f>
              <c:numCache>
                <c:formatCode>General</c:formatCode>
                <c:ptCount val="11"/>
                <c:pt idx="0">
                  <c:v>404.79938271604948</c:v>
                </c:pt>
                <c:pt idx="1">
                  <c:v>404.49691358024694</c:v>
                </c:pt>
                <c:pt idx="2">
                  <c:v>404.0555555555556</c:v>
                </c:pt>
                <c:pt idx="3">
                  <c:v>404.01851851851859</c:v>
                </c:pt>
                <c:pt idx="4">
                  <c:v>421.34567901234573</c:v>
                </c:pt>
                <c:pt idx="5">
                  <c:v>423.09259259259261</c:v>
                </c:pt>
                <c:pt idx="6">
                  <c:v>423.16666666666674</c:v>
                </c:pt>
                <c:pt idx="7">
                  <c:v>423.22222222222229</c:v>
                </c:pt>
                <c:pt idx="8">
                  <c:v>423.22222222222229</c:v>
                </c:pt>
                <c:pt idx="9">
                  <c:v>423.2345679012347</c:v>
                </c:pt>
                <c:pt idx="10">
                  <c:v>423.22839506172841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42B8-415D-ACE4-44EE79D86A25}"/>
            </c:ext>
          </c:extLst>
        </c:ser>
        <c:ser>
          <c:idx val="0"/>
          <c:order val="4"/>
          <c:tx>
            <c:v>Cond. Change</c:v>
          </c:tx>
          <c:spPr>
            <a:ln w="15875">
              <a:solidFill>
                <a:schemeClr val="accent4"/>
              </a:solidFill>
              <a:prstDash val="dash"/>
            </a:ln>
          </c:spPr>
          <c:marker>
            <c:symbol val="none"/>
          </c:marker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F-42B8-415D-ACE4-44EE79D86A25}"/>
              </c:ext>
            </c:extLst>
          </c:dPt>
          <c:dPt>
            <c:idx val="21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9525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42B8-415D-ACE4-44EE79D86A25}"/>
              </c:ext>
            </c:extLst>
          </c:dPt>
          <c:xVal>
            <c:numRef>
              <c:f>'[2]91_376_Calcs'!$GA$5:$GA$14</c:f>
              <c:numCache>
                <c:formatCode>General</c:formatCode>
                <c:ptCount val="10"/>
                <c:pt idx="2">
                  <c:v>4.5</c:v>
                </c:pt>
                <c:pt idx="3">
                  <c:v>4.51</c:v>
                </c:pt>
              </c:numCache>
            </c:numRef>
          </c:xVal>
          <c:yVal>
            <c:numRef>
              <c:f>'[2]91_376_Calcs'!$GC$5:$GC$14</c:f>
              <c:numCache>
                <c:formatCode>General</c:formatCode>
                <c:ptCount val="10"/>
                <c:pt idx="2">
                  <c:v>-20</c:v>
                </c:pt>
                <c:pt idx="3">
                  <c:v>18000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42B8-415D-ACE4-44EE79D86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2652032"/>
        <c:axId val="602666496"/>
      </c:scatterChart>
      <c:valAx>
        <c:axId val="602652032"/>
        <c:scaling>
          <c:orientation val="minMax"/>
          <c:max val="15"/>
          <c:min val="0"/>
        </c:scaling>
        <c:delete val="0"/>
        <c:axPos val="b"/>
        <c:majorGridlines>
          <c:spPr>
            <a:ln>
              <a:noFill/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Time-On-Stream, Day</a:t>
                </a:r>
              </a:p>
            </c:rich>
          </c:tx>
          <c:layout>
            <c:manualLayout>
              <c:xMode val="edge"/>
              <c:yMode val="edge"/>
              <c:x val="0.41031737133394069"/>
              <c:y val="0.9416767676767676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602666496"/>
        <c:crosses val="autoZero"/>
        <c:crossBetween val="midCat"/>
      </c:valAx>
      <c:valAx>
        <c:axId val="602666496"/>
        <c:scaling>
          <c:orientation val="minMax"/>
          <c:max val="430"/>
          <c:min val="395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CAT Temeprature, </a:t>
                </a:r>
                <a:r>
                  <a:rPr lang="en-US" sz="1400" baseline="30000"/>
                  <a:t>o</a:t>
                </a:r>
                <a:r>
                  <a:rPr lang="en-US" sz="1400"/>
                  <a:t>C</a:t>
                </a:r>
              </a:p>
            </c:rich>
          </c:tx>
          <c:layout>
            <c:manualLayout>
              <c:xMode val="edge"/>
              <c:yMode val="edge"/>
              <c:x val="5.8480977199381603E-3"/>
              <c:y val="0.42310268034677484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602652032"/>
        <c:crosses val="autoZero"/>
        <c:crossBetween val="midCat"/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l"/>
      <c:legendEntry>
        <c:idx val="0"/>
        <c:txPr>
          <a:bodyPr/>
          <a:lstStyle/>
          <a:p>
            <a:pPr>
              <a:defRPr sz="1200" b="1">
                <a:solidFill>
                  <a:srgbClr val="FF0000"/>
                </a:solidFill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1200" b="1">
                <a:solidFill>
                  <a:srgbClr val="00B050"/>
                </a:solidFill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1200" b="1">
                <a:solidFill>
                  <a:srgbClr val="0000FF"/>
                </a:solidFill>
              </a:defRPr>
            </a:pPr>
            <a:endParaRPr lang="en-US"/>
          </a:p>
        </c:txPr>
      </c:legendEntry>
      <c:legendEntry>
        <c:idx val="3"/>
        <c:txPr>
          <a:bodyPr/>
          <a:lstStyle/>
          <a:p>
            <a:pPr>
              <a:defRPr sz="1200" b="1">
                <a:solidFill>
                  <a:sysClr val="windowText" lastClr="000000"/>
                </a:solidFill>
              </a:defRPr>
            </a:pPr>
            <a:endParaRPr lang="en-US"/>
          </a:p>
        </c:txPr>
      </c:legendEntry>
      <c:layout>
        <c:manualLayout>
          <c:xMode val="edge"/>
          <c:yMode val="edge"/>
          <c:x val="0.74348522669392403"/>
          <c:y val="0.65048607292699889"/>
          <c:w val="0.23662197273119384"/>
          <c:h val="0.20702502506768194"/>
        </c:manualLayout>
      </c:layout>
      <c:overlay val="1"/>
      <c:spPr>
        <a:solidFill>
          <a:schemeClr val="bg1">
            <a:lumMod val="95000"/>
          </a:schemeClr>
        </a:solidFill>
        <a:ln>
          <a:solidFill>
            <a:schemeClr val="bg1">
              <a:lumMod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/>
        <a:lstStyle/>
        <a:p>
          <a:pPr>
            <a:defRPr sz="1200" b="1"/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</c:spPr>
  <c:printSettings>
    <c:headerFooter/>
    <c:pageMargins b="0.75" l="0.7" r="0.7" t="0.75" header="0.3" footer="0.3"/>
    <c:pageSetup/>
  </c:printSettings>
  <c:userShapes r:id="rId2"/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HPS Simdist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03623699252627"/>
          <c:y val="8.572117501901709E-2"/>
          <c:w val="0.76219950210754861"/>
          <c:h val="0.81184027107984258"/>
        </c:manualLayout>
      </c:layout>
      <c:scatterChart>
        <c:scatterStyle val="smoothMarker"/>
        <c:varyColors val="0"/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multiLvlStrRef>
              <c:f>'HPS Comparing'!$D$10:$N$110</c:f>
              <c:multiLvlStrCache>
                <c:ptCount val="101"/>
                <c:lvl>
                  <c:pt idx="0">
                    <c:v>95.5</c:v>
                  </c:pt>
                  <c:pt idx="1">
                    <c:v>125.7</c:v>
                  </c:pt>
                  <c:pt idx="2">
                    <c:v>155.6</c:v>
                  </c:pt>
                  <c:pt idx="3">
                    <c:v>174.7</c:v>
                  </c:pt>
                  <c:pt idx="4">
                    <c:v>190.5</c:v>
                  </c:pt>
                  <c:pt idx="5">
                    <c:v>203.2</c:v>
                  </c:pt>
                  <c:pt idx="6">
                    <c:v>216</c:v>
                  </c:pt>
                  <c:pt idx="7">
                    <c:v>226</c:v>
                  </c:pt>
                  <c:pt idx="8">
                    <c:v>235.1</c:v>
                  </c:pt>
                  <c:pt idx="9">
                    <c:v>245.2</c:v>
                  </c:pt>
                  <c:pt idx="10">
                    <c:v>253.3</c:v>
                  </c:pt>
                  <c:pt idx="11">
                    <c:v>262.5</c:v>
                  </c:pt>
                  <c:pt idx="12">
                    <c:v>270.2</c:v>
                  </c:pt>
                  <c:pt idx="13">
                    <c:v>278.8</c:v>
                  </c:pt>
                  <c:pt idx="14">
                    <c:v>286.4</c:v>
                  </c:pt>
                  <c:pt idx="15">
                    <c:v>294.1</c:v>
                  </c:pt>
                  <c:pt idx="16">
                    <c:v>301</c:v>
                  </c:pt>
                  <c:pt idx="17">
                    <c:v>308</c:v>
                  </c:pt>
                  <c:pt idx="18">
                    <c:v>314.9</c:v>
                  </c:pt>
                  <c:pt idx="19">
                    <c:v>321.3</c:v>
                  </c:pt>
                  <c:pt idx="20">
                    <c:v>328.2</c:v>
                  </c:pt>
                  <c:pt idx="21">
                    <c:v>334.2</c:v>
                  </c:pt>
                  <c:pt idx="22">
                    <c:v>340.8</c:v>
                  </c:pt>
                  <c:pt idx="23">
                    <c:v>346.4</c:v>
                  </c:pt>
                  <c:pt idx="24">
                    <c:v>352.3</c:v>
                  </c:pt>
                  <c:pt idx="25">
                    <c:v>357.5</c:v>
                  </c:pt>
                  <c:pt idx="26">
                    <c:v>363.2</c:v>
                  </c:pt>
                  <c:pt idx="27">
                    <c:v>368.5</c:v>
                  </c:pt>
                  <c:pt idx="28">
                    <c:v>375.1</c:v>
                  </c:pt>
                  <c:pt idx="29">
                    <c:v>381.5</c:v>
                  </c:pt>
                  <c:pt idx="30">
                    <c:v>388.2</c:v>
                  </c:pt>
                  <c:pt idx="31">
                    <c:v>393.9</c:v>
                  </c:pt>
                  <c:pt idx="32">
                    <c:v>399.4</c:v>
                  </c:pt>
                  <c:pt idx="33">
                    <c:v>404.7</c:v>
                  </c:pt>
                  <c:pt idx="34">
                    <c:v>410</c:v>
                  </c:pt>
                  <c:pt idx="35">
                    <c:v>415.6</c:v>
                  </c:pt>
                  <c:pt idx="36">
                    <c:v>421</c:v>
                  </c:pt>
                  <c:pt idx="37">
                    <c:v>427</c:v>
                  </c:pt>
                  <c:pt idx="38">
                    <c:v>432.5</c:v>
                  </c:pt>
                  <c:pt idx="39">
                    <c:v>438.1</c:v>
                  </c:pt>
                  <c:pt idx="40">
                    <c:v>443.3</c:v>
                  </c:pt>
                  <c:pt idx="41">
                    <c:v>448.5</c:v>
                  </c:pt>
                  <c:pt idx="42">
                    <c:v>454.3</c:v>
                  </c:pt>
                  <c:pt idx="43">
                    <c:v>459.9</c:v>
                  </c:pt>
                  <c:pt idx="44">
                    <c:v>465.4</c:v>
                  </c:pt>
                  <c:pt idx="45">
                    <c:v>471</c:v>
                  </c:pt>
                  <c:pt idx="46">
                    <c:v>476.4</c:v>
                  </c:pt>
                  <c:pt idx="47">
                    <c:v>481.9</c:v>
                  </c:pt>
                  <c:pt idx="48">
                    <c:v>487.5</c:v>
                  </c:pt>
                  <c:pt idx="49">
                    <c:v>493.2</c:v>
                  </c:pt>
                  <c:pt idx="50">
                    <c:v>498.4</c:v>
                  </c:pt>
                  <c:pt idx="51">
                    <c:v>503.4</c:v>
                  </c:pt>
                  <c:pt idx="52">
                    <c:v>508.3</c:v>
                  </c:pt>
                  <c:pt idx="53">
                    <c:v>513.7</c:v>
                  </c:pt>
                  <c:pt idx="54">
                    <c:v>519.1</c:v>
                  </c:pt>
                  <c:pt idx="55">
                    <c:v>524.2</c:v>
                  </c:pt>
                  <c:pt idx="56">
                    <c:v>529.1</c:v>
                  </c:pt>
                  <c:pt idx="57">
                    <c:v>533.9</c:v>
                  </c:pt>
                  <c:pt idx="58">
                    <c:v>538.7</c:v>
                  </c:pt>
                  <c:pt idx="59">
                    <c:v>543.3</c:v>
                  </c:pt>
                  <c:pt idx="60">
                    <c:v>548.1</c:v>
                  </c:pt>
                  <c:pt idx="61">
                    <c:v>552.8</c:v>
                  </c:pt>
                  <c:pt idx="62">
                    <c:v>557.4</c:v>
                  </c:pt>
                  <c:pt idx="63">
                    <c:v>561.8</c:v>
                  </c:pt>
                  <c:pt idx="64">
                    <c:v>566.1</c:v>
                  </c:pt>
                  <c:pt idx="65">
                    <c:v>570.2</c:v>
                  </c:pt>
                  <c:pt idx="66">
                    <c:v>574.2</c:v>
                  </c:pt>
                  <c:pt idx="67">
                    <c:v>578.5</c:v>
                  </c:pt>
                  <c:pt idx="68">
                    <c:v>582.9</c:v>
                  </c:pt>
                  <c:pt idx="69">
                    <c:v>587.2</c:v>
                  </c:pt>
                  <c:pt idx="70">
                    <c:v>591.6</c:v>
                  </c:pt>
                  <c:pt idx="71">
                    <c:v>596</c:v>
                  </c:pt>
                  <c:pt idx="72">
                    <c:v>600.5</c:v>
                  </c:pt>
                  <c:pt idx="73">
                    <c:v>605.3</c:v>
                  </c:pt>
                  <c:pt idx="74">
                    <c:v>610.3</c:v>
                  </c:pt>
                  <c:pt idx="75">
                    <c:v>615.3</c:v>
                  </c:pt>
                  <c:pt idx="76">
                    <c:v>620.9</c:v>
                  </c:pt>
                  <c:pt idx="77">
                    <c:v>626.4</c:v>
                  </c:pt>
                  <c:pt idx="78">
                    <c:v>632.1</c:v>
                  </c:pt>
                  <c:pt idx="79">
                    <c:v>638</c:v>
                  </c:pt>
                  <c:pt idx="80">
                    <c:v>644.6</c:v>
                  </c:pt>
                  <c:pt idx="81">
                    <c:v>651.6</c:v>
                  </c:pt>
                  <c:pt idx="82">
                    <c:v>658.6</c:v>
                  </c:pt>
                  <c:pt idx="83">
                    <c:v>667.9</c:v>
                  </c:pt>
                  <c:pt idx="84">
                    <c:v>677.4</c:v>
                  </c:pt>
                  <c:pt idx="85">
                    <c:v>688.1</c:v>
                  </c:pt>
                  <c:pt idx="86">
                    <c:v>698.6</c:v>
                  </c:pt>
                  <c:pt idx="87">
                    <c:v>709.6</c:v>
                  </c:pt>
                  <c:pt idx="88">
                    <c:v>722.6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133.6</c:v>
                  </c:pt>
                  <c:pt idx="1">
                    <c:v>179.1</c:v>
                  </c:pt>
                  <c:pt idx="2">
                    <c:v>224.9</c:v>
                  </c:pt>
                  <c:pt idx="3">
                    <c:v>255.3</c:v>
                  </c:pt>
                  <c:pt idx="4">
                    <c:v>279.7</c:v>
                  </c:pt>
                  <c:pt idx="5">
                    <c:v>300.9</c:v>
                  </c:pt>
                  <c:pt idx="6">
                    <c:v>317.7</c:v>
                  </c:pt>
                  <c:pt idx="7">
                    <c:v>332.7</c:v>
                  </c:pt>
                  <c:pt idx="8">
                    <c:v>345.9</c:v>
                  </c:pt>
                  <c:pt idx="9">
                    <c:v>357.3</c:v>
                  </c:pt>
                  <c:pt idx="10">
                    <c:v>367.8</c:v>
                  </c:pt>
                  <c:pt idx="11">
                    <c:v>379.7</c:v>
                  </c:pt>
                  <c:pt idx="12">
                    <c:v>391.3</c:v>
                  </c:pt>
                  <c:pt idx="13">
                    <c:v>400</c:v>
                  </c:pt>
                  <c:pt idx="14">
                    <c:v>408.3</c:v>
                  </c:pt>
                  <c:pt idx="15">
                    <c:v>417</c:v>
                  </c:pt>
                  <c:pt idx="16">
                    <c:v>426.3</c:v>
                  </c:pt>
                  <c:pt idx="17">
                    <c:v>434.6</c:v>
                  </c:pt>
                  <c:pt idx="18">
                    <c:v>442.1</c:v>
                  </c:pt>
                  <c:pt idx="19">
                    <c:v>449.4</c:v>
                  </c:pt>
                  <c:pt idx="20">
                    <c:v>457.4</c:v>
                  </c:pt>
                  <c:pt idx="21">
                    <c:v>465.2</c:v>
                  </c:pt>
                  <c:pt idx="22">
                    <c:v>472.3</c:v>
                  </c:pt>
                  <c:pt idx="23">
                    <c:v>479</c:v>
                  </c:pt>
                  <c:pt idx="24">
                    <c:v>486.1</c:v>
                  </c:pt>
                  <c:pt idx="25">
                    <c:v>493.1</c:v>
                  </c:pt>
                  <c:pt idx="26">
                    <c:v>499.3</c:v>
                  </c:pt>
                  <c:pt idx="27">
                    <c:v>505</c:v>
                  </c:pt>
                  <c:pt idx="28">
                    <c:v>510.6</c:v>
                  </c:pt>
                  <c:pt idx="29">
                    <c:v>516.6</c:v>
                  </c:pt>
                  <c:pt idx="30">
                    <c:v>522.4</c:v>
                  </c:pt>
                  <c:pt idx="31">
                    <c:v>527.4</c:v>
                  </c:pt>
                  <c:pt idx="32">
                    <c:v>532.2</c:v>
                  </c:pt>
                  <c:pt idx="33">
                    <c:v>536.7</c:v>
                  </c:pt>
                  <c:pt idx="34">
                    <c:v>541.2</c:v>
                  </c:pt>
                  <c:pt idx="35">
                    <c:v>545.5</c:v>
                  </c:pt>
                  <c:pt idx="36">
                    <c:v>549.8</c:v>
                  </c:pt>
                  <c:pt idx="37">
                    <c:v>554</c:v>
                  </c:pt>
                  <c:pt idx="38">
                    <c:v>557.9</c:v>
                  </c:pt>
                  <c:pt idx="39">
                    <c:v>561.4</c:v>
                  </c:pt>
                  <c:pt idx="40">
                    <c:v>564.9</c:v>
                  </c:pt>
                  <c:pt idx="41">
                    <c:v>568.1</c:v>
                  </c:pt>
                  <c:pt idx="42">
                    <c:v>571.2</c:v>
                  </c:pt>
                  <c:pt idx="43">
                    <c:v>574.2</c:v>
                  </c:pt>
                  <c:pt idx="44">
                    <c:v>577.2</c:v>
                  </c:pt>
                  <c:pt idx="45">
                    <c:v>580.2</c:v>
                  </c:pt>
                  <c:pt idx="46">
                    <c:v>583.1</c:v>
                  </c:pt>
                  <c:pt idx="47">
                    <c:v>586</c:v>
                  </c:pt>
                  <c:pt idx="48">
                    <c:v>588.8</c:v>
                  </c:pt>
                  <c:pt idx="49">
                    <c:v>591.6</c:v>
                  </c:pt>
                  <c:pt idx="50">
                    <c:v>594.3</c:v>
                  </c:pt>
                  <c:pt idx="51">
                    <c:v>597</c:v>
                  </c:pt>
                  <c:pt idx="52">
                    <c:v>599.8</c:v>
                  </c:pt>
                  <c:pt idx="53">
                    <c:v>602.6</c:v>
                  </c:pt>
                  <c:pt idx="54">
                    <c:v>605.4</c:v>
                  </c:pt>
                  <c:pt idx="55">
                    <c:v>608.2</c:v>
                  </c:pt>
                  <c:pt idx="56">
                    <c:v>611</c:v>
                  </c:pt>
                  <c:pt idx="57">
                    <c:v>613.9</c:v>
                  </c:pt>
                  <c:pt idx="58">
                    <c:v>616.8</c:v>
                  </c:pt>
                  <c:pt idx="59">
                    <c:v>619.7</c:v>
                  </c:pt>
                  <c:pt idx="60">
                    <c:v>622.7</c:v>
                  </c:pt>
                  <c:pt idx="61">
                    <c:v>625.7</c:v>
                  </c:pt>
                  <c:pt idx="62">
                    <c:v>628.7</c:v>
                  </c:pt>
                  <c:pt idx="63">
                    <c:v>631.6</c:v>
                  </c:pt>
                  <c:pt idx="64">
                    <c:v>634.5</c:v>
                  </c:pt>
                  <c:pt idx="65">
                    <c:v>637.6</c:v>
                  </c:pt>
                  <c:pt idx="66">
                    <c:v>640.7</c:v>
                  </c:pt>
                  <c:pt idx="67">
                    <c:v>644</c:v>
                  </c:pt>
                  <c:pt idx="68">
                    <c:v>647.4</c:v>
                  </c:pt>
                  <c:pt idx="69">
                    <c:v>650.5</c:v>
                  </c:pt>
                  <c:pt idx="70">
                    <c:v>653.7</c:v>
                  </c:pt>
                  <c:pt idx="71">
                    <c:v>656.8</c:v>
                  </c:pt>
                  <c:pt idx="72">
                    <c:v>660.6</c:v>
                  </c:pt>
                  <c:pt idx="73">
                    <c:v>664.8</c:v>
                  </c:pt>
                  <c:pt idx="74">
                    <c:v>669.2</c:v>
                  </c:pt>
                  <c:pt idx="75">
                    <c:v>673.1</c:v>
                  </c:pt>
                  <c:pt idx="76">
                    <c:v>677.4</c:v>
                  </c:pt>
                  <c:pt idx="77">
                    <c:v>682.2</c:v>
                  </c:pt>
                  <c:pt idx="78">
                    <c:v>686.5</c:v>
                  </c:pt>
                  <c:pt idx="79">
                    <c:v>691.2</c:v>
                  </c:pt>
                  <c:pt idx="80">
                    <c:v>694.8</c:v>
                  </c:pt>
                  <c:pt idx="81">
                    <c:v>699.9</c:v>
                  </c:pt>
                  <c:pt idx="82">
                    <c:v>704</c:v>
                  </c:pt>
                  <c:pt idx="83">
                    <c:v>708.8</c:v>
                  </c:pt>
                  <c:pt idx="84">
                    <c:v>714.2</c:v>
                  </c:pt>
                  <c:pt idx="85">
                    <c:v>719.8</c:v>
                  </c:pt>
                  <c:pt idx="86">
                    <c:v>726.2</c:v>
                  </c:pt>
                  <c:pt idx="87">
                    <c:v>733.5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152.5</c:v>
                  </c:pt>
                  <c:pt idx="1">
                    <c:v>185.3</c:v>
                  </c:pt>
                  <c:pt idx="2">
                    <c:v>226.6</c:v>
                  </c:pt>
                  <c:pt idx="3">
                    <c:v>255</c:v>
                  </c:pt>
                  <c:pt idx="4">
                    <c:v>279.1</c:v>
                  </c:pt>
                  <c:pt idx="5">
                    <c:v>299.2</c:v>
                  </c:pt>
                  <c:pt idx="6">
                    <c:v>317.3</c:v>
                  </c:pt>
                  <c:pt idx="7">
                    <c:v>332.5</c:v>
                  </c:pt>
                  <c:pt idx="8">
                    <c:v>345.5</c:v>
                  </c:pt>
                  <c:pt idx="9">
                    <c:v>356.3</c:v>
                  </c:pt>
                  <c:pt idx="10">
                    <c:v>366.7</c:v>
                  </c:pt>
                  <c:pt idx="11">
                    <c:v>378.3</c:v>
                  </c:pt>
                  <c:pt idx="12">
                    <c:v>390.2</c:v>
                  </c:pt>
                  <c:pt idx="13">
                    <c:v>398.9</c:v>
                  </c:pt>
                  <c:pt idx="14">
                    <c:v>407.3</c:v>
                  </c:pt>
                  <c:pt idx="15">
                    <c:v>415.7</c:v>
                  </c:pt>
                  <c:pt idx="16">
                    <c:v>424.9</c:v>
                  </c:pt>
                  <c:pt idx="17">
                    <c:v>433.3</c:v>
                  </c:pt>
                  <c:pt idx="18">
                    <c:v>440.7</c:v>
                  </c:pt>
                  <c:pt idx="19">
                    <c:v>448</c:v>
                  </c:pt>
                  <c:pt idx="20">
                    <c:v>455.9</c:v>
                  </c:pt>
                  <c:pt idx="21">
                    <c:v>463.6</c:v>
                  </c:pt>
                  <c:pt idx="22">
                    <c:v>470.6</c:v>
                  </c:pt>
                  <c:pt idx="23">
                    <c:v>477.3</c:v>
                  </c:pt>
                  <c:pt idx="24">
                    <c:v>484.2</c:v>
                  </c:pt>
                  <c:pt idx="25">
                    <c:v>491.3</c:v>
                  </c:pt>
                  <c:pt idx="26">
                    <c:v>497.8</c:v>
                  </c:pt>
                  <c:pt idx="27">
                    <c:v>503.3</c:v>
                  </c:pt>
                  <c:pt idx="28">
                    <c:v>508.7</c:v>
                  </c:pt>
                  <c:pt idx="29">
                    <c:v>514.7</c:v>
                  </c:pt>
                  <c:pt idx="30">
                    <c:v>520.6</c:v>
                  </c:pt>
                  <c:pt idx="31">
                    <c:v>525.7</c:v>
                  </c:pt>
                  <c:pt idx="32">
                    <c:v>530.5</c:v>
                  </c:pt>
                  <c:pt idx="33">
                    <c:v>535.2</c:v>
                  </c:pt>
                  <c:pt idx="34">
                    <c:v>539.6</c:v>
                  </c:pt>
                  <c:pt idx="35">
                    <c:v>543.9</c:v>
                  </c:pt>
                  <c:pt idx="36">
                    <c:v>548.2</c:v>
                  </c:pt>
                  <c:pt idx="37">
                    <c:v>552.4</c:v>
                  </c:pt>
                  <c:pt idx="38">
                    <c:v>556.4</c:v>
                  </c:pt>
                  <c:pt idx="39">
                    <c:v>560</c:v>
                  </c:pt>
                  <c:pt idx="40">
                    <c:v>563.5</c:v>
                  </c:pt>
                  <c:pt idx="41">
                    <c:v>566.8</c:v>
                  </c:pt>
                  <c:pt idx="42">
                    <c:v>569.9</c:v>
                  </c:pt>
                  <c:pt idx="43">
                    <c:v>572.9</c:v>
                  </c:pt>
                  <c:pt idx="44">
                    <c:v>575.8</c:v>
                  </c:pt>
                  <c:pt idx="45">
                    <c:v>578.8</c:v>
                  </c:pt>
                  <c:pt idx="46">
                    <c:v>581.7</c:v>
                  </c:pt>
                  <c:pt idx="47">
                    <c:v>584.6</c:v>
                  </c:pt>
                  <c:pt idx="48">
                    <c:v>587.4</c:v>
                  </c:pt>
                  <c:pt idx="49">
                    <c:v>590.1</c:v>
                  </c:pt>
                  <c:pt idx="50">
                    <c:v>592.8</c:v>
                  </c:pt>
                  <c:pt idx="51">
                    <c:v>595.5</c:v>
                  </c:pt>
                  <c:pt idx="52">
                    <c:v>598.1</c:v>
                  </c:pt>
                  <c:pt idx="53">
                    <c:v>600.8</c:v>
                  </c:pt>
                  <c:pt idx="54">
                    <c:v>603.6</c:v>
                  </c:pt>
                  <c:pt idx="55">
                    <c:v>606.3</c:v>
                  </c:pt>
                  <c:pt idx="56">
                    <c:v>609</c:v>
                  </c:pt>
                  <c:pt idx="57">
                    <c:v>611.7</c:v>
                  </c:pt>
                  <c:pt idx="58">
                    <c:v>614.5</c:v>
                  </c:pt>
                  <c:pt idx="59">
                    <c:v>617.3</c:v>
                  </c:pt>
                  <c:pt idx="60">
                    <c:v>620.1</c:v>
                  </c:pt>
                  <c:pt idx="61">
                    <c:v>623</c:v>
                  </c:pt>
                  <c:pt idx="62">
                    <c:v>625.8</c:v>
                  </c:pt>
                  <c:pt idx="63">
                    <c:v>628.6</c:v>
                  </c:pt>
                  <c:pt idx="64">
                    <c:v>631.4</c:v>
                  </c:pt>
                  <c:pt idx="65">
                    <c:v>634.2</c:v>
                  </c:pt>
                  <c:pt idx="66">
                    <c:v>637.1</c:v>
                  </c:pt>
                  <c:pt idx="67">
                    <c:v>640</c:v>
                  </c:pt>
                  <c:pt idx="68">
                    <c:v>643.1</c:v>
                  </c:pt>
                  <c:pt idx="69">
                    <c:v>646.2</c:v>
                  </c:pt>
                  <c:pt idx="70">
                    <c:v>649.2</c:v>
                  </c:pt>
                  <c:pt idx="71">
                    <c:v>652.2</c:v>
                  </c:pt>
                  <c:pt idx="72">
                    <c:v>655.1</c:v>
                  </c:pt>
                  <c:pt idx="73">
                    <c:v>658.1</c:v>
                  </c:pt>
                  <c:pt idx="74">
                    <c:v>661.9</c:v>
                  </c:pt>
                  <c:pt idx="75">
                    <c:v>665.7</c:v>
                  </c:pt>
                  <c:pt idx="76">
                    <c:v>669.7</c:v>
                  </c:pt>
                  <c:pt idx="77">
                    <c:v>673.1</c:v>
                  </c:pt>
                  <c:pt idx="78">
                    <c:v>676.9</c:v>
                  </c:pt>
                  <c:pt idx="79">
                    <c:v>681.3</c:v>
                  </c:pt>
                  <c:pt idx="80">
                    <c:v>685</c:v>
                  </c:pt>
                  <c:pt idx="81">
                    <c:v>688.9</c:v>
                  </c:pt>
                  <c:pt idx="82">
                    <c:v>692.4</c:v>
                  </c:pt>
                  <c:pt idx="83">
                    <c:v>695.7</c:v>
                  </c:pt>
                  <c:pt idx="84">
                    <c:v>700</c:v>
                  </c:pt>
                  <c:pt idx="85">
                    <c:v>703.3</c:v>
                  </c:pt>
                  <c:pt idx="86">
                    <c:v>706.7</c:v>
                  </c:pt>
                  <c:pt idx="87">
                    <c:v>710.8</c:v>
                  </c:pt>
                  <c:pt idx="88">
                    <c:v>714.7</c:v>
                  </c:pt>
                  <c:pt idx="89">
                    <c:v>718.6</c:v>
                  </c:pt>
                  <c:pt idx="90">
                    <c:v>722.6</c:v>
                  </c:pt>
                  <c:pt idx="91">
                    <c:v>726.7</c:v>
                  </c:pt>
                  <c:pt idx="92">
                    <c:v>730.9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140.2</c:v>
                  </c:pt>
                  <c:pt idx="1">
                    <c:v>187.3</c:v>
                  </c:pt>
                  <c:pt idx="2">
                    <c:v>232</c:v>
                  </c:pt>
                  <c:pt idx="3">
                    <c:v>261.4</c:v>
                  </c:pt>
                  <c:pt idx="4">
                    <c:v>285.2</c:v>
                  </c:pt>
                  <c:pt idx="5">
                    <c:v>305.6</c:v>
                  </c:pt>
                  <c:pt idx="6">
                    <c:v>323.2</c:v>
                  </c:pt>
                  <c:pt idx="7">
                    <c:v>338.6</c:v>
                  </c:pt>
                  <c:pt idx="8">
                    <c:v>351.3</c:v>
                  </c:pt>
                  <c:pt idx="9">
                    <c:v>362.4</c:v>
                  </c:pt>
                  <c:pt idx="10">
                    <c:v>374.1</c:v>
                  </c:pt>
                  <c:pt idx="11">
                    <c:v>387.1</c:v>
                  </c:pt>
                  <c:pt idx="12">
                    <c:v>397.2</c:v>
                  </c:pt>
                  <c:pt idx="13">
                    <c:v>406</c:v>
                  </c:pt>
                  <c:pt idx="14">
                    <c:v>414.7</c:v>
                  </c:pt>
                  <c:pt idx="15">
                    <c:v>424.4</c:v>
                  </c:pt>
                  <c:pt idx="16">
                    <c:v>433.3</c:v>
                  </c:pt>
                  <c:pt idx="17">
                    <c:v>441.2</c:v>
                  </c:pt>
                  <c:pt idx="18">
                    <c:v>448.8</c:v>
                  </c:pt>
                  <c:pt idx="19">
                    <c:v>457.3</c:v>
                  </c:pt>
                  <c:pt idx="20">
                    <c:v>465.4</c:v>
                  </c:pt>
                  <c:pt idx="21">
                    <c:v>472.5</c:v>
                  </c:pt>
                  <c:pt idx="22">
                    <c:v>479.5</c:v>
                  </c:pt>
                  <c:pt idx="23">
                    <c:v>486.9</c:v>
                  </c:pt>
                  <c:pt idx="24">
                    <c:v>494.3</c:v>
                  </c:pt>
                  <c:pt idx="25">
                    <c:v>500.6</c:v>
                  </c:pt>
                  <c:pt idx="26">
                    <c:v>506.4</c:v>
                  </c:pt>
                  <c:pt idx="27">
                    <c:v>512.4</c:v>
                  </c:pt>
                  <c:pt idx="28">
                    <c:v>518.7</c:v>
                  </c:pt>
                  <c:pt idx="29">
                    <c:v>524.4</c:v>
                  </c:pt>
                  <c:pt idx="30">
                    <c:v>529.6</c:v>
                  </c:pt>
                  <c:pt idx="31">
                    <c:v>534.6</c:v>
                  </c:pt>
                  <c:pt idx="32">
                    <c:v>539.3</c:v>
                  </c:pt>
                  <c:pt idx="33">
                    <c:v>543.9</c:v>
                  </c:pt>
                  <c:pt idx="34">
                    <c:v>548.6</c:v>
                  </c:pt>
                  <c:pt idx="35">
                    <c:v>553.1</c:v>
                  </c:pt>
                  <c:pt idx="36">
                    <c:v>557.3</c:v>
                  </c:pt>
                  <c:pt idx="37">
                    <c:v>561.1</c:v>
                  </c:pt>
                  <c:pt idx="38">
                    <c:v>564.8</c:v>
                  </c:pt>
                  <c:pt idx="39">
                    <c:v>568.2</c:v>
                  </c:pt>
                  <c:pt idx="40">
                    <c:v>571.4</c:v>
                  </c:pt>
                  <c:pt idx="41">
                    <c:v>574.6</c:v>
                  </c:pt>
                  <c:pt idx="42">
                    <c:v>577.8</c:v>
                  </c:pt>
                  <c:pt idx="43">
                    <c:v>580.9</c:v>
                  </c:pt>
                  <c:pt idx="44">
                    <c:v>584.1</c:v>
                  </c:pt>
                  <c:pt idx="45">
                    <c:v>587</c:v>
                  </c:pt>
                  <c:pt idx="46">
                    <c:v>590</c:v>
                  </c:pt>
                  <c:pt idx="47">
                    <c:v>592.9</c:v>
                  </c:pt>
                  <c:pt idx="48">
                    <c:v>595.7</c:v>
                  </c:pt>
                  <c:pt idx="49">
                    <c:v>598.6</c:v>
                  </c:pt>
                  <c:pt idx="50">
                    <c:v>601.5</c:v>
                  </c:pt>
                  <c:pt idx="51">
                    <c:v>604.4</c:v>
                  </c:pt>
                  <c:pt idx="52">
                    <c:v>607.4</c:v>
                  </c:pt>
                  <c:pt idx="53">
                    <c:v>610.3</c:v>
                  </c:pt>
                  <c:pt idx="54">
                    <c:v>613.3</c:v>
                  </c:pt>
                  <c:pt idx="55">
                    <c:v>616.3</c:v>
                  </c:pt>
                  <c:pt idx="56">
                    <c:v>619.4</c:v>
                  </c:pt>
                  <c:pt idx="57">
                    <c:v>622.6</c:v>
                  </c:pt>
                  <c:pt idx="58">
                    <c:v>625.7</c:v>
                  </c:pt>
                  <c:pt idx="59">
                    <c:v>628.9</c:v>
                  </c:pt>
                  <c:pt idx="60">
                    <c:v>631.9</c:v>
                  </c:pt>
                  <c:pt idx="61">
                    <c:v>635.1</c:v>
                  </c:pt>
                  <c:pt idx="62">
                    <c:v>638.4</c:v>
                  </c:pt>
                  <c:pt idx="63">
                    <c:v>641.8</c:v>
                  </c:pt>
                  <c:pt idx="64">
                    <c:v>645.4</c:v>
                  </c:pt>
                  <c:pt idx="65">
                    <c:v>648.9</c:v>
                  </c:pt>
                  <c:pt idx="66">
                    <c:v>652.4</c:v>
                  </c:pt>
                  <c:pt idx="67">
                    <c:v>655.8</c:v>
                  </c:pt>
                  <c:pt idx="68">
                    <c:v>659.7</c:v>
                  </c:pt>
                  <c:pt idx="69">
                    <c:v>664.3</c:v>
                  </c:pt>
                  <c:pt idx="70">
                    <c:v>669.1</c:v>
                  </c:pt>
                  <c:pt idx="71">
                    <c:v>673.5</c:v>
                  </c:pt>
                  <c:pt idx="72">
                    <c:v>678.6</c:v>
                  </c:pt>
                  <c:pt idx="73">
                    <c:v>683.9</c:v>
                  </c:pt>
                  <c:pt idx="74">
                    <c:v>689.1</c:v>
                  </c:pt>
                  <c:pt idx="75">
                    <c:v>693.9</c:v>
                  </c:pt>
                  <c:pt idx="76">
                    <c:v>699.8</c:v>
                  </c:pt>
                  <c:pt idx="77">
                    <c:v>705.2</c:v>
                  </c:pt>
                  <c:pt idx="78">
                    <c:v>712.1</c:v>
                  </c:pt>
                  <c:pt idx="79">
                    <c:v>720.3</c:v>
                  </c:pt>
                  <c:pt idx="80">
                    <c:v>733.8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142.1</c:v>
                  </c:pt>
                  <c:pt idx="1">
                    <c:v>173.4</c:v>
                  </c:pt>
                  <c:pt idx="2">
                    <c:v>215</c:v>
                  </c:pt>
                  <c:pt idx="3">
                    <c:v>248.3</c:v>
                  </c:pt>
                  <c:pt idx="4">
                    <c:v>270.7</c:v>
                  </c:pt>
                  <c:pt idx="5">
                    <c:v>291.2</c:v>
                  </c:pt>
                  <c:pt idx="6">
                    <c:v>308.6</c:v>
                  </c:pt>
                  <c:pt idx="7">
                    <c:v>324.2</c:v>
                  </c:pt>
                  <c:pt idx="8">
                    <c:v>338.5</c:v>
                  </c:pt>
                  <c:pt idx="9">
                    <c:v>351.6</c:v>
                  </c:pt>
                  <c:pt idx="10">
                    <c:v>363.5</c:v>
                  </c:pt>
                  <c:pt idx="11">
                    <c:v>374.4</c:v>
                  </c:pt>
                  <c:pt idx="12">
                    <c:v>384.5</c:v>
                  </c:pt>
                  <c:pt idx="13">
                    <c:v>394.2</c:v>
                  </c:pt>
                  <c:pt idx="14">
                    <c:v>404</c:v>
                  </c:pt>
                  <c:pt idx="15">
                    <c:v>413.2</c:v>
                  </c:pt>
                  <c:pt idx="16">
                    <c:v>421.9</c:v>
                  </c:pt>
                  <c:pt idx="17">
                    <c:v>430.1</c:v>
                  </c:pt>
                  <c:pt idx="18">
                    <c:v>438.5</c:v>
                  </c:pt>
                  <c:pt idx="19">
                    <c:v>446.5</c:v>
                  </c:pt>
                  <c:pt idx="20">
                    <c:v>454.4</c:v>
                  </c:pt>
                  <c:pt idx="21">
                    <c:v>462</c:v>
                  </c:pt>
                  <c:pt idx="22">
                    <c:v>469.5</c:v>
                  </c:pt>
                  <c:pt idx="23">
                    <c:v>476.7</c:v>
                  </c:pt>
                  <c:pt idx="24">
                    <c:v>483.7</c:v>
                  </c:pt>
                  <c:pt idx="25">
                    <c:v>490.4</c:v>
                  </c:pt>
                  <c:pt idx="26">
                    <c:v>496.8</c:v>
                  </c:pt>
                  <c:pt idx="27">
                    <c:v>502.6</c:v>
                  </c:pt>
                  <c:pt idx="28">
                    <c:v>508.1</c:v>
                  </c:pt>
                  <c:pt idx="29">
                    <c:v>513.7</c:v>
                  </c:pt>
                  <c:pt idx="30">
                    <c:v>519.1</c:v>
                  </c:pt>
                  <c:pt idx="31">
                    <c:v>524.2</c:v>
                  </c:pt>
                  <c:pt idx="32">
                    <c:v>528.8</c:v>
                  </c:pt>
                  <c:pt idx="33">
                    <c:v>533.2</c:v>
                  </c:pt>
                  <c:pt idx="34">
                    <c:v>537.4</c:v>
                  </c:pt>
                  <c:pt idx="35">
                    <c:v>541.5</c:v>
                  </c:pt>
                  <c:pt idx="36">
                    <c:v>545.3</c:v>
                  </c:pt>
                  <c:pt idx="37">
                    <c:v>549.4</c:v>
                  </c:pt>
                  <c:pt idx="38">
                    <c:v>553.2</c:v>
                  </c:pt>
                  <c:pt idx="39">
                    <c:v>556.9</c:v>
                  </c:pt>
                  <c:pt idx="40">
                    <c:v>560.4</c:v>
                  </c:pt>
                  <c:pt idx="41">
                    <c:v>563.8</c:v>
                  </c:pt>
                  <c:pt idx="42">
                    <c:v>567</c:v>
                  </c:pt>
                  <c:pt idx="43">
                    <c:v>570</c:v>
                  </c:pt>
                  <c:pt idx="44">
                    <c:v>573</c:v>
                  </c:pt>
                  <c:pt idx="45">
                    <c:v>576.1</c:v>
                  </c:pt>
                  <c:pt idx="46">
                    <c:v>579.2</c:v>
                  </c:pt>
                  <c:pt idx="47">
                    <c:v>582.4</c:v>
                  </c:pt>
                  <c:pt idx="48">
                    <c:v>585.5</c:v>
                  </c:pt>
                  <c:pt idx="49">
                    <c:v>588.5</c:v>
                  </c:pt>
                  <c:pt idx="50">
                    <c:v>591.6</c:v>
                  </c:pt>
                  <c:pt idx="51">
                    <c:v>594.7</c:v>
                  </c:pt>
                  <c:pt idx="52">
                    <c:v>597.8</c:v>
                  </c:pt>
                  <c:pt idx="53">
                    <c:v>601</c:v>
                  </c:pt>
                  <c:pt idx="54">
                    <c:v>604.3</c:v>
                  </c:pt>
                  <c:pt idx="55">
                    <c:v>607.6</c:v>
                  </c:pt>
                  <c:pt idx="56">
                    <c:v>610.9</c:v>
                  </c:pt>
                  <c:pt idx="57">
                    <c:v>614.3</c:v>
                  </c:pt>
                  <c:pt idx="58">
                    <c:v>617.8</c:v>
                  </c:pt>
                  <c:pt idx="59">
                    <c:v>621.4</c:v>
                  </c:pt>
                  <c:pt idx="60">
                    <c:v>625</c:v>
                  </c:pt>
                  <c:pt idx="61">
                    <c:v>628.6</c:v>
                  </c:pt>
                  <c:pt idx="62">
                    <c:v>632</c:v>
                  </c:pt>
                  <c:pt idx="63">
                    <c:v>635.5</c:v>
                  </c:pt>
                  <c:pt idx="64">
                    <c:v>639.3</c:v>
                  </c:pt>
                  <c:pt idx="65">
                    <c:v>643.3</c:v>
                  </c:pt>
                  <c:pt idx="66">
                    <c:v>647.4</c:v>
                  </c:pt>
                  <c:pt idx="67">
                    <c:v>651.4</c:v>
                  </c:pt>
                  <c:pt idx="68">
                    <c:v>655.2</c:v>
                  </c:pt>
                  <c:pt idx="69">
                    <c:v>659.4</c:v>
                  </c:pt>
                  <c:pt idx="70">
                    <c:v>664.4</c:v>
                  </c:pt>
                  <c:pt idx="71">
                    <c:v>669.7</c:v>
                  </c:pt>
                  <c:pt idx="72">
                    <c:v>674.4</c:v>
                  </c:pt>
                  <c:pt idx="73">
                    <c:v>680</c:v>
                  </c:pt>
                  <c:pt idx="74">
                    <c:v>685.4</c:v>
                  </c:pt>
                  <c:pt idx="75">
                    <c:v>691</c:v>
                  </c:pt>
                  <c:pt idx="76">
                    <c:v>696</c:v>
                  </c:pt>
                  <c:pt idx="77">
                    <c:v>702.3</c:v>
                  </c:pt>
                  <c:pt idx="78">
                    <c:v>708.5</c:v>
                  </c:pt>
                  <c:pt idx="79">
                    <c:v>716.3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436.7</c:v>
                  </c:pt>
                  <c:pt idx="1">
                    <c:v>499.2</c:v>
                  </c:pt>
                  <c:pt idx="2">
                    <c:v>527.2</c:v>
                  </c:pt>
                  <c:pt idx="3">
                    <c:v>538.6</c:v>
                  </c:pt>
                  <c:pt idx="4">
                    <c:v>546.5</c:v>
                  </c:pt>
                  <c:pt idx="5">
                    <c:v>553.1</c:v>
                  </c:pt>
                  <c:pt idx="6">
                    <c:v>558.5</c:v>
                  </c:pt>
                  <c:pt idx="7">
                    <c:v>563.2</c:v>
                  </c:pt>
                  <c:pt idx="8">
                    <c:v>567.4</c:v>
                  </c:pt>
                  <c:pt idx="9">
                    <c:v>571.1</c:v>
                  </c:pt>
                  <c:pt idx="10">
                    <c:v>574.7</c:v>
                  </c:pt>
                  <c:pt idx="11">
                    <c:v>578.2</c:v>
                  </c:pt>
                  <c:pt idx="12">
                    <c:v>581.7</c:v>
                  </c:pt>
                  <c:pt idx="13">
                    <c:v>585.1</c:v>
                  </c:pt>
                  <c:pt idx="14">
                    <c:v>588.4</c:v>
                  </c:pt>
                  <c:pt idx="15">
                    <c:v>591.6</c:v>
                  </c:pt>
                  <c:pt idx="16">
                    <c:v>594.8</c:v>
                  </c:pt>
                  <c:pt idx="17">
                    <c:v>598</c:v>
                  </c:pt>
                  <c:pt idx="18">
                    <c:v>601.2</c:v>
                  </c:pt>
                  <c:pt idx="19">
                    <c:v>604.6</c:v>
                  </c:pt>
                  <c:pt idx="20">
                    <c:v>607.9</c:v>
                  </c:pt>
                  <c:pt idx="21">
                    <c:v>611.2</c:v>
                  </c:pt>
                  <c:pt idx="22">
                    <c:v>614.5</c:v>
                  </c:pt>
                  <c:pt idx="23">
                    <c:v>618</c:v>
                  </c:pt>
                  <c:pt idx="24">
                    <c:v>621.5</c:v>
                  </c:pt>
                  <c:pt idx="25">
                    <c:v>624.9</c:v>
                  </c:pt>
                  <c:pt idx="26">
                    <c:v>628.4</c:v>
                  </c:pt>
                  <c:pt idx="27">
                    <c:v>631.8</c:v>
                  </c:pt>
                  <c:pt idx="28">
                    <c:v>635.2</c:v>
                  </c:pt>
                  <c:pt idx="29">
                    <c:v>638.8</c:v>
                  </c:pt>
                  <c:pt idx="30">
                    <c:v>642.6</c:v>
                  </c:pt>
                  <c:pt idx="31">
                    <c:v>646.5</c:v>
                  </c:pt>
                  <c:pt idx="32">
                    <c:v>650.2</c:v>
                  </c:pt>
                  <c:pt idx="33">
                    <c:v>654</c:v>
                  </c:pt>
                  <c:pt idx="34">
                    <c:v>657.6</c:v>
                  </c:pt>
                  <c:pt idx="35">
                    <c:v>662.3</c:v>
                  </c:pt>
                  <c:pt idx="36">
                    <c:v>667.3</c:v>
                  </c:pt>
                  <c:pt idx="37">
                    <c:v>672.1</c:v>
                  </c:pt>
                  <c:pt idx="38">
                    <c:v>677.2</c:v>
                  </c:pt>
                  <c:pt idx="39">
                    <c:v>683</c:v>
                  </c:pt>
                  <c:pt idx="40">
                    <c:v>688.5</c:v>
                  </c:pt>
                  <c:pt idx="41">
                    <c:v>693.9</c:v>
                  </c:pt>
                  <c:pt idx="42">
                    <c:v>700.7</c:v>
                  </c:pt>
                  <c:pt idx="43">
                    <c:v>708.3</c:v>
                  </c:pt>
                  <c:pt idx="44">
                    <c:v>721.3</c:v>
                  </c:pt>
                  <c:pt idx="45">
                    <c:v>-</c:v>
                  </c:pt>
                  <c:pt idx="46">
                    <c:v>-</c:v>
                  </c:pt>
                  <c:pt idx="47">
                    <c:v>-</c:v>
                  </c:pt>
                  <c:pt idx="48">
                    <c:v>-</c:v>
                  </c:pt>
                  <c:pt idx="49">
                    <c:v>-</c:v>
                  </c:pt>
                  <c:pt idx="50">
                    <c:v>-</c:v>
                  </c:pt>
                  <c:pt idx="51">
                    <c:v>-</c:v>
                  </c:pt>
                  <c:pt idx="52">
                    <c:v>-</c:v>
                  </c:pt>
                  <c:pt idx="53">
                    <c:v>-</c:v>
                  </c:pt>
                  <c:pt idx="54">
                    <c:v>-</c:v>
                  </c:pt>
                  <c:pt idx="55">
                    <c:v>-</c:v>
                  </c:pt>
                  <c:pt idx="56">
                    <c:v>-</c:v>
                  </c:pt>
                  <c:pt idx="57">
                    <c:v>-</c:v>
                  </c:pt>
                  <c:pt idx="58">
                    <c:v>-</c:v>
                  </c:pt>
                  <c:pt idx="59">
                    <c:v>-</c:v>
                  </c:pt>
                  <c:pt idx="60">
                    <c:v>-</c:v>
                  </c:pt>
                  <c:pt idx="61">
                    <c:v>-</c:v>
                  </c:pt>
                  <c:pt idx="62">
                    <c:v>-</c:v>
                  </c:pt>
                  <c:pt idx="63">
                    <c:v>-</c:v>
                  </c:pt>
                  <c:pt idx="64">
                    <c:v>-</c:v>
                  </c:pt>
                  <c:pt idx="65">
                    <c:v>-</c:v>
                  </c:pt>
                  <c:pt idx="66">
                    <c:v>-</c:v>
                  </c:pt>
                  <c:pt idx="67">
                    <c:v>-</c:v>
                  </c:pt>
                  <c:pt idx="68">
                    <c:v>-</c:v>
                  </c:pt>
                  <c:pt idx="69">
                    <c:v>-</c:v>
                  </c:pt>
                  <c:pt idx="70">
                    <c:v>-</c:v>
                  </c:pt>
                  <c:pt idx="71">
                    <c:v>-</c:v>
                  </c:pt>
                  <c:pt idx="72">
                    <c:v>-</c:v>
                  </c:pt>
                  <c:pt idx="73">
                    <c:v>-</c:v>
                  </c:pt>
                  <c:pt idx="74">
                    <c:v>-</c:v>
                  </c:pt>
                  <c:pt idx="75">
                    <c:v>-</c:v>
                  </c:pt>
                  <c:pt idx="76">
                    <c:v>-</c:v>
                  </c:pt>
                  <c:pt idx="77">
                    <c:v>-</c:v>
                  </c:pt>
                  <c:pt idx="78">
                    <c:v>-</c:v>
                  </c:pt>
                  <c:pt idx="79">
                    <c:v>-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462.3</c:v>
                  </c:pt>
                  <c:pt idx="1">
                    <c:v>528.9</c:v>
                  </c:pt>
                  <c:pt idx="2">
                    <c:v>546.9</c:v>
                  </c:pt>
                  <c:pt idx="3">
                    <c:v>555.2</c:v>
                  </c:pt>
                  <c:pt idx="4">
                    <c:v>561</c:v>
                  </c:pt>
                  <c:pt idx="5">
                    <c:v>565.7</c:v>
                  </c:pt>
                  <c:pt idx="6">
                    <c:v>569.7</c:v>
                  </c:pt>
                  <c:pt idx="7">
                    <c:v>573.2</c:v>
                  </c:pt>
                  <c:pt idx="8">
                    <c:v>576.7</c:v>
                  </c:pt>
                  <c:pt idx="9">
                    <c:v>580.1</c:v>
                  </c:pt>
                  <c:pt idx="10">
                    <c:v>583.4</c:v>
                  </c:pt>
                  <c:pt idx="11">
                    <c:v>586.6</c:v>
                  </c:pt>
                  <c:pt idx="12">
                    <c:v>589.6</c:v>
                  </c:pt>
                  <c:pt idx="13">
                    <c:v>592.6</c:v>
                  </c:pt>
                  <c:pt idx="14">
                    <c:v>595.6</c:v>
                  </c:pt>
                  <c:pt idx="15">
                    <c:v>598.5</c:v>
                  </c:pt>
                  <c:pt idx="16">
                    <c:v>601.4</c:v>
                  </c:pt>
                  <c:pt idx="17">
                    <c:v>604.4</c:v>
                  </c:pt>
                  <c:pt idx="18">
                    <c:v>607.3</c:v>
                  </c:pt>
                  <c:pt idx="19">
                    <c:v>610.2</c:v>
                  </c:pt>
                  <c:pt idx="20">
                    <c:v>613.1</c:v>
                  </c:pt>
                  <c:pt idx="21">
                    <c:v>616.1</c:v>
                  </c:pt>
                  <c:pt idx="22">
                    <c:v>619.2</c:v>
                  </c:pt>
                  <c:pt idx="23">
                    <c:v>622.3</c:v>
                  </c:pt>
                  <c:pt idx="24">
                    <c:v>625.3</c:v>
                  </c:pt>
                  <c:pt idx="25">
                    <c:v>628.4</c:v>
                  </c:pt>
                  <c:pt idx="26">
                    <c:v>631.4</c:v>
                  </c:pt>
                  <c:pt idx="27">
                    <c:v>634.4</c:v>
                  </c:pt>
                  <c:pt idx="28">
                    <c:v>637.5</c:v>
                  </c:pt>
                  <c:pt idx="29">
                    <c:v>640.8</c:v>
                  </c:pt>
                  <c:pt idx="30">
                    <c:v>644.2</c:v>
                  </c:pt>
                  <c:pt idx="31">
                    <c:v>647.6</c:v>
                  </c:pt>
                  <c:pt idx="32">
                    <c:v>650.9</c:v>
                  </c:pt>
                  <c:pt idx="33">
                    <c:v>654.2</c:v>
                  </c:pt>
                  <c:pt idx="34">
                    <c:v>657.5</c:v>
                  </c:pt>
                  <c:pt idx="35">
                    <c:v>661.5</c:v>
                  </c:pt>
                  <c:pt idx="36">
                    <c:v>665.8</c:v>
                  </c:pt>
                  <c:pt idx="37">
                    <c:v>670.3</c:v>
                  </c:pt>
                  <c:pt idx="38">
                    <c:v>674.2</c:v>
                  </c:pt>
                  <c:pt idx="39">
                    <c:v>679.2</c:v>
                  </c:pt>
                  <c:pt idx="40">
                    <c:v>683.9</c:v>
                  </c:pt>
                  <c:pt idx="41">
                    <c:v>688.5</c:v>
                  </c:pt>
                  <c:pt idx="42">
                    <c:v>693</c:v>
                  </c:pt>
                  <c:pt idx="43">
                    <c:v>697.8</c:v>
                  </c:pt>
                  <c:pt idx="44">
                    <c:v>702.9</c:v>
                  </c:pt>
                  <c:pt idx="45">
                    <c:v>708.2</c:v>
                  </c:pt>
                  <c:pt idx="46">
                    <c:v>715.3</c:v>
                  </c:pt>
                  <c:pt idx="47">
                    <c:v>724.1</c:v>
                  </c:pt>
                  <c:pt idx="48">
                    <c:v>-</c:v>
                  </c:pt>
                  <c:pt idx="49">
                    <c:v>-</c:v>
                  </c:pt>
                  <c:pt idx="50">
                    <c:v>-</c:v>
                  </c:pt>
                  <c:pt idx="51">
                    <c:v>-</c:v>
                  </c:pt>
                  <c:pt idx="52">
                    <c:v>-</c:v>
                  </c:pt>
                  <c:pt idx="53">
                    <c:v>-</c:v>
                  </c:pt>
                  <c:pt idx="54">
                    <c:v>-</c:v>
                  </c:pt>
                  <c:pt idx="55">
                    <c:v>-</c:v>
                  </c:pt>
                  <c:pt idx="56">
                    <c:v>-</c:v>
                  </c:pt>
                  <c:pt idx="57">
                    <c:v>-</c:v>
                  </c:pt>
                  <c:pt idx="58">
                    <c:v>-</c:v>
                  </c:pt>
                  <c:pt idx="59">
                    <c:v>-</c:v>
                  </c:pt>
                  <c:pt idx="60">
                    <c:v>-</c:v>
                  </c:pt>
                  <c:pt idx="61">
                    <c:v>-</c:v>
                  </c:pt>
                  <c:pt idx="62">
                    <c:v>-</c:v>
                  </c:pt>
                  <c:pt idx="63">
                    <c:v>-</c:v>
                  </c:pt>
                  <c:pt idx="64">
                    <c:v>-</c:v>
                  </c:pt>
                  <c:pt idx="65">
                    <c:v>-</c:v>
                  </c:pt>
                  <c:pt idx="66">
                    <c:v>-</c:v>
                  </c:pt>
                  <c:pt idx="67">
                    <c:v>-</c:v>
                  </c:pt>
                  <c:pt idx="68">
                    <c:v>-</c:v>
                  </c:pt>
                  <c:pt idx="69">
                    <c:v>-</c:v>
                  </c:pt>
                  <c:pt idx="70">
                    <c:v>-</c:v>
                  </c:pt>
                  <c:pt idx="71">
                    <c:v>-</c:v>
                  </c:pt>
                  <c:pt idx="72">
                    <c:v>-</c:v>
                  </c:pt>
                  <c:pt idx="73">
                    <c:v>-</c:v>
                  </c:pt>
                  <c:pt idx="74">
                    <c:v>-</c:v>
                  </c:pt>
                  <c:pt idx="75">
                    <c:v>-</c:v>
                  </c:pt>
                  <c:pt idx="76">
                    <c:v>-</c:v>
                  </c:pt>
                  <c:pt idx="77">
                    <c:v>-</c:v>
                  </c:pt>
                  <c:pt idx="78">
                    <c:v>-</c:v>
                  </c:pt>
                  <c:pt idx="79">
                    <c:v>-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375.98</c:v>
                  </c:pt>
                  <c:pt idx="1">
                    <c:v>402</c:v>
                  </c:pt>
                  <c:pt idx="2">
                    <c:v>422</c:v>
                  </c:pt>
                  <c:pt idx="3">
                    <c:v>462</c:v>
                  </c:pt>
                  <c:pt idx="4">
                    <c:v>489</c:v>
                  </c:pt>
                  <c:pt idx="5">
                    <c:v>510</c:v>
                  </c:pt>
                  <c:pt idx="6">
                    <c:v>518</c:v>
                  </c:pt>
                  <c:pt idx="7">
                    <c:v>525</c:v>
                  </c:pt>
                  <c:pt idx="8">
                    <c:v>533</c:v>
                  </c:pt>
                  <c:pt idx="9">
                    <c:v>538</c:v>
                  </c:pt>
                  <c:pt idx="10">
                    <c:v>543.5</c:v>
                  </c:pt>
                  <c:pt idx="11">
                    <c:v>548</c:v>
                  </c:pt>
                  <c:pt idx="12">
                    <c:v>553</c:v>
                  </c:pt>
                  <c:pt idx="13">
                    <c:v>556</c:v>
                  </c:pt>
                  <c:pt idx="14">
                    <c:v>560</c:v>
                  </c:pt>
                  <c:pt idx="15">
                    <c:v>563</c:v>
                  </c:pt>
                  <c:pt idx="16">
                    <c:v>566</c:v>
                  </c:pt>
                  <c:pt idx="17">
                    <c:v>569</c:v>
                  </c:pt>
                  <c:pt idx="18">
                    <c:v>572</c:v>
                  </c:pt>
                  <c:pt idx="19">
                    <c:v>575</c:v>
                  </c:pt>
                  <c:pt idx="20">
                    <c:v>578</c:v>
                  </c:pt>
                  <c:pt idx="21">
                    <c:v>581</c:v>
                  </c:pt>
                  <c:pt idx="22">
                    <c:v>584</c:v>
                  </c:pt>
                  <c:pt idx="23">
                    <c:v>587</c:v>
                  </c:pt>
                  <c:pt idx="24">
                    <c:v>590</c:v>
                  </c:pt>
                  <c:pt idx="25">
                    <c:v>593</c:v>
                  </c:pt>
                  <c:pt idx="26">
                    <c:v>595</c:v>
                  </c:pt>
                  <c:pt idx="27">
                    <c:v>598</c:v>
                  </c:pt>
                  <c:pt idx="28">
                    <c:v>600</c:v>
                  </c:pt>
                  <c:pt idx="29">
                    <c:v>602</c:v>
                  </c:pt>
                  <c:pt idx="30">
                    <c:v>606</c:v>
                  </c:pt>
                  <c:pt idx="31">
                    <c:v>609</c:v>
                  </c:pt>
                  <c:pt idx="32">
                    <c:v>611</c:v>
                  </c:pt>
                  <c:pt idx="33">
                    <c:v>614</c:v>
                  </c:pt>
                  <c:pt idx="34">
                    <c:v>617</c:v>
                  </c:pt>
                  <c:pt idx="35">
                    <c:v>620</c:v>
                  </c:pt>
                  <c:pt idx="36">
                    <c:v>622</c:v>
                  </c:pt>
                  <c:pt idx="37">
                    <c:v>626</c:v>
                  </c:pt>
                  <c:pt idx="38">
                    <c:v>630</c:v>
                  </c:pt>
                  <c:pt idx="39">
                    <c:v>632</c:v>
                  </c:pt>
                  <c:pt idx="40">
                    <c:v>635</c:v>
                  </c:pt>
                  <c:pt idx="41">
                    <c:v>638</c:v>
                  </c:pt>
                  <c:pt idx="42">
                    <c:v>641</c:v>
                  </c:pt>
                  <c:pt idx="43">
                    <c:v>644</c:v>
                  </c:pt>
                  <c:pt idx="44">
                    <c:v>647</c:v>
                  </c:pt>
                  <c:pt idx="45">
                    <c:v>650</c:v>
                  </c:pt>
                  <c:pt idx="46">
                    <c:v>654</c:v>
                  </c:pt>
                  <c:pt idx="47">
                    <c:v>657</c:v>
                  </c:pt>
                  <c:pt idx="48">
                    <c:v>661</c:v>
                  </c:pt>
                  <c:pt idx="49">
                    <c:v>664</c:v>
                  </c:pt>
                  <c:pt idx="50">
                    <c:v>667</c:v>
                  </c:pt>
                  <c:pt idx="51">
                    <c:v>671</c:v>
                  </c:pt>
                  <c:pt idx="52">
                    <c:v>675</c:v>
                  </c:pt>
                  <c:pt idx="53">
                    <c:v>678</c:v>
                  </c:pt>
                  <c:pt idx="54">
                    <c:v>682</c:v>
                  </c:pt>
                  <c:pt idx="55">
                    <c:v>687</c:v>
                  </c:pt>
                  <c:pt idx="56">
                    <c:v>691</c:v>
                  </c:pt>
                  <c:pt idx="57">
                    <c:v>694</c:v>
                  </c:pt>
                  <c:pt idx="58">
                    <c:v>698</c:v>
                  </c:pt>
                  <c:pt idx="59">
                    <c:v>702</c:v>
                  </c:pt>
                  <c:pt idx="60">
                    <c:v>705</c:v>
                  </c:pt>
                  <c:pt idx="61">
                    <c:v>708</c:v>
                  </c:pt>
                  <c:pt idx="62">
                    <c:v>713</c:v>
                  </c:pt>
                  <c:pt idx="63">
                    <c:v>718</c:v>
                  </c:pt>
                  <c:pt idx="64">
                    <c:v>720</c:v>
                  </c:pt>
                  <c:pt idx="65">
                    <c:v>-</c:v>
                  </c:pt>
                  <c:pt idx="66">
                    <c:v>-</c:v>
                  </c:pt>
                  <c:pt idx="67">
                    <c:v>-</c:v>
                  </c:pt>
                  <c:pt idx="68">
                    <c:v>-</c:v>
                  </c:pt>
                  <c:pt idx="69">
                    <c:v>-</c:v>
                  </c:pt>
                  <c:pt idx="70">
                    <c:v>-</c:v>
                  </c:pt>
                  <c:pt idx="71">
                    <c:v>-</c:v>
                  </c:pt>
                  <c:pt idx="72">
                    <c:v>-</c:v>
                  </c:pt>
                  <c:pt idx="73">
                    <c:v>-</c:v>
                  </c:pt>
                  <c:pt idx="74">
                    <c:v>-</c:v>
                  </c:pt>
                  <c:pt idx="75">
                    <c:v>-</c:v>
                  </c:pt>
                  <c:pt idx="76">
                    <c:v>-</c:v>
                  </c:pt>
                  <c:pt idx="77">
                    <c:v>-</c:v>
                  </c:pt>
                  <c:pt idx="78">
                    <c:v>-</c:v>
                  </c:pt>
                  <c:pt idx="79">
                    <c:v>-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560</c:v>
                  </c:pt>
                  <c:pt idx="1">
                    <c:v>560</c:v>
                  </c:pt>
                  <c:pt idx="2">
                    <c:v>560</c:v>
                  </c:pt>
                  <c:pt idx="3">
                    <c:v>560</c:v>
                  </c:pt>
                  <c:pt idx="4">
                    <c:v>560</c:v>
                  </c:pt>
                  <c:pt idx="5">
                    <c:v>560</c:v>
                  </c:pt>
                  <c:pt idx="6">
                    <c:v>560</c:v>
                  </c:pt>
                  <c:pt idx="7">
                    <c:v>560</c:v>
                  </c:pt>
                  <c:pt idx="8">
                    <c:v>560</c:v>
                  </c:pt>
                  <c:pt idx="9">
                    <c:v>560</c:v>
                  </c:pt>
                  <c:pt idx="10">
                    <c:v>560</c:v>
                  </c:pt>
                  <c:pt idx="11">
                    <c:v>560</c:v>
                  </c:pt>
                  <c:pt idx="12">
                    <c:v>560</c:v>
                  </c:pt>
                  <c:pt idx="13">
                    <c:v>560</c:v>
                  </c:pt>
                  <c:pt idx="14">
                    <c:v>560</c:v>
                  </c:pt>
                  <c:pt idx="15">
                    <c:v>560</c:v>
                  </c:pt>
                  <c:pt idx="16">
                    <c:v>560</c:v>
                  </c:pt>
                  <c:pt idx="17">
                    <c:v>560</c:v>
                  </c:pt>
                  <c:pt idx="18">
                    <c:v>560</c:v>
                  </c:pt>
                  <c:pt idx="19">
                    <c:v>560</c:v>
                  </c:pt>
                  <c:pt idx="20">
                    <c:v>560</c:v>
                  </c:pt>
                  <c:pt idx="21">
                    <c:v>560</c:v>
                  </c:pt>
                  <c:pt idx="22">
                    <c:v>560</c:v>
                  </c:pt>
                  <c:pt idx="23">
                    <c:v>560</c:v>
                  </c:pt>
                  <c:pt idx="24">
                    <c:v>560</c:v>
                  </c:pt>
                  <c:pt idx="25">
                    <c:v>560</c:v>
                  </c:pt>
                  <c:pt idx="26">
                    <c:v>560</c:v>
                  </c:pt>
                  <c:pt idx="27">
                    <c:v>560</c:v>
                  </c:pt>
                  <c:pt idx="28">
                    <c:v>560</c:v>
                  </c:pt>
                  <c:pt idx="29">
                    <c:v>560</c:v>
                  </c:pt>
                  <c:pt idx="30">
                    <c:v>560</c:v>
                  </c:pt>
                  <c:pt idx="31">
                    <c:v>560</c:v>
                  </c:pt>
                  <c:pt idx="32">
                    <c:v>560</c:v>
                  </c:pt>
                  <c:pt idx="33">
                    <c:v>560</c:v>
                  </c:pt>
                  <c:pt idx="34">
                    <c:v>560</c:v>
                  </c:pt>
                  <c:pt idx="35">
                    <c:v>560</c:v>
                  </c:pt>
                  <c:pt idx="36">
                    <c:v>560</c:v>
                  </c:pt>
                  <c:pt idx="37">
                    <c:v>560</c:v>
                  </c:pt>
                  <c:pt idx="38">
                    <c:v>560</c:v>
                  </c:pt>
                  <c:pt idx="39">
                    <c:v>560</c:v>
                  </c:pt>
                  <c:pt idx="40">
                    <c:v>560</c:v>
                  </c:pt>
                  <c:pt idx="41">
                    <c:v>560</c:v>
                  </c:pt>
                  <c:pt idx="42">
                    <c:v>560</c:v>
                  </c:pt>
                  <c:pt idx="43">
                    <c:v>560</c:v>
                  </c:pt>
                  <c:pt idx="44">
                    <c:v>560</c:v>
                  </c:pt>
                  <c:pt idx="45">
                    <c:v>560</c:v>
                  </c:pt>
                  <c:pt idx="46">
                    <c:v>560</c:v>
                  </c:pt>
                  <c:pt idx="47">
                    <c:v>560</c:v>
                  </c:pt>
                  <c:pt idx="48">
                    <c:v>560</c:v>
                  </c:pt>
                  <c:pt idx="49">
                    <c:v>560</c:v>
                  </c:pt>
                  <c:pt idx="50">
                    <c:v>560</c:v>
                  </c:pt>
                  <c:pt idx="51">
                    <c:v>560</c:v>
                  </c:pt>
                  <c:pt idx="52">
                    <c:v>560</c:v>
                  </c:pt>
                  <c:pt idx="53">
                    <c:v>560</c:v>
                  </c:pt>
                  <c:pt idx="54">
                    <c:v>560</c:v>
                  </c:pt>
                  <c:pt idx="55">
                    <c:v>560</c:v>
                  </c:pt>
                  <c:pt idx="56">
                    <c:v>560</c:v>
                  </c:pt>
                  <c:pt idx="57">
                    <c:v>560</c:v>
                  </c:pt>
                  <c:pt idx="58">
                    <c:v>560</c:v>
                  </c:pt>
                  <c:pt idx="59">
                    <c:v>560</c:v>
                  </c:pt>
                  <c:pt idx="60">
                    <c:v>560</c:v>
                  </c:pt>
                  <c:pt idx="61">
                    <c:v>560</c:v>
                  </c:pt>
                  <c:pt idx="62">
                    <c:v>560</c:v>
                  </c:pt>
                  <c:pt idx="63">
                    <c:v>560</c:v>
                  </c:pt>
                  <c:pt idx="64">
                    <c:v>560</c:v>
                  </c:pt>
                  <c:pt idx="65">
                    <c:v>560</c:v>
                  </c:pt>
                  <c:pt idx="66">
                    <c:v>560</c:v>
                  </c:pt>
                  <c:pt idx="67">
                    <c:v>560</c:v>
                  </c:pt>
                  <c:pt idx="68">
                    <c:v>560</c:v>
                  </c:pt>
                  <c:pt idx="69">
                    <c:v>560</c:v>
                  </c:pt>
                  <c:pt idx="70">
                    <c:v>560</c:v>
                  </c:pt>
                  <c:pt idx="71">
                    <c:v>560</c:v>
                  </c:pt>
                  <c:pt idx="72">
                    <c:v>560</c:v>
                  </c:pt>
                  <c:pt idx="73">
                    <c:v>560</c:v>
                  </c:pt>
                  <c:pt idx="74">
                    <c:v>560</c:v>
                  </c:pt>
                  <c:pt idx="75">
                    <c:v>560</c:v>
                  </c:pt>
                  <c:pt idx="76">
                    <c:v>560</c:v>
                  </c:pt>
                  <c:pt idx="77">
                    <c:v>560</c:v>
                  </c:pt>
                  <c:pt idx="78">
                    <c:v>560</c:v>
                  </c:pt>
                  <c:pt idx="79">
                    <c:v>560</c:v>
                  </c:pt>
                  <c:pt idx="80">
                    <c:v>560</c:v>
                  </c:pt>
                  <c:pt idx="81">
                    <c:v>560</c:v>
                  </c:pt>
                  <c:pt idx="82">
                    <c:v>560</c:v>
                  </c:pt>
                  <c:pt idx="83">
                    <c:v>560</c:v>
                  </c:pt>
                  <c:pt idx="84">
                    <c:v>560</c:v>
                  </c:pt>
                  <c:pt idx="85">
                    <c:v>560</c:v>
                  </c:pt>
                  <c:pt idx="86">
                    <c:v>560</c:v>
                  </c:pt>
                  <c:pt idx="87">
                    <c:v>560</c:v>
                  </c:pt>
                  <c:pt idx="88">
                    <c:v>560</c:v>
                  </c:pt>
                  <c:pt idx="89">
                    <c:v>560</c:v>
                  </c:pt>
                  <c:pt idx="90">
                    <c:v>560</c:v>
                  </c:pt>
                  <c:pt idx="91">
                    <c:v>560</c:v>
                  </c:pt>
                  <c:pt idx="92">
                    <c:v>560</c:v>
                  </c:pt>
                  <c:pt idx="93">
                    <c:v>560</c:v>
                  </c:pt>
                  <c:pt idx="94">
                    <c:v>560</c:v>
                  </c:pt>
                  <c:pt idx="95">
                    <c:v>560</c:v>
                  </c:pt>
                  <c:pt idx="96">
                    <c:v>560</c:v>
                  </c:pt>
                  <c:pt idx="97">
                    <c:v>560</c:v>
                  </c:pt>
                  <c:pt idx="98">
                    <c:v>560</c:v>
                  </c:pt>
                  <c:pt idx="99">
                    <c:v>560</c:v>
                  </c:pt>
                  <c:pt idx="100">
                    <c:v>560</c:v>
                  </c:pt>
                </c:lvl>
                <c:lvl>
                  <c:pt idx="0">
                    <c:v>500</c:v>
                  </c:pt>
                  <c:pt idx="1">
                    <c:v>500</c:v>
                  </c:pt>
                  <c:pt idx="2">
                    <c:v>500</c:v>
                  </c:pt>
                  <c:pt idx="3">
                    <c:v>500</c:v>
                  </c:pt>
                  <c:pt idx="4">
                    <c:v>500</c:v>
                  </c:pt>
                  <c:pt idx="5">
                    <c:v>500</c:v>
                  </c:pt>
                  <c:pt idx="6">
                    <c:v>500</c:v>
                  </c:pt>
                  <c:pt idx="7">
                    <c:v>500</c:v>
                  </c:pt>
                  <c:pt idx="8">
                    <c:v>500</c:v>
                  </c:pt>
                  <c:pt idx="9">
                    <c:v>500</c:v>
                  </c:pt>
                  <c:pt idx="10">
                    <c:v>500</c:v>
                  </c:pt>
                  <c:pt idx="11">
                    <c:v>500</c:v>
                  </c:pt>
                  <c:pt idx="12">
                    <c:v>500</c:v>
                  </c:pt>
                  <c:pt idx="13">
                    <c:v>500</c:v>
                  </c:pt>
                  <c:pt idx="14">
                    <c:v>500</c:v>
                  </c:pt>
                  <c:pt idx="15">
                    <c:v>500</c:v>
                  </c:pt>
                  <c:pt idx="16">
                    <c:v>500</c:v>
                  </c:pt>
                  <c:pt idx="17">
                    <c:v>500</c:v>
                  </c:pt>
                  <c:pt idx="18">
                    <c:v>500</c:v>
                  </c:pt>
                  <c:pt idx="19">
                    <c:v>500</c:v>
                  </c:pt>
                  <c:pt idx="20">
                    <c:v>500</c:v>
                  </c:pt>
                  <c:pt idx="21">
                    <c:v>500</c:v>
                  </c:pt>
                  <c:pt idx="22">
                    <c:v>500</c:v>
                  </c:pt>
                  <c:pt idx="23">
                    <c:v>500</c:v>
                  </c:pt>
                  <c:pt idx="24">
                    <c:v>500</c:v>
                  </c:pt>
                  <c:pt idx="25">
                    <c:v>500</c:v>
                  </c:pt>
                  <c:pt idx="26">
                    <c:v>500</c:v>
                  </c:pt>
                  <c:pt idx="27">
                    <c:v>500</c:v>
                  </c:pt>
                  <c:pt idx="28">
                    <c:v>500</c:v>
                  </c:pt>
                  <c:pt idx="29">
                    <c:v>500</c:v>
                  </c:pt>
                  <c:pt idx="30">
                    <c:v>500</c:v>
                  </c:pt>
                  <c:pt idx="31">
                    <c:v>500</c:v>
                  </c:pt>
                  <c:pt idx="32">
                    <c:v>500</c:v>
                  </c:pt>
                  <c:pt idx="33">
                    <c:v>500</c:v>
                  </c:pt>
                  <c:pt idx="34">
                    <c:v>500</c:v>
                  </c:pt>
                  <c:pt idx="35">
                    <c:v>500</c:v>
                  </c:pt>
                  <c:pt idx="36">
                    <c:v>500</c:v>
                  </c:pt>
                  <c:pt idx="37">
                    <c:v>500</c:v>
                  </c:pt>
                  <c:pt idx="38">
                    <c:v>500</c:v>
                  </c:pt>
                  <c:pt idx="39">
                    <c:v>500</c:v>
                  </c:pt>
                  <c:pt idx="40">
                    <c:v>500</c:v>
                  </c:pt>
                  <c:pt idx="41">
                    <c:v>500</c:v>
                  </c:pt>
                  <c:pt idx="42">
                    <c:v>500</c:v>
                  </c:pt>
                  <c:pt idx="43">
                    <c:v>500</c:v>
                  </c:pt>
                  <c:pt idx="44">
                    <c:v>500</c:v>
                  </c:pt>
                  <c:pt idx="45">
                    <c:v>500</c:v>
                  </c:pt>
                  <c:pt idx="46">
                    <c:v>500</c:v>
                  </c:pt>
                  <c:pt idx="47">
                    <c:v>500</c:v>
                  </c:pt>
                  <c:pt idx="48">
                    <c:v>500</c:v>
                  </c:pt>
                  <c:pt idx="49">
                    <c:v>500</c:v>
                  </c:pt>
                  <c:pt idx="50">
                    <c:v>500</c:v>
                  </c:pt>
                  <c:pt idx="51">
                    <c:v>500</c:v>
                  </c:pt>
                  <c:pt idx="52">
                    <c:v>500</c:v>
                  </c:pt>
                  <c:pt idx="53">
                    <c:v>500</c:v>
                  </c:pt>
                  <c:pt idx="54">
                    <c:v>500</c:v>
                  </c:pt>
                  <c:pt idx="55">
                    <c:v>500</c:v>
                  </c:pt>
                  <c:pt idx="56">
                    <c:v>500</c:v>
                  </c:pt>
                  <c:pt idx="57">
                    <c:v>500</c:v>
                  </c:pt>
                  <c:pt idx="58">
                    <c:v>500</c:v>
                  </c:pt>
                  <c:pt idx="59">
                    <c:v>500</c:v>
                  </c:pt>
                  <c:pt idx="60">
                    <c:v>500</c:v>
                  </c:pt>
                  <c:pt idx="61">
                    <c:v>500</c:v>
                  </c:pt>
                  <c:pt idx="62">
                    <c:v>500</c:v>
                  </c:pt>
                  <c:pt idx="63">
                    <c:v>500</c:v>
                  </c:pt>
                  <c:pt idx="64">
                    <c:v>500</c:v>
                  </c:pt>
                  <c:pt idx="65">
                    <c:v>500</c:v>
                  </c:pt>
                  <c:pt idx="66">
                    <c:v>500</c:v>
                  </c:pt>
                  <c:pt idx="67">
                    <c:v>500</c:v>
                  </c:pt>
                  <c:pt idx="68">
                    <c:v>500</c:v>
                  </c:pt>
                  <c:pt idx="69">
                    <c:v>500</c:v>
                  </c:pt>
                  <c:pt idx="70">
                    <c:v>500</c:v>
                  </c:pt>
                  <c:pt idx="71">
                    <c:v>500</c:v>
                  </c:pt>
                  <c:pt idx="72">
                    <c:v>500</c:v>
                  </c:pt>
                  <c:pt idx="73">
                    <c:v>500</c:v>
                  </c:pt>
                  <c:pt idx="74">
                    <c:v>500</c:v>
                  </c:pt>
                  <c:pt idx="75">
                    <c:v>500</c:v>
                  </c:pt>
                  <c:pt idx="76">
                    <c:v>500</c:v>
                  </c:pt>
                  <c:pt idx="77">
                    <c:v>500</c:v>
                  </c:pt>
                  <c:pt idx="78">
                    <c:v>500</c:v>
                  </c:pt>
                  <c:pt idx="79">
                    <c:v>500</c:v>
                  </c:pt>
                  <c:pt idx="80">
                    <c:v>500</c:v>
                  </c:pt>
                  <c:pt idx="81">
                    <c:v>500</c:v>
                  </c:pt>
                  <c:pt idx="82">
                    <c:v>500</c:v>
                  </c:pt>
                  <c:pt idx="83">
                    <c:v>500</c:v>
                  </c:pt>
                  <c:pt idx="84">
                    <c:v>500</c:v>
                  </c:pt>
                  <c:pt idx="85">
                    <c:v>500</c:v>
                  </c:pt>
                  <c:pt idx="86">
                    <c:v>500</c:v>
                  </c:pt>
                  <c:pt idx="87">
                    <c:v>500</c:v>
                  </c:pt>
                  <c:pt idx="88">
                    <c:v>500</c:v>
                  </c:pt>
                  <c:pt idx="89">
                    <c:v>500</c:v>
                  </c:pt>
                  <c:pt idx="90">
                    <c:v>500</c:v>
                  </c:pt>
                  <c:pt idx="91">
                    <c:v>500</c:v>
                  </c:pt>
                  <c:pt idx="92">
                    <c:v>500</c:v>
                  </c:pt>
                  <c:pt idx="93">
                    <c:v>500</c:v>
                  </c:pt>
                  <c:pt idx="94">
                    <c:v>500</c:v>
                  </c:pt>
                  <c:pt idx="95">
                    <c:v>500</c:v>
                  </c:pt>
                  <c:pt idx="96">
                    <c:v>500</c:v>
                  </c:pt>
                  <c:pt idx="97">
                    <c:v>500</c:v>
                  </c:pt>
                  <c:pt idx="98">
                    <c:v>500</c:v>
                  </c:pt>
                  <c:pt idx="99">
                    <c:v>500</c:v>
                  </c:pt>
                  <c:pt idx="100">
                    <c:v>500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  <c:pt idx="56">
                    <c:v>56</c:v>
                  </c:pt>
                  <c:pt idx="57">
                    <c:v>57</c:v>
                  </c:pt>
                  <c:pt idx="58">
                    <c:v>58</c:v>
                  </c:pt>
                  <c:pt idx="59">
                    <c:v>59</c:v>
                  </c:pt>
                  <c:pt idx="60">
                    <c:v>60</c:v>
                  </c:pt>
                  <c:pt idx="61">
                    <c:v>61</c:v>
                  </c:pt>
                  <c:pt idx="62">
                    <c:v>62</c:v>
                  </c:pt>
                  <c:pt idx="63">
                    <c:v>63</c:v>
                  </c:pt>
                  <c:pt idx="64">
                    <c:v>64</c:v>
                  </c:pt>
                  <c:pt idx="65">
                    <c:v>65</c:v>
                  </c:pt>
                  <c:pt idx="66">
                    <c:v>66</c:v>
                  </c:pt>
                  <c:pt idx="67">
                    <c:v>67</c:v>
                  </c:pt>
                  <c:pt idx="68">
                    <c:v>68</c:v>
                  </c:pt>
                  <c:pt idx="69">
                    <c:v>69</c:v>
                  </c:pt>
                  <c:pt idx="70">
                    <c:v>70</c:v>
                  </c:pt>
                  <c:pt idx="71">
                    <c:v>71</c:v>
                  </c:pt>
                  <c:pt idx="72">
                    <c:v>72</c:v>
                  </c:pt>
                  <c:pt idx="73">
                    <c:v>73</c:v>
                  </c:pt>
                  <c:pt idx="74">
                    <c:v>74</c:v>
                  </c:pt>
                  <c:pt idx="75">
                    <c:v>75</c:v>
                  </c:pt>
                  <c:pt idx="76">
                    <c:v>76</c:v>
                  </c:pt>
                  <c:pt idx="77">
                    <c:v>77</c:v>
                  </c:pt>
                  <c:pt idx="78">
                    <c:v>78</c:v>
                  </c:pt>
                  <c:pt idx="79">
                    <c:v>79</c:v>
                  </c:pt>
                  <c:pt idx="80">
                    <c:v>80</c:v>
                  </c:pt>
                  <c:pt idx="81">
                    <c:v>81</c:v>
                  </c:pt>
                  <c:pt idx="82">
                    <c:v>82</c:v>
                  </c:pt>
                  <c:pt idx="83">
                    <c:v>83</c:v>
                  </c:pt>
                  <c:pt idx="84">
                    <c:v>84</c:v>
                  </c:pt>
                  <c:pt idx="85">
                    <c:v>85</c:v>
                  </c:pt>
                  <c:pt idx="86">
                    <c:v>86</c:v>
                  </c:pt>
                  <c:pt idx="87">
                    <c:v>87</c:v>
                  </c:pt>
                  <c:pt idx="88">
                    <c:v>88</c:v>
                  </c:pt>
                  <c:pt idx="89">
                    <c:v>89</c:v>
                  </c:pt>
                  <c:pt idx="90">
                    <c:v>90</c:v>
                  </c:pt>
                  <c:pt idx="91">
                    <c:v>91</c:v>
                  </c:pt>
                  <c:pt idx="92">
                    <c:v>92</c:v>
                  </c:pt>
                  <c:pt idx="93">
                    <c:v>93</c:v>
                  </c:pt>
                  <c:pt idx="94">
                    <c:v>94</c:v>
                  </c:pt>
                  <c:pt idx="95">
                    <c:v>95</c:v>
                  </c:pt>
                  <c:pt idx="96">
                    <c:v>96</c:v>
                  </c:pt>
                  <c:pt idx="97">
                    <c:v>97</c:v>
                  </c:pt>
                  <c:pt idx="98">
                    <c:v>98</c:v>
                  </c:pt>
                  <c:pt idx="99">
                    <c:v>99</c:v>
                  </c:pt>
                  <c:pt idx="100">
                    <c:v>100</c:v>
                  </c:pt>
                </c:lvl>
              </c:multiLvlStrCache>
            </c:multiLvlStrRef>
          </c:xVal>
          <c:yVal>
            <c:numRef>
              <c:f>'HPS Comparing'!$X$10:$X$110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A5C-4395-9C78-B97C184E9CD7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multiLvlStrRef>
              <c:f>'HPS Comparing'!$D$10:$N$110</c:f>
              <c:multiLvlStrCache>
                <c:ptCount val="101"/>
                <c:lvl>
                  <c:pt idx="0">
                    <c:v>95.5</c:v>
                  </c:pt>
                  <c:pt idx="1">
                    <c:v>125.7</c:v>
                  </c:pt>
                  <c:pt idx="2">
                    <c:v>155.6</c:v>
                  </c:pt>
                  <c:pt idx="3">
                    <c:v>174.7</c:v>
                  </c:pt>
                  <c:pt idx="4">
                    <c:v>190.5</c:v>
                  </c:pt>
                  <c:pt idx="5">
                    <c:v>203.2</c:v>
                  </c:pt>
                  <c:pt idx="6">
                    <c:v>216</c:v>
                  </c:pt>
                  <c:pt idx="7">
                    <c:v>226</c:v>
                  </c:pt>
                  <c:pt idx="8">
                    <c:v>235.1</c:v>
                  </c:pt>
                  <c:pt idx="9">
                    <c:v>245.2</c:v>
                  </c:pt>
                  <c:pt idx="10">
                    <c:v>253.3</c:v>
                  </c:pt>
                  <c:pt idx="11">
                    <c:v>262.5</c:v>
                  </c:pt>
                  <c:pt idx="12">
                    <c:v>270.2</c:v>
                  </c:pt>
                  <c:pt idx="13">
                    <c:v>278.8</c:v>
                  </c:pt>
                  <c:pt idx="14">
                    <c:v>286.4</c:v>
                  </c:pt>
                  <c:pt idx="15">
                    <c:v>294.1</c:v>
                  </c:pt>
                  <c:pt idx="16">
                    <c:v>301</c:v>
                  </c:pt>
                  <c:pt idx="17">
                    <c:v>308</c:v>
                  </c:pt>
                  <c:pt idx="18">
                    <c:v>314.9</c:v>
                  </c:pt>
                  <c:pt idx="19">
                    <c:v>321.3</c:v>
                  </c:pt>
                  <c:pt idx="20">
                    <c:v>328.2</c:v>
                  </c:pt>
                  <c:pt idx="21">
                    <c:v>334.2</c:v>
                  </c:pt>
                  <c:pt idx="22">
                    <c:v>340.8</c:v>
                  </c:pt>
                  <c:pt idx="23">
                    <c:v>346.4</c:v>
                  </c:pt>
                  <c:pt idx="24">
                    <c:v>352.3</c:v>
                  </c:pt>
                  <c:pt idx="25">
                    <c:v>357.5</c:v>
                  </c:pt>
                  <c:pt idx="26">
                    <c:v>363.2</c:v>
                  </c:pt>
                  <c:pt idx="27">
                    <c:v>368.5</c:v>
                  </c:pt>
                  <c:pt idx="28">
                    <c:v>375.1</c:v>
                  </c:pt>
                  <c:pt idx="29">
                    <c:v>381.5</c:v>
                  </c:pt>
                  <c:pt idx="30">
                    <c:v>388.2</c:v>
                  </c:pt>
                  <c:pt idx="31">
                    <c:v>393.9</c:v>
                  </c:pt>
                  <c:pt idx="32">
                    <c:v>399.4</c:v>
                  </c:pt>
                  <c:pt idx="33">
                    <c:v>404.7</c:v>
                  </c:pt>
                  <c:pt idx="34">
                    <c:v>410</c:v>
                  </c:pt>
                  <c:pt idx="35">
                    <c:v>415.6</c:v>
                  </c:pt>
                  <c:pt idx="36">
                    <c:v>421</c:v>
                  </c:pt>
                  <c:pt idx="37">
                    <c:v>427</c:v>
                  </c:pt>
                  <c:pt idx="38">
                    <c:v>432.5</c:v>
                  </c:pt>
                  <c:pt idx="39">
                    <c:v>438.1</c:v>
                  </c:pt>
                  <c:pt idx="40">
                    <c:v>443.3</c:v>
                  </c:pt>
                  <c:pt idx="41">
                    <c:v>448.5</c:v>
                  </c:pt>
                  <c:pt idx="42">
                    <c:v>454.3</c:v>
                  </c:pt>
                  <c:pt idx="43">
                    <c:v>459.9</c:v>
                  </c:pt>
                  <c:pt idx="44">
                    <c:v>465.4</c:v>
                  </c:pt>
                  <c:pt idx="45">
                    <c:v>471</c:v>
                  </c:pt>
                  <c:pt idx="46">
                    <c:v>476.4</c:v>
                  </c:pt>
                  <c:pt idx="47">
                    <c:v>481.9</c:v>
                  </c:pt>
                  <c:pt idx="48">
                    <c:v>487.5</c:v>
                  </c:pt>
                  <c:pt idx="49">
                    <c:v>493.2</c:v>
                  </c:pt>
                  <c:pt idx="50">
                    <c:v>498.4</c:v>
                  </c:pt>
                  <c:pt idx="51">
                    <c:v>503.4</c:v>
                  </c:pt>
                  <c:pt idx="52">
                    <c:v>508.3</c:v>
                  </c:pt>
                  <c:pt idx="53">
                    <c:v>513.7</c:v>
                  </c:pt>
                  <c:pt idx="54">
                    <c:v>519.1</c:v>
                  </c:pt>
                  <c:pt idx="55">
                    <c:v>524.2</c:v>
                  </c:pt>
                  <c:pt idx="56">
                    <c:v>529.1</c:v>
                  </c:pt>
                  <c:pt idx="57">
                    <c:v>533.9</c:v>
                  </c:pt>
                  <c:pt idx="58">
                    <c:v>538.7</c:v>
                  </c:pt>
                  <c:pt idx="59">
                    <c:v>543.3</c:v>
                  </c:pt>
                  <c:pt idx="60">
                    <c:v>548.1</c:v>
                  </c:pt>
                  <c:pt idx="61">
                    <c:v>552.8</c:v>
                  </c:pt>
                  <c:pt idx="62">
                    <c:v>557.4</c:v>
                  </c:pt>
                  <c:pt idx="63">
                    <c:v>561.8</c:v>
                  </c:pt>
                  <c:pt idx="64">
                    <c:v>566.1</c:v>
                  </c:pt>
                  <c:pt idx="65">
                    <c:v>570.2</c:v>
                  </c:pt>
                  <c:pt idx="66">
                    <c:v>574.2</c:v>
                  </c:pt>
                  <c:pt idx="67">
                    <c:v>578.5</c:v>
                  </c:pt>
                  <c:pt idx="68">
                    <c:v>582.9</c:v>
                  </c:pt>
                  <c:pt idx="69">
                    <c:v>587.2</c:v>
                  </c:pt>
                  <c:pt idx="70">
                    <c:v>591.6</c:v>
                  </c:pt>
                  <c:pt idx="71">
                    <c:v>596</c:v>
                  </c:pt>
                  <c:pt idx="72">
                    <c:v>600.5</c:v>
                  </c:pt>
                  <c:pt idx="73">
                    <c:v>605.3</c:v>
                  </c:pt>
                  <c:pt idx="74">
                    <c:v>610.3</c:v>
                  </c:pt>
                  <c:pt idx="75">
                    <c:v>615.3</c:v>
                  </c:pt>
                  <c:pt idx="76">
                    <c:v>620.9</c:v>
                  </c:pt>
                  <c:pt idx="77">
                    <c:v>626.4</c:v>
                  </c:pt>
                  <c:pt idx="78">
                    <c:v>632.1</c:v>
                  </c:pt>
                  <c:pt idx="79">
                    <c:v>638</c:v>
                  </c:pt>
                  <c:pt idx="80">
                    <c:v>644.6</c:v>
                  </c:pt>
                  <c:pt idx="81">
                    <c:v>651.6</c:v>
                  </c:pt>
                  <c:pt idx="82">
                    <c:v>658.6</c:v>
                  </c:pt>
                  <c:pt idx="83">
                    <c:v>667.9</c:v>
                  </c:pt>
                  <c:pt idx="84">
                    <c:v>677.4</c:v>
                  </c:pt>
                  <c:pt idx="85">
                    <c:v>688.1</c:v>
                  </c:pt>
                  <c:pt idx="86">
                    <c:v>698.6</c:v>
                  </c:pt>
                  <c:pt idx="87">
                    <c:v>709.6</c:v>
                  </c:pt>
                  <c:pt idx="88">
                    <c:v>722.6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133.6</c:v>
                  </c:pt>
                  <c:pt idx="1">
                    <c:v>179.1</c:v>
                  </c:pt>
                  <c:pt idx="2">
                    <c:v>224.9</c:v>
                  </c:pt>
                  <c:pt idx="3">
                    <c:v>255.3</c:v>
                  </c:pt>
                  <c:pt idx="4">
                    <c:v>279.7</c:v>
                  </c:pt>
                  <c:pt idx="5">
                    <c:v>300.9</c:v>
                  </c:pt>
                  <c:pt idx="6">
                    <c:v>317.7</c:v>
                  </c:pt>
                  <c:pt idx="7">
                    <c:v>332.7</c:v>
                  </c:pt>
                  <c:pt idx="8">
                    <c:v>345.9</c:v>
                  </c:pt>
                  <c:pt idx="9">
                    <c:v>357.3</c:v>
                  </c:pt>
                  <c:pt idx="10">
                    <c:v>367.8</c:v>
                  </c:pt>
                  <c:pt idx="11">
                    <c:v>379.7</c:v>
                  </c:pt>
                  <c:pt idx="12">
                    <c:v>391.3</c:v>
                  </c:pt>
                  <c:pt idx="13">
                    <c:v>400</c:v>
                  </c:pt>
                  <c:pt idx="14">
                    <c:v>408.3</c:v>
                  </c:pt>
                  <c:pt idx="15">
                    <c:v>417</c:v>
                  </c:pt>
                  <c:pt idx="16">
                    <c:v>426.3</c:v>
                  </c:pt>
                  <c:pt idx="17">
                    <c:v>434.6</c:v>
                  </c:pt>
                  <c:pt idx="18">
                    <c:v>442.1</c:v>
                  </c:pt>
                  <c:pt idx="19">
                    <c:v>449.4</c:v>
                  </c:pt>
                  <c:pt idx="20">
                    <c:v>457.4</c:v>
                  </c:pt>
                  <c:pt idx="21">
                    <c:v>465.2</c:v>
                  </c:pt>
                  <c:pt idx="22">
                    <c:v>472.3</c:v>
                  </c:pt>
                  <c:pt idx="23">
                    <c:v>479</c:v>
                  </c:pt>
                  <c:pt idx="24">
                    <c:v>486.1</c:v>
                  </c:pt>
                  <c:pt idx="25">
                    <c:v>493.1</c:v>
                  </c:pt>
                  <c:pt idx="26">
                    <c:v>499.3</c:v>
                  </c:pt>
                  <c:pt idx="27">
                    <c:v>505</c:v>
                  </c:pt>
                  <c:pt idx="28">
                    <c:v>510.6</c:v>
                  </c:pt>
                  <c:pt idx="29">
                    <c:v>516.6</c:v>
                  </c:pt>
                  <c:pt idx="30">
                    <c:v>522.4</c:v>
                  </c:pt>
                  <c:pt idx="31">
                    <c:v>527.4</c:v>
                  </c:pt>
                  <c:pt idx="32">
                    <c:v>532.2</c:v>
                  </c:pt>
                  <c:pt idx="33">
                    <c:v>536.7</c:v>
                  </c:pt>
                  <c:pt idx="34">
                    <c:v>541.2</c:v>
                  </c:pt>
                  <c:pt idx="35">
                    <c:v>545.5</c:v>
                  </c:pt>
                  <c:pt idx="36">
                    <c:v>549.8</c:v>
                  </c:pt>
                  <c:pt idx="37">
                    <c:v>554</c:v>
                  </c:pt>
                  <c:pt idx="38">
                    <c:v>557.9</c:v>
                  </c:pt>
                  <c:pt idx="39">
                    <c:v>561.4</c:v>
                  </c:pt>
                  <c:pt idx="40">
                    <c:v>564.9</c:v>
                  </c:pt>
                  <c:pt idx="41">
                    <c:v>568.1</c:v>
                  </c:pt>
                  <c:pt idx="42">
                    <c:v>571.2</c:v>
                  </c:pt>
                  <c:pt idx="43">
                    <c:v>574.2</c:v>
                  </c:pt>
                  <c:pt idx="44">
                    <c:v>577.2</c:v>
                  </c:pt>
                  <c:pt idx="45">
                    <c:v>580.2</c:v>
                  </c:pt>
                  <c:pt idx="46">
                    <c:v>583.1</c:v>
                  </c:pt>
                  <c:pt idx="47">
                    <c:v>586</c:v>
                  </c:pt>
                  <c:pt idx="48">
                    <c:v>588.8</c:v>
                  </c:pt>
                  <c:pt idx="49">
                    <c:v>591.6</c:v>
                  </c:pt>
                  <c:pt idx="50">
                    <c:v>594.3</c:v>
                  </c:pt>
                  <c:pt idx="51">
                    <c:v>597</c:v>
                  </c:pt>
                  <c:pt idx="52">
                    <c:v>599.8</c:v>
                  </c:pt>
                  <c:pt idx="53">
                    <c:v>602.6</c:v>
                  </c:pt>
                  <c:pt idx="54">
                    <c:v>605.4</c:v>
                  </c:pt>
                  <c:pt idx="55">
                    <c:v>608.2</c:v>
                  </c:pt>
                  <c:pt idx="56">
                    <c:v>611</c:v>
                  </c:pt>
                  <c:pt idx="57">
                    <c:v>613.9</c:v>
                  </c:pt>
                  <c:pt idx="58">
                    <c:v>616.8</c:v>
                  </c:pt>
                  <c:pt idx="59">
                    <c:v>619.7</c:v>
                  </c:pt>
                  <c:pt idx="60">
                    <c:v>622.7</c:v>
                  </c:pt>
                  <c:pt idx="61">
                    <c:v>625.7</c:v>
                  </c:pt>
                  <c:pt idx="62">
                    <c:v>628.7</c:v>
                  </c:pt>
                  <c:pt idx="63">
                    <c:v>631.6</c:v>
                  </c:pt>
                  <c:pt idx="64">
                    <c:v>634.5</c:v>
                  </c:pt>
                  <c:pt idx="65">
                    <c:v>637.6</c:v>
                  </c:pt>
                  <c:pt idx="66">
                    <c:v>640.7</c:v>
                  </c:pt>
                  <c:pt idx="67">
                    <c:v>644</c:v>
                  </c:pt>
                  <c:pt idx="68">
                    <c:v>647.4</c:v>
                  </c:pt>
                  <c:pt idx="69">
                    <c:v>650.5</c:v>
                  </c:pt>
                  <c:pt idx="70">
                    <c:v>653.7</c:v>
                  </c:pt>
                  <c:pt idx="71">
                    <c:v>656.8</c:v>
                  </c:pt>
                  <c:pt idx="72">
                    <c:v>660.6</c:v>
                  </c:pt>
                  <c:pt idx="73">
                    <c:v>664.8</c:v>
                  </c:pt>
                  <c:pt idx="74">
                    <c:v>669.2</c:v>
                  </c:pt>
                  <c:pt idx="75">
                    <c:v>673.1</c:v>
                  </c:pt>
                  <c:pt idx="76">
                    <c:v>677.4</c:v>
                  </c:pt>
                  <c:pt idx="77">
                    <c:v>682.2</c:v>
                  </c:pt>
                  <c:pt idx="78">
                    <c:v>686.5</c:v>
                  </c:pt>
                  <c:pt idx="79">
                    <c:v>691.2</c:v>
                  </c:pt>
                  <c:pt idx="80">
                    <c:v>694.8</c:v>
                  </c:pt>
                  <c:pt idx="81">
                    <c:v>699.9</c:v>
                  </c:pt>
                  <c:pt idx="82">
                    <c:v>704</c:v>
                  </c:pt>
                  <c:pt idx="83">
                    <c:v>708.8</c:v>
                  </c:pt>
                  <c:pt idx="84">
                    <c:v>714.2</c:v>
                  </c:pt>
                  <c:pt idx="85">
                    <c:v>719.8</c:v>
                  </c:pt>
                  <c:pt idx="86">
                    <c:v>726.2</c:v>
                  </c:pt>
                  <c:pt idx="87">
                    <c:v>733.5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152.5</c:v>
                  </c:pt>
                  <c:pt idx="1">
                    <c:v>185.3</c:v>
                  </c:pt>
                  <c:pt idx="2">
                    <c:v>226.6</c:v>
                  </c:pt>
                  <c:pt idx="3">
                    <c:v>255</c:v>
                  </c:pt>
                  <c:pt idx="4">
                    <c:v>279.1</c:v>
                  </c:pt>
                  <c:pt idx="5">
                    <c:v>299.2</c:v>
                  </c:pt>
                  <c:pt idx="6">
                    <c:v>317.3</c:v>
                  </c:pt>
                  <c:pt idx="7">
                    <c:v>332.5</c:v>
                  </c:pt>
                  <c:pt idx="8">
                    <c:v>345.5</c:v>
                  </c:pt>
                  <c:pt idx="9">
                    <c:v>356.3</c:v>
                  </c:pt>
                  <c:pt idx="10">
                    <c:v>366.7</c:v>
                  </c:pt>
                  <c:pt idx="11">
                    <c:v>378.3</c:v>
                  </c:pt>
                  <c:pt idx="12">
                    <c:v>390.2</c:v>
                  </c:pt>
                  <c:pt idx="13">
                    <c:v>398.9</c:v>
                  </c:pt>
                  <c:pt idx="14">
                    <c:v>407.3</c:v>
                  </c:pt>
                  <c:pt idx="15">
                    <c:v>415.7</c:v>
                  </c:pt>
                  <c:pt idx="16">
                    <c:v>424.9</c:v>
                  </c:pt>
                  <c:pt idx="17">
                    <c:v>433.3</c:v>
                  </c:pt>
                  <c:pt idx="18">
                    <c:v>440.7</c:v>
                  </c:pt>
                  <c:pt idx="19">
                    <c:v>448</c:v>
                  </c:pt>
                  <c:pt idx="20">
                    <c:v>455.9</c:v>
                  </c:pt>
                  <c:pt idx="21">
                    <c:v>463.6</c:v>
                  </c:pt>
                  <c:pt idx="22">
                    <c:v>470.6</c:v>
                  </c:pt>
                  <c:pt idx="23">
                    <c:v>477.3</c:v>
                  </c:pt>
                  <c:pt idx="24">
                    <c:v>484.2</c:v>
                  </c:pt>
                  <c:pt idx="25">
                    <c:v>491.3</c:v>
                  </c:pt>
                  <c:pt idx="26">
                    <c:v>497.8</c:v>
                  </c:pt>
                  <c:pt idx="27">
                    <c:v>503.3</c:v>
                  </c:pt>
                  <c:pt idx="28">
                    <c:v>508.7</c:v>
                  </c:pt>
                  <c:pt idx="29">
                    <c:v>514.7</c:v>
                  </c:pt>
                  <c:pt idx="30">
                    <c:v>520.6</c:v>
                  </c:pt>
                  <c:pt idx="31">
                    <c:v>525.7</c:v>
                  </c:pt>
                  <c:pt idx="32">
                    <c:v>530.5</c:v>
                  </c:pt>
                  <c:pt idx="33">
                    <c:v>535.2</c:v>
                  </c:pt>
                  <c:pt idx="34">
                    <c:v>539.6</c:v>
                  </c:pt>
                  <c:pt idx="35">
                    <c:v>543.9</c:v>
                  </c:pt>
                  <c:pt idx="36">
                    <c:v>548.2</c:v>
                  </c:pt>
                  <c:pt idx="37">
                    <c:v>552.4</c:v>
                  </c:pt>
                  <c:pt idx="38">
                    <c:v>556.4</c:v>
                  </c:pt>
                  <c:pt idx="39">
                    <c:v>560</c:v>
                  </c:pt>
                  <c:pt idx="40">
                    <c:v>563.5</c:v>
                  </c:pt>
                  <c:pt idx="41">
                    <c:v>566.8</c:v>
                  </c:pt>
                  <c:pt idx="42">
                    <c:v>569.9</c:v>
                  </c:pt>
                  <c:pt idx="43">
                    <c:v>572.9</c:v>
                  </c:pt>
                  <c:pt idx="44">
                    <c:v>575.8</c:v>
                  </c:pt>
                  <c:pt idx="45">
                    <c:v>578.8</c:v>
                  </c:pt>
                  <c:pt idx="46">
                    <c:v>581.7</c:v>
                  </c:pt>
                  <c:pt idx="47">
                    <c:v>584.6</c:v>
                  </c:pt>
                  <c:pt idx="48">
                    <c:v>587.4</c:v>
                  </c:pt>
                  <c:pt idx="49">
                    <c:v>590.1</c:v>
                  </c:pt>
                  <c:pt idx="50">
                    <c:v>592.8</c:v>
                  </c:pt>
                  <c:pt idx="51">
                    <c:v>595.5</c:v>
                  </c:pt>
                  <c:pt idx="52">
                    <c:v>598.1</c:v>
                  </c:pt>
                  <c:pt idx="53">
                    <c:v>600.8</c:v>
                  </c:pt>
                  <c:pt idx="54">
                    <c:v>603.6</c:v>
                  </c:pt>
                  <c:pt idx="55">
                    <c:v>606.3</c:v>
                  </c:pt>
                  <c:pt idx="56">
                    <c:v>609</c:v>
                  </c:pt>
                  <c:pt idx="57">
                    <c:v>611.7</c:v>
                  </c:pt>
                  <c:pt idx="58">
                    <c:v>614.5</c:v>
                  </c:pt>
                  <c:pt idx="59">
                    <c:v>617.3</c:v>
                  </c:pt>
                  <c:pt idx="60">
                    <c:v>620.1</c:v>
                  </c:pt>
                  <c:pt idx="61">
                    <c:v>623</c:v>
                  </c:pt>
                  <c:pt idx="62">
                    <c:v>625.8</c:v>
                  </c:pt>
                  <c:pt idx="63">
                    <c:v>628.6</c:v>
                  </c:pt>
                  <c:pt idx="64">
                    <c:v>631.4</c:v>
                  </c:pt>
                  <c:pt idx="65">
                    <c:v>634.2</c:v>
                  </c:pt>
                  <c:pt idx="66">
                    <c:v>637.1</c:v>
                  </c:pt>
                  <c:pt idx="67">
                    <c:v>640</c:v>
                  </c:pt>
                  <c:pt idx="68">
                    <c:v>643.1</c:v>
                  </c:pt>
                  <c:pt idx="69">
                    <c:v>646.2</c:v>
                  </c:pt>
                  <c:pt idx="70">
                    <c:v>649.2</c:v>
                  </c:pt>
                  <c:pt idx="71">
                    <c:v>652.2</c:v>
                  </c:pt>
                  <c:pt idx="72">
                    <c:v>655.1</c:v>
                  </c:pt>
                  <c:pt idx="73">
                    <c:v>658.1</c:v>
                  </c:pt>
                  <c:pt idx="74">
                    <c:v>661.9</c:v>
                  </c:pt>
                  <c:pt idx="75">
                    <c:v>665.7</c:v>
                  </c:pt>
                  <c:pt idx="76">
                    <c:v>669.7</c:v>
                  </c:pt>
                  <c:pt idx="77">
                    <c:v>673.1</c:v>
                  </c:pt>
                  <c:pt idx="78">
                    <c:v>676.9</c:v>
                  </c:pt>
                  <c:pt idx="79">
                    <c:v>681.3</c:v>
                  </c:pt>
                  <c:pt idx="80">
                    <c:v>685</c:v>
                  </c:pt>
                  <c:pt idx="81">
                    <c:v>688.9</c:v>
                  </c:pt>
                  <c:pt idx="82">
                    <c:v>692.4</c:v>
                  </c:pt>
                  <c:pt idx="83">
                    <c:v>695.7</c:v>
                  </c:pt>
                  <c:pt idx="84">
                    <c:v>700</c:v>
                  </c:pt>
                  <c:pt idx="85">
                    <c:v>703.3</c:v>
                  </c:pt>
                  <c:pt idx="86">
                    <c:v>706.7</c:v>
                  </c:pt>
                  <c:pt idx="87">
                    <c:v>710.8</c:v>
                  </c:pt>
                  <c:pt idx="88">
                    <c:v>714.7</c:v>
                  </c:pt>
                  <c:pt idx="89">
                    <c:v>718.6</c:v>
                  </c:pt>
                  <c:pt idx="90">
                    <c:v>722.6</c:v>
                  </c:pt>
                  <c:pt idx="91">
                    <c:v>726.7</c:v>
                  </c:pt>
                  <c:pt idx="92">
                    <c:v>730.9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140.2</c:v>
                  </c:pt>
                  <c:pt idx="1">
                    <c:v>187.3</c:v>
                  </c:pt>
                  <c:pt idx="2">
                    <c:v>232</c:v>
                  </c:pt>
                  <c:pt idx="3">
                    <c:v>261.4</c:v>
                  </c:pt>
                  <c:pt idx="4">
                    <c:v>285.2</c:v>
                  </c:pt>
                  <c:pt idx="5">
                    <c:v>305.6</c:v>
                  </c:pt>
                  <c:pt idx="6">
                    <c:v>323.2</c:v>
                  </c:pt>
                  <c:pt idx="7">
                    <c:v>338.6</c:v>
                  </c:pt>
                  <c:pt idx="8">
                    <c:v>351.3</c:v>
                  </c:pt>
                  <c:pt idx="9">
                    <c:v>362.4</c:v>
                  </c:pt>
                  <c:pt idx="10">
                    <c:v>374.1</c:v>
                  </c:pt>
                  <c:pt idx="11">
                    <c:v>387.1</c:v>
                  </c:pt>
                  <c:pt idx="12">
                    <c:v>397.2</c:v>
                  </c:pt>
                  <c:pt idx="13">
                    <c:v>406</c:v>
                  </c:pt>
                  <c:pt idx="14">
                    <c:v>414.7</c:v>
                  </c:pt>
                  <c:pt idx="15">
                    <c:v>424.4</c:v>
                  </c:pt>
                  <c:pt idx="16">
                    <c:v>433.3</c:v>
                  </c:pt>
                  <c:pt idx="17">
                    <c:v>441.2</c:v>
                  </c:pt>
                  <c:pt idx="18">
                    <c:v>448.8</c:v>
                  </c:pt>
                  <c:pt idx="19">
                    <c:v>457.3</c:v>
                  </c:pt>
                  <c:pt idx="20">
                    <c:v>465.4</c:v>
                  </c:pt>
                  <c:pt idx="21">
                    <c:v>472.5</c:v>
                  </c:pt>
                  <c:pt idx="22">
                    <c:v>479.5</c:v>
                  </c:pt>
                  <c:pt idx="23">
                    <c:v>486.9</c:v>
                  </c:pt>
                  <c:pt idx="24">
                    <c:v>494.3</c:v>
                  </c:pt>
                  <c:pt idx="25">
                    <c:v>500.6</c:v>
                  </c:pt>
                  <c:pt idx="26">
                    <c:v>506.4</c:v>
                  </c:pt>
                  <c:pt idx="27">
                    <c:v>512.4</c:v>
                  </c:pt>
                  <c:pt idx="28">
                    <c:v>518.7</c:v>
                  </c:pt>
                  <c:pt idx="29">
                    <c:v>524.4</c:v>
                  </c:pt>
                  <c:pt idx="30">
                    <c:v>529.6</c:v>
                  </c:pt>
                  <c:pt idx="31">
                    <c:v>534.6</c:v>
                  </c:pt>
                  <c:pt idx="32">
                    <c:v>539.3</c:v>
                  </c:pt>
                  <c:pt idx="33">
                    <c:v>543.9</c:v>
                  </c:pt>
                  <c:pt idx="34">
                    <c:v>548.6</c:v>
                  </c:pt>
                  <c:pt idx="35">
                    <c:v>553.1</c:v>
                  </c:pt>
                  <c:pt idx="36">
                    <c:v>557.3</c:v>
                  </c:pt>
                  <c:pt idx="37">
                    <c:v>561.1</c:v>
                  </c:pt>
                  <c:pt idx="38">
                    <c:v>564.8</c:v>
                  </c:pt>
                  <c:pt idx="39">
                    <c:v>568.2</c:v>
                  </c:pt>
                  <c:pt idx="40">
                    <c:v>571.4</c:v>
                  </c:pt>
                  <c:pt idx="41">
                    <c:v>574.6</c:v>
                  </c:pt>
                  <c:pt idx="42">
                    <c:v>577.8</c:v>
                  </c:pt>
                  <c:pt idx="43">
                    <c:v>580.9</c:v>
                  </c:pt>
                  <c:pt idx="44">
                    <c:v>584.1</c:v>
                  </c:pt>
                  <c:pt idx="45">
                    <c:v>587</c:v>
                  </c:pt>
                  <c:pt idx="46">
                    <c:v>590</c:v>
                  </c:pt>
                  <c:pt idx="47">
                    <c:v>592.9</c:v>
                  </c:pt>
                  <c:pt idx="48">
                    <c:v>595.7</c:v>
                  </c:pt>
                  <c:pt idx="49">
                    <c:v>598.6</c:v>
                  </c:pt>
                  <c:pt idx="50">
                    <c:v>601.5</c:v>
                  </c:pt>
                  <c:pt idx="51">
                    <c:v>604.4</c:v>
                  </c:pt>
                  <c:pt idx="52">
                    <c:v>607.4</c:v>
                  </c:pt>
                  <c:pt idx="53">
                    <c:v>610.3</c:v>
                  </c:pt>
                  <c:pt idx="54">
                    <c:v>613.3</c:v>
                  </c:pt>
                  <c:pt idx="55">
                    <c:v>616.3</c:v>
                  </c:pt>
                  <c:pt idx="56">
                    <c:v>619.4</c:v>
                  </c:pt>
                  <c:pt idx="57">
                    <c:v>622.6</c:v>
                  </c:pt>
                  <c:pt idx="58">
                    <c:v>625.7</c:v>
                  </c:pt>
                  <c:pt idx="59">
                    <c:v>628.9</c:v>
                  </c:pt>
                  <c:pt idx="60">
                    <c:v>631.9</c:v>
                  </c:pt>
                  <c:pt idx="61">
                    <c:v>635.1</c:v>
                  </c:pt>
                  <c:pt idx="62">
                    <c:v>638.4</c:v>
                  </c:pt>
                  <c:pt idx="63">
                    <c:v>641.8</c:v>
                  </c:pt>
                  <c:pt idx="64">
                    <c:v>645.4</c:v>
                  </c:pt>
                  <c:pt idx="65">
                    <c:v>648.9</c:v>
                  </c:pt>
                  <c:pt idx="66">
                    <c:v>652.4</c:v>
                  </c:pt>
                  <c:pt idx="67">
                    <c:v>655.8</c:v>
                  </c:pt>
                  <c:pt idx="68">
                    <c:v>659.7</c:v>
                  </c:pt>
                  <c:pt idx="69">
                    <c:v>664.3</c:v>
                  </c:pt>
                  <c:pt idx="70">
                    <c:v>669.1</c:v>
                  </c:pt>
                  <c:pt idx="71">
                    <c:v>673.5</c:v>
                  </c:pt>
                  <c:pt idx="72">
                    <c:v>678.6</c:v>
                  </c:pt>
                  <c:pt idx="73">
                    <c:v>683.9</c:v>
                  </c:pt>
                  <c:pt idx="74">
                    <c:v>689.1</c:v>
                  </c:pt>
                  <c:pt idx="75">
                    <c:v>693.9</c:v>
                  </c:pt>
                  <c:pt idx="76">
                    <c:v>699.8</c:v>
                  </c:pt>
                  <c:pt idx="77">
                    <c:v>705.2</c:v>
                  </c:pt>
                  <c:pt idx="78">
                    <c:v>712.1</c:v>
                  </c:pt>
                  <c:pt idx="79">
                    <c:v>720.3</c:v>
                  </c:pt>
                  <c:pt idx="80">
                    <c:v>733.8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142.1</c:v>
                  </c:pt>
                  <c:pt idx="1">
                    <c:v>173.4</c:v>
                  </c:pt>
                  <c:pt idx="2">
                    <c:v>215</c:v>
                  </c:pt>
                  <c:pt idx="3">
                    <c:v>248.3</c:v>
                  </c:pt>
                  <c:pt idx="4">
                    <c:v>270.7</c:v>
                  </c:pt>
                  <c:pt idx="5">
                    <c:v>291.2</c:v>
                  </c:pt>
                  <c:pt idx="6">
                    <c:v>308.6</c:v>
                  </c:pt>
                  <c:pt idx="7">
                    <c:v>324.2</c:v>
                  </c:pt>
                  <c:pt idx="8">
                    <c:v>338.5</c:v>
                  </c:pt>
                  <c:pt idx="9">
                    <c:v>351.6</c:v>
                  </c:pt>
                  <c:pt idx="10">
                    <c:v>363.5</c:v>
                  </c:pt>
                  <c:pt idx="11">
                    <c:v>374.4</c:v>
                  </c:pt>
                  <c:pt idx="12">
                    <c:v>384.5</c:v>
                  </c:pt>
                  <c:pt idx="13">
                    <c:v>394.2</c:v>
                  </c:pt>
                  <c:pt idx="14">
                    <c:v>404</c:v>
                  </c:pt>
                  <c:pt idx="15">
                    <c:v>413.2</c:v>
                  </c:pt>
                  <c:pt idx="16">
                    <c:v>421.9</c:v>
                  </c:pt>
                  <c:pt idx="17">
                    <c:v>430.1</c:v>
                  </c:pt>
                  <c:pt idx="18">
                    <c:v>438.5</c:v>
                  </c:pt>
                  <c:pt idx="19">
                    <c:v>446.5</c:v>
                  </c:pt>
                  <c:pt idx="20">
                    <c:v>454.4</c:v>
                  </c:pt>
                  <c:pt idx="21">
                    <c:v>462</c:v>
                  </c:pt>
                  <c:pt idx="22">
                    <c:v>469.5</c:v>
                  </c:pt>
                  <c:pt idx="23">
                    <c:v>476.7</c:v>
                  </c:pt>
                  <c:pt idx="24">
                    <c:v>483.7</c:v>
                  </c:pt>
                  <c:pt idx="25">
                    <c:v>490.4</c:v>
                  </c:pt>
                  <c:pt idx="26">
                    <c:v>496.8</c:v>
                  </c:pt>
                  <c:pt idx="27">
                    <c:v>502.6</c:v>
                  </c:pt>
                  <c:pt idx="28">
                    <c:v>508.1</c:v>
                  </c:pt>
                  <c:pt idx="29">
                    <c:v>513.7</c:v>
                  </c:pt>
                  <c:pt idx="30">
                    <c:v>519.1</c:v>
                  </c:pt>
                  <c:pt idx="31">
                    <c:v>524.2</c:v>
                  </c:pt>
                  <c:pt idx="32">
                    <c:v>528.8</c:v>
                  </c:pt>
                  <c:pt idx="33">
                    <c:v>533.2</c:v>
                  </c:pt>
                  <c:pt idx="34">
                    <c:v>537.4</c:v>
                  </c:pt>
                  <c:pt idx="35">
                    <c:v>541.5</c:v>
                  </c:pt>
                  <c:pt idx="36">
                    <c:v>545.3</c:v>
                  </c:pt>
                  <c:pt idx="37">
                    <c:v>549.4</c:v>
                  </c:pt>
                  <c:pt idx="38">
                    <c:v>553.2</c:v>
                  </c:pt>
                  <c:pt idx="39">
                    <c:v>556.9</c:v>
                  </c:pt>
                  <c:pt idx="40">
                    <c:v>560.4</c:v>
                  </c:pt>
                  <c:pt idx="41">
                    <c:v>563.8</c:v>
                  </c:pt>
                  <c:pt idx="42">
                    <c:v>567</c:v>
                  </c:pt>
                  <c:pt idx="43">
                    <c:v>570</c:v>
                  </c:pt>
                  <c:pt idx="44">
                    <c:v>573</c:v>
                  </c:pt>
                  <c:pt idx="45">
                    <c:v>576.1</c:v>
                  </c:pt>
                  <c:pt idx="46">
                    <c:v>579.2</c:v>
                  </c:pt>
                  <c:pt idx="47">
                    <c:v>582.4</c:v>
                  </c:pt>
                  <c:pt idx="48">
                    <c:v>585.5</c:v>
                  </c:pt>
                  <c:pt idx="49">
                    <c:v>588.5</c:v>
                  </c:pt>
                  <c:pt idx="50">
                    <c:v>591.6</c:v>
                  </c:pt>
                  <c:pt idx="51">
                    <c:v>594.7</c:v>
                  </c:pt>
                  <c:pt idx="52">
                    <c:v>597.8</c:v>
                  </c:pt>
                  <c:pt idx="53">
                    <c:v>601</c:v>
                  </c:pt>
                  <c:pt idx="54">
                    <c:v>604.3</c:v>
                  </c:pt>
                  <c:pt idx="55">
                    <c:v>607.6</c:v>
                  </c:pt>
                  <c:pt idx="56">
                    <c:v>610.9</c:v>
                  </c:pt>
                  <c:pt idx="57">
                    <c:v>614.3</c:v>
                  </c:pt>
                  <c:pt idx="58">
                    <c:v>617.8</c:v>
                  </c:pt>
                  <c:pt idx="59">
                    <c:v>621.4</c:v>
                  </c:pt>
                  <c:pt idx="60">
                    <c:v>625</c:v>
                  </c:pt>
                  <c:pt idx="61">
                    <c:v>628.6</c:v>
                  </c:pt>
                  <c:pt idx="62">
                    <c:v>632</c:v>
                  </c:pt>
                  <c:pt idx="63">
                    <c:v>635.5</c:v>
                  </c:pt>
                  <c:pt idx="64">
                    <c:v>639.3</c:v>
                  </c:pt>
                  <c:pt idx="65">
                    <c:v>643.3</c:v>
                  </c:pt>
                  <c:pt idx="66">
                    <c:v>647.4</c:v>
                  </c:pt>
                  <c:pt idx="67">
                    <c:v>651.4</c:v>
                  </c:pt>
                  <c:pt idx="68">
                    <c:v>655.2</c:v>
                  </c:pt>
                  <c:pt idx="69">
                    <c:v>659.4</c:v>
                  </c:pt>
                  <c:pt idx="70">
                    <c:v>664.4</c:v>
                  </c:pt>
                  <c:pt idx="71">
                    <c:v>669.7</c:v>
                  </c:pt>
                  <c:pt idx="72">
                    <c:v>674.4</c:v>
                  </c:pt>
                  <c:pt idx="73">
                    <c:v>680</c:v>
                  </c:pt>
                  <c:pt idx="74">
                    <c:v>685.4</c:v>
                  </c:pt>
                  <c:pt idx="75">
                    <c:v>691</c:v>
                  </c:pt>
                  <c:pt idx="76">
                    <c:v>696</c:v>
                  </c:pt>
                  <c:pt idx="77">
                    <c:v>702.3</c:v>
                  </c:pt>
                  <c:pt idx="78">
                    <c:v>708.5</c:v>
                  </c:pt>
                  <c:pt idx="79">
                    <c:v>716.3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436.7</c:v>
                  </c:pt>
                  <c:pt idx="1">
                    <c:v>499.2</c:v>
                  </c:pt>
                  <c:pt idx="2">
                    <c:v>527.2</c:v>
                  </c:pt>
                  <c:pt idx="3">
                    <c:v>538.6</c:v>
                  </c:pt>
                  <c:pt idx="4">
                    <c:v>546.5</c:v>
                  </c:pt>
                  <c:pt idx="5">
                    <c:v>553.1</c:v>
                  </c:pt>
                  <c:pt idx="6">
                    <c:v>558.5</c:v>
                  </c:pt>
                  <c:pt idx="7">
                    <c:v>563.2</c:v>
                  </c:pt>
                  <c:pt idx="8">
                    <c:v>567.4</c:v>
                  </c:pt>
                  <c:pt idx="9">
                    <c:v>571.1</c:v>
                  </c:pt>
                  <c:pt idx="10">
                    <c:v>574.7</c:v>
                  </c:pt>
                  <c:pt idx="11">
                    <c:v>578.2</c:v>
                  </c:pt>
                  <c:pt idx="12">
                    <c:v>581.7</c:v>
                  </c:pt>
                  <c:pt idx="13">
                    <c:v>585.1</c:v>
                  </c:pt>
                  <c:pt idx="14">
                    <c:v>588.4</c:v>
                  </c:pt>
                  <c:pt idx="15">
                    <c:v>591.6</c:v>
                  </c:pt>
                  <c:pt idx="16">
                    <c:v>594.8</c:v>
                  </c:pt>
                  <c:pt idx="17">
                    <c:v>598</c:v>
                  </c:pt>
                  <c:pt idx="18">
                    <c:v>601.2</c:v>
                  </c:pt>
                  <c:pt idx="19">
                    <c:v>604.6</c:v>
                  </c:pt>
                  <c:pt idx="20">
                    <c:v>607.9</c:v>
                  </c:pt>
                  <c:pt idx="21">
                    <c:v>611.2</c:v>
                  </c:pt>
                  <c:pt idx="22">
                    <c:v>614.5</c:v>
                  </c:pt>
                  <c:pt idx="23">
                    <c:v>618</c:v>
                  </c:pt>
                  <c:pt idx="24">
                    <c:v>621.5</c:v>
                  </c:pt>
                  <c:pt idx="25">
                    <c:v>624.9</c:v>
                  </c:pt>
                  <c:pt idx="26">
                    <c:v>628.4</c:v>
                  </c:pt>
                  <c:pt idx="27">
                    <c:v>631.8</c:v>
                  </c:pt>
                  <c:pt idx="28">
                    <c:v>635.2</c:v>
                  </c:pt>
                  <c:pt idx="29">
                    <c:v>638.8</c:v>
                  </c:pt>
                  <c:pt idx="30">
                    <c:v>642.6</c:v>
                  </c:pt>
                  <c:pt idx="31">
                    <c:v>646.5</c:v>
                  </c:pt>
                  <c:pt idx="32">
                    <c:v>650.2</c:v>
                  </c:pt>
                  <c:pt idx="33">
                    <c:v>654</c:v>
                  </c:pt>
                  <c:pt idx="34">
                    <c:v>657.6</c:v>
                  </c:pt>
                  <c:pt idx="35">
                    <c:v>662.3</c:v>
                  </c:pt>
                  <c:pt idx="36">
                    <c:v>667.3</c:v>
                  </c:pt>
                  <c:pt idx="37">
                    <c:v>672.1</c:v>
                  </c:pt>
                  <c:pt idx="38">
                    <c:v>677.2</c:v>
                  </c:pt>
                  <c:pt idx="39">
                    <c:v>683</c:v>
                  </c:pt>
                  <c:pt idx="40">
                    <c:v>688.5</c:v>
                  </c:pt>
                  <c:pt idx="41">
                    <c:v>693.9</c:v>
                  </c:pt>
                  <c:pt idx="42">
                    <c:v>700.7</c:v>
                  </c:pt>
                  <c:pt idx="43">
                    <c:v>708.3</c:v>
                  </c:pt>
                  <c:pt idx="44">
                    <c:v>721.3</c:v>
                  </c:pt>
                  <c:pt idx="45">
                    <c:v>-</c:v>
                  </c:pt>
                  <c:pt idx="46">
                    <c:v>-</c:v>
                  </c:pt>
                  <c:pt idx="47">
                    <c:v>-</c:v>
                  </c:pt>
                  <c:pt idx="48">
                    <c:v>-</c:v>
                  </c:pt>
                  <c:pt idx="49">
                    <c:v>-</c:v>
                  </c:pt>
                  <c:pt idx="50">
                    <c:v>-</c:v>
                  </c:pt>
                  <c:pt idx="51">
                    <c:v>-</c:v>
                  </c:pt>
                  <c:pt idx="52">
                    <c:v>-</c:v>
                  </c:pt>
                  <c:pt idx="53">
                    <c:v>-</c:v>
                  </c:pt>
                  <c:pt idx="54">
                    <c:v>-</c:v>
                  </c:pt>
                  <c:pt idx="55">
                    <c:v>-</c:v>
                  </c:pt>
                  <c:pt idx="56">
                    <c:v>-</c:v>
                  </c:pt>
                  <c:pt idx="57">
                    <c:v>-</c:v>
                  </c:pt>
                  <c:pt idx="58">
                    <c:v>-</c:v>
                  </c:pt>
                  <c:pt idx="59">
                    <c:v>-</c:v>
                  </c:pt>
                  <c:pt idx="60">
                    <c:v>-</c:v>
                  </c:pt>
                  <c:pt idx="61">
                    <c:v>-</c:v>
                  </c:pt>
                  <c:pt idx="62">
                    <c:v>-</c:v>
                  </c:pt>
                  <c:pt idx="63">
                    <c:v>-</c:v>
                  </c:pt>
                  <c:pt idx="64">
                    <c:v>-</c:v>
                  </c:pt>
                  <c:pt idx="65">
                    <c:v>-</c:v>
                  </c:pt>
                  <c:pt idx="66">
                    <c:v>-</c:v>
                  </c:pt>
                  <c:pt idx="67">
                    <c:v>-</c:v>
                  </c:pt>
                  <c:pt idx="68">
                    <c:v>-</c:v>
                  </c:pt>
                  <c:pt idx="69">
                    <c:v>-</c:v>
                  </c:pt>
                  <c:pt idx="70">
                    <c:v>-</c:v>
                  </c:pt>
                  <c:pt idx="71">
                    <c:v>-</c:v>
                  </c:pt>
                  <c:pt idx="72">
                    <c:v>-</c:v>
                  </c:pt>
                  <c:pt idx="73">
                    <c:v>-</c:v>
                  </c:pt>
                  <c:pt idx="74">
                    <c:v>-</c:v>
                  </c:pt>
                  <c:pt idx="75">
                    <c:v>-</c:v>
                  </c:pt>
                  <c:pt idx="76">
                    <c:v>-</c:v>
                  </c:pt>
                  <c:pt idx="77">
                    <c:v>-</c:v>
                  </c:pt>
                  <c:pt idx="78">
                    <c:v>-</c:v>
                  </c:pt>
                  <c:pt idx="79">
                    <c:v>-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462.3</c:v>
                  </c:pt>
                  <c:pt idx="1">
                    <c:v>528.9</c:v>
                  </c:pt>
                  <c:pt idx="2">
                    <c:v>546.9</c:v>
                  </c:pt>
                  <c:pt idx="3">
                    <c:v>555.2</c:v>
                  </c:pt>
                  <c:pt idx="4">
                    <c:v>561</c:v>
                  </c:pt>
                  <c:pt idx="5">
                    <c:v>565.7</c:v>
                  </c:pt>
                  <c:pt idx="6">
                    <c:v>569.7</c:v>
                  </c:pt>
                  <c:pt idx="7">
                    <c:v>573.2</c:v>
                  </c:pt>
                  <c:pt idx="8">
                    <c:v>576.7</c:v>
                  </c:pt>
                  <c:pt idx="9">
                    <c:v>580.1</c:v>
                  </c:pt>
                  <c:pt idx="10">
                    <c:v>583.4</c:v>
                  </c:pt>
                  <c:pt idx="11">
                    <c:v>586.6</c:v>
                  </c:pt>
                  <c:pt idx="12">
                    <c:v>589.6</c:v>
                  </c:pt>
                  <c:pt idx="13">
                    <c:v>592.6</c:v>
                  </c:pt>
                  <c:pt idx="14">
                    <c:v>595.6</c:v>
                  </c:pt>
                  <c:pt idx="15">
                    <c:v>598.5</c:v>
                  </c:pt>
                  <c:pt idx="16">
                    <c:v>601.4</c:v>
                  </c:pt>
                  <c:pt idx="17">
                    <c:v>604.4</c:v>
                  </c:pt>
                  <c:pt idx="18">
                    <c:v>607.3</c:v>
                  </c:pt>
                  <c:pt idx="19">
                    <c:v>610.2</c:v>
                  </c:pt>
                  <c:pt idx="20">
                    <c:v>613.1</c:v>
                  </c:pt>
                  <c:pt idx="21">
                    <c:v>616.1</c:v>
                  </c:pt>
                  <c:pt idx="22">
                    <c:v>619.2</c:v>
                  </c:pt>
                  <c:pt idx="23">
                    <c:v>622.3</c:v>
                  </c:pt>
                  <c:pt idx="24">
                    <c:v>625.3</c:v>
                  </c:pt>
                  <c:pt idx="25">
                    <c:v>628.4</c:v>
                  </c:pt>
                  <c:pt idx="26">
                    <c:v>631.4</c:v>
                  </c:pt>
                  <c:pt idx="27">
                    <c:v>634.4</c:v>
                  </c:pt>
                  <c:pt idx="28">
                    <c:v>637.5</c:v>
                  </c:pt>
                  <c:pt idx="29">
                    <c:v>640.8</c:v>
                  </c:pt>
                  <c:pt idx="30">
                    <c:v>644.2</c:v>
                  </c:pt>
                  <c:pt idx="31">
                    <c:v>647.6</c:v>
                  </c:pt>
                  <c:pt idx="32">
                    <c:v>650.9</c:v>
                  </c:pt>
                  <c:pt idx="33">
                    <c:v>654.2</c:v>
                  </c:pt>
                  <c:pt idx="34">
                    <c:v>657.5</c:v>
                  </c:pt>
                  <c:pt idx="35">
                    <c:v>661.5</c:v>
                  </c:pt>
                  <c:pt idx="36">
                    <c:v>665.8</c:v>
                  </c:pt>
                  <c:pt idx="37">
                    <c:v>670.3</c:v>
                  </c:pt>
                  <c:pt idx="38">
                    <c:v>674.2</c:v>
                  </c:pt>
                  <c:pt idx="39">
                    <c:v>679.2</c:v>
                  </c:pt>
                  <c:pt idx="40">
                    <c:v>683.9</c:v>
                  </c:pt>
                  <c:pt idx="41">
                    <c:v>688.5</c:v>
                  </c:pt>
                  <c:pt idx="42">
                    <c:v>693</c:v>
                  </c:pt>
                  <c:pt idx="43">
                    <c:v>697.8</c:v>
                  </c:pt>
                  <c:pt idx="44">
                    <c:v>702.9</c:v>
                  </c:pt>
                  <c:pt idx="45">
                    <c:v>708.2</c:v>
                  </c:pt>
                  <c:pt idx="46">
                    <c:v>715.3</c:v>
                  </c:pt>
                  <c:pt idx="47">
                    <c:v>724.1</c:v>
                  </c:pt>
                  <c:pt idx="48">
                    <c:v>-</c:v>
                  </c:pt>
                  <c:pt idx="49">
                    <c:v>-</c:v>
                  </c:pt>
                  <c:pt idx="50">
                    <c:v>-</c:v>
                  </c:pt>
                  <c:pt idx="51">
                    <c:v>-</c:v>
                  </c:pt>
                  <c:pt idx="52">
                    <c:v>-</c:v>
                  </c:pt>
                  <c:pt idx="53">
                    <c:v>-</c:v>
                  </c:pt>
                  <c:pt idx="54">
                    <c:v>-</c:v>
                  </c:pt>
                  <c:pt idx="55">
                    <c:v>-</c:v>
                  </c:pt>
                  <c:pt idx="56">
                    <c:v>-</c:v>
                  </c:pt>
                  <c:pt idx="57">
                    <c:v>-</c:v>
                  </c:pt>
                  <c:pt idx="58">
                    <c:v>-</c:v>
                  </c:pt>
                  <c:pt idx="59">
                    <c:v>-</c:v>
                  </c:pt>
                  <c:pt idx="60">
                    <c:v>-</c:v>
                  </c:pt>
                  <c:pt idx="61">
                    <c:v>-</c:v>
                  </c:pt>
                  <c:pt idx="62">
                    <c:v>-</c:v>
                  </c:pt>
                  <c:pt idx="63">
                    <c:v>-</c:v>
                  </c:pt>
                  <c:pt idx="64">
                    <c:v>-</c:v>
                  </c:pt>
                  <c:pt idx="65">
                    <c:v>-</c:v>
                  </c:pt>
                  <c:pt idx="66">
                    <c:v>-</c:v>
                  </c:pt>
                  <c:pt idx="67">
                    <c:v>-</c:v>
                  </c:pt>
                  <c:pt idx="68">
                    <c:v>-</c:v>
                  </c:pt>
                  <c:pt idx="69">
                    <c:v>-</c:v>
                  </c:pt>
                  <c:pt idx="70">
                    <c:v>-</c:v>
                  </c:pt>
                  <c:pt idx="71">
                    <c:v>-</c:v>
                  </c:pt>
                  <c:pt idx="72">
                    <c:v>-</c:v>
                  </c:pt>
                  <c:pt idx="73">
                    <c:v>-</c:v>
                  </c:pt>
                  <c:pt idx="74">
                    <c:v>-</c:v>
                  </c:pt>
                  <c:pt idx="75">
                    <c:v>-</c:v>
                  </c:pt>
                  <c:pt idx="76">
                    <c:v>-</c:v>
                  </c:pt>
                  <c:pt idx="77">
                    <c:v>-</c:v>
                  </c:pt>
                  <c:pt idx="78">
                    <c:v>-</c:v>
                  </c:pt>
                  <c:pt idx="79">
                    <c:v>-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375.98</c:v>
                  </c:pt>
                  <c:pt idx="1">
                    <c:v>402</c:v>
                  </c:pt>
                  <c:pt idx="2">
                    <c:v>422</c:v>
                  </c:pt>
                  <c:pt idx="3">
                    <c:v>462</c:v>
                  </c:pt>
                  <c:pt idx="4">
                    <c:v>489</c:v>
                  </c:pt>
                  <c:pt idx="5">
                    <c:v>510</c:v>
                  </c:pt>
                  <c:pt idx="6">
                    <c:v>518</c:v>
                  </c:pt>
                  <c:pt idx="7">
                    <c:v>525</c:v>
                  </c:pt>
                  <c:pt idx="8">
                    <c:v>533</c:v>
                  </c:pt>
                  <c:pt idx="9">
                    <c:v>538</c:v>
                  </c:pt>
                  <c:pt idx="10">
                    <c:v>543.5</c:v>
                  </c:pt>
                  <c:pt idx="11">
                    <c:v>548</c:v>
                  </c:pt>
                  <c:pt idx="12">
                    <c:v>553</c:v>
                  </c:pt>
                  <c:pt idx="13">
                    <c:v>556</c:v>
                  </c:pt>
                  <c:pt idx="14">
                    <c:v>560</c:v>
                  </c:pt>
                  <c:pt idx="15">
                    <c:v>563</c:v>
                  </c:pt>
                  <c:pt idx="16">
                    <c:v>566</c:v>
                  </c:pt>
                  <c:pt idx="17">
                    <c:v>569</c:v>
                  </c:pt>
                  <c:pt idx="18">
                    <c:v>572</c:v>
                  </c:pt>
                  <c:pt idx="19">
                    <c:v>575</c:v>
                  </c:pt>
                  <c:pt idx="20">
                    <c:v>578</c:v>
                  </c:pt>
                  <c:pt idx="21">
                    <c:v>581</c:v>
                  </c:pt>
                  <c:pt idx="22">
                    <c:v>584</c:v>
                  </c:pt>
                  <c:pt idx="23">
                    <c:v>587</c:v>
                  </c:pt>
                  <c:pt idx="24">
                    <c:v>590</c:v>
                  </c:pt>
                  <c:pt idx="25">
                    <c:v>593</c:v>
                  </c:pt>
                  <c:pt idx="26">
                    <c:v>595</c:v>
                  </c:pt>
                  <c:pt idx="27">
                    <c:v>598</c:v>
                  </c:pt>
                  <c:pt idx="28">
                    <c:v>600</c:v>
                  </c:pt>
                  <c:pt idx="29">
                    <c:v>602</c:v>
                  </c:pt>
                  <c:pt idx="30">
                    <c:v>606</c:v>
                  </c:pt>
                  <c:pt idx="31">
                    <c:v>609</c:v>
                  </c:pt>
                  <c:pt idx="32">
                    <c:v>611</c:v>
                  </c:pt>
                  <c:pt idx="33">
                    <c:v>614</c:v>
                  </c:pt>
                  <c:pt idx="34">
                    <c:v>617</c:v>
                  </c:pt>
                  <c:pt idx="35">
                    <c:v>620</c:v>
                  </c:pt>
                  <c:pt idx="36">
                    <c:v>622</c:v>
                  </c:pt>
                  <c:pt idx="37">
                    <c:v>626</c:v>
                  </c:pt>
                  <c:pt idx="38">
                    <c:v>630</c:v>
                  </c:pt>
                  <c:pt idx="39">
                    <c:v>632</c:v>
                  </c:pt>
                  <c:pt idx="40">
                    <c:v>635</c:v>
                  </c:pt>
                  <c:pt idx="41">
                    <c:v>638</c:v>
                  </c:pt>
                  <c:pt idx="42">
                    <c:v>641</c:v>
                  </c:pt>
                  <c:pt idx="43">
                    <c:v>644</c:v>
                  </c:pt>
                  <c:pt idx="44">
                    <c:v>647</c:v>
                  </c:pt>
                  <c:pt idx="45">
                    <c:v>650</c:v>
                  </c:pt>
                  <c:pt idx="46">
                    <c:v>654</c:v>
                  </c:pt>
                  <c:pt idx="47">
                    <c:v>657</c:v>
                  </c:pt>
                  <c:pt idx="48">
                    <c:v>661</c:v>
                  </c:pt>
                  <c:pt idx="49">
                    <c:v>664</c:v>
                  </c:pt>
                  <c:pt idx="50">
                    <c:v>667</c:v>
                  </c:pt>
                  <c:pt idx="51">
                    <c:v>671</c:v>
                  </c:pt>
                  <c:pt idx="52">
                    <c:v>675</c:v>
                  </c:pt>
                  <c:pt idx="53">
                    <c:v>678</c:v>
                  </c:pt>
                  <c:pt idx="54">
                    <c:v>682</c:v>
                  </c:pt>
                  <c:pt idx="55">
                    <c:v>687</c:v>
                  </c:pt>
                  <c:pt idx="56">
                    <c:v>691</c:v>
                  </c:pt>
                  <c:pt idx="57">
                    <c:v>694</c:v>
                  </c:pt>
                  <c:pt idx="58">
                    <c:v>698</c:v>
                  </c:pt>
                  <c:pt idx="59">
                    <c:v>702</c:v>
                  </c:pt>
                  <c:pt idx="60">
                    <c:v>705</c:v>
                  </c:pt>
                  <c:pt idx="61">
                    <c:v>708</c:v>
                  </c:pt>
                  <c:pt idx="62">
                    <c:v>713</c:v>
                  </c:pt>
                  <c:pt idx="63">
                    <c:v>718</c:v>
                  </c:pt>
                  <c:pt idx="64">
                    <c:v>720</c:v>
                  </c:pt>
                  <c:pt idx="65">
                    <c:v>-</c:v>
                  </c:pt>
                  <c:pt idx="66">
                    <c:v>-</c:v>
                  </c:pt>
                  <c:pt idx="67">
                    <c:v>-</c:v>
                  </c:pt>
                  <c:pt idx="68">
                    <c:v>-</c:v>
                  </c:pt>
                  <c:pt idx="69">
                    <c:v>-</c:v>
                  </c:pt>
                  <c:pt idx="70">
                    <c:v>-</c:v>
                  </c:pt>
                  <c:pt idx="71">
                    <c:v>-</c:v>
                  </c:pt>
                  <c:pt idx="72">
                    <c:v>-</c:v>
                  </c:pt>
                  <c:pt idx="73">
                    <c:v>-</c:v>
                  </c:pt>
                  <c:pt idx="74">
                    <c:v>-</c:v>
                  </c:pt>
                  <c:pt idx="75">
                    <c:v>-</c:v>
                  </c:pt>
                  <c:pt idx="76">
                    <c:v>-</c:v>
                  </c:pt>
                  <c:pt idx="77">
                    <c:v>-</c:v>
                  </c:pt>
                  <c:pt idx="78">
                    <c:v>-</c:v>
                  </c:pt>
                  <c:pt idx="79">
                    <c:v>-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560</c:v>
                  </c:pt>
                  <c:pt idx="1">
                    <c:v>560</c:v>
                  </c:pt>
                  <c:pt idx="2">
                    <c:v>560</c:v>
                  </c:pt>
                  <c:pt idx="3">
                    <c:v>560</c:v>
                  </c:pt>
                  <c:pt idx="4">
                    <c:v>560</c:v>
                  </c:pt>
                  <c:pt idx="5">
                    <c:v>560</c:v>
                  </c:pt>
                  <c:pt idx="6">
                    <c:v>560</c:v>
                  </c:pt>
                  <c:pt idx="7">
                    <c:v>560</c:v>
                  </c:pt>
                  <c:pt idx="8">
                    <c:v>560</c:v>
                  </c:pt>
                  <c:pt idx="9">
                    <c:v>560</c:v>
                  </c:pt>
                  <c:pt idx="10">
                    <c:v>560</c:v>
                  </c:pt>
                  <c:pt idx="11">
                    <c:v>560</c:v>
                  </c:pt>
                  <c:pt idx="12">
                    <c:v>560</c:v>
                  </c:pt>
                  <c:pt idx="13">
                    <c:v>560</c:v>
                  </c:pt>
                  <c:pt idx="14">
                    <c:v>560</c:v>
                  </c:pt>
                  <c:pt idx="15">
                    <c:v>560</c:v>
                  </c:pt>
                  <c:pt idx="16">
                    <c:v>560</c:v>
                  </c:pt>
                  <c:pt idx="17">
                    <c:v>560</c:v>
                  </c:pt>
                  <c:pt idx="18">
                    <c:v>560</c:v>
                  </c:pt>
                  <c:pt idx="19">
                    <c:v>560</c:v>
                  </c:pt>
                  <c:pt idx="20">
                    <c:v>560</c:v>
                  </c:pt>
                  <c:pt idx="21">
                    <c:v>560</c:v>
                  </c:pt>
                  <c:pt idx="22">
                    <c:v>560</c:v>
                  </c:pt>
                  <c:pt idx="23">
                    <c:v>560</c:v>
                  </c:pt>
                  <c:pt idx="24">
                    <c:v>560</c:v>
                  </c:pt>
                  <c:pt idx="25">
                    <c:v>560</c:v>
                  </c:pt>
                  <c:pt idx="26">
                    <c:v>560</c:v>
                  </c:pt>
                  <c:pt idx="27">
                    <c:v>560</c:v>
                  </c:pt>
                  <c:pt idx="28">
                    <c:v>560</c:v>
                  </c:pt>
                  <c:pt idx="29">
                    <c:v>560</c:v>
                  </c:pt>
                  <c:pt idx="30">
                    <c:v>560</c:v>
                  </c:pt>
                  <c:pt idx="31">
                    <c:v>560</c:v>
                  </c:pt>
                  <c:pt idx="32">
                    <c:v>560</c:v>
                  </c:pt>
                  <c:pt idx="33">
                    <c:v>560</c:v>
                  </c:pt>
                  <c:pt idx="34">
                    <c:v>560</c:v>
                  </c:pt>
                  <c:pt idx="35">
                    <c:v>560</c:v>
                  </c:pt>
                  <c:pt idx="36">
                    <c:v>560</c:v>
                  </c:pt>
                  <c:pt idx="37">
                    <c:v>560</c:v>
                  </c:pt>
                  <c:pt idx="38">
                    <c:v>560</c:v>
                  </c:pt>
                  <c:pt idx="39">
                    <c:v>560</c:v>
                  </c:pt>
                  <c:pt idx="40">
                    <c:v>560</c:v>
                  </c:pt>
                  <c:pt idx="41">
                    <c:v>560</c:v>
                  </c:pt>
                  <c:pt idx="42">
                    <c:v>560</c:v>
                  </c:pt>
                  <c:pt idx="43">
                    <c:v>560</c:v>
                  </c:pt>
                  <c:pt idx="44">
                    <c:v>560</c:v>
                  </c:pt>
                  <c:pt idx="45">
                    <c:v>560</c:v>
                  </c:pt>
                  <c:pt idx="46">
                    <c:v>560</c:v>
                  </c:pt>
                  <c:pt idx="47">
                    <c:v>560</c:v>
                  </c:pt>
                  <c:pt idx="48">
                    <c:v>560</c:v>
                  </c:pt>
                  <c:pt idx="49">
                    <c:v>560</c:v>
                  </c:pt>
                  <c:pt idx="50">
                    <c:v>560</c:v>
                  </c:pt>
                  <c:pt idx="51">
                    <c:v>560</c:v>
                  </c:pt>
                  <c:pt idx="52">
                    <c:v>560</c:v>
                  </c:pt>
                  <c:pt idx="53">
                    <c:v>560</c:v>
                  </c:pt>
                  <c:pt idx="54">
                    <c:v>560</c:v>
                  </c:pt>
                  <c:pt idx="55">
                    <c:v>560</c:v>
                  </c:pt>
                  <c:pt idx="56">
                    <c:v>560</c:v>
                  </c:pt>
                  <c:pt idx="57">
                    <c:v>560</c:v>
                  </c:pt>
                  <c:pt idx="58">
                    <c:v>560</c:v>
                  </c:pt>
                  <c:pt idx="59">
                    <c:v>560</c:v>
                  </c:pt>
                  <c:pt idx="60">
                    <c:v>560</c:v>
                  </c:pt>
                  <c:pt idx="61">
                    <c:v>560</c:v>
                  </c:pt>
                  <c:pt idx="62">
                    <c:v>560</c:v>
                  </c:pt>
                  <c:pt idx="63">
                    <c:v>560</c:v>
                  </c:pt>
                  <c:pt idx="64">
                    <c:v>560</c:v>
                  </c:pt>
                  <c:pt idx="65">
                    <c:v>560</c:v>
                  </c:pt>
                  <c:pt idx="66">
                    <c:v>560</c:v>
                  </c:pt>
                  <c:pt idx="67">
                    <c:v>560</c:v>
                  </c:pt>
                  <c:pt idx="68">
                    <c:v>560</c:v>
                  </c:pt>
                  <c:pt idx="69">
                    <c:v>560</c:v>
                  </c:pt>
                  <c:pt idx="70">
                    <c:v>560</c:v>
                  </c:pt>
                  <c:pt idx="71">
                    <c:v>560</c:v>
                  </c:pt>
                  <c:pt idx="72">
                    <c:v>560</c:v>
                  </c:pt>
                  <c:pt idx="73">
                    <c:v>560</c:v>
                  </c:pt>
                  <c:pt idx="74">
                    <c:v>560</c:v>
                  </c:pt>
                  <c:pt idx="75">
                    <c:v>560</c:v>
                  </c:pt>
                  <c:pt idx="76">
                    <c:v>560</c:v>
                  </c:pt>
                  <c:pt idx="77">
                    <c:v>560</c:v>
                  </c:pt>
                  <c:pt idx="78">
                    <c:v>560</c:v>
                  </c:pt>
                  <c:pt idx="79">
                    <c:v>560</c:v>
                  </c:pt>
                  <c:pt idx="80">
                    <c:v>560</c:v>
                  </c:pt>
                  <c:pt idx="81">
                    <c:v>560</c:v>
                  </c:pt>
                  <c:pt idx="82">
                    <c:v>560</c:v>
                  </c:pt>
                  <c:pt idx="83">
                    <c:v>560</c:v>
                  </c:pt>
                  <c:pt idx="84">
                    <c:v>560</c:v>
                  </c:pt>
                  <c:pt idx="85">
                    <c:v>560</c:v>
                  </c:pt>
                  <c:pt idx="86">
                    <c:v>560</c:v>
                  </c:pt>
                  <c:pt idx="87">
                    <c:v>560</c:v>
                  </c:pt>
                  <c:pt idx="88">
                    <c:v>560</c:v>
                  </c:pt>
                  <c:pt idx="89">
                    <c:v>560</c:v>
                  </c:pt>
                  <c:pt idx="90">
                    <c:v>560</c:v>
                  </c:pt>
                  <c:pt idx="91">
                    <c:v>560</c:v>
                  </c:pt>
                  <c:pt idx="92">
                    <c:v>560</c:v>
                  </c:pt>
                  <c:pt idx="93">
                    <c:v>560</c:v>
                  </c:pt>
                  <c:pt idx="94">
                    <c:v>560</c:v>
                  </c:pt>
                  <c:pt idx="95">
                    <c:v>560</c:v>
                  </c:pt>
                  <c:pt idx="96">
                    <c:v>560</c:v>
                  </c:pt>
                  <c:pt idx="97">
                    <c:v>560</c:v>
                  </c:pt>
                  <c:pt idx="98">
                    <c:v>560</c:v>
                  </c:pt>
                  <c:pt idx="99">
                    <c:v>560</c:v>
                  </c:pt>
                  <c:pt idx="100">
                    <c:v>560</c:v>
                  </c:pt>
                </c:lvl>
                <c:lvl>
                  <c:pt idx="0">
                    <c:v>500</c:v>
                  </c:pt>
                  <c:pt idx="1">
                    <c:v>500</c:v>
                  </c:pt>
                  <c:pt idx="2">
                    <c:v>500</c:v>
                  </c:pt>
                  <c:pt idx="3">
                    <c:v>500</c:v>
                  </c:pt>
                  <c:pt idx="4">
                    <c:v>500</c:v>
                  </c:pt>
                  <c:pt idx="5">
                    <c:v>500</c:v>
                  </c:pt>
                  <c:pt idx="6">
                    <c:v>500</c:v>
                  </c:pt>
                  <c:pt idx="7">
                    <c:v>500</c:v>
                  </c:pt>
                  <c:pt idx="8">
                    <c:v>500</c:v>
                  </c:pt>
                  <c:pt idx="9">
                    <c:v>500</c:v>
                  </c:pt>
                  <c:pt idx="10">
                    <c:v>500</c:v>
                  </c:pt>
                  <c:pt idx="11">
                    <c:v>500</c:v>
                  </c:pt>
                  <c:pt idx="12">
                    <c:v>500</c:v>
                  </c:pt>
                  <c:pt idx="13">
                    <c:v>500</c:v>
                  </c:pt>
                  <c:pt idx="14">
                    <c:v>500</c:v>
                  </c:pt>
                  <c:pt idx="15">
                    <c:v>500</c:v>
                  </c:pt>
                  <c:pt idx="16">
                    <c:v>500</c:v>
                  </c:pt>
                  <c:pt idx="17">
                    <c:v>500</c:v>
                  </c:pt>
                  <c:pt idx="18">
                    <c:v>500</c:v>
                  </c:pt>
                  <c:pt idx="19">
                    <c:v>500</c:v>
                  </c:pt>
                  <c:pt idx="20">
                    <c:v>500</c:v>
                  </c:pt>
                  <c:pt idx="21">
                    <c:v>500</c:v>
                  </c:pt>
                  <c:pt idx="22">
                    <c:v>500</c:v>
                  </c:pt>
                  <c:pt idx="23">
                    <c:v>500</c:v>
                  </c:pt>
                  <c:pt idx="24">
                    <c:v>500</c:v>
                  </c:pt>
                  <c:pt idx="25">
                    <c:v>500</c:v>
                  </c:pt>
                  <c:pt idx="26">
                    <c:v>500</c:v>
                  </c:pt>
                  <c:pt idx="27">
                    <c:v>500</c:v>
                  </c:pt>
                  <c:pt idx="28">
                    <c:v>500</c:v>
                  </c:pt>
                  <c:pt idx="29">
                    <c:v>500</c:v>
                  </c:pt>
                  <c:pt idx="30">
                    <c:v>500</c:v>
                  </c:pt>
                  <c:pt idx="31">
                    <c:v>500</c:v>
                  </c:pt>
                  <c:pt idx="32">
                    <c:v>500</c:v>
                  </c:pt>
                  <c:pt idx="33">
                    <c:v>500</c:v>
                  </c:pt>
                  <c:pt idx="34">
                    <c:v>500</c:v>
                  </c:pt>
                  <c:pt idx="35">
                    <c:v>500</c:v>
                  </c:pt>
                  <c:pt idx="36">
                    <c:v>500</c:v>
                  </c:pt>
                  <c:pt idx="37">
                    <c:v>500</c:v>
                  </c:pt>
                  <c:pt idx="38">
                    <c:v>500</c:v>
                  </c:pt>
                  <c:pt idx="39">
                    <c:v>500</c:v>
                  </c:pt>
                  <c:pt idx="40">
                    <c:v>500</c:v>
                  </c:pt>
                  <c:pt idx="41">
                    <c:v>500</c:v>
                  </c:pt>
                  <c:pt idx="42">
                    <c:v>500</c:v>
                  </c:pt>
                  <c:pt idx="43">
                    <c:v>500</c:v>
                  </c:pt>
                  <c:pt idx="44">
                    <c:v>500</c:v>
                  </c:pt>
                  <c:pt idx="45">
                    <c:v>500</c:v>
                  </c:pt>
                  <c:pt idx="46">
                    <c:v>500</c:v>
                  </c:pt>
                  <c:pt idx="47">
                    <c:v>500</c:v>
                  </c:pt>
                  <c:pt idx="48">
                    <c:v>500</c:v>
                  </c:pt>
                  <c:pt idx="49">
                    <c:v>500</c:v>
                  </c:pt>
                  <c:pt idx="50">
                    <c:v>500</c:v>
                  </c:pt>
                  <c:pt idx="51">
                    <c:v>500</c:v>
                  </c:pt>
                  <c:pt idx="52">
                    <c:v>500</c:v>
                  </c:pt>
                  <c:pt idx="53">
                    <c:v>500</c:v>
                  </c:pt>
                  <c:pt idx="54">
                    <c:v>500</c:v>
                  </c:pt>
                  <c:pt idx="55">
                    <c:v>500</c:v>
                  </c:pt>
                  <c:pt idx="56">
                    <c:v>500</c:v>
                  </c:pt>
                  <c:pt idx="57">
                    <c:v>500</c:v>
                  </c:pt>
                  <c:pt idx="58">
                    <c:v>500</c:v>
                  </c:pt>
                  <c:pt idx="59">
                    <c:v>500</c:v>
                  </c:pt>
                  <c:pt idx="60">
                    <c:v>500</c:v>
                  </c:pt>
                  <c:pt idx="61">
                    <c:v>500</c:v>
                  </c:pt>
                  <c:pt idx="62">
                    <c:v>500</c:v>
                  </c:pt>
                  <c:pt idx="63">
                    <c:v>500</c:v>
                  </c:pt>
                  <c:pt idx="64">
                    <c:v>500</c:v>
                  </c:pt>
                  <c:pt idx="65">
                    <c:v>500</c:v>
                  </c:pt>
                  <c:pt idx="66">
                    <c:v>500</c:v>
                  </c:pt>
                  <c:pt idx="67">
                    <c:v>500</c:v>
                  </c:pt>
                  <c:pt idx="68">
                    <c:v>500</c:v>
                  </c:pt>
                  <c:pt idx="69">
                    <c:v>500</c:v>
                  </c:pt>
                  <c:pt idx="70">
                    <c:v>500</c:v>
                  </c:pt>
                  <c:pt idx="71">
                    <c:v>500</c:v>
                  </c:pt>
                  <c:pt idx="72">
                    <c:v>500</c:v>
                  </c:pt>
                  <c:pt idx="73">
                    <c:v>500</c:v>
                  </c:pt>
                  <c:pt idx="74">
                    <c:v>500</c:v>
                  </c:pt>
                  <c:pt idx="75">
                    <c:v>500</c:v>
                  </c:pt>
                  <c:pt idx="76">
                    <c:v>500</c:v>
                  </c:pt>
                  <c:pt idx="77">
                    <c:v>500</c:v>
                  </c:pt>
                  <c:pt idx="78">
                    <c:v>500</c:v>
                  </c:pt>
                  <c:pt idx="79">
                    <c:v>500</c:v>
                  </c:pt>
                  <c:pt idx="80">
                    <c:v>500</c:v>
                  </c:pt>
                  <c:pt idx="81">
                    <c:v>500</c:v>
                  </c:pt>
                  <c:pt idx="82">
                    <c:v>500</c:v>
                  </c:pt>
                  <c:pt idx="83">
                    <c:v>500</c:v>
                  </c:pt>
                  <c:pt idx="84">
                    <c:v>500</c:v>
                  </c:pt>
                  <c:pt idx="85">
                    <c:v>500</c:v>
                  </c:pt>
                  <c:pt idx="86">
                    <c:v>500</c:v>
                  </c:pt>
                  <c:pt idx="87">
                    <c:v>500</c:v>
                  </c:pt>
                  <c:pt idx="88">
                    <c:v>500</c:v>
                  </c:pt>
                  <c:pt idx="89">
                    <c:v>500</c:v>
                  </c:pt>
                  <c:pt idx="90">
                    <c:v>500</c:v>
                  </c:pt>
                  <c:pt idx="91">
                    <c:v>500</c:v>
                  </c:pt>
                  <c:pt idx="92">
                    <c:v>500</c:v>
                  </c:pt>
                  <c:pt idx="93">
                    <c:v>500</c:v>
                  </c:pt>
                  <c:pt idx="94">
                    <c:v>500</c:v>
                  </c:pt>
                  <c:pt idx="95">
                    <c:v>500</c:v>
                  </c:pt>
                  <c:pt idx="96">
                    <c:v>500</c:v>
                  </c:pt>
                  <c:pt idx="97">
                    <c:v>500</c:v>
                  </c:pt>
                  <c:pt idx="98">
                    <c:v>500</c:v>
                  </c:pt>
                  <c:pt idx="99">
                    <c:v>500</c:v>
                  </c:pt>
                  <c:pt idx="100">
                    <c:v>500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  <c:pt idx="56">
                    <c:v>56</c:v>
                  </c:pt>
                  <c:pt idx="57">
                    <c:v>57</c:v>
                  </c:pt>
                  <c:pt idx="58">
                    <c:v>58</c:v>
                  </c:pt>
                  <c:pt idx="59">
                    <c:v>59</c:v>
                  </c:pt>
                  <c:pt idx="60">
                    <c:v>60</c:v>
                  </c:pt>
                  <c:pt idx="61">
                    <c:v>61</c:v>
                  </c:pt>
                  <c:pt idx="62">
                    <c:v>62</c:v>
                  </c:pt>
                  <c:pt idx="63">
                    <c:v>63</c:v>
                  </c:pt>
                  <c:pt idx="64">
                    <c:v>64</c:v>
                  </c:pt>
                  <c:pt idx="65">
                    <c:v>65</c:v>
                  </c:pt>
                  <c:pt idx="66">
                    <c:v>66</c:v>
                  </c:pt>
                  <c:pt idx="67">
                    <c:v>67</c:v>
                  </c:pt>
                  <c:pt idx="68">
                    <c:v>68</c:v>
                  </c:pt>
                  <c:pt idx="69">
                    <c:v>69</c:v>
                  </c:pt>
                  <c:pt idx="70">
                    <c:v>70</c:v>
                  </c:pt>
                  <c:pt idx="71">
                    <c:v>71</c:v>
                  </c:pt>
                  <c:pt idx="72">
                    <c:v>72</c:v>
                  </c:pt>
                  <c:pt idx="73">
                    <c:v>73</c:v>
                  </c:pt>
                  <c:pt idx="74">
                    <c:v>74</c:v>
                  </c:pt>
                  <c:pt idx="75">
                    <c:v>75</c:v>
                  </c:pt>
                  <c:pt idx="76">
                    <c:v>76</c:v>
                  </c:pt>
                  <c:pt idx="77">
                    <c:v>77</c:v>
                  </c:pt>
                  <c:pt idx="78">
                    <c:v>78</c:v>
                  </c:pt>
                  <c:pt idx="79">
                    <c:v>79</c:v>
                  </c:pt>
                  <c:pt idx="80">
                    <c:v>80</c:v>
                  </c:pt>
                  <c:pt idx="81">
                    <c:v>81</c:v>
                  </c:pt>
                  <c:pt idx="82">
                    <c:v>82</c:v>
                  </c:pt>
                  <c:pt idx="83">
                    <c:v>83</c:v>
                  </c:pt>
                  <c:pt idx="84">
                    <c:v>84</c:v>
                  </c:pt>
                  <c:pt idx="85">
                    <c:v>85</c:v>
                  </c:pt>
                  <c:pt idx="86">
                    <c:v>86</c:v>
                  </c:pt>
                  <c:pt idx="87">
                    <c:v>87</c:v>
                  </c:pt>
                  <c:pt idx="88">
                    <c:v>88</c:v>
                  </c:pt>
                  <c:pt idx="89">
                    <c:v>89</c:v>
                  </c:pt>
                  <c:pt idx="90">
                    <c:v>90</c:v>
                  </c:pt>
                  <c:pt idx="91">
                    <c:v>91</c:v>
                  </c:pt>
                  <c:pt idx="92">
                    <c:v>92</c:v>
                  </c:pt>
                  <c:pt idx="93">
                    <c:v>93</c:v>
                  </c:pt>
                  <c:pt idx="94">
                    <c:v>94</c:v>
                  </c:pt>
                  <c:pt idx="95">
                    <c:v>95</c:v>
                  </c:pt>
                  <c:pt idx="96">
                    <c:v>96</c:v>
                  </c:pt>
                  <c:pt idx="97">
                    <c:v>97</c:v>
                  </c:pt>
                  <c:pt idx="98">
                    <c:v>98</c:v>
                  </c:pt>
                  <c:pt idx="99">
                    <c:v>99</c:v>
                  </c:pt>
                  <c:pt idx="100">
                    <c:v>100</c:v>
                  </c:pt>
                </c:lvl>
              </c:multiLvlStrCache>
            </c:multiLvlStrRef>
          </c:xVal>
          <c:yVal>
            <c:numRef>
              <c:f>'HPS Comparing'!$Z$10:$Z$110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BA5C-4395-9C78-B97C184E9CD7}"/>
            </c:ext>
          </c:extLst>
        </c:ser>
        <c:ser>
          <c:idx val="12"/>
          <c:order val="12"/>
          <c:tx>
            <c:v>D3 ART LS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'HPS Comparing'!$AR$6:$AR$104</c:f>
              <c:numCache>
                <c:formatCode>General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</c:numCache>
            </c:numRef>
          </c:xVal>
          <c:yVal>
            <c:numRef>
              <c:f>'HPS Comparing'!$AS$6:$AS$104</c:f>
              <c:numCache>
                <c:formatCode>General</c:formatCode>
                <c:ptCount val="99"/>
                <c:pt idx="0">
                  <c:v>170.44444444444446</c:v>
                </c:pt>
                <c:pt idx="1">
                  <c:v>197.11111111111111</c:v>
                </c:pt>
                <c:pt idx="2">
                  <c:v>216.05555555555554</c:v>
                </c:pt>
                <c:pt idx="3">
                  <c:v>230.11111111111111</c:v>
                </c:pt>
                <c:pt idx="4">
                  <c:v>243.72222222222223</c:v>
                </c:pt>
                <c:pt idx="5">
                  <c:v>254.66666666666666</c:v>
                </c:pt>
                <c:pt idx="6">
                  <c:v>265.83333333333331</c:v>
                </c:pt>
                <c:pt idx="7">
                  <c:v>275.55555555555554</c:v>
                </c:pt>
                <c:pt idx="8">
                  <c:v>285.94444444444446</c:v>
                </c:pt>
                <c:pt idx="9">
                  <c:v>293.94444444444446</c:v>
                </c:pt>
                <c:pt idx="10">
                  <c:v>301.94444444444446</c:v>
                </c:pt>
                <c:pt idx="11">
                  <c:v>309.33333333333331</c:v>
                </c:pt>
                <c:pt idx="12">
                  <c:v>316.44444444444446</c:v>
                </c:pt>
                <c:pt idx="13">
                  <c:v>323.94444444444446</c:v>
                </c:pt>
                <c:pt idx="14">
                  <c:v>330.77777777777777</c:v>
                </c:pt>
                <c:pt idx="15">
                  <c:v>338.05555555555554</c:v>
                </c:pt>
                <c:pt idx="16">
                  <c:v>344.66666666666669</c:v>
                </c:pt>
                <c:pt idx="17">
                  <c:v>351.44444444444446</c:v>
                </c:pt>
                <c:pt idx="18">
                  <c:v>357.22222222222223</c:v>
                </c:pt>
                <c:pt idx="19">
                  <c:v>363.72222222222223</c:v>
                </c:pt>
                <c:pt idx="20">
                  <c:v>369.5</c:v>
                </c:pt>
                <c:pt idx="21">
                  <c:v>375.66666666666669</c:v>
                </c:pt>
                <c:pt idx="22">
                  <c:v>381.33333333333331</c:v>
                </c:pt>
                <c:pt idx="23">
                  <c:v>387.44444444444446</c:v>
                </c:pt>
                <c:pt idx="24">
                  <c:v>392.88888888888891</c:v>
                </c:pt>
                <c:pt idx="25">
                  <c:v>398.72222222222223</c:v>
                </c:pt>
                <c:pt idx="26">
                  <c:v>403.88888888888891</c:v>
                </c:pt>
                <c:pt idx="27">
                  <c:v>409.44444444444446</c:v>
                </c:pt>
                <c:pt idx="28">
                  <c:v>414.61111111111109</c:v>
                </c:pt>
                <c:pt idx="29">
                  <c:v>420</c:v>
                </c:pt>
                <c:pt idx="30">
                  <c:v>424.94444444444446</c:v>
                </c:pt>
                <c:pt idx="31">
                  <c:v>430.27777777777777</c:v>
                </c:pt>
                <c:pt idx="32">
                  <c:v>435.33333333333331</c:v>
                </c:pt>
                <c:pt idx="33">
                  <c:v>440.5</c:v>
                </c:pt>
                <c:pt idx="34">
                  <c:v>445.77777777777777</c:v>
                </c:pt>
                <c:pt idx="35">
                  <c:v>450.83333333333331</c:v>
                </c:pt>
                <c:pt idx="36">
                  <c:v>456.16666666666669</c:v>
                </c:pt>
                <c:pt idx="37">
                  <c:v>461.22222222222223</c:v>
                </c:pt>
                <c:pt idx="38">
                  <c:v>466.33333333333331</c:v>
                </c:pt>
                <c:pt idx="39">
                  <c:v>471.27777777777777</c:v>
                </c:pt>
                <c:pt idx="40">
                  <c:v>476.05555555555554</c:v>
                </c:pt>
                <c:pt idx="41">
                  <c:v>480.88888888888891</c:v>
                </c:pt>
                <c:pt idx="42">
                  <c:v>485.66666666666669</c:v>
                </c:pt>
                <c:pt idx="43">
                  <c:v>490.38888888888891</c:v>
                </c:pt>
                <c:pt idx="44">
                  <c:v>495.16666666666669</c:v>
                </c:pt>
                <c:pt idx="45">
                  <c:v>499.66666666666669</c:v>
                </c:pt>
                <c:pt idx="46">
                  <c:v>504.16666666666669</c:v>
                </c:pt>
                <c:pt idx="47">
                  <c:v>508.66666666666669</c:v>
                </c:pt>
                <c:pt idx="48">
                  <c:v>513.11111111111109</c:v>
                </c:pt>
                <c:pt idx="49">
                  <c:v>517.5</c:v>
                </c:pt>
                <c:pt idx="50">
                  <c:v>521.83333333333337</c:v>
                </c:pt>
                <c:pt idx="51">
                  <c:v>526.16666666666663</c:v>
                </c:pt>
                <c:pt idx="52">
                  <c:v>530.44444444444446</c:v>
                </c:pt>
                <c:pt idx="53">
                  <c:v>534.61111111111109</c:v>
                </c:pt>
                <c:pt idx="54">
                  <c:v>538.66666666666663</c:v>
                </c:pt>
                <c:pt idx="55">
                  <c:v>542.72222222222217</c:v>
                </c:pt>
                <c:pt idx="56">
                  <c:v>546.72222222222217</c:v>
                </c:pt>
                <c:pt idx="57">
                  <c:v>550.88888888888891</c:v>
                </c:pt>
                <c:pt idx="58">
                  <c:v>554.94444444444446</c:v>
                </c:pt>
                <c:pt idx="59">
                  <c:v>558.83333333333337</c:v>
                </c:pt>
                <c:pt idx="60">
                  <c:v>562.55555555555554</c:v>
                </c:pt>
                <c:pt idx="61">
                  <c:v>566.27777777777783</c:v>
                </c:pt>
                <c:pt idx="62">
                  <c:v>569.77777777777783</c:v>
                </c:pt>
                <c:pt idx="63">
                  <c:v>573.22222222222217</c:v>
                </c:pt>
                <c:pt idx="64">
                  <c:v>576.77777777777783</c:v>
                </c:pt>
                <c:pt idx="65">
                  <c:v>580.33333333333337</c:v>
                </c:pt>
                <c:pt idx="66">
                  <c:v>583.94444444444446</c:v>
                </c:pt>
                <c:pt idx="67">
                  <c:v>587.33333333333337</c:v>
                </c:pt>
                <c:pt idx="68">
                  <c:v>590.66666666666663</c:v>
                </c:pt>
                <c:pt idx="69">
                  <c:v>594.16666666666663</c:v>
                </c:pt>
                <c:pt idx="70">
                  <c:v>597.77777777777783</c:v>
                </c:pt>
                <c:pt idx="71">
                  <c:v>601.5</c:v>
                </c:pt>
                <c:pt idx="72">
                  <c:v>605.33333333333337</c:v>
                </c:pt>
                <c:pt idx="73">
                  <c:v>609.22222222222217</c:v>
                </c:pt>
                <c:pt idx="74">
                  <c:v>612.88888888888891</c:v>
                </c:pt>
                <c:pt idx="75">
                  <c:v>616.77777777777783</c:v>
                </c:pt>
                <c:pt idx="76">
                  <c:v>620.83333333333337</c:v>
                </c:pt>
                <c:pt idx="77">
                  <c:v>625.16666666666663</c:v>
                </c:pt>
                <c:pt idx="78">
                  <c:v>629.61111111111109</c:v>
                </c:pt>
                <c:pt idx="79">
                  <c:v>633.88888888888891</c:v>
                </c:pt>
                <c:pt idx="80">
                  <c:v>638.44444444444446</c:v>
                </c:pt>
                <c:pt idx="81">
                  <c:v>643.33333333333337</c:v>
                </c:pt>
                <c:pt idx="82">
                  <c:v>648.66666666666663</c:v>
                </c:pt>
                <c:pt idx="83">
                  <c:v>654.22222222222217</c:v>
                </c:pt>
                <c:pt idx="84">
                  <c:v>659.88888888888891</c:v>
                </c:pt>
                <c:pt idx="85">
                  <c:v>667.05555555555554</c:v>
                </c:pt>
                <c:pt idx="86">
                  <c:v>674.27777777777783</c:v>
                </c:pt>
                <c:pt idx="87">
                  <c:v>683.27777777777783</c:v>
                </c:pt>
                <c:pt idx="88">
                  <c:v>692.83333333333337</c:v>
                </c:pt>
                <c:pt idx="89">
                  <c:v>705.27777777777783</c:v>
                </c:pt>
                <c:pt idx="90">
                  <c:v>726.05555555555554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BA5C-4395-9C78-B97C184E9CD7}"/>
            </c:ext>
          </c:extLst>
        </c:ser>
        <c:ser>
          <c:idx val="13"/>
          <c:order val="13"/>
          <c:tx>
            <c:v>560</c:v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Comparing'!$AN$10:$AN$11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Ref>
              <c:f>'HPS Comparing'!$AO$10:$AO$11</c:f>
              <c:numCache>
                <c:formatCode>General</c:formatCode>
                <c:ptCount val="2"/>
                <c:pt idx="0">
                  <c:v>560</c:v>
                </c:pt>
                <c:pt idx="1">
                  <c:v>560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BA5C-4395-9C78-B97C184E9CD7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Comparing'!$AN$14:$AN$15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Ref>
              <c:f>'HPS Comparing'!$AO$14:$AO$15</c:f>
              <c:numCache>
                <c:formatCode>General</c:formatCode>
                <c:ptCount val="2"/>
                <c:pt idx="0">
                  <c:v>160</c:v>
                </c:pt>
                <c:pt idx="1">
                  <c:v>160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BA5C-4395-9C78-B97C184E9CD7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Comparing'!$AN$17:$AN$18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Ref>
              <c:f>'HPS Comparing'!$AO$17:$AO$18</c:f>
              <c:numCache>
                <c:formatCode>General</c:formatCode>
                <c:ptCount val="2"/>
                <c:pt idx="0">
                  <c:v>360</c:v>
                </c:pt>
                <c:pt idx="1">
                  <c:v>360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BA5C-4395-9C78-B97C184E9CD7}"/>
            </c:ext>
          </c:extLst>
        </c:ser>
        <c:ser>
          <c:idx val="19"/>
          <c:order val="16"/>
          <c:tx>
            <c:v>D3_ART HS</c:v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Comparing'!$AR$6:$AR$104</c:f>
              <c:numCache>
                <c:formatCode>General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</c:numCache>
            </c:numRef>
          </c:xVal>
          <c:yVal>
            <c:numRef>
              <c:f>'HPS Comparing'!$AV$6:$AV$104</c:f>
              <c:numCache>
                <c:formatCode>General</c:formatCode>
                <c:ptCount val="99"/>
                <c:pt idx="0">
                  <c:v>163.72222222222223</c:v>
                </c:pt>
                <c:pt idx="1">
                  <c:v>193.22222222222223</c:v>
                </c:pt>
                <c:pt idx="2">
                  <c:v>212.44444444444446</c:v>
                </c:pt>
                <c:pt idx="3">
                  <c:v>226.94444444444446</c:v>
                </c:pt>
                <c:pt idx="4">
                  <c:v>239.66666666666666</c:v>
                </c:pt>
                <c:pt idx="5">
                  <c:v>252.72222222222223</c:v>
                </c:pt>
                <c:pt idx="6">
                  <c:v>263.22222222222223</c:v>
                </c:pt>
                <c:pt idx="7">
                  <c:v>272.5</c:v>
                </c:pt>
                <c:pt idx="8">
                  <c:v>283.33333333333331</c:v>
                </c:pt>
                <c:pt idx="9">
                  <c:v>291.72222222222223</c:v>
                </c:pt>
                <c:pt idx="10">
                  <c:v>300.44444444444446</c:v>
                </c:pt>
                <c:pt idx="11">
                  <c:v>307.5</c:v>
                </c:pt>
                <c:pt idx="12">
                  <c:v>315.33333333333331</c:v>
                </c:pt>
                <c:pt idx="13">
                  <c:v>322.11111111111109</c:v>
                </c:pt>
                <c:pt idx="14">
                  <c:v>329.72222222222223</c:v>
                </c:pt>
                <c:pt idx="15">
                  <c:v>336.44444444444446</c:v>
                </c:pt>
                <c:pt idx="16">
                  <c:v>343.66666666666669</c:v>
                </c:pt>
                <c:pt idx="17">
                  <c:v>350.11111111111109</c:v>
                </c:pt>
                <c:pt idx="18">
                  <c:v>356.33333333333331</c:v>
                </c:pt>
                <c:pt idx="19">
                  <c:v>362.61111111111109</c:v>
                </c:pt>
                <c:pt idx="20">
                  <c:v>368.61111111111109</c:v>
                </c:pt>
                <c:pt idx="21">
                  <c:v>374.72222222222223</c:v>
                </c:pt>
                <c:pt idx="22">
                  <c:v>380.44444444444446</c:v>
                </c:pt>
                <c:pt idx="23">
                  <c:v>386.61111111111109</c:v>
                </c:pt>
                <c:pt idx="24">
                  <c:v>392.05555555555554</c:v>
                </c:pt>
                <c:pt idx="25">
                  <c:v>398.05555555555554</c:v>
                </c:pt>
                <c:pt idx="26">
                  <c:v>403.22222222222223</c:v>
                </c:pt>
                <c:pt idx="27">
                  <c:v>408.94444444444446</c:v>
                </c:pt>
                <c:pt idx="28">
                  <c:v>414.11111111111109</c:v>
                </c:pt>
                <c:pt idx="29">
                  <c:v>419.66666666666669</c:v>
                </c:pt>
                <c:pt idx="30">
                  <c:v>424.72222222222223</c:v>
                </c:pt>
                <c:pt idx="31">
                  <c:v>430.16666666666669</c:v>
                </c:pt>
                <c:pt idx="32">
                  <c:v>435.27777777777777</c:v>
                </c:pt>
                <c:pt idx="33">
                  <c:v>440.5</c:v>
                </c:pt>
                <c:pt idx="34">
                  <c:v>445.94444444444446</c:v>
                </c:pt>
                <c:pt idx="35">
                  <c:v>451.11111111111109</c:v>
                </c:pt>
                <c:pt idx="36">
                  <c:v>456.5</c:v>
                </c:pt>
                <c:pt idx="37">
                  <c:v>461.72222222222223</c:v>
                </c:pt>
                <c:pt idx="38">
                  <c:v>466.83333333333331</c:v>
                </c:pt>
                <c:pt idx="39">
                  <c:v>471.88888888888891</c:v>
                </c:pt>
                <c:pt idx="40">
                  <c:v>476.77777777777777</c:v>
                </c:pt>
                <c:pt idx="41">
                  <c:v>481.66666666666669</c:v>
                </c:pt>
                <c:pt idx="42">
                  <c:v>486.55555555555554</c:v>
                </c:pt>
                <c:pt idx="43">
                  <c:v>491.33333333333331</c:v>
                </c:pt>
                <c:pt idx="44">
                  <c:v>496.11111111111109</c:v>
                </c:pt>
                <c:pt idx="45">
                  <c:v>500.72222222222223</c:v>
                </c:pt>
                <c:pt idx="46">
                  <c:v>505.22222222222223</c:v>
                </c:pt>
                <c:pt idx="47">
                  <c:v>509.66666666666669</c:v>
                </c:pt>
                <c:pt idx="48">
                  <c:v>514.16666666666663</c:v>
                </c:pt>
                <c:pt idx="49">
                  <c:v>518.61111111111109</c:v>
                </c:pt>
                <c:pt idx="50">
                  <c:v>522.94444444444446</c:v>
                </c:pt>
                <c:pt idx="51">
                  <c:v>527.27777777777783</c:v>
                </c:pt>
                <c:pt idx="52">
                  <c:v>531.55555555555554</c:v>
                </c:pt>
                <c:pt idx="53">
                  <c:v>535.66666666666663</c:v>
                </c:pt>
                <c:pt idx="54">
                  <c:v>539.61111111111109</c:v>
                </c:pt>
                <c:pt idx="55">
                  <c:v>543.55555555555554</c:v>
                </c:pt>
                <c:pt idx="56">
                  <c:v>547.5</c:v>
                </c:pt>
                <c:pt idx="57">
                  <c:v>551.44444444444446</c:v>
                </c:pt>
                <c:pt idx="58">
                  <c:v>555.33333333333337</c:v>
                </c:pt>
                <c:pt idx="59">
                  <c:v>559.11111111111109</c:v>
                </c:pt>
                <c:pt idx="60">
                  <c:v>562.72222222222217</c:v>
                </c:pt>
                <c:pt idx="61">
                  <c:v>566.33333333333337</c:v>
                </c:pt>
                <c:pt idx="62">
                  <c:v>569.77777777777783</c:v>
                </c:pt>
                <c:pt idx="63">
                  <c:v>573.16666666666663</c:v>
                </c:pt>
                <c:pt idx="64">
                  <c:v>576.61111111111109</c:v>
                </c:pt>
                <c:pt idx="65">
                  <c:v>580.16666666666663</c:v>
                </c:pt>
                <c:pt idx="66">
                  <c:v>583.77777777777783</c:v>
                </c:pt>
                <c:pt idx="67">
                  <c:v>587.22222222222217</c:v>
                </c:pt>
                <c:pt idx="68">
                  <c:v>590.66666666666663</c:v>
                </c:pt>
                <c:pt idx="69">
                  <c:v>594.22222222222217</c:v>
                </c:pt>
                <c:pt idx="70">
                  <c:v>597.94444444444446</c:v>
                </c:pt>
                <c:pt idx="71">
                  <c:v>601.83333333333337</c:v>
                </c:pt>
                <c:pt idx="72">
                  <c:v>605.83333333333337</c:v>
                </c:pt>
                <c:pt idx="73">
                  <c:v>609.77777777777783</c:v>
                </c:pt>
                <c:pt idx="74">
                  <c:v>613.72222222222217</c:v>
                </c:pt>
                <c:pt idx="75">
                  <c:v>617.83333333333337</c:v>
                </c:pt>
                <c:pt idx="76">
                  <c:v>622.11111111111109</c:v>
                </c:pt>
                <c:pt idx="77">
                  <c:v>626.77777777777783</c:v>
                </c:pt>
                <c:pt idx="78">
                  <c:v>631.33333333333337</c:v>
                </c:pt>
                <c:pt idx="79">
                  <c:v>635.83333333333337</c:v>
                </c:pt>
                <c:pt idx="80">
                  <c:v>640.66666666666663</c:v>
                </c:pt>
                <c:pt idx="81">
                  <c:v>645.94444444444446</c:v>
                </c:pt>
                <c:pt idx="82">
                  <c:v>651.66666666666663</c:v>
                </c:pt>
                <c:pt idx="83">
                  <c:v>657.11111111111109</c:v>
                </c:pt>
                <c:pt idx="84">
                  <c:v>663.88888888888891</c:v>
                </c:pt>
                <c:pt idx="85">
                  <c:v>671.55555555555554</c:v>
                </c:pt>
                <c:pt idx="86">
                  <c:v>680.22222222222217</c:v>
                </c:pt>
                <c:pt idx="87">
                  <c:v>690.05555555555554</c:v>
                </c:pt>
                <c:pt idx="88">
                  <c:v>702.16666666666663</c:v>
                </c:pt>
                <c:pt idx="89">
                  <c:v>722.88888888888891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594-4A90-A29A-A0D95E1D1FE0}"/>
            </c:ext>
          </c:extLst>
        </c:ser>
        <c:ser>
          <c:idx val="18"/>
          <c:order val="17"/>
          <c:tx>
            <c:v>HS_D3</c:v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Comparing'!$V$10:$V$98</c:f>
              <c:numCache>
                <c:formatCode>General</c:formatCode>
                <c:ptCount val="89"/>
                <c:pt idx="0">
                  <c:v>121.9</c:v>
                </c:pt>
                <c:pt idx="1">
                  <c:v>144.19999999999999</c:v>
                </c:pt>
                <c:pt idx="2">
                  <c:v>169.7</c:v>
                </c:pt>
                <c:pt idx="3">
                  <c:v>185.8</c:v>
                </c:pt>
                <c:pt idx="4">
                  <c:v>200.3</c:v>
                </c:pt>
                <c:pt idx="5">
                  <c:v>212.1</c:v>
                </c:pt>
                <c:pt idx="6">
                  <c:v>221.4</c:v>
                </c:pt>
                <c:pt idx="7">
                  <c:v>231.3</c:v>
                </c:pt>
                <c:pt idx="8">
                  <c:v>239.7</c:v>
                </c:pt>
                <c:pt idx="9">
                  <c:v>249.7</c:v>
                </c:pt>
                <c:pt idx="10">
                  <c:v>257</c:v>
                </c:pt>
                <c:pt idx="11">
                  <c:v>266.5</c:v>
                </c:pt>
                <c:pt idx="12">
                  <c:v>274</c:v>
                </c:pt>
                <c:pt idx="13">
                  <c:v>283.3</c:v>
                </c:pt>
                <c:pt idx="14">
                  <c:v>290.89999999999998</c:v>
                </c:pt>
                <c:pt idx="15">
                  <c:v>298.7</c:v>
                </c:pt>
                <c:pt idx="16">
                  <c:v>305.2</c:v>
                </c:pt>
                <c:pt idx="17">
                  <c:v>313</c:v>
                </c:pt>
                <c:pt idx="18">
                  <c:v>319.2</c:v>
                </c:pt>
                <c:pt idx="19">
                  <c:v>326.5</c:v>
                </c:pt>
                <c:pt idx="20">
                  <c:v>332.5</c:v>
                </c:pt>
                <c:pt idx="21">
                  <c:v>339.7</c:v>
                </c:pt>
                <c:pt idx="22">
                  <c:v>345.6</c:v>
                </c:pt>
                <c:pt idx="23">
                  <c:v>352.5</c:v>
                </c:pt>
                <c:pt idx="24">
                  <c:v>358.2</c:v>
                </c:pt>
                <c:pt idx="25">
                  <c:v>364.6</c:v>
                </c:pt>
                <c:pt idx="26">
                  <c:v>370.5</c:v>
                </c:pt>
                <c:pt idx="27">
                  <c:v>377.3</c:v>
                </c:pt>
                <c:pt idx="28">
                  <c:v>383.6</c:v>
                </c:pt>
                <c:pt idx="29">
                  <c:v>390.3</c:v>
                </c:pt>
                <c:pt idx="30">
                  <c:v>395.2</c:v>
                </c:pt>
                <c:pt idx="31">
                  <c:v>399.6</c:v>
                </c:pt>
                <c:pt idx="32">
                  <c:v>404.7</c:v>
                </c:pt>
                <c:pt idx="33">
                  <c:v>409</c:v>
                </c:pt>
                <c:pt idx="34">
                  <c:v>415.2</c:v>
                </c:pt>
                <c:pt idx="35">
                  <c:v>422.4</c:v>
                </c:pt>
                <c:pt idx="36">
                  <c:v>430</c:v>
                </c:pt>
                <c:pt idx="37">
                  <c:v>435.4</c:v>
                </c:pt>
                <c:pt idx="38">
                  <c:v>440.2</c:v>
                </c:pt>
                <c:pt idx="39">
                  <c:v>445.5</c:v>
                </c:pt>
                <c:pt idx="40">
                  <c:v>450.9</c:v>
                </c:pt>
                <c:pt idx="41">
                  <c:v>457.1</c:v>
                </c:pt>
                <c:pt idx="42">
                  <c:v>464</c:v>
                </c:pt>
                <c:pt idx="43">
                  <c:v>469.5</c:v>
                </c:pt>
                <c:pt idx="44">
                  <c:v>474.7</c:v>
                </c:pt>
                <c:pt idx="45">
                  <c:v>480.1</c:v>
                </c:pt>
                <c:pt idx="46">
                  <c:v>486</c:v>
                </c:pt>
                <c:pt idx="47">
                  <c:v>492</c:v>
                </c:pt>
                <c:pt idx="48">
                  <c:v>497.6</c:v>
                </c:pt>
                <c:pt idx="49">
                  <c:v>502.5</c:v>
                </c:pt>
                <c:pt idx="50">
                  <c:v>507.4</c:v>
                </c:pt>
                <c:pt idx="51">
                  <c:v>512.70000000000005</c:v>
                </c:pt>
                <c:pt idx="52">
                  <c:v>518.20000000000005</c:v>
                </c:pt>
                <c:pt idx="53">
                  <c:v>523.5</c:v>
                </c:pt>
                <c:pt idx="54">
                  <c:v>528.29999999999995</c:v>
                </c:pt>
                <c:pt idx="55">
                  <c:v>533</c:v>
                </c:pt>
                <c:pt idx="56">
                  <c:v>537.6</c:v>
                </c:pt>
                <c:pt idx="57">
                  <c:v>542.1</c:v>
                </c:pt>
                <c:pt idx="58">
                  <c:v>546.70000000000005</c:v>
                </c:pt>
                <c:pt idx="59">
                  <c:v>551.29999999999995</c:v>
                </c:pt>
                <c:pt idx="60">
                  <c:v>556</c:v>
                </c:pt>
                <c:pt idx="61">
                  <c:v>560.29999999999995</c:v>
                </c:pt>
                <c:pt idx="62">
                  <c:v>564.4</c:v>
                </c:pt>
                <c:pt idx="63">
                  <c:v>568.4</c:v>
                </c:pt>
                <c:pt idx="64">
                  <c:v>572.20000000000005</c:v>
                </c:pt>
                <c:pt idx="65">
                  <c:v>576.20000000000005</c:v>
                </c:pt>
                <c:pt idx="66">
                  <c:v>580.20000000000005</c:v>
                </c:pt>
                <c:pt idx="67">
                  <c:v>584.4</c:v>
                </c:pt>
                <c:pt idx="68">
                  <c:v>588.5</c:v>
                </c:pt>
                <c:pt idx="69">
                  <c:v>592.6</c:v>
                </c:pt>
                <c:pt idx="70">
                  <c:v>596.79999999999995</c:v>
                </c:pt>
                <c:pt idx="71">
                  <c:v>601.1</c:v>
                </c:pt>
                <c:pt idx="72">
                  <c:v>605.6</c:v>
                </c:pt>
                <c:pt idx="73">
                  <c:v>610.20000000000005</c:v>
                </c:pt>
                <c:pt idx="74">
                  <c:v>615</c:v>
                </c:pt>
                <c:pt idx="75">
                  <c:v>620</c:v>
                </c:pt>
                <c:pt idx="76">
                  <c:v>625.20000000000005</c:v>
                </c:pt>
                <c:pt idx="77">
                  <c:v>630.5</c:v>
                </c:pt>
                <c:pt idx="78">
                  <c:v>635.9</c:v>
                </c:pt>
                <c:pt idx="79">
                  <c:v>641.9</c:v>
                </c:pt>
                <c:pt idx="80">
                  <c:v>648.29999999999995</c:v>
                </c:pt>
                <c:pt idx="81">
                  <c:v>654.70000000000005</c:v>
                </c:pt>
                <c:pt idx="82">
                  <c:v>662.1</c:v>
                </c:pt>
                <c:pt idx="83">
                  <c:v>670.9</c:v>
                </c:pt>
                <c:pt idx="84">
                  <c:v>680.3</c:v>
                </c:pt>
                <c:pt idx="85">
                  <c:v>690.2</c:v>
                </c:pt>
                <c:pt idx="86">
                  <c:v>700.4</c:v>
                </c:pt>
                <c:pt idx="87">
                  <c:v>712.3</c:v>
                </c:pt>
                <c:pt idx="88">
                  <c:v>726.7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594-4A90-A29A-A0D95E1D1FE0}"/>
            </c:ext>
          </c:extLst>
        </c:ser>
        <c:ser>
          <c:idx val="17"/>
          <c:order val="18"/>
          <c:tx>
            <c:v>Light end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'HPS Comparing'!$AN$23:$AN$24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xVal>
          <c:yVal>
            <c:numRef>
              <c:f>'HPS Comparing'!$AO$23:$AO$24</c:f>
              <c:numCache>
                <c:formatCode>General</c:formatCode>
                <c:ptCount val="2"/>
                <c:pt idx="0">
                  <c:v>-2</c:v>
                </c:pt>
                <c:pt idx="1">
                  <c:v>160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94-4A90-A29A-A0D95E1D1FE0}"/>
            </c:ext>
          </c:extLst>
        </c:ser>
        <c:ser>
          <c:idx val="16"/>
          <c:order val="19"/>
          <c:tx>
            <c:v>D3 LS</c:v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Comparing'!$P$10:$P$110</c:f>
              <c:numCache>
                <c:formatCode>General</c:formatCode>
                <c:ptCount val="101"/>
                <c:pt idx="0">
                  <c:v>111.6</c:v>
                </c:pt>
                <c:pt idx="1">
                  <c:v>136.19999999999999</c:v>
                </c:pt>
                <c:pt idx="2">
                  <c:v>162.80000000000001</c:v>
                </c:pt>
                <c:pt idx="3">
                  <c:v>181.4</c:v>
                </c:pt>
                <c:pt idx="4">
                  <c:v>196.4</c:v>
                </c:pt>
                <c:pt idx="5">
                  <c:v>209.9</c:v>
                </c:pt>
                <c:pt idx="6">
                  <c:v>220.8</c:v>
                </c:pt>
                <c:pt idx="7">
                  <c:v>231.5</c:v>
                </c:pt>
                <c:pt idx="8">
                  <c:v>241.8</c:v>
                </c:pt>
                <c:pt idx="9">
                  <c:v>250.5</c:v>
                </c:pt>
                <c:pt idx="10">
                  <c:v>260.3</c:v>
                </c:pt>
                <c:pt idx="11">
                  <c:v>268.3</c:v>
                </c:pt>
                <c:pt idx="12">
                  <c:v>278.10000000000002</c:v>
                </c:pt>
                <c:pt idx="13">
                  <c:v>286.39999999999998</c:v>
                </c:pt>
                <c:pt idx="14">
                  <c:v>294.60000000000002</c:v>
                </c:pt>
                <c:pt idx="15">
                  <c:v>301.60000000000002</c:v>
                </c:pt>
                <c:pt idx="16">
                  <c:v>309.5</c:v>
                </c:pt>
                <c:pt idx="17">
                  <c:v>316</c:v>
                </c:pt>
                <c:pt idx="18">
                  <c:v>323.7</c:v>
                </c:pt>
                <c:pt idx="19">
                  <c:v>330.2</c:v>
                </c:pt>
                <c:pt idx="20">
                  <c:v>337.5</c:v>
                </c:pt>
                <c:pt idx="21">
                  <c:v>343.9</c:v>
                </c:pt>
                <c:pt idx="22">
                  <c:v>350.3</c:v>
                </c:pt>
                <c:pt idx="23">
                  <c:v>355.9</c:v>
                </c:pt>
                <c:pt idx="24">
                  <c:v>361.9</c:v>
                </c:pt>
                <c:pt idx="25">
                  <c:v>367.7</c:v>
                </c:pt>
                <c:pt idx="26">
                  <c:v>374.1</c:v>
                </c:pt>
                <c:pt idx="27">
                  <c:v>381.5</c:v>
                </c:pt>
                <c:pt idx="28">
                  <c:v>388.1</c:v>
                </c:pt>
                <c:pt idx="29">
                  <c:v>394.7</c:v>
                </c:pt>
                <c:pt idx="30">
                  <c:v>400.2</c:v>
                </c:pt>
                <c:pt idx="31">
                  <c:v>406.1</c:v>
                </c:pt>
                <c:pt idx="32">
                  <c:v>411.5</c:v>
                </c:pt>
                <c:pt idx="33">
                  <c:v>417.2</c:v>
                </c:pt>
                <c:pt idx="34">
                  <c:v>423.4</c:v>
                </c:pt>
                <c:pt idx="35">
                  <c:v>429.2</c:v>
                </c:pt>
                <c:pt idx="36">
                  <c:v>435</c:v>
                </c:pt>
                <c:pt idx="37">
                  <c:v>440.4</c:v>
                </c:pt>
                <c:pt idx="38">
                  <c:v>445.8</c:v>
                </c:pt>
                <c:pt idx="39">
                  <c:v>451.6</c:v>
                </c:pt>
                <c:pt idx="40">
                  <c:v>457.2</c:v>
                </c:pt>
                <c:pt idx="41">
                  <c:v>462.8</c:v>
                </c:pt>
                <c:pt idx="42">
                  <c:v>468.5</c:v>
                </c:pt>
                <c:pt idx="43">
                  <c:v>473.8</c:v>
                </c:pt>
                <c:pt idx="44">
                  <c:v>479.2</c:v>
                </c:pt>
                <c:pt idx="45">
                  <c:v>484.6</c:v>
                </c:pt>
                <c:pt idx="46">
                  <c:v>490.2</c:v>
                </c:pt>
                <c:pt idx="47">
                  <c:v>495.6</c:v>
                </c:pt>
                <c:pt idx="48">
                  <c:v>500.4</c:v>
                </c:pt>
                <c:pt idx="49">
                  <c:v>505.2</c:v>
                </c:pt>
                <c:pt idx="50">
                  <c:v>510</c:v>
                </c:pt>
                <c:pt idx="51">
                  <c:v>515.1</c:v>
                </c:pt>
                <c:pt idx="52">
                  <c:v>520.1</c:v>
                </c:pt>
                <c:pt idx="53">
                  <c:v>524.79999999999995</c:v>
                </c:pt>
                <c:pt idx="54">
                  <c:v>529.29999999999995</c:v>
                </c:pt>
                <c:pt idx="55">
                  <c:v>533.70000000000005</c:v>
                </c:pt>
                <c:pt idx="56">
                  <c:v>538</c:v>
                </c:pt>
                <c:pt idx="57">
                  <c:v>542.20000000000005</c:v>
                </c:pt>
                <c:pt idx="58">
                  <c:v>546.4</c:v>
                </c:pt>
                <c:pt idx="59">
                  <c:v>550.5</c:v>
                </c:pt>
                <c:pt idx="60">
                  <c:v>554.6</c:v>
                </c:pt>
                <c:pt idx="61">
                  <c:v>558.5</c:v>
                </c:pt>
                <c:pt idx="62">
                  <c:v>562.20000000000005</c:v>
                </c:pt>
                <c:pt idx="63">
                  <c:v>565.9</c:v>
                </c:pt>
                <c:pt idx="64">
                  <c:v>569.29999999999995</c:v>
                </c:pt>
                <c:pt idx="65">
                  <c:v>572.70000000000005</c:v>
                </c:pt>
                <c:pt idx="66">
                  <c:v>576.20000000000005</c:v>
                </c:pt>
                <c:pt idx="67">
                  <c:v>579.79999999999995</c:v>
                </c:pt>
                <c:pt idx="68">
                  <c:v>583.5</c:v>
                </c:pt>
                <c:pt idx="69">
                  <c:v>587</c:v>
                </c:pt>
                <c:pt idx="70">
                  <c:v>590.6</c:v>
                </c:pt>
                <c:pt idx="71">
                  <c:v>594.29999999999995</c:v>
                </c:pt>
                <c:pt idx="72">
                  <c:v>598</c:v>
                </c:pt>
                <c:pt idx="73">
                  <c:v>601.79999999999995</c:v>
                </c:pt>
                <c:pt idx="74">
                  <c:v>605.79999999999995</c:v>
                </c:pt>
                <c:pt idx="75">
                  <c:v>609.9</c:v>
                </c:pt>
                <c:pt idx="76">
                  <c:v>614.1</c:v>
                </c:pt>
                <c:pt idx="77">
                  <c:v>618.6</c:v>
                </c:pt>
                <c:pt idx="78">
                  <c:v>623.20000000000005</c:v>
                </c:pt>
                <c:pt idx="79">
                  <c:v>628</c:v>
                </c:pt>
                <c:pt idx="80">
                  <c:v>632.79999999999995</c:v>
                </c:pt>
                <c:pt idx="81">
                  <c:v>638</c:v>
                </c:pt>
                <c:pt idx="82">
                  <c:v>643.70000000000005</c:v>
                </c:pt>
                <c:pt idx="83">
                  <c:v>649.70000000000005</c:v>
                </c:pt>
                <c:pt idx="84">
                  <c:v>655.7</c:v>
                </c:pt>
                <c:pt idx="85">
                  <c:v>662.9</c:v>
                </c:pt>
                <c:pt idx="86">
                  <c:v>671.4</c:v>
                </c:pt>
                <c:pt idx="87">
                  <c:v>680.7</c:v>
                </c:pt>
                <c:pt idx="88">
                  <c:v>690.4</c:v>
                </c:pt>
                <c:pt idx="89">
                  <c:v>700.8</c:v>
                </c:pt>
                <c:pt idx="90">
                  <c:v>712.8</c:v>
                </c:pt>
                <c:pt idx="91">
                  <c:v>729.3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BA5C-4395-9C78-B97C184E9CD7}"/>
            </c:ext>
          </c:extLst>
        </c:ser>
        <c:ser>
          <c:idx val="20"/>
          <c:order val="20"/>
          <c:tx>
            <c:v>HPS-D5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Comparing'!$N$10:$N$98</c:f>
              <c:numCache>
                <c:formatCode>General</c:formatCode>
                <c:ptCount val="89"/>
                <c:pt idx="0">
                  <c:v>95.5</c:v>
                </c:pt>
                <c:pt idx="1">
                  <c:v>125.7</c:v>
                </c:pt>
                <c:pt idx="2">
                  <c:v>155.6</c:v>
                </c:pt>
                <c:pt idx="3">
                  <c:v>174.7</c:v>
                </c:pt>
                <c:pt idx="4">
                  <c:v>190.5</c:v>
                </c:pt>
                <c:pt idx="5">
                  <c:v>203.2</c:v>
                </c:pt>
                <c:pt idx="6">
                  <c:v>216</c:v>
                </c:pt>
                <c:pt idx="7">
                  <c:v>226</c:v>
                </c:pt>
                <c:pt idx="8">
                  <c:v>235.1</c:v>
                </c:pt>
                <c:pt idx="9">
                  <c:v>245.2</c:v>
                </c:pt>
                <c:pt idx="10">
                  <c:v>253.3</c:v>
                </c:pt>
                <c:pt idx="11">
                  <c:v>262.5</c:v>
                </c:pt>
                <c:pt idx="12">
                  <c:v>270.2</c:v>
                </c:pt>
                <c:pt idx="13">
                  <c:v>278.8</c:v>
                </c:pt>
                <c:pt idx="14">
                  <c:v>286.39999999999998</c:v>
                </c:pt>
                <c:pt idx="15">
                  <c:v>294.10000000000002</c:v>
                </c:pt>
                <c:pt idx="16">
                  <c:v>301</c:v>
                </c:pt>
                <c:pt idx="17">
                  <c:v>308</c:v>
                </c:pt>
                <c:pt idx="18">
                  <c:v>314.89999999999998</c:v>
                </c:pt>
                <c:pt idx="19">
                  <c:v>321.3</c:v>
                </c:pt>
                <c:pt idx="20">
                  <c:v>328.2</c:v>
                </c:pt>
                <c:pt idx="21">
                  <c:v>334.2</c:v>
                </c:pt>
                <c:pt idx="22">
                  <c:v>340.8</c:v>
                </c:pt>
                <c:pt idx="23">
                  <c:v>346.4</c:v>
                </c:pt>
                <c:pt idx="24">
                  <c:v>352.3</c:v>
                </c:pt>
                <c:pt idx="25">
                  <c:v>357.5</c:v>
                </c:pt>
                <c:pt idx="26">
                  <c:v>363.2</c:v>
                </c:pt>
                <c:pt idx="27">
                  <c:v>368.5</c:v>
                </c:pt>
                <c:pt idx="28">
                  <c:v>375.1</c:v>
                </c:pt>
                <c:pt idx="29">
                  <c:v>381.5</c:v>
                </c:pt>
                <c:pt idx="30">
                  <c:v>388.2</c:v>
                </c:pt>
                <c:pt idx="31">
                  <c:v>393.9</c:v>
                </c:pt>
                <c:pt idx="32">
                  <c:v>399.4</c:v>
                </c:pt>
                <c:pt idx="33">
                  <c:v>404.7</c:v>
                </c:pt>
                <c:pt idx="34">
                  <c:v>410</c:v>
                </c:pt>
                <c:pt idx="35">
                  <c:v>415.6</c:v>
                </c:pt>
                <c:pt idx="36">
                  <c:v>421</c:v>
                </c:pt>
                <c:pt idx="37">
                  <c:v>427</c:v>
                </c:pt>
                <c:pt idx="38">
                  <c:v>432.5</c:v>
                </c:pt>
                <c:pt idx="39">
                  <c:v>438.1</c:v>
                </c:pt>
                <c:pt idx="40">
                  <c:v>443.3</c:v>
                </c:pt>
                <c:pt idx="41">
                  <c:v>448.5</c:v>
                </c:pt>
                <c:pt idx="42">
                  <c:v>454.3</c:v>
                </c:pt>
                <c:pt idx="43">
                  <c:v>459.9</c:v>
                </c:pt>
                <c:pt idx="44">
                  <c:v>465.4</c:v>
                </c:pt>
                <c:pt idx="45">
                  <c:v>471</c:v>
                </c:pt>
                <c:pt idx="46">
                  <c:v>476.4</c:v>
                </c:pt>
                <c:pt idx="47">
                  <c:v>481.9</c:v>
                </c:pt>
                <c:pt idx="48">
                  <c:v>487.5</c:v>
                </c:pt>
                <c:pt idx="49">
                  <c:v>493.2</c:v>
                </c:pt>
                <c:pt idx="50">
                  <c:v>498.4</c:v>
                </c:pt>
                <c:pt idx="51">
                  <c:v>503.4</c:v>
                </c:pt>
                <c:pt idx="52">
                  <c:v>508.3</c:v>
                </c:pt>
                <c:pt idx="53">
                  <c:v>513.70000000000005</c:v>
                </c:pt>
                <c:pt idx="54">
                  <c:v>519.1</c:v>
                </c:pt>
                <c:pt idx="55">
                  <c:v>524.20000000000005</c:v>
                </c:pt>
                <c:pt idx="56">
                  <c:v>529.1</c:v>
                </c:pt>
                <c:pt idx="57">
                  <c:v>533.9</c:v>
                </c:pt>
                <c:pt idx="58">
                  <c:v>538.70000000000005</c:v>
                </c:pt>
                <c:pt idx="59">
                  <c:v>543.29999999999995</c:v>
                </c:pt>
                <c:pt idx="60">
                  <c:v>548.1</c:v>
                </c:pt>
                <c:pt idx="61">
                  <c:v>552.79999999999995</c:v>
                </c:pt>
                <c:pt idx="62">
                  <c:v>557.4</c:v>
                </c:pt>
                <c:pt idx="63">
                  <c:v>561.79999999999995</c:v>
                </c:pt>
                <c:pt idx="64">
                  <c:v>566.1</c:v>
                </c:pt>
                <c:pt idx="65">
                  <c:v>570.20000000000005</c:v>
                </c:pt>
                <c:pt idx="66">
                  <c:v>574.20000000000005</c:v>
                </c:pt>
                <c:pt idx="67">
                  <c:v>578.5</c:v>
                </c:pt>
                <c:pt idx="68">
                  <c:v>582.9</c:v>
                </c:pt>
                <c:pt idx="69">
                  <c:v>587.20000000000005</c:v>
                </c:pt>
                <c:pt idx="70">
                  <c:v>591.6</c:v>
                </c:pt>
                <c:pt idx="71">
                  <c:v>596</c:v>
                </c:pt>
                <c:pt idx="72">
                  <c:v>600.5</c:v>
                </c:pt>
                <c:pt idx="73">
                  <c:v>605.29999999999995</c:v>
                </c:pt>
                <c:pt idx="74">
                  <c:v>610.29999999999995</c:v>
                </c:pt>
                <c:pt idx="75">
                  <c:v>615.29999999999995</c:v>
                </c:pt>
                <c:pt idx="76">
                  <c:v>620.9</c:v>
                </c:pt>
                <c:pt idx="77">
                  <c:v>626.4</c:v>
                </c:pt>
                <c:pt idx="78">
                  <c:v>632.1</c:v>
                </c:pt>
                <c:pt idx="79">
                  <c:v>638</c:v>
                </c:pt>
                <c:pt idx="80">
                  <c:v>644.6</c:v>
                </c:pt>
                <c:pt idx="81">
                  <c:v>651.6</c:v>
                </c:pt>
                <c:pt idx="82">
                  <c:v>658.6</c:v>
                </c:pt>
                <c:pt idx="83">
                  <c:v>667.9</c:v>
                </c:pt>
                <c:pt idx="84">
                  <c:v>677.4</c:v>
                </c:pt>
                <c:pt idx="85">
                  <c:v>688.1</c:v>
                </c:pt>
                <c:pt idx="86">
                  <c:v>698.6</c:v>
                </c:pt>
                <c:pt idx="87">
                  <c:v>709.6</c:v>
                </c:pt>
                <c:pt idx="88">
                  <c:v>722.6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F9B-424B-814E-B4CD30D8B184}"/>
            </c:ext>
          </c:extLst>
        </c:ser>
        <c:ser>
          <c:idx val="21"/>
          <c:order val="21"/>
          <c:tx>
            <c:v>HPS_Aging_D3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Comparing'!$L$10:$L$102</c:f>
              <c:numCache>
                <c:formatCode>General</c:formatCode>
                <c:ptCount val="93"/>
                <c:pt idx="0">
                  <c:v>152.5</c:v>
                </c:pt>
                <c:pt idx="1">
                  <c:v>185.3</c:v>
                </c:pt>
                <c:pt idx="2">
                  <c:v>226.6</c:v>
                </c:pt>
                <c:pt idx="3">
                  <c:v>255</c:v>
                </c:pt>
                <c:pt idx="4">
                  <c:v>279.10000000000002</c:v>
                </c:pt>
                <c:pt idx="5">
                  <c:v>299.2</c:v>
                </c:pt>
                <c:pt idx="6">
                  <c:v>317.3</c:v>
                </c:pt>
                <c:pt idx="7">
                  <c:v>332.5</c:v>
                </c:pt>
                <c:pt idx="8">
                  <c:v>345.5</c:v>
                </c:pt>
                <c:pt idx="9">
                  <c:v>356.3</c:v>
                </c:pt>
                <c:pt idx="10">
                  <c:v>366.7</c:v>
                </c:pt>
                <c:pt idx="11">
                  <c:v>378.3</c:v>
                </c:pt>
                <c:pt idx="12">
                  <c:v>390.2</c:v>
                </c:pt>
                <c:pt idx="13">
                  <c:v>398.9</c:v>
                </c:pt>
                <c:pt idx="14">
                  <c:v>407.3</c:v>
                </c:pt>
                <c:pt idx="15">
                  <c:v>415.7</c:v>
                </c:pt>
                <c:pt idx="16">
                  <c:v>424.9</c:v>
                </c:pt>
                <c:pt idx="17">
                  <c:v>433.3</c:v>
                </c:pt>
                <c:pt idx="18">
                  <c:v>440.7</c:v>
                </c:pt>
                <c:pt idx="19">
                  <c:v>448</c:v>
                </c:pt>
                <c:pt idx="20">
                  <c:v>455.9</c:v>
                </c:pt>
                <c:pt idx="21">
                  <c:v>463.6</c:v>
                </c:pt>
                <c:pt idx="22">
                  <c:v>470.6</c:v>
                </c:pt>
                <c:pt idx="23">
                  <c:v>477.3</c:v>
                </c:pt>
                <c:pt idx="24">
                  <c:v>484.2</c:v>
                </c:pt>
                <c:pt idx="25">
                  <c:v>491.3</c:v>
                </c:pt>
                <c:pt idx="26">
                  <c:v>497.8</c:v>
                </c:pt>
                <c:pt idx="27">
                  <c:v>503.3</c:v>
                </c:pt>
                <c:pt idx="28">
                  <c:v>508.7</c:v>
                </c:pt>
                <c:pt idx="29">
                  <c:v>514.70000000000005</c:v>
                </c:pt>
                <c:pt idx="30">
                  <c:v>520.6</c:v>
                </c:pt>
                <c:pt idx="31">
                  <c:v>525.70000000000005</c:v>
                </c:pt>
                <c:pt idx="32">
                  <c:v>530.5</c:v>
                </c:pt>
                <c:pt idx="33">
                  <c:v>535.20000000000005</c:v>
                </c:pt>
                <c:pt idx="34">
                  <c:v>539.6</c:v>
                </c:pt>
                <c:pt idx="35">
                  <c:v>543.9</c:v>
                </c:pt>
                <c:pt idx="36">
                  <c:v>548.20000000000005</c:v>
                </c:pt>
                <c:pt idx="37">
                  <c:v>552.4</c:v>
                </c:pt>
                <c:pt idx="38">
                  <c:v>556.4</c:v>
                </c:pt>
                <c:pt idx="39">
                  <c:v>560</c:v>
                </c:pt>
                <c:pt idx="40">
                  <c:v>563.5</c:v>
                </c:pt>
                <c:pt idx="41">
                  <c:v>566.79999999999995</c:v>
                </c:pt>
                <c:pt idx="42">
                  <c:v>569.9</c:v>
                </c:pt>
                <c:pt idx="43">
                  <c:v>572.9</c:v>
                </c:pt>
                <c:pt idx="44">
                  <c:v>575.79999999999995</c:v>
                </c:pt>
                <c:pt idx="45">
                  <c:v>578.79999999999995</c:v>
                </c:pt>
                <c:pt idx="46">
                  <c:v>581.70000000000005</c:v>
                </c:pt>
                <c:pt idx="47">
                  <c:v>584.6</c:v>
                </c:pt>
                <c:pt idx="48">
                  <c:v>587.4</c:v>
                </c:pt>
                <c:pt idx="49">
                  <c:v>590.1</c:v>
                </c:pt>
                <c:pt idx="50">
                  <c:v>592.79999999999995</c:v>
                </c:pt>
                <c:pt idx="51">
                  <c:v>595.5</c:v>
                </c:pt>
                <c:pt idx="52">
                  <c:v>598.1</c:v>
                </c:pt>
                <c:pt idx="53">
                  <c:v>600.79999999999995</c:v>
                </c:pt>
                <c:pt idx="54">
                  <c:v>603.6</c:v>
                </c:pt>
                <c:pt idx="55">
                  <c:v>606.29999999999995</c:v>
                </c:pt>
                <c:pt idx="56">
                  <c:v>609</c:v>
                </c:pt>
                <c:pt idx="57">
                  <c:v>611.70000000000005</c:v>
                </c:pt>
                <c:pt idx="58">
                  <c:v>614.5</c:v>
                </c:pt>
                <c:pt idx="59">
                  <c:v>617.29999999999995</c:v>
                </c:pt>
                <c:pt idx="60">
                  <c:v>620.1</c:v>
                </c:pt>
                <c:pt idx="61">
                  <c:v>623</c:v>
                </c:pt>
                <c:pt idx="62">
                  <c:v>625.79999999999995</c:v>
                </c:pt>
                <c:pt idx="63">
                  <c:v>628.6</c:v>
                </c:pt>
                <c:pt idx="64">
                  <c:v>631.4</c:v>
                </c:pt>
                <c:pt idx="65">
                  <c:v>634.20000000000005</c:v>
                </c:pt>
                <c:pt idx="66">
                  <c:v>637.1</c:v>
                </c:pt>
                <c:pt idx="67">
                  <c:v>640</c:v>
                </c:pt>
                <c:pt idx="68">
                  <c:v>643.1</c:v>
                </c:pt>
                <c:pt idx="69">
                  <c:v>646.20000000000005</c:v>
                </c:pt>
                <c:pt idx="70">
                  <c:v>649.20000000000005</c:v>
                </c:pt>
                <c:pt idx="71">
                  <c:v>652.20000000000005</c:v>
                </c:pt>
                <c:pt idx="72">
                  <c:v>655.1</c:v>
                </c:pt>
                <c:pt idx="73">
                  <c:v>658.1</c:v>
                </c:pt>
                <c:pt idx="74">
                  <c:v>661.9</c:v>
                </c:pt>
                <c:pt idx="75">
                  <c:v>665.7</c:v>
                </c:pt>
                <c:pt idx="76">
                  <c:v>669.7</c:v>
                </c:pt>
                <c:pt idx="77">
                  <c:v>673.1</c:v>
                </c:pt>
                <c:pt idx="78">
                  <c:v>676.9</c:v>
                </c:pt>
                <c:pt idx="79">
                  <c:v>681.3</c:v>
                </c:pt>
                <c:pt idx="80">
                  <c:v>685</c:v>
                </c:pt>
                <c:pt idx="81">
                  <c:v>688.9</c:v>
                </c:pt>
                <c:pt idx="82">
                  <c:v>692.4</c:v>
                </c:pt>
                <c:pt idx="83">
                  <c:v>695.7</c:v>
                </c:pt>
                <c:pt idx="84">
                  <c:v>700</c:v>
                </c:pt>
                <c:pt idx="85">
                  <c:v>703.3</c:v>
                </c:pt>
                <c:pt idx="86">
                  <c:v>706.7</c:v>
                </c:pt>
                <c:pt idx="87">
                  <c:v>710.8</c:v>
                </c:pt>
                <c:pt idx="88">
                  <c:v>714.7</c:v>
                </c:pt>
                <c:pt idx="89">
                  <c:v>718.6</c:v>
                </c:pt>
                <c:pt idx="90">
                  <c:v>722.6</c:v>
                </c:pt>
                <c:pt idx="91">
                  <c:v>726.7</c:v>
                </c:pt>
                <c:pt idx="92">
                  <c:v>730.9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F9B-424B-814E-B4CD30D8B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1948943"/>
        <c:axId val="161193406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'HPS Comparing'!$J$7</c15:sqref>
                        </c15:formulaRef>
                      </c:ext>
                    </c:extLst>
                    <c:strCache>
                      <c:ptCount val="1"/>
                      <c:pt idx="0">
                        <c:v>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'HPS Comparing'!$J$10:$J$89</c15:sqref>
                        </c15:formulaRef>
                      </c:ext>
                    </c:extLst>
                    <c:numCache>
                      <c:formatCode>General</c:formatCode>
                      <c:ptCount val="80"/>
                      <c:pt idx="0">
                        <c:v>142.1</c:v>
                      </c:pt>
                      <c:pt idx="1">
                        <c:v>173.4</c:v>
                      </c:pt>
                      <c:pt idx="2">
                        <c:v>215</c:v>
                      </c:pt>
                      <c:pt idx="3">
                        <c:v>248.3</c:v>
                      </c:pt>
                      <c:pt idx="4">
                        <c:v>270.7</c:v>
                      </c:pt>
                      <c:pt idx="5">
                        <c:v>291.2</c:v>
                      </c:pt>
                      <c:pt idx="6">
                        <c:v>308.60000000000002</c:v>
                      </c:pt>
                      <c:pt idx="7">
                        <c:v>324.2</c:v>
                      </c:pt>
                      <c:pt idx="8">
                        <c:v>338.5</c:v>
                      </c:pt>
                      <c:pt idx="9">
                        <c:v>351.6</c:v>
                      </c:pt>
                      <c:pt idx="10">
                        <c:v>363.5</c:v>
                      </c:pt>
                      <c:pt idx="11">
                        <c:v>374.4</c:v>
                      </c:pt>
                      <c:pt idx="12">
                        <c:v>384.5</c:v>
                      </c:pt>
                      <c:pt idx="13">
                        <c:v>394.2</c:v>
                      </c:pt>
                      <c:pt idx="14">
                        <c:v>404</c:v>
                      </c:pt>
                      <c:pt idx="15">
                        <c:v>413.2</c:v>
                      </c:pt>
                      <c:pt idx="16">
                        <c:v>421.9</c:v>
                      </c:pt>
                      <c:pt idx="17">
                        <c:v>430.1</c:v>
                      </c:pt>
                      <c:pt idx="18">
                        <c:v>438.5</c:v>
                      </c:pt>
                      <c:pt idx="19">
                        <c:v>446.5</c:v>
                      </c:pt>
                      <c:pt idx="20">
                        <c:v>454.4</c:v>
                      </c:pt>
                      <c:pt idx="21">
                        <c:v>462</c:v>
                      </c:pt>
                      <c:pt idx="22">
                        <c:v>469.5</c:v>
                      </c:pt>
                      <c:pt idx="23">
                        <c:v>476.7</c:v>
                      </c:pt>
                      <c:pt idx="24">
                        <c:v>483.7</c:v>
                      </c:pt>
                      <c:pt idx="25">
                        <c:v>490.4</c:v>
                      </c:pt>
                      <c:pt idx="26">
                        <c:v>496.8</c:v>
                      </c:pt>
                      <c:pt idx="27">
                        <c:v>502.6</c:v>
                      </c:pt>
                      <c:pt idx="28">
                        <c:v>508.1</c:v>
                      </c:pt>
                      <c:pt idx="29">
                        <c:v>513.70000000000005</c:v>
                      </c:pt>
                      <c:pt idx="30">
                        <c:v>519.1</c:v>
                      </c:pt>
                      <c:pt idx="31">
                        <c:v>524.20000000000005</c:v>
                      </c:pt>
                      <c:pt idx="32">
                        <c:v>528.79999999999995</c:v>
                      </c:pt>
                      <c:pt idx="33">
                        <c:v>533.20000000000005</c:v>
                      </c:pt>
                      <c:pt idx="34">
                        <c:v>537.4</c:v>
                      </c:pt>
                      <c:pt idx="35">
                        <c:v>541.5</c:v>
                      </c:pt>
                      <c:pt idx="36">
                        <c:v>545.29999999999995</c:v>
                      </c:pt>
                      <c:pt idx="37">
                        <c:v>549.4</c:v>
                      </c:pt>
                      <c:pt idx="38">
                        <c:v>553.20000000000005</c:v>
                      </c:pt>
                      <c:pt idx="39">
                        <c:v>556.9</c:v>
                      </c:pt>
                      <c:pt idx="40">
                        <c:v>560.4</c:v>
                      </c:pt>
                      <c:pt idx="41">
                        <c:v>563.79999999999995</c:v>
                      </c:pt>
                      <c:pt idx="42">
                        <c:v>567</c:v>
                      </c:pt>
                      <c:pt idx="43">
                        <c:v>570</c:v>
                      </c:pt>
                      <c:pt idx="44">
                        <c:v>573</c:v>
                      </c:pt>
                      <c:pt idx="45">
                        <c:v>576.1</c:v>
                      </c:pt>
                      <c:pt idx="46">
                        <c:v>579.20000000000005</c:v>
                      </c:pt>
                      <c:pt idx="47">
                        <c:v>582.4</c:v>
                      </c:pt>
                      <c:pt idx="48">
                        <c:v>585.5</c:v>
                      </c:pt>
                      <c:pt idx="49">
                        <c:v>588.5</c:v>
                      </c:pt>
                      <c:pt idx="50">
                        <c:v>591.6</c:v>
                      </c:pt>
                      <c:pt idx="51">
                        <c:v>594.70000000000005</c:v>
                      </c:pt>
                      <c:pt idx="52">
                        <c:v>597.79999999999995</c:v>
                      </c:pt>
                      <c:pt idx="53">
                        <c:v>601</c:v>
                      </c:pt>
                      <c:pt idx="54">
                        <c:v>604.29999999999995</c:v>
                      </c:pt>
                      <c:pt idx="55">
                        <c:v>607.6</c:v>
                      </c:pt>
                      <c:pt idx="56">
                        <c:v>610.9</c:v>
                      </c:pt>
                      <c:pt idx="57">
                        <c:v>614.29999999999995</c:v>
                      </c:pt>
                      <c:pt idx="58">
                        <c:v>617.79999999999995</c:v>
                      </c:pt>
                      <c:pt idx="59">
                        <c:v>621.4</c:v>
                      </c:pt>
                      <c:pt idx="60">
                        <c:v>625</c:v>
                      </c:pt>
                      <c:pt idx="61">
                        <c:v>628.6</c:v>
                      </c:pt>
                      <c:pt idx="62">
                        <c:v>632</c:v>
                      </c:pt>
                      <c:pt idx="63">
                        <c:v>635.5</c:v>
                      </c:pt>
                      <c:pt idx="64">
                        <c:v>639.29999999999995</c:v>
                      </c:pt>
                      <c:pt idx="65">
                        <c:v>643.29999999999995</c:v>
                      </c:pt>
                      <c:pt idx="66">
                        <c:v>647.4</c:v>
                      </c:pt>
                      <c:pt idx="67">
                        <c:v>651.4</c:v>
                      </c:pt>
                      <c:pt idx="68">
                        <c:v>655.20000000000005</c:v>
                      </c:pt>
                      <c:pt idx="69">
                        <c:v>659.4</c:v>
                      </c:pt>
                      <c:pt idx="70">
                        <c:v>664.4</c:v>
                      </c:pt>
                      <c:pt idx="71">
                        <c:v>669.7</c:v>
                      </c:pt>
                      <c:pt idx="72">
                        <c:v>674.4</c:v>
                      </c:pt>
                      <c:pt idx="73">
                        <c:v>680</c:v>
                      </c:pt>
                      <c:pt idx="74">
                        <c:v>685.4</c:v>
                      </c:pt>
                      <c:pt idx="75">
                        <c:v>691</c:v>
                      </c:pt>
                      <c:pt idx="76">
                        <c:v>696</c:v>
                      </c:pt>
                      <c:pt idx="77">
                        <c:v>702.3</c:v>
                      </c:pt>
                      <c:pt idx="78">
                        <c:v>708.5</c:v>
                      </c:pt>
                      <c:pt idx="79">
                        <c:v>716.3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BA5C-4395-9C78-B97C184E9CD7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Comparing'!$K$7</c15:sqref>
                        </c15:formulaRef>
                      </c:ext>
                    </c:extLst>
                    <c:strCache>
                      <c:ptCount val="1"/>
                      <c:pt idx="0">
                        <c:v>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Comparing'!$K$10:$K$90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140.19999999999999</c:v>
                      </c:pt>
                      <c:pt idx="1">
                        <c:v>187.3</c:v>
                      </c:pt>
                      <c:pt idx="2">
                        <c:v>232</c:v>
                      </c:pt>
                      <c:pt idx="3">
                        <c:v>261.39999999999998</c:v>
                      </c:pt>
                      <c:pt idx="4">
                        <c:v>285.2</c:v>
                      </c:pt>
                      <c:pt idx="5">
                        <c:v>305.60000000000002</c:v>
                      </c:pt>
                      <c:pt idx="6">
                        <c:v>323.2</c:v>
                      </c:pt>
                      <c:pt idx="7">
                        <c:v>338.6</c:v>
                      </c:pt>
                      <c:pt idx="8">
                        <c:v>351.3</c:v>
                      </c:pt>
                      <c:pt idx="9">
                        <c:v>362.4</c:v>
                      </c:pt>
                      <c:pt idx="10">
                        <c:v>374.1</c:v>
                      </c:pt>
                      <c:pt idx="11">
                        <c:v>387.1</c:v>
                      </c:pt>
                      <c:pt idx="12">
                        <c:v>397.2</c:v>
                      </c:pt>
                      <c:pt idx="13">
                        <c:v>406</c:v>
                      </c:pt>
                      <c:pt idx="14">
                        <c:v>414.7</c:v>
                      </c:pt>
                      <c:pt idx="15">
                        <c:v>424.4</c:v>
                      </c:pt>
                      <c:pt idx="16">
                        <c:v>433.3</c:v>
                      </c:pt>
                      <c:pt idx="17">
                        <c:v>441.2</c:v>
                      </c:pt>
                      <c:pt idx="18">
                        <c:v>448.8</c:v>
                      </c:pt>
                      <c:pt idx="19">
                        <c:v>457.3</c:v>
                      </c:pt>
                      <c:pt idx="20">
                        <c:v>465.4</c:v>
                      </c:pt>
                      <c:pt idx="21">
                        <c:v>472.5</c:v>
                      </c:pt>
                      <c:pt idx="22">
                        <c:v>479.5</c:v>
                      </c:pt>
                      <c:pt idx="23">
                        <c:v>486.9</c:v>
                      </c:pt>
                      <c:pt idx="24">
                        <c:v>494.3</c:v>
                      </c:pt>
                      <c:pt idx="25">
                        <c:v>500.6</c:v>
                      </c:pt>
                      <c:pt idx="26">
                        <c:v>506.4</c:v>
                      </c:pt>
                      <c:pt idx="27">
                        <c:v>512.4</c:v>
                      </c:pt>
                      <c:pt idx="28">
                        <c:v>518.70000000000005</c:v>
                      </c:pt>
                      <c:pt idx="29">
                        <c:v>524.4</c:v>
                      </c:pt>
                      <c:pt idx="30">
                        <c:v>529.6</c:v>
                      </c:pt>
                      <c:pt idx="31">
                        <c:v>534.6</c:v>
                      </c:pt>
                      <c:pt idx="32">
                        <c:v>539.29999999999995</c:v>
                      </c:pt>
                      <c:pt idx="33">
                        <c:v>543.9</c:v>
                      </c:pt>
                      <c:pt idx="34">
                        <c:v>548.6</c:v>
                      </c:pt>
                      <c:pt idx="35">
                        <c:v>553.1</c:v>
                      </c:pt>
                      <c:pt idx="36">
                        <c:v>557.29999999999995</c:v>
                      </c:pt>
                      <c:pt idx="37">
                        <c:v>561.1</c:v>
                      </c:pt>
                      <c:pt idx="38">
                        <c:v>564.79999999999995</c:v>
                      </c:pt>
                      <c:pt idx="39">
                        <c:v>568.20000000000005</c:v>
                      </c:pt>
                      <c:pt idx="40">
                        <c:v>571.4</c:v>
                      </c:pt>
                      <c:pt idx="41">
                        <c:v>574.6</c:v>
                      </c:pt>
                      <c:pt idx="42">
                        <c:v>577.79999999999995</c:v>
                      </c:pt>
                      <c:pt idx="43">
                        <c:v>580.9</c:v>
                      </c:pt>
                      <c:pt idx="44">
                        <c:v>584.1</c:v>
                      </c:pt>
                      <c:pt idx="45">
                        <c:v>587</c:v>
                      </c:pt>
                      <c:pt idx="46">
                        <c:v>590</c:v>
                      </c:pt>
                      <c:pt idx="47">
                        <c:v>592.9</c:v>
                      </c:pt>
                      <c:pt idx="48">
                        <c:v>595.70000000000005</c:v>
                      </c:pt>
                      <c:pt idx="49">
                        <c:v>598.6</c:v>
                      </c:pt>
                      <c:pt idx="50">
                        <c:v>601.5</c:v>
                      </c:pt>
                      <c:pt idx="51">
                        <c:v>604.4</c:v>
                      </c:pt>
                      <c:pt idx="52">
                        <c:v>607.4</c:v>
                      </c:pt>
                      <c:pt idx="53">
                        <c:v>610.29999999999995</c:v>
                      </c:pt>
                      <c:pt idx="54">
                        <c:v>613.29999999999995</c:v>
                      </c:pt>
                      <c:pt idx="55">
                        <c:v>616.29999999999995</c:v>
                      </c:pt>
                      <c:pt idx="56">
                        <c:v>619.4</c:v>
                      </c:pt>
                      <c:pt idx="57">
                        <c:v>622.6</c:v>
                      </c:pt>
                      <c:pt idx="58">
                        <c:v>625.70000000000005</c:v>
                      </c:pt>
                      <c:pt idx="59">
                        <c:v>628.9</c:v>
                      </c:pt>
                      <c:pt idx="60">
                        <c:v>631.9</c:v>
                      </c:pt>
                      <c:pt idx="61">
                        <c:v>635.1</c:v>
                      </c:pt>
                      <c:pt idx="62">
                        <c:v>638.4</c:v>
                      </c:pt>
                      <c:pt idx="63">
                        <c:v>641.79999999999995</c:v>
                      </c:pt>
                      <c:pt idx="64">
                        <c:v>645.4</c:v>
                      </c:pt>
                      <c:pt idx="65">
                        <c:v>648.9</c:v>
                      </c:pt>
                      <c:pt idx="66">
                        <c:v>652.4</c:v>
                      </c:pt>
                      <c:pt idx="67">
                        <c:v>655.8</c:v>
                      </c:pt>
                      <c:pt idx="68">
                        <c:v>659.7</c:v>
                      </c:pt>
                      <c:pt idx="69">
                        <c:v>664.3</c:v>
                      </c:pt>
                      <c:pt idx="70">
                        <c:v>669.1</c:v>
                      </c:pt>
                      <c:pt idx="71">
                        <c:v>673.5</c:v>
                      </c:pt>
                      <c:pt idx="72">
                        <c:v>678.6</c:v>
                      </c:pt>
                      <c:pt idx="73">
                        <c:v>683.9</c:v>
                      </c:pt>
                      <c:pt idx="74">
                        <c:v>689.1</c:v>
                      </c:pt>
                      <c:pt idx="75">
                        <c:v>693.9</c:v>
                      </c:pt>
                      <c:pt idx="76">
                        <c:v>699.8</c:v>
                      </c:pt>
                      <c:pt idx="77">
                        <c:v>705.2</c:v>
                      </c:pt>
                      <c:pt idx="78">
                        <c:v>712.1</c:v>
                      </c:pt>
                      <c:pt idx="79">
                        <c:v>720.3</c:v>
                      </c:pt>
                      <c:pt idx="80">
                        <c:v>733.8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A5C-4395-9C78-B97C184E9CD7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Comparing'!$L$7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Comparing'!$L$10:$L$102</c15:sqref>
                        </c15:formulaRef>
                      </c:ext>
                    </c:extLst>
                    <c:numCache>
                      <c:formatCode>General</c:formatCode>
                      <c:ptCount val="93"/>
                      <c:pt idx="0">
                        <c:v>152.5</c:v>
                      </c:pt>
                      <c:pt idx="1">
                        <c:v>185.3</c:v>
                      </c:pt>
                      <c:pt idx="2">
                        <c:v>226.6</c:v>
                      </c:pt>
                      <c:pt idx="3">
                        <c:v>255</c:v>
                      </c:pt>
                      <c:pt idx="4">
                        <c:v>279.10000000000002</c:v>
                      </c:pt>
                      <c:pt idx="5">
                        <c:v>299.2</c:v>
                      </c:pt>
                      <c:pt idx="6">
                        <c:v>317.3</c:v>
                      </c:pt>
                      <c:pt idx="7">
                        <c:v>332.5</c:v>
                      </c:pt>
                      <c:pt idx="8">
                        <c:v>345.5</c:v>
                      </c:pt>
                      <c:pt idx="9">
                        <c:v>356.3</c:v>
                      </c:pt>
                      <c:pt idx="10">
                        <c:v>366.7</c:v>
                      </c:pt>
                      <c:pt idx="11">
                        <c:v>378.3</c:v>
                      </c:pt>
                      <c:pt idx="12">
                        <c:v>390.2</c:v>
                      </c:pt>
                      <c:pt idx="13">
                        <c:v>398.9</c:v>
                      </c:pt>
                      <c:pt idx="14">
                        <c:v>407.3</c:v>
                      </c:pt>
                      <c:pt idx="15">
                        <c:v>415.7</c:v>
                      </c:pt>
                      <c:pt idx="16">
                        <c:v>424.9</c:v>
                      </c:pt>
                      <c:pt idx="17">
                        <c:v>433.3</c:v>
                      </c:pt>
                      <c:pt idx="18">
                        <c:v>440.7</c:v>
                      </c:pt>
                      <c:pt idx="19">
                        <c:v>448</c:v>
                      </c:pt>
                      <c:pt idx="20">
                        <c:v>455.9</c:v>
                      </c:pt>
                      <c:pt idx="21">
                        <c:v>463.6</c:v>
                      </c:pt>
                      <c:pt idx="22">
                        <c:v>470.6</c:v>
                      </c:pt>
                      <c:pt idx="23">
                        <c:v>477.3</c:v>
                      </c:pt>
                      <c:pt idx="24">
                        <c:v>484.2</c:v>
                      </c:pt>
                      <c:pt idx="25">
                        <c:v>491.3</c:v>
                      </c:pt>
                      <c:pt idx="26">
                        <c:v>497.8</c:v>
                      </c:pt>
                      <c:pt idx="27">
                        <c:v>503.3</c:v>
                      </c:pt>
                      <c:pt idx="28">
                        <c:v>508.7</c:v>
                      </c:pt>
                      <c:pt idx="29">
                        <c:v>514.70000000000005</c:v>
                      </c:pt>
                      <c:pt idx="30">
                        <c:v>520.6</c:v>
                      </c:pt>
                      <c:pt idx="31">
                        <c:v>525.70000000000005</c:v>
                      </c:pt>
                      <c:pt idx="32">
                        <c:v>530.5</c:v>
                      </c:pt>
                      <c:pt idx="33">
                        <c:v>535.20000000000005</c:v>
                      </c:pt>
                      <c:pt idx="34">
                        <c:v>539.6</c:v>
                      </c:pt>
                      <c:pt idx="35">
                        <c:v>543.9</c:v>
                      </c:pt>
                      <c:pt idx="36">
                        <c:v>548.20000000000005</c:v>
                      </c:pt>
                      <c:pt idx="37">
                        <c:v>552.4</c:v>
                      </c:pt>
                      <c:pt idx="38">
                        <c:v>556.4</c:v>
                      </c:pt>
                      <c:pt idx="39">
                        <c:v>560</c:v>
                      </c:pt>
                      <c:pt idx="40">
                        <c:v>563.5</c:v>
                      </c:pt>
                      <c:pt idx="41">
                        <c:v>566.79999999999995</c:v>
                      </c:pt>
                      <c:pt idx="42">
                        <c:v>569.9</c:v>
                      </c:pt>
                      <c:pt idx="43">
                        <c:v>572.9</c:v>
                      </c:pt>
                      <c:pt idx="44">
                        <c:v>575.79999999999995</c:v>
                      </c:pt>
                      <c:pt idx="45">
                        <c:v>578.79999999999995</c:v>
                      </c:pt>
                      <c:pt idx="46">
                        <c:v>581.70000000000005</c:v>
                      </c:pt>
                      <c:pt idx="47">
                        <c:v>584.6</c:v>
                      </c:pt>
                      <c:pt idx="48">
                        <c:v>587.4</c:v>
                      </c:pt>
                      <c:pt idx="49">
                        <c:v>590.1</c:v>
                      </c:pt>
                      <c:pt idx="50">
                        <c:v>592.79999999999995</c:v>
                      </c:pt>
                      <c:pt idx="51">
                        <c:v>595.5</c:v>
                      </c:pt>
                      <c:pt idx="52">
                        <c:v>598.1</c:v>
                      </c:pt>
                      <c:pt idx="53">
                        <c:v>600.79999999999995</c:v>
                      </c:pt>
                      <c:pt idx="54">
                        <c:v>603.6</c:v>
                      </c:pt>
                      <c:pt idx="55">
                        <c:v>606.29999999999995</c:v>
                      </c:pt>
                      <c:pt idx="56">
                        <c:v>609</c:v>
                      </c:pt>
                      <c:pt idx="57">
                        <c:v>611.70000000000005</c:v>
                      </c:pt>
                      <c:pt idx="58">
                        <c:v>614.5</c:v>
                      </c:pt>
                      <c:pt idx="59">
                        <c:v>617.29999999999995</c:v>
                      </c:pt>
                      <c:pt idx="60">
                        <c:v>620.1</c:v>
                      </c:pt>
                      <c:pt idx="61">
                        <c:v>623</c:v>
                      </c:pt>
                      <c:pt idx="62">
                        <c:v>625.79999999999995</c:v>
                      </c:pt>
                      <c:pt idx="63">
                        <c:v>628.6</c:v>
                      </c:pt>
                      <c:pt idx="64">
                        <c:v>631.4</c:v>
                      </c:pt>
                      <c:pt idx="65">
                        <c:v>634.20000000000005</c:v>
                      </c:pt>
                      <c:pt idx="66">
                        <c:v>637.1</c:v>
                      </c:pt>
                      <c:pt idx="67">
                        <c:v>640</c:v>
                      </c:pt>
                      <c:pt idx="68">
                        <c:v>643.1</c:v>
                      </c:pt>
                      <c:pt idx="69">
                        <c:v>646.20000000000005</c:v>
                      </c:pt>
                      <c:pt idx="70">
                        <c:v>649.20000000000005</c:v>
                      </c:pt>
                      <c:pt idx="71">
                        <c:v>652.20000000000005</c:v>
                      </c:pt>
                      <c:pt idx="72">
                        <c:v>655.1</c:v>
                      </c:pt>
                      <c:pt idx="73">
                        <c:v>658.1</c:v>
                      </c:pt>
                      <c:pt idx="74">
                        <c:v>661.9</c:v>
                      </c:pt>
                      <c:pt idx="75">
                        <c:v>665.7</c:v>
                      </c:pt>
                      <c:pt idx="76">
                        <c:v>669.7</c:v>
                      </c:pt>
                      <c:pt idx="77">
                        <c:v>673.1</c:v>
                      </c:pt>
                      <c:pt idx="78">
                        <c:v>676.9</c:v>
                      </c:pt>
                      <c:pt idx="79">
                        <c:v>681.3</c:v>
                      </c:pt>
                      <c:pt idx="80">
                        <c:v>685</c:v>
                      </c:pt>
                      <c:pt idx="81">
                        <c:v>688.9</c:v>
                      </c:pt>
                      <c:pt idx="82">
                        <c:v>692.4</c:v>
                      </c:pt>
                      <c:pt idx="83">
                        <c:v>695.7</c:v>
                      </c:pt>
                      <c:pt idx="84">
                        <c:v>700</c:v>
                      </c:pt>
                      <c:pt idx="85">
                        <c:v>703.3</c:v>
                      </c:pt>
                      <c:pt idx="86">
                        <c:v>706.7</c:v>
                      </c:pt>
                      <c:pt idx="87">
                        <c:v>710.8</c:v>
                      </c:pt>
                      <c:pt idx="88">
                        <c:v>714.7</c:v>
                      </c:pt>
                      <c:pt idx="89">
                        <c:v>718.6</c:v>
                      </c:pt>
                      <c:pt idx="90">
                        <c:v>722.6</c:v>
                      </c:pt>
                      <c:pt idx="91">
                        <c:v>726.7</c:v>
                      </c:pt>
                      <c:pt idx="92">
                        <c:v>730.9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A5C-4395-9C78-B97C184E9CD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Comparing'!$M$7</c15:sqref>
                        </c15:formulaRef>
                      </c:ext>
                    </c:extLst>
                    <c:strCache>
                      <c:ptCount val="1"/>
                      <c:pt idx="0">
                        <c:v>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Comparing'!$M$10:$M$97</c15:sqref>
                        </c15:formulaRef>
                      </c:ext>
                    </c:extLst>
                    <c:numCache>
                      <c:formatCode>General</c:formatCode>
                      <c:ptCount val="88"/>
                      <c:pt idx="0">
                        <c:v>133.6</c:v>
                      </c:pt>
                      <c:pt idx="1">
                        <c:v>179.1</c:v>
                      </c:pt>
                      <c:pt idx="2">
                        <c:v>224.9</c:v>
                      </c:pt>
                      <c:pt idx="3">
                        <c:v>255.3</c:v>
                      </c:pt>
                      <c:pt idx="4">
                        <c:v>279.7</c:v>
                      </c:pt>
                      <c:pt idx="5">
                        <c:v>300.89999999999998</c:v>
                      </c:pt>
                      <c:pt idx="6">
                        <c:v>317.7</c:v>
                      </c:pt>
                      <c:pt idx="7">
                        <c:v>332.7</c:v>
                      </c:pt>
                      <c:pt idx="8">
                        <c:v>345.9</c:v>
                      </c:pt>
                      <c:pt idx="9">
                        <c:v>357.3</c:v>
                      </c:pt>
                      <c:pt idx="10">
                        <c:v>367.8</c:v>
                      </c:pt>
                      <c:pt idx="11">
                        <c:v>379.7</c:v>
                      </c:pt>
                      <c:pt idx="12">
                        <c:v>391.3</c:v>
                      </c:pt>
                      <c:pt idx="13">
                        <c:v>400</c:v>
                      </c:pt>
                      <c:pt idx="14">
                        <c:v>408.3</c:v>
                      </c:pt>
                      <c:pt idx="15">
                        <c:v>417</c:v>
                      </c:pt>
                      <c:pt idx="16">
                        <c:v>426.3</c:v>
                      </c:pt>
                      <c:pt idx="17">
                        <c:v>434.6</c:v>
                      </c:pt>
                      <c:pt idx="18">
                        <c:v>442.1</c:v>
                      </c:pt>
                      <c:pt idx="19">
                        <c:v>449.4</c:v>
                      </c:pt>
                      <c:pt idx="20">
                        <c:v>457.4</c:v>
                      </c:pt>
                      <c:pt idx="21">
                        <c:v>465.2</c:v>
                      </c:pt>
                      <c:pt idx="22">
                        <c:v>472.3</c:v>
                      </c:pt>
                      <c:pt idx="23">
                        <c:v>479</c:v>
                      </c:pt>
                      <c:pt idx="24">
                        <c:v>486.1</c:v>
                      </c:pt>
                      <c:pt idx="25">
                        <c:v>493.1</c:v>
                      </c:pt>
                      <c:pt idx="26">
                        <c:v>499.3</c:v>
                      </c:pt>
                      <c:pt idx="27">
                        <c:v>505</c:v>
                      </c:pt>
                      <c:pt idx="28">
                        <c:v>510.6</c:v>
                      </c:pt>
                      <c:pt idx="29">
                        <c:v>516.6</c:v>
                      </c:pt>
                      <c:pt idx="30">
                        <c:v>522.4</c:v>
                      </c:pt>
                      <c:pt idx="31">
                        <c:v>527.4</c:v>
                      </c:pt>
                      <c:pt idx="32">
                        <c:v>532.20000000000005</c:v>
                      </c:pt>
                      <c:pt idx="33">
                        <c:v>536.70000000000005</c:v>
                      </c:pt>
                      <c:pt idx="34">
                        <c:v>541.20000000000005</c:v>
                      </c:pt>
                      <c:pt idx="35">
                        <c:v>545.5</c:v>
                      </c:pt>
                      <c:pt idx="36">
                        <c:v>549.79999999999995</c:v>
                      </c:pt>
                      <c:pt idx="37">
                        <c:v>554</c:v>
                      </c:pt>
                      <c:pt idx="38">
                        <c:v>557.9</c:v>
                      </c:pt>
                      <c:pt idx="39">
                        <c:v>561.4</c:v>
                      </c:pt>
                      <c:pt idx="40">
                        <c:v>564.9</c:v>
                      </c:pt>
                      <c:pt idx="41">
                        <c:v>568.1</c:v>
                      </c:pt>
                      <c:pt idx="42">
                        <c:v>571.20000000000005</c:v>
                      </c:pt>
                      <c:pt idx="43">
                        <c:v>574.20000000000005</c:v>
                      </c:pt>
                      <c:pt idx="44">
                        <c:v>577.20000000000005</c:v>
                      </c:pt>
                      <c:pt idx="45">
                        <c:v>580.20000000000005</c:v>
                      </c:pt>
                      <c:pt idx="46">
                        <c:v>583.1</c:v>
                      </c:pt>
                      <c:pt idx="47">
                        <c:v>586</c:v>
                      </c:pt>
                      <c:pt idx="48">
                        <c:v>588.79999999999995</c:v>
                      </c:pt>
                      <c:pt idx="49">
                        <c:v>591.6</c:v>
                      </c:pt>
                      <c:pt idx="50">
                        <c:v>594.29999999999995</c:v>
                      </c:pt>
                      <c:pt idx="51">
                        <c:v>597</c:v>
                      </c:pt>
                      <c:pt idx="52">
                        <c:v>599.79999999999995</c:v>
                      </c:pt>
                      <c:pt idx="53">
                        <c:v>602.6</c:v>
                      </c:pt>
                      <c:pt idx="54">
                        <c:v>605.4</c:v>
                      </c:pt>
                      <c:pt idx="55">
                        <c:v>608.20000000000005</c:v>
                      </c:pt>
                      <c:pt idx="56">
                        <c:v>611</c:v>
                      </c:pt>
                      <c:pt idx="57">
                        <c:v>613.9</c:v>
                      </c:pt>
                      <c:pt idx="58">
                        <c:v>616.79999999999995</c:v>
                      </c:pt>
                      <c:pt idx="59">
                        <c:v>619.70000000000005</c:v>
                      </c:pt>
                      <c:pt idx="60">
                        <c:v>622.70000000000005</c:v>
                      </c:pt>
                      <c:pt idx="61">
                        <c:v>625.70000000000005</c:v>
                      </c:pt>
                      <c:pt idx="62">
                        <c:v>628.70000000000005</c:v>
                      </c:pt>
                      <c:pt idx="63">
                        <c:v>631.6</c:v>
                      </c:pt>
                      <c:pt idx="64">
                        <c:v>634.5</c:v>
                      </c:pt>
                      <c:pt idx="65">
                        <c:v>637.6</c:v>
                      </c:pt>
                      <c:pt idx="66">
                        <c:v>640.70000000000005</c:v>
                      </c:pt>
                      <c:pt idx="67">
                        <c:v>644</c:v>
                      </c:pt>
                      <c:pt idx="68">
                        <c:v>647.4</c:v>
                      </c:pt>
                      <c:pt idx="69">
                        <c:v>650.5</c:v>
                      </c:pt>
                      <c:pt idx="70">
                        <c:v>653.70000000000005</c:v>
                      </c:pt>
                      <c:pt idx="71">
                        <c:v>656.8</c:v>
                      </c:pt>
                      <c:pt idx="72">
                        <c:v>660.6</c:v>
                      </c:pt>
                      <c:pt idx="73">
                        <c:v>664.8</c:v>
                      </c:pt>
                      <c:pt idx="74">
                        <c:v>669.2</c:v>
                      </c:pt>
                      <c:pt idx="75">
                        <c:v>673.1</c:v>
                      </c:pt>
                      <c:pt idx="76">
                        <c:v>677.4</c:v>
                      </c:pt>
                      <c:pt idx="77">
                        <c:v>682.2</c:v>
                      </c:pt>
                      <c:pt idx="78">
                        <c:v>686.5</c:v>
                      </c:pt>
                      <c:pt idx="79">
                        <c:v>691.2</c:v>
                      </c:pt>
                      <c:pt idx="80">
                        <c:v>694.8</c:v>
                      </c:pt>
                      <c:pt idx="81">
                        <c:v>699.9</c:v>
                      </c:pt>
                      <c:pt idx="82">
                        <c:v>704</c:v>
                      </c:pt>
                      <c:pt idx="83">
                        <c:v>708.8</c:v>
                      </c:pt>
                      <c:pt idx="84">
                        <c:v>714.2</c:v>
                      </c:pt>
                      <c:pt idx="85">
                        <c:v>719.8</c:v>
                      </c:pt>
                      <c:pt idx="86">
                        <c:v>726.2</c:v>
                      </c:pt>
                      <c:pt idx="87">
                        <c:v>733.5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A5C-4395-9C78-B97C184E9CD7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Comparing'!$N$7</c15:sqref>
                        </c15:formulaRef>
                      </c:ext>
                    </c:extLst>
                    <c:strCache>
                      <c:ptCount val="1"/>
                      <c:pt idx="0">
                        <c:v>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Comparing'!$N$10:$N$107</c15:sqref>
                        </c15:formulaRef>
                      </c:ext>
                    </c:extLst>
                    <c:numCache>
                      <c:formatCode>General</c:formatCode>
                      <c:ptCount val="98"/>
                      <c:pt idx="0">
                        <c:v>95.5</c:v>
                      </c:pt>
                      <c:pt idx="1">
                        <c:v>125.7</c:v>
                      </c:pt>
                      <c:pt idx="2">
                        <c:v>155.6</c:v>
                      </c:pt>
                      <c:pt idx="3">
                        <c:v>174.7</c:v>
                      </c:pt>
                      <c:pt idx="4">
                        <c:v>190.5</c:v>
                      </c:pt>
                      <c:pt idx="5">
                        <c:v>203.2</c:v>
                      </c:pt>
                      <c:pt idx="6">
                        <c:v>216</c:v>
                      </c:pt>
                      <c:pt idx="7">
                        <c:v>226</c:v>
                      </c:pt>
                      <c:pt idx="8">
                        <c:v>235.1</c:v>
                      </c:pt>
                      <c:pt idx="9">
                        <c:v>245.2</c:v>
                      </c:pt>
                      <c:pt idx="10">
                        <c:v>253.3</c:v>
                      </c:pt>
                      <c:pt idx="11">
                        <c:v>262.5</c:v>
                      </c:pt>
                      <c:pt idx="12">
                        <c:v>270.2</c:v>
                      </c:pt>
                      <c:pt idx="13">
                        <c:v>278.8</c:v>
                      </c:pt>
                      <c:pt idx="14">
                        <c:v>286.39999999999998</c:v>
                      </c:pt>
                      <c:pt idx="15">
                        <c:v>294.10000000000002</c:v>
                      </c:pt>
                      <c:pt idx="16">
                        <c:v>301</c:v>
                      </c:pt>
                      <c:pt idx="17">
                        <c:v>308</c:v>
                      </c:pt>
                      <c:pt idx="18">
                        <c:v>314.89999999999998</c:v>
                      </c:pt>
                      <c:pt idx="19">
                        <c:v>321.3</c:v>
                      </c:pt>
                      <c:pt idx="20">
                        <c:v>328.2</c:v>
                      </c:pt>
                      <c:pt idx="21">
                        <c:v>334.2</c:v>
                      </c:pt>
                      <c:pt idx="22">
                        <c:v>340.8</c:v>
                      </c:pt>
                      <c:pt idx="23">
                        <c:v>346.4</c:v>
                      </c:pt>
                      <c:pt idx="24">
                        <c:v>352.3</c:v>
                      </c:pt>
                      <c:pt idx="25">
                        <c:v>357.5</c:v>
                      </c:pt>
                      <c:pt idx="26">
                        <c:v>363.2</c:v>
                      </c:pt>
                      <c:pt idx="27">
                        <c:v>368.5</c:v>
                      </c:pt>
                      <c:pt idx="28">
                        <c:v>375.1</c:v>
                      </c:pt>
                      <c:pt idx="29">
                        <c:v>381.5</c:v>
                      </c:pt>
                      <c:pt idx="30">
                        <c:v>388.2</c:v>
                      </c:pt>
                      <c:pt idx="31">
                        <c:v>393.9</c:v>
                      </c:pt>
                      <c:pt idx="32">
                        <c:v>399.4</c:v>
                      </c:pt>
                      <c:pt idx="33">
                        <c:v>404.7</c:v>
                      </c:pt>
                      <c:pt idx="34">
                        <c:v>410</c:v>
                      </c:pt>
                      <c:pt idx="35">
                        <c:v>415.6</c:v>
                      </c:pt>
                      <c:pt idx="36">
                        <c:v>421</c:v>
                      </c:pt>
                      <c:pt idx="37">
                        <c:v>427</c:v>
                      </c:pt>
                      <c:pt idx="38">
                        <c:v>432.5</c:v>
                      </c:pt>
                      <c:pt idx="39">
                        <c:v>438.1</c:v>
                      </c:pt>
                      <c:pt idx="40">
                        <c:v>443.3</c:v>
                      </c:pt>
                      <c:pt idx="41">
                        <c:v>448.5</c:v>
                      </c:pt>
                      <c:pt idx="42">
                        <c:v>454.3</c:v>
                      </c:pt>
                      <c:pt idx="43">
                        <c:v>459.9</c:v>
                      </c:pt>
                      <c:pt idx="44">
                        <c:v>465.4</c:v>
                      </c:pt>
                      <c:pt idx="45">
                        <c:v>471</c:v>
                      </c:pt>
                      <c:pt idx="46">
                        <c:v>476.4</c:v>
                      </c:pt>
                      <c:pt idx="47">
                        <c:v>481.9</c:v>
                      </c:pt>
                      <c:pt idx="48">
                        <c:v>487.5</c:v>
                      </c:pt>
                      <c:pt idx="49">
                        <c:v>493.2</c:v>
                      </c:pt>
                      <c:pt idx="50">
                        <c:v>498.4</c:v>
                      </c:pt>
                      <c:pt idx="51">
                        <c:v>503.4</c:v>
                      </c:pt>
                      <c:pt idx="52">
                        <c:v>508.3</c:v>
                      </c:pt>
                      <c:pt idx="53">
                        <c:v>513.70000000000005</c:v>
                      </c:pt>
                      <c:pt idx="54">
                        <c:v>519.1</c:v>
                      </c:pt>
                      <c:pt idx="55">
                        <c:v>524.20000000000005</c:v>
                      </c:pt>
                      <c:pt idx="56">
                        <c:v>529.1</c:v>
                      </c:pt>
                      <c:pt idx="57">
                        <c:v>533.9</c:v>
                      </c:pt>
                      <c:pt idx="58">
                        <c:v>538.70000000000005</c:v>
                      </c:pt>
                      <c:pt idx="59">
                        <c:v>543.29999999999995</c:v>
                      </c:pt>
                      <c:pt idx="60">
                        <c:v>548.1</c:v>
                      </c:pt>
                      <c:pt idx="61">
                        <c:v>552.79999999999995</c:v>
                      </c:pt>
                      <c:pt idx="62">
                        <c:v>557.4</c:v>
                      </c:pt>
                      <c:pt idx="63">
                        <c:v>561.79999999999995</c:v>
                      </c:pt>
                      <c:pt idx="64">
                        <c:v>566.1</c:v>
                      </c:pt>
                      <c:pt idx="65">
                        <c:v>570.20000000000005</c:v>
                      </c:pt>
                      <c:pt idx="66">
                        <c:v>574.20000000000005</c:v>
                      </c:pt>
                      <c:pt idx="67">
                        <c:v>578.5</c:v>
                      </c:pt>
                      <c:pt idx="68">
                        <c:v>582.9</c:v>
                      </c:pt>
                      <c:pt idx="69">
                        <c:v>587.20000000000005</c:v>
                      </c:pt>
                      <c:pt idx="70">
                        <c:v>591.6</c:v>
                      </c:pt>
                      <c:pt idx="71">
                        <c:v>596</c:v>
                      </c:pt>
                      <c:pt idx="72">
                        <c:v>600.5</c:v>
                      </c:pt>
                      <c:pt idx="73">
                        <c:v>605.29999999999995</c:v>
                      </c:pt>
                      <c:pt idx="74">
                        <c:v>610.29999999999995</c:v>
                      </c:pt>
                      <c:pt idx="75">
                        <c:v>615.29999999999995</c:v>
                      </c:pt>
                      <c:pt idx="76">
                        <c:v>620.9</c:v>
                      </c:pt>
                      <c:pt idx="77">
                        <c:v>626.4</c:v>
                      </c:pt>
                      <c:pt idx="78">
                        <c:v>632.1</c:v>
                      </c:pt>
                      <c:pt idx="79">
                        <c:v>638</c:v>
                      </c:pt>
                      <c:pt idx="80">
                        <c:v>644.6</c:v>
                      </c:pt>
                      <c:pt idx="81">
                        <c:v>651.6</c:v>
                      </c:pt>
                      <c:pt idx="82">
                        <c:v>658.6</c:v>
                      </c:pt>
                      <c:pt idx="83">
                        <c:v>667.9</c:v>
                      </c:pt>
                      <c:pt idx="84">
                        <c:v>677.4</c:v>
                      </c:pt>
                      <c:pt idx="85">
                        <c:v>688.1</c:v>
                      </c:pt>
                      <c:pt idx="86">
                        <c:v>698.6</c:v>
                      </c:pt>
                      <c:pt idx="87">
                        <c:v>709.6</c:v>
                      </c:pt>
                      <c:pt idx="88">
                        <c:v>722.6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A5C-4395-9C78-B97C184E9CD7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Comparing'!$O$7</c15:sqref>
                        </c15:formulaRef>
                      </c:ext>
                    </c:extLst>
                    <c:strCache>
                      <c:ptCount val="1"/>
                      <c:pt idx="0">
                        <c:v>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Comparing'!$O$10:$O$102</c15:sqref>
                        </c15:formulaRef>
                      </c:ext>
                    </c:extLst>
                    <c:numCache>
                      <c:formatCode>General</c:formatCode>
                      <c:ptCount val="93"/>
                      <c:pt idx="0">
                        <c:v>110.4</c:v>
                      </c:pt>
                      <c:pt idx="1">
                        <c:v>133.4</c:v>
                      </c:pt>
                      <c:pt idx="2">
                        <c:v>162.30000000000001</c:v>
                      </c:pt>
                      <c:pt idx="3">
                        <c:v>180.8</c:v>
                      </c:pt>
                      <c:pt idx="4">
                        <c:v>196.7</c:v>
                      </c:pt>
                      <c:pt idx="5">
                        <c:v>211.2</c:v>
                      </c:pt>
                      <c:pt idx="6">
                        <c:v>222.6</c:v>
                      </c:pt>
                      <c:pt idx="7">
                        <c:v>234</c:v>
                      </c:pt>
                      <c:pt idx="8">
                        <c:v>244.8</c:v>
                      </c:pt>
                      <c:pt idx="9">
                        <c:v>253.6</c:v>
                      </c:pt>
                      <c:pt idx="10">
                        <c:v>264</c:v>
                      </c:pt>
                      <c:pt idx="11">
                        <c:v>273.10000000000002</c:v>
                      </c:pt>
                      <c:pt idx="12">
                        <c:v>283</c:v>
                      </c:pt>
                      <c:pt idx="13">
                        <c:v>291.5</c:v>
                      </c:pt>
                      <c:pt idx="14">
                        <c:v>299.39999999999998</c:v>
                      </c:pt>
                      <c:pt idx="15">
                        <c:v>306.89999999999998</c:v>
                      </c:pt>
                      <c:pt idx="16">
                        <c:v>314.2</c:v>
                      </c:pt>
                      <c:pt idx="17">
                        <c:v>321.7</c:v>
                      </c:pt>
                      <c:pt idx="18">
                        <c:v>328.5</c:v>
                      </c:pt>
                      <c:pt idx="19">
                        <c:v>336.2</c:v>
                      </c:pt>
                      <c:pt idx="20">
                        <c:v>342.6</c:v>
                      </c:pt>
                      <c:pt idx="21">
                        <c:v>349.8</c:v>
                      </c:pt>
                      <c:pt idx="22">
                        <c:v>355.6</c:v>
                      </c:pt>
                      <c:pt idx="23">
                        <c:v>362.1</c:v>
                      </c:pt>
                      <c:pt idx="24">
                        <c:v>368</c:v>
                      </c:pt>
                      <c:pt idx="25">
                        <c:v>375.3</c:v>
                      </c:pt>
                      <c:pt idx="26">
                        <c:v>382.2</c:v>
                      </c:pt>
                      <c:pt idx="27">
                        <c:v>389</c:v>
                      </c:pt>
                      <c:pt idx="28">
                        <c:v>395.6</c:v>
                      </c:pt>
                      <c:pt idx="29">
                        <c:v>401.3</c:v>
                      </c:pt>
                      <c:pt idx="30">
                        <c:v>407.5</c:v>
                      </c:pt>
                      <c:pt idx="31">
                        <c:v>413.1</c:v>
                      </c:pt>
                      <c:pt idx="32">
                        <c:v>419</c:v>
                      </c:pt>
                      <c:pt idx="33">
                        <c:v>425.4</c:v>
                      </c:pt>
                      <c:pt idx="34">
                        <c:v>431.3</c:v>
                      </c:pt>
                      <c:pt idx="35">
                        <c:v>437.2</c:v>
                      </c:pt>
                      <c:pt idx="36">
                        <c:v>442.9</c:v>
                      </c:pt>
                      <c:pt idx="37">
                        <c:v>448.4</c:v>
                      </c:pt>
                      <c:pt idx="38">
                        <c:v>454.4</c:v>
                      </c:pt>
                      <c:pt idx="39">
                        <c:v>460.3</c:v>
                      </c:pt>
                      <c:pt idx="40">
                        <c:v>466.1</c:v>
                      </c:pt>
                      <c:pt idx="41">
                        <c:v>471.7</c:v>
                      </c:pt>
                      <c:pt idx="42">
                        <c:v>477.5</c:v>
                      </c:pt>
                      <c:pt idx="43">
                        <c:v>483.1</c:v>
                      </c:pt>
                      <c:pt idx="44">
                        <c:v>488.8</c:v>
                      </c:pt>
                      <c:pt idx="45">
                        <c:v>494.6</c:v>
                      </c:pt>
                      <c:pt idx="46">
                        <c:v>499.9</c:v>
                      </c:pt>
                      <c:pt idx="47">
                        <c:v>504.9</c:v>
                      </c:pt>
                      <c:pt idx="48">
                        <c:v>510</c:v>
                      </c:pt>
                      <c:pt idx="49">
                        <c:v>515.4</c:v>
                      </c:pt>
                      <c:pt idx="50">
                        <c:v>520.79999999999995</c:v>
                      </c:pt>
                      <c:pt idx="51">
                        <c:v>525.79999999999995</c:v>
                      </c:pt>
                      <c:pt idx="52">
                        <c:v>530.6</c:v>
                      </c:pt>
                      <c:pt idx="53">
                        <c:v>535.29999999999995</c:v>
                      </c:pt>
                      <c:pt idx="54">
                        <c:v>539.9</c:v>
                      </c:pt>
                      <c:pt idx="55">
                        <c:v>544.4</c:v>
                      </c:pt>
                      <c:pt idx="56">
                        <c:v>549</c:v>
                      </c:pt>
                      <c:pt idx="57">
                        <c:v>553.5</c:v>
                      </c:pt>
                      <c:pt idx="58">
                        <c:v>557.79999999999995</c:v>
                      </c:pt>
                      <c:pt idx="59">
                        <c:v>561.79999999999995</c:v>
                      </c:pt>
                      <c:pt idx="60">
                        <c:v>565.79999999999995</c:v>
                      </c:pt>
                      <c:pt idx="61">
                        <c:v>569.5</c:v>
                      </c:pt>
                      <c:pt idx="62">
                        <c:v>573.20000000000005</c:v>
                      </c:pt>
                      <c:pt idx="63">
                        <c:v>577.1</c:v>
                      </c:pt>
                      <c:pt idx="64">
                        <c:v>581</c:v>
                      </c:pt>
                      <c:pt idx="65">
                        <c:v>584.9</c:v>
                      </c:pt>
                      <c:pt idx="66">
                        <c:v>588.79999999999995</c:v>
                      </c:pt>
                      <c:pt idx="67">
                        <c:v>592.79999999999995</c:v>
                      </c:pt>
                      <c:pt idx="68">
                        <c:v>596.70000000000005</c:v>
                      </c:pt>
                      <c:pt idx="69">
                        <c:v>600.79999999999995</c:v>
                      </c:pt>
                      <c:pt idx="70">
                        <c:v>605.1</c:v>
                      </c:pt>
                      <c:pt idx="71">
                        <c:v>609.5</c:v>
                      </c:pt>
                      <c:pt idx="72">
                        <c:v>614</c:v>
                      </c:pt>
                      <c:pt idx="73">
                        <c:v>618.9</c:v>
                      </c:pt>
                      <c:pt idx="74">
                        <c:v>623.9</c:v>
                      </c:pt>
                      <c:pt idx="75">
                        <c:v>628.9</c:v>
                      </c:pt>
                      <c:pt idx="76">
                        <c:v>634.1</c:v>
                      </c:pt>
                      <c:pt idx="77">
                        <c:v>639.6</c:v>
                      </c:pt>
                      <c:pt idx="78">
                        <c:v>645.70000000000005</c:v>
                      </c:pt>
                      <c:pt idx="79">
                        <c:v>651.9</c:v>
                      </c:pt>
                      <c:pt idx="80">
                        <c:v>658</c:v>
                      </c:pt>
                      <c:pt idx="81">
                        <c:v>666.2</c:v>
                      </c:pt>
                      <c:pt idx="82">
                        <c:v>674.4</c:v>
                      </c:pt>
                      <c:pt idx="83">
                        <c:v>684</c:v>
                      </c:pt>
                      <c:pt idx="84">
                        <c:v>693</c:v>
                      </c:pt>
                      <c:pt idx="85">
                        <c:v>702.7</c:v>
                      </c:pt>
                      <c:pt idx="86">
                        <c:v>713.1</c:v>
                      </c:pt>
                      <c:pt idx="87">
                        <c:v>724.8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A5C-4395-9C78-B97C184E9CD7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Comparing'!$P$7</c15:sqref>
                        </c15:formulaRef>
                      </c:ext>
                    </c:extLst>
                    <c:strCache>
                      <c:ptCount val="1"/>
                      <c:pt idx="0">
                        <c:v>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Comparing'!$P$10:$P$102</c15:sqref>
                        </c15:formulaRef>
                      </c:ext>
                    </c:extLst>
                    <c:numCache>
                      <c:formatCode>General</c:formatCode>
                      <c:ptCount val="93"/>
                      <c:pt idx="0">
                        <c:v>111.6</c:v>
                      </c:pt>
                      <c:pt idx="1">
                        <c:v>136.19999999999999</c:v>
                      </c:pt>
                      <c:pt idx="2">
                        <c:v>162.80000000000001</c:v>
                      </c:pt>
                      <c:pt idx="3">
                        <c:v>181.4</c:v>
                      </c:pt>
                      <c:pt idx="4">
                        <c:v>196.4</c:v>
                      </c:pt>
                      <c:pt idx="5">
                        <c:v>209.9</c:v>
                      </c:pt>
                      <c:pt idx="6">
                        <c:v>220.8</c:v>
                      </c:pt>
                      <c:pt idx="7">
                        <c:v>231.5</c:v>
                      </c:pt>
                      <c:pt idx="8">
                        <c:v>241.8</c:v>
                      </c:pt>
                      <c:pt idx="9">
                        <c:v>250.5</c:v>
                      </c:pt>
                      <c:pt idx="10">
                        <c:v>260.3</c:v>
                      </c:pt>
                      <c:pt idx="11">
                        <c:v>268.3</c:v>
                      </c:pt>
                      <c:pt idx="12">
                        <c:v>278.10000000000002</c:v>
                      </c:pt>
                      <c:pt idx="13">
                        <c:v>286.39999999999998</c:v>
                      </c:pt>
                      <c:pt idx="14">
                        <c:v>294.60000000000002</c:v>
                      </c:pt>
                      <c:pt idx="15">
                        <c:v>301.60000000000002</c:v>
                      </c:pt>
                      <c:pt idx="16">
                        <c:v>309.5</c:v>
                      </c:pt>
                      <c:pt idx="17">
                        <c:v>316</c:v>
                      </c:pt>
                      <c:pt idx="18">
                        <c:v>323.7</c:v>
                      </c:pt>
                      <c:pt idx="19">
                        <c:v>330.2</c:v>
                      </c:pt>
                      <c:pt idx="20">
                        <c:v>337.5</c:v>
                      </c:pt>
                      <c:pt idx="21">
                        <c:v>343.9</c:v>
                      </c:pt>
                      <c:pt idx="22">
                        <c:v>350.3</c:v>
                      </c:pt>
                      <c:pt idx="23">
                        <c:v>355.9</c:v>
                      </c:pt>
                      <c:pt idx="24">
                        <c:v>361.9</c:v>
                      </c:pt>
                      <c:pt idx="25">
                        <c:v>367.7</c:v>
                      </c:pt>
                      <c:pt idx="26">
                        <c:v>374.1</c:v>
                      </c:pt>
                      <c:pt idx="27">
                        <c:v>381.5</c:v>
                      </c:pt>
                      <c:pt idx="28">
                        <c:v>388.1</c:v>
                      </c:pt>
                      <c:pt idx="29">
                        <c:v>394.7</c:v>
                      </c:pt>
                      <c:pt idx="30">
                        <c:v>400.2</c:v>
                      </c:pt>
                      <c:pt idx="31">
                        <c:v>406.1</c:v>
                      </c:pt>
                      <c:pt idx="32">
                        <c:v>411.5</c:v>
                      </c:pt>
                      <c:pt idx="33">
                        <c:v>417.2</c:v>
                      </c:pt>
                      <c:pt idx="34">
                        <c:v>423.4</c:v>
                      </c:pt>
                      <c:pt idx="35">
                        <c:v>429.2</c:v>
                      </c:pt>
                      <c:pt idx="36">
                        <c:v>435</c:v>
                      </c:pt>
                      <c:pt idx="37">
                        <c:v>440.4</c:v>
                      </c:pt>
                      <c:pt idx="38">
                        <c:v>445.8</c:v>
                      </c:pt>
                      <c:pt idx="39">
                        <c:v>451.6</c:v>
                      </c:pt>
                      <c:pt idx="40">
                        <c:v>457.2</c:v>
                      </c:pt>
                      <c:pt idx="41">
                        <c:v>462.8</c:v>
                      </c:pt>
                      <c:pt idx="42">
                        <c:v>468.5</c:v>
                      </c:pt>
                      <c:pt idx="43">
                        <c:v>473.8</c:v>
                      </c:pt>
                      <c:pt idx="44">
                        <c:v>479.2</c:v>
                      </c:pt>
                      <c:pt idx="45">
                        <c:v>484.6</c:v>
                      </c:pt>
                      <c:pt idx="46">
                        <c:v>490.2</c:v>
                      </c:pt>
                      <c:pt idx="47">
                        <c:v>495.6</c:v>
                      </c:pt>
                      <c:pt idx="48">
                        <c:v>500.4</c:v>
                      </c:pt>
                      <c:pt idx="49">
                        <c:v>505.2</c:v>
                      </c:pt>
                      <c:pt idx="50">
                        <c:v>510</c:v>
                      </c:pt>
                      <c:pt idx="51">
                        <c:v>515.1</c:v>
                      </c:pt>
                      <c:pt idx="52">
                        <c:v>520.1</c:v>
                      </c:pt>
                      <c:pt idx="53">
                        <c:v>524.79999999999995</c:v>
                      </c:pt>
                      <c:pt idx="54">
                        <c:v>529.29999999999995</c:v>
                      </c:pt>
                      <c:pt idx="55">
                        <c:v>533.70000000000005</c:v>
                      </c:pt>
                      <c:pt idx="56">
                        <c:v>538</c:v>
                      </c:pt>
                      <c:pt idx="57">
                        <c:v>542.20000000000005</c:v>
                      </c:pt>
                      <c:pt idx="58">
                        <c:v>546.4</c:v>
                      </c:pt>
                      <c:pt idx="59">
                        <c:v>550.5</c:v>
                      </c:pt>
                      <c:pt idx="60">
                        <c:v>554.6</c:v>
                      </c:pt>
                      <c:pt idx="61">
                        <c:v>558.5</c:v>
                      </c:pt>
                      <c:pt idx="62">
                        <c:v>562.20000000000005</c:v>
                      </c:pt>
                      <c:pt idx="63">
                        <c:v>565.9</c:v>
                      </c:pt>
                      <c:pt idx="64">
                        <c:v>569.29999999999995</c:v>
                      </c:pt>
                      <c:pt idx="65">
                        <c:v>572.70000000000005</c:v>
                      </c:pt>
                      <c:pt idx="66">
                        <c:v>576.20000000000005</c:v>
                      </c:pt>
                      <c:pt idx="67">
                        <c:v>579.79999999999995</c:v>
                      </c:pt>
                      <c:pt idx="68">
                        <c:v>583.5</c:v>
                      </c:pt>
                      <c:pt idx="69">
                        <c:v>587</c:v>
                      </c:pt>
                      <c:pt idx="70">
                        <c:v>590.6</c:v>
                      </c:pt>
                      <c:pt idx="71">
                        <c:v>594.29999999999995</c:v>
                      </c:pt>
                      <c:pt idx="72">
                        <c:v>598</c:v>
                      </c:pt>
                      <c:pt idx="73">
                        <c:v>601.79999999999995</c:v>
                      </c:pt>
                      <c:pt idx="74">
                        <c:v>605.79999999999995</c:v>
                      </c:pt>
                      <c:pt idx="75">
                        <c:v>609.9</c:v>
                      </c:pt>
                      <c:pt idx="76">
                        <c:v>614.1</c:v>
                      </c:pt>
                      <c:pt idx="77">
                        <c:v>618.6</c:v>
                      </c:pt>
                      <c:pt idx="78">
                        <c:v>623.20000000000005</c:v>
                      </c:pt>
                      <c:pt idx="79">
                        <c:v>628</c:v>
                      </c:pt>
                      <c:pt idx="80">
                        <c:v>632.79999999999995</c:v>
                      </c:pt>
                      <c:pt idx="81">
                        <c:v>638</c:v>
                      </c:pt>
                      <c:pt idx="82">
                        <c:v>643.70000000000005</c:v>
                      </c:pt>
                      <c:pt idx="83">
                        <c:v>649.70000000000005</c:v>
                      </c:pt>
                      <c:pt idx="84">
                        <c:v>655.7</c:v>
                      </c:pt>
                      <c:pt idx="85">
                        <c:v>662.9</c:v>
                      </c:pt>
                      <c:pt idx="86">
                        <c:v>671.4</c:v>
                      </c:pt>
                      <c:pt idx="87">
                        <c:v>680.7</c:v>
                      </c:pt>
                      <c:pt idx="88">
                        <c:v>690.4</c:v>
                      </c:pt>
                      <c:pt idx="89">
                        <c:v>700.8</c:v>
                      </c:pt>
                      <c:pt idx="90">
                        <c:v>712.8</c:v>
                      </c:pt>
                      <c:pt idx="91">
                        <c:v>729.3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A5C-4395-9C78-B97C184E9CD7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Comparing'!$Q$7</c15:sqref>
                        </c15:formulaRef>
                      </c:ext>
                    </c:extLst>
                    <c:strCache>
                      <c:ptCount val="1"/>
                      <c:pt idx="0">
                        <c:v>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Pt>
                  <c:idx val="6"/>
                  <c:marker>
                    <c:symbol val="none"/>
                  </c:marker>
                  <c:bubble3D val="0"/>
                  <c:spPr>
                    <a:ln w="19050" cap="rnd">
                      <a:solidFill>
                        <a:schemeClr val="accent2">
                          <a:lumMod val="60000"/>
                        </a:schemeClr>
                      </a:solidFill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1-7EE2-430F-A33C-08BD321A04AC}"/>
                    </c:ext>
                  </c:extLst>
                </c:dPt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Comparing'!$Q$10:$Q$98</c15:sqref>
                        </c15:formulaRef>
                      </c:ext>
                    </c:extLst>
                    <c:numCache>
                      <c:formatCode>General</c:formatCode>
                      <c:ptCount val="89"/>
                      <c:pt idx="0">
                        <c:v>109.6</c:v>
                      </c:pt>
                      <c:pt idx="1">
                        <c:v>135.4</c:v>
                      </c:pt>
                      <c:pt idx="2">
                        <c:v>164.5</c:v>
                      </c:pt>
                      <c:pt idx="3">
                        <c:v>184.4</c:v>
                      </c:pt>
                      <c:pt idx="4">
                        <c:v>200.6</c:v>
                      </c:pt>
                      <c:pt idx="5">
                        <c:v>215.6</c:v>
                      </c:pt>
                      <c:pt idx="6">
                        <c:v>227.3</c:v>
                      </c:pt>
                      <c:pt idx="7">
                        <c:v>238.1</c:v>
                      </c:pt>
                      <c:pt idx="8">
                        <c:v>249.9</c:v>
                      </c:pt>
                      <c:pt idx="9">
                        <c:v>260</c:v>
                      </c:pt>
                      <c:pt idx="10">
                        <c:v>270</c:v>
                      </c:pt>
                      <c:pt idx="11">
                        <c:v>280.2</c:v>
                      </c:pt>
                      <c:pt idx="12">
                        <c:v>289.60000000000002</c:v>
                      </c:pt>
                      <c:pt idx="13">
                        <c:v>298.89999999999998</c:v>
                      </c:pt>
                      <c:pt idx="14">
                        <c:v>307.10000000000002</c:v>
                      </c:pt>
                      <c:pt idx="15">
                        <c:v>315.2</c:v>
                      </c:pt>
                      <c:pt idx="16">
                        <c:v>323.3</c:v>
                      </c:pt>
                      <c:pt idx="17">
                        <c:v>330.6</c:v>
                      </c:pt>
                      <c:pt idx="18">
                        <c:v>339.1</c:v>
                      </c:pt>
                      <c:pt idx="19">
                        <c:v>346.3</c:v>
                      </c:pt>
                      <c:pt idx="20">
                        <c:v>353.6</c:v>
                      </c:pt>
                      <c:pt idx="21">
                        <c:v>359.8</c:v>
                      </c:pt>
                      <c:pt idx="22">
                        <c:v>366.1</c:v>
                      </c:pt>
                      <c:pt idx="23">
                        <c:v>374</c:v>
                      </c:pt>
                      <c:pt idx="24">
                        <c:v>381.7</c:v>
                      </c:pt>
                      <c:pt idx="25">
                        <c:v>389.7</c:v>
                      </c:pt>
                      <c:pt idx="26">
                        <c:v>396.3</c:v>
                      </c:pt>
                      <c:pt idx="27">
                        <c:v>402.4</c:v>
                      </c:pt>
                      <c:pt idx="28">
                        <c:v>409.2</c:v>
                      </c:pt>
                      <c:pt idx="29">
                        <c:v>415.4</c:v>
                      </c:pt>
                      <c:pt idx="30">
                        <c:v>421.8</c:v>
                      </c:pt>
                      <c:pt idx="31">
                        <c:v>428.8</c:v>
                      </c:pt>
                      <c:pt idx="32">
                        <c:v>434.9</c:v>
                      </c:pt>
                      <c:pt idx="33">
                        <c:v>440.9</c:v>
                      </c:pt>
                      <c:pt idx="34">
                        <c:v>447.2</c:v>
                      </c:pt>
                      <c:pt idx="35">
                        <c:v>453.5</c:v>
                      </c:pt>
                      <c:pt idx="36">
                        <c:v>459.8</c:v>
                      </c:pt>
                      <c:pt idx="37">
                        <c:v>466</c:v>
                      </c:pt>
                      <c:pt idx="38">
                        <c:v>472.2</c:v>
                      </c:pt>
                      <c:pt idx="39">
                        <c:v>478.2</c:v>
                      </c:pt>
                      <c:pt idx="40">
                        <c:v>484.3</c:v>
                      </c:pt>
                      <c:pt idx="41">
                        <c:v>490.5</c:v>
                      </c:pt>
                      <c:pt idx="42">
                        <c:v>496.6</c:v>
                      </c:pt>
                      <c:pt idx="43">
                        <c:v>502</c:v>
                      </c:pt>
                      <c:pt idx="44">
                        <c:v>507.4</c:v>
                      </c:pt>
                      <c:pt idx="45">
                        <c:v>513</c:v>
                      </c:pt>
                      <c:pt idx="46">
                        <c:v>518.79999999999995</c:v>
                      </c:pt>
                      <c:pt idx="47">
                        <c:v>524.20000000000005</c:v>
                      </c:pt>
                      <c:pt idx="48">
                        <c:v>529.4</c:v>
                      </c:pt>
                      <c:pt idx="49">
                        <c:v>534.4</c:v>
                      </c:pt>
                      <c:pt idx="50">
                        <c:v>539.29999999999995</c:v>
                      </c:pt>
                      <c:pt idx="51">
                        <c:v>544.20000000000005</c:v>
                      </c:pt>
                      <c:pt idx="52">
                        <c:v>549</c:v>
                      </c:pt>
                      <c:pt idx="53">
                        <c:v>553.70000000000005</c:v>
                      </c:pt>
                      <c:pt idx="54">
                        <c:v>558.20000000000005</c:v>
                      </c:pt>
                      <c:pt idx="55">
                        <c:v>562.5</c:v>
                      </c:pt>
                      <c:pt idx="56">
                        <c:v>566.70000000000005</c:v>
                      </c:pt>
                      <c:pt idx="57">
                        <c:v>570.6</c:v>
                      </c:pt>
                      <c:pt idx="58">
                        <c:v>574.5</c:v>
                      </c:pt>
                      <c:pt idx="59">
                        <c:v>578.5</c:v>
                      </c:pt>
                      <c:pt idx="60">
                        <c:v>582.6</c:v>
                      </c:pt>
                      <c:pt idx="61">
                        <c:v>586.6</c:v>
                      </c:pt>
                      <c:pt idx="62">
                        <c:v>590.70000000000005</c:v>
                      </c:pt>
                      <c:pt idx="63">
                        <c:v>594.70000000000005</c:v>
                      </c:pt>
                      <c:pt idx="64">
                        <c:v>598.79999999999995</c:v>
                      </c:pt>
                      <c:pt idx="65">
                        <c:v>603.1</c:v>
                      </c:pt>
                      <c:pt idx="66">
                        <c:v>607.6</c:v>
                      </c:pt>
                      <c:pt idx="67">
                        <c:v>612.1</c:v>
                      </c:pt>
                      <c:pt idx="68">
                        <c:v>616.79999999999995</c:v>
                      </c:pt>
                      <c:pt idx="69">
                        <c:v>621.9</c:v>
                      </c:pt>
                      <c:pt idx="70">
                        <c:v>626.9</c:v>
                      </c:pt>
                      <c:pt idx="71">
                        <c:v>632.1</c:v>
                      </c:pt>
                      <c:pt idx="72">
                        <c:v>637.6</c:v>
                      </c:pt>
                      <c:pt idx="73">
                        <c:v>643.6</c:v>
                      </c:pt>
                      <c:pt idx="74">
                        <c:v>650</c:v>
                      </c:pt>
                      <c:pt idx="75">
                        <c:v>656.4</c:v>
                      </c:pt>
                      <c:pt idx="76">
                        <c:v>664.5</c:v>
                      </c:pt>
                      <c:pt idx="77">
                        <c:v>673.5</c:v>
                      </c:pt>
                      <c:pt idx="78">
                        <c:v>684</c:v>
                      </c:pt>
                      <c:pt idx="79">
                        <c:v>694.5</c:v>
                      </c:pt>
                      <c:pt idx="80">
                        <c:v>706.9</c:v>
                      </c:pt>
                      <c:pt idx="81">
                        <c:v>724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A5C-4395-9C78-B97C184E9CD7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Comparing'!$R$7</c15:sqref>
                        </c15:formulaRef>
                      </c:ext>
                    </c:extLst>
                    <c:strCache>
                      <c:ptCount val="1"/>
                      <c:pt idx="0">
                        <c:v>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Comparing'!$R$10:$R$89</c15:sqref>
                        </c15:formulaRef>
                      </c:ext>
                    </c:extLst>
                    <c:numCache>
                      <c:formatCode>General</c:formatCode>
                      <c:ptCount val="80"/>
                      <c:pt idx="0">
                        <c:v>113.9</c:v>
                      </c:pt>
                      <c:pt idx="1">
                        <c:v>137.80000000000001</c:v>
                      </c:pt>
                      <c:pt idx="2">
                        <c:v>163.19999999999999</c:v>
                      </c:pt>
                      <c:pt idx="3">
                        <c:v>181.5</c:v>
                      </c:pt>
                      <c:pt idx="4">
                        <c:v>196.9</c:v>
                      </c:pt>
                      <c:pt idx="5">
                        <c:v>211</c:v>
                      </c:pt>
                      <c:pt idx="6">
                        <c:v>222.2</c:v>
                      </c:pt>
                      <c:pt idx="7">
                        <c:v>232.1</c:v>
                      </c:pt>
                      <c:pt idx="8">
                        <c:v>244.3</c:v>
                      </c:pt>
                      <c:pt idx="9">
                        <c:v>253.8</c:v>
                      </c:pt>
                      <c:pt idx="10">
                        <c:v>264.8</c:v>
                      </c:pt>
                      <c:pt idx="11">
                        <c:v>274.10000000000002</c:v>
                      </c:pt>
                      <c:pt idx="12">
                        <c:v>283.10000000000002</c:v>
                      </c:pt>
                      <c:pt idx="13">
                        <c:v>292.8</c:v>
                      </c:pt>
                      <c:pt idx="14">
                        <c:v>301</c:v>
                      </c:pt>
                      <c:pt idx="15">
                        <c:v>310</c:v>
                      </c:pt>
                      <c:pt idx="16">
                        <c:v>317.3</c:v>
                      </c:pt>
                      <c:pt idx="17">
                        <c:v>325.10000000000002</c:v>
                      </c:pt>
                      <c:pt idx="18">
                        <c:v>333.3</c:v>
                      </c:pt>
                      <c:pt idx="19">
                        <c:v>340.7</c:v>
                      </c:pt>
                      <c:pt idx="20">
                        <c:v>349</c:v>
                      </c:pt>
                      <c:pt idx="21">
                        <c:v>356</c:v>
                      </c:pt>
                      <c:pt idx="22">
                        <c:v>363.3</c:v>
                      </c:pt>
                      <c:pt idx="23">
                        <c:v>370.6</c:v>
                      </c:pt>
                      <c:pt idx="24">
                        <c:v>377.3</c:v>
                      </c:pt>
                      <c:pt idx="25">
                        <c:v>384.7</c:v>
                      </c:pt>
                      <c:pt idx="26">
                        <c:v>391.2</c:v>
                      </c:pt>
                      <c:pt idx="27">
                        <c:v>397.6</c:v>
                      </c:pt>
                      <c:pt idx="28">
                        <c:v>404.9</c:v>
                      </c:pt>
                      <c:pt idx="29">
                        <c:v>411.4</c:v>
                      </c:pt>
                      <c:pt idx="30">
                        <c:v>417.5</c:v>
                      </c:pt>
                      <c:pt idx="31">
                        <c:v>424.1</c:v>
                      </c:pt>
                      <c:pt idx="32">
                        <c:v>430.2</c:v>
                      </c:pt>
                      <c:pt idx="33">
                        <c:v>436.4</c:v>
                      </c:pt>
                      <c:pt idx="34">
                        <c:v>442.9</c:v>
                      </c:pt>
                      <c:pt idx="35">
                        <c:v>449.2</c:v>
                      </c:pt>
                      <c:pt idx="36">
                        <c:v>455.3</c:v>
                      </c:pt>
                      <c:pt idx="37">
                        <c:v>461.4</c:v>
                      </c:pt>
                      <c:pt idx="38">
                        <c:v>467.8</c:v>
                      </c:pt>
                      <c:pt idx="39">
                        <c:v>474</c:v>
                      </c:pt>
                      <c:pt idx="40">
                        <c:v>480</c:v>
                      </c:pt>
                      <c:pt idx="41">
                        <c:v>486.2</c:v>
                      </c:pt>
                      <c:pt idx="42">
                        <c:v>492.3</c:v>
                      </c:pt>
                      <c:pt idx="43">
                        <c:v>498.2</c:v>
                      </c:pt>
                      <c:pt idx="44">
                        <c:v>503.6</c:v>
                      </c:pt>
                      <c:pt idx="45">
                        <c:v>509.1</c:v>
                      </c:pt>
                      <c:pt idx="46">
                        <c:v>514.9</c:v>
                      </c:pt>
                      <c:pt idx="47">
                        <c:v>520.6</c:v>
                      </c:pt>
                      <c:pt idx="48">
                        <c:v>525.9</c:v>
                      </c:pt>
                      <c:pt idx="49">
                        <c:v>531.1</c:v>
                      </c:pt>
                      <c:pt idx="50">
                        <c:v>536.1</c:v>
                      </c:pt>
                      <c:pt idx="51">
                        <c:v>540.79999999999995</c:v>
                      </c:pt>
                      <c:pt idx="52">
                        <c:v>545.6</c:v>
                      </c:pt>
                      <c:pt idx="53">
                        <c:v>550.4</c:v>
                      </c:pt>
                      <c:pt idx="54">
                        <c:v>555.20000000000005</c:v>
                      </c:pt>
                      <c:pt idx="55">
                        <c:v>559.6</c:v>
                      </c:pt>
                      <c:pt idx="56">
                        <c:v>563.9</c:v>
                      </c:pt>
                      <c:pt idx="57">
                        <c:v>567.9</c:v>
                      </c:pt>
                      <c:pt idx="58">
                        <c:v>571.9</c:v>
                      </c:pt>
                      <c:pt idx="59">
                        <c:v>575.79999999999995</c:v>
                      </c:pt>
                      <c:pt idx="60">
                        <c:v>580</c:v>
                      </c:pt>
                      <c:pt idx="61">
                        <c:v>584.20000000000005</c:v>
                      </c:pt>
                      <c:pt idx="62">
                        <c:v>588.4</c:v>
                      </c:pt>
                      <c:pt idx="63">
                        <c:v>592.70000000000005</c:v>
                      </c:pt>
                      <c:pt idx="64">
                        <c:v>596.9</c:v>
                      </c:pt>
                      <c:pt idx="65">
                        <c:v>601.29999999999995</c:v>
                      </c:pt>
                      <c:pt idx="66">
                        <c:v>606.1</c:v>
                      </c:pt>
                      <c:pt idx="67">
                        <c:v>610.79999999999995</c:v>
                      </c:pt>
                      <c:pt idx="68">
                        <c:v>615.70000000000005</c:v>
                      </c:pt>
                      <c:pt idx="69">
                        <c:v>621.1</c:v>
                      </c:pt>
                      <c:pt idx="70">
                        <c:v>626.6</c:v>
                      </c:pt>
                      <c:pt idx="71">
                        <c:v>632.20000000000005</c:v>
                      </c:pt>
                      <c:pt idx="72">
                        <c:v>638.1</c:v>
                      </c:pt>
                      <c:pt idx="73">
                        <c:v>644.79999999999995</c:v>
                      </c:pt>
                      <c:pt idx="74">
                        <c:v>651.79999999999995</c:v>
                      </c:pt>
                      <c:pt idx="75">
                        <c:v>659</c:v>
                      </c:pt>
                      <c:pt idx="76">
                        <c:v>668.8</c:v>
                      </c:pt>
                      <c:pt idx="77">
                        <c:v>679.5</c:v>
                      </c:pt>
                      <c:pt idx="78">
                        <c:v>691.9</c:v>
                      </c:pt>
                      <c:pt idx="79">
                        <c:v>707.8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A5C-4395-9C78-B97C184E9CD7}"/>
                  </c:ext>
                </c:extLst>
              </c15:ser>
            </c15:filteredScatterSeries>
            <c15:filteredScatterSeries>
              <c15:ser>
                <c:idx val="10"/>
                <c:order val="10"/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Comparing'!$D$10:$N$110</c15:sqref>
                        </c15:formulaRef>
                      </c:ext>
                    </c:extLst>
                    <c:multiLvlStrCache>
                      <c:ptCount val="101"/>
                      <c:lvl>
                        <c:pt idx="0">
                          <c:v>95.5</c:v>
                        </c:pt>
                        <c:pt idx="1">
                          <c:v>125.7</c:v>
                        </c:pt>
                        <c:pt idx="2">
                          <c:v>155.6</c:v>
                        </c:pt>
                        <c:pt idx="3">
                          <c:v>174.7</c:v>
                        </c:pt>
                        <c:pt idx="4">
                          <c:v>190.5</c:v>
                        </c:pt>
                        <c:pt idx="5">
                          <c:v>203.2</c:v>
                        </c:pt>
                        <c:pt idx="6">
                          <c:v>216</c:v>
                        </c:pt>
                        <c:pt idx="7">
                          <c:v>226</c:v>
                        </c:pt>
                        <c:pt idx="8">
                          <c:v>235.1</c:v>
                        </c:pt>
                        <c:pt idx="9">
                          <c:v>245.2</c:v>
                        </c:pt>
                        <c:pt idx="10">
                          <c:v>253.3</c:v>
                        </c:pt>
                        <c:pt idx="11">
                          <c:v>262.5</c:v>
                        </c:pt>
                        <c:pt idx="12">
                          <c:v>270.2</c:v>
                        </c:pt>
                        <c:pt idx="13">
                          <c:v>278.8</c:v>
                        </c:pt>
                        <c:pt idx="14">
                          <c:v>286.4</c:v>
                        </c:pt>
                        <c:pt idx="15">
                          <c:v>294.1</c:v>
                        </c:pt>
                        <c:pt idx="16">
                          <c:v>301</c:v>
                        </c:pt>
                        <c:pt idx="17">
                          <c:v>308</c:v>
                        </c:pt>
                        <c:pt idx="18">
                          <c:v>314.9</c:v>
                        </c:pt>
                        <c:pt idx="19">
                          <c:v>321.3</c:v>
                        </c:pt>
                        <c:pt idx="20">
                          <c:v>328.2</c:v>
                        </c:pt>
                        <c:pt idx="21">
                          <c:v>334.2</c:v>
                        </c:pt>
                        <c:pt idx="22">
                          <c:v>340.8</c:v>
                        </c:pt>
                        <c:pt idx="23">
                          <c:v>346.4</c:v>
                        </c:pt>
                        <c:pt idx="24">
                          <c:v>352.3</c:v>
                        </c:pt>
                        <c:pt idx="25">
                          <c:v>357.5</c:v>
                        </c:pt>
                        <c:pt idx="26">
                          <c:v>363.2</c:v>
                        </c:pt>
                        <c:pt idx="27">
                          <c:v>368.5</c:v>
                        </c:pt>
                        <c:pt idx="28">
                          <c:v>375.1</c:v>
                        </c:pt>
                        <c:pt idx="29">
                          <c:v>381.5</c:v>
                        </c:pt>
                        <c:pt idx="30">
                          <c:v>388.2</c:v>
                        </c:pt>
                        <c:pt idx="31">
                          <c:v>393.9</c:v>
                        </c:pt>
                        <c:pt idx="32">
                          <c:v>399.4</c:v>
                        </c:pt>
                        <c:pt idx="33">
                          <c:v>404.7</c:v>
                        </c:pt>
                        <c:pt idx="34">
                          <c:v>410</c:v>
                        </c:pt>
                        <c:pt idx="35">
                          <c:v>415.6</c:v>
                        </c:pt>
                        <c:pt idx="36">
                          <c:v>421</c:v>
                        </c:pt>
                        <c:pt idx="37">
                          <c:v>427</c:v>
                        </c:pt>
                        <c:pt idx="38">
                          <c:v>432.5</c:v>
                        </c:pt>
                        <c:pt idx="39">
                          <c:v>438.1</c:v>
                        </c:pt>
                        <c:pt idx="40">
                          <c:v>443.3</c:v>
                        </c:pt>
                        <c:pt idx="41">
                          <c:v>448.5</c:v>
                        </c:pt>
                        <c:pt idx="42">
                          <c:v>454.3</c:v>
                        </c:pt>
                        <c:pt idx="43">
                          <c:v>459.9</c:v>
                        </c:pt>
                        <c:pt idx="44">
                          <c:v>465.4</c:v>
                        </c:pt>
                        <c:pt idx="45">
                          <c:v>471</c:v>
                        </c:pt>
                        <c:pt idx="46">
                          <c:v>476.4</c:v>
                        </c:pt>
                        <c:pt idx="47">
                          <c:v>481.9</c:v>
                        </c:pt>
                        <c:pt idx="48">
                          <c:v>487.5</c:v>
                        </c:pt>
                        <c:pt idx="49">
                          <c:v>493.2</c:v>
                        </c:pt>
                        <c:pt idx="50">
                          <c:v>498.4</c:v>
                        </c:pt>
                        <c:pt idx="51">
                          <c:v>503.4</c:v>
                        </c:pt>
                        <c:pt idx="52">
                          <c:v>508.3</c:v>
                        </c:pt>
                        <c:pt idx="53">
                          <c:v>513.7</c:v>
                        </c:pt>
                        <c:pt idx="54">
                          <c:v>519.1</c:v>
                        </c:pt>
                        <c:pt idx="55">
                          <c:v>524.2</c:v>
                        </c:pt>
                        <c:pt idx="56">
                          <c:v>529.1</c:v>
                        </c:pt>
                        <c:pt idx="57">
                          <c:v>533.9</c:v>
                        </c:pt>
                        <c:pt idx="58">
                          <c:v>538.7</c:v>
                        </c:pt>
                        <c:pt idx="59">
                          <c:v>543.3</c:v>
                        </c:pt>
                        <c:pt idx="60">
                          <c:v>548.1</c:v>
                        </c:pt>
                        <c:pt idx="61">
                          <c:v>552.8</c:v>
                        </c:pt>
                        <c:pt idx="62">
                          <c:v>557.4</c:v>
                        </c:pt>
                        <c:pt idx="63">
                          <c:v>561.8</c:v>
                        </c:pt>
                        <c:pt idx="64">
                          <c:v>566.1</c:v>
                        </c:pt>
                        <c:pt idx="65">
                          <c:v>570.2</c:v>
                        </c:pt>
                        <c:pt idx="66">
                          <c:v>574.2</c:v>
                        </c:pt>
                        <c:pt idx="67">
                          <c:v>578.5</c:v>
                        </c:pt>
                        <c:pt idx="68">
                          <c:v>582.9</c:v>
                        </c:pt>
                        <c:pt idx="69">
                          <c:v>587.2</c:v>
                        </c:pt>
                        <c:pt idx="70">
                          <c:v>591.6</c:v>
                        </c:pt>
                        <c:pt idx="71">
                          <c:v>596</c:v>
                        </c:pt>
                        <c:pt idx="72">
                          <c:v>600.5</c:v>
                        </c:pt>
                        <c:pt idx="73">
                          <c:v>605.3</c:v>
                        </c:pt>
                        <c:pt idx="74">
                          <c:v>610.3</c:v>
                        </c:pt>
                        <c:pt idx="75">
                          <c:v>615.3</c:v>
                        </c:pt>
                        <c:pt idx="76">
                          <c:v>620.9</c:v>
                        </c:pt>
                        <c:pt idx="77">
                          <c:v>626.4</c:v>
                        </c:pt>
                        <c:pt idx="78">
                          <c:v>632.1</c:v>
                        </c:pt>
                        <c:pt idx="79">
                          <c:v>638</c:v>
                        </c:pt>
                        <c:pt idx="80">
                          <c:v>644.6</c:v>
                        </c:pt>
                        <c:pt idx="81">
                          <c:v>651.6</c:v>
                        </c:pt>
                        <c:pt idx="82">
                          <c:v>658.6</c:v>
                        </c:pt>
                        <c:pt idx="83">
                          <c:v>667.9</c:v>
                        </c:pt>
                        <c:pt idx="84">
                          <c:v>677.4</c:v>
                        </c:pt>
                        <c:pt idx="85">
                          <c:v>688.1</c:v>
                        </c:pt>
                        <c:pt idx="86">
                          <c:v>698.6</c:v>
                        </c:pt>
                        <c:pt idx="87">
                          <c:v>709.6</c:v>
                        </c:pt>
                        <c:pt idx="88">
                          <c:v>722.6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133.6</c:v>
                        </c:pt>
                        <c:pt idx="1">
                          <c:v>179.1</c:v>
                        </c:pt>
                        <c:pt idx="2">
                          <c:v>224.9</c:v>
                        </c:pt>
                        <c:pt idx="3">
                          <c:v>255.3</c:v>
                        </c:pt>
                        <c:pt idx="4">
                          <c:v>279.7</c:v>
                        </c:pt>
                        <c:pt idx="5">
                          <c:v>300.9</c:v>
                        </c:pt>
                        <c:pt idx="6">
                          <c:v>317.7</c:v>
                        </c:pt>
                        <c:pt idx="7">
                          <c:v>332.7</c:v>
                        </c:pt>
                        <c:pt idx="8">
                          <c:v>345.9</c:v>
                        </c:pt>
                        <c:pt idx="9">
                          <c:v>357.3</c:v>
                        </c:pt>
                        <c:pt idx="10">
                          <c:v>367.8</c:v>
                        </c:pt>
                        <c:pt idx="11">
                          <c:v>379.7</c:v>
                        </c:pt>
                        <c:pt idx="12">
                          <c:v>391.3</c:v>
                        </c:pt>
                        <c:pt idx="13">
                          <c:v>400</c:v>
                        </c:pt>
                        <c:pt idx="14">
                          <c:v>408.3</c:v>
                        </c:pt>
                        <c:pt idx="15">
                          <c:v>417</c:v>
                        </c:pt>
                        <c:pt idx="16">
                          <c:v>426.3</c:v>
                        </c:pt>
                        <c:pt idx="17">
                          <c:v>434.6</c:v>
                        </c:pt>
                        <c:pt idx="18">
                          <c:v>442.1</c:v>
                        </c:pt>
                        <c:pt idx="19">
                          <c:v>449.4</c:v>
                        </c:pt>
                        <c:pt idx="20">
                          <c:v>457.4</c:v>
                        </c:pt>
                        <c:pt idx="21">
                          <c:v>465.2</c:v>
                        </c:pt>
                        <c:pt idx="22">
                          <c:v>472.3</c:v>
                        </c:pt>
                        <c:pt idx="23">
                          <c:v>479</c:v>
                        </c:pt>
                        <c:pt idx="24">
                          <c:v>486.1</c:v>
                        </c:pt>
                        <c:pt idx="25">
                          <c:v>493.1</c:v>
                        </c:pt>
                        <c:pt idx="26">
                          <c:v>499.3</c:v>
                        </c:pt>
                        <c:pt idx="27">
                          <c:v>505</c:v>
                        </c:pt>
                        <c:pt idx="28">
                          <c:v>510.6</c:v>
                        </c:pt>
                        <c:pt idx="29">
                          <c:v>516.6</c:v>
                        </c:pt>
                        <c:pt idx="30">
                          <c:v>522.4</c:v>
                        </c:pt>
                        <c:pt idx="31">
                          <c:v>527.4</c:v>
                        </c:pt>
                        <c:pt idx="32">
                          <c:v>532.2</c:v>
                        </c:pt>
                        <c:pt idx="33">
                          <c:v>536.7</c:v>
                        </c:pt>
                        <c:pt idx="34">
                          <c:v>541.2</c:v>
                        </c:pt>
                        <c:pt idx="35">
                          <c:v>545.5</c:v>
                        </c:pt>
                        <c:pt idx="36">
                          <c:v>549.8</c:v>
                        </c:pt>
                        <c:pt idx="37">
                          <c:v>554</c:v>
                        </c:pt>
                        <c:pt idx="38">
                          <c:v>557.9</c:v>
                        </c:pt>
                        <c:pt idx="39">
                          <c:v>561.4</c:v>
                        </c:pt>
                        <c:pt idx="40">
                          <c:v>564.9</c:v>
                        </c:pt>
                        <c:pt idx="41">
                          <c:v>568.1</c:v>
                        </c:pt>
                        <c:pt idx="42">
                          <c:v>571.2</c:v>
                        </c:pt>
                        <c:pt idx="43">
                          <c:v>574.2</c:v>
                        </c:pt>
                        <c:pt idx="44">
                          <c:v>577.2</c:v>
                        </c:pt>
                        <c:pt idx="45">
                          <c:v>580.2</c:v>
                        </c:pt>
                        <c:pt idx="46">
                          <c:v>583.1</c:v>
                        </c:pt>
                        <c:pt idx="47">
                          <c:v>586</c:v>
                        </c:pt>
                        <c:pt idx="48">
                          <c:v>588.8</c:v>
                        </c:pt>
                        <c:pt idx="49">
                          <c:v>591.6</c:v>
                        </c:pt>
                        <c:pt idx="50">
                          <c:v>594.3</c:v>
                        </c:pt>
                        <c:pt idx="51">
                          <c:v>597</c:v>
                        </c:pt>
                        <c:pt idx="52">
                          <c:v>599.8</c:v>
                        </c:pt>
                        <c:pt idx="53">
                          <c:v>602.6</c:v>
                        </c:pt>
                        <c:pt idx="54">
                          <c:v>605.4</c:v>
                        </c:pt>
                        <c:pt idx="55">
                          <c:v>608.2</c:v>
                        </c:pt>
                        <c:pt idx="56">
                          <c:v>611</c:v>
                        </c:pt>
                        <c:pt idx="57">
                          <c:v>613.9</c:v>
                        </c:pt>
                        <c:pt idx="58">
                          <c:v>616.8</c:v>
                        </c:pt>
                        <c:pt idx="59">
                          <c:v>619.7</c:v>
                        </c:pt>
                        <c:pt idx="60">
                          <c:v>622.7</c:v>
                        </c:pt>
                        <c:pt idx="61">
                          <c:v>625.7</c:v>
                        </c:pt>
                        <c:pt idx="62">
                          <c:v>628.7</c:v>
                        </c:pt>
                        <c:pt idx="63">
                          <c:v>631.6</c:v>
                        </c:pt>
                        <c:pt idx="64">
                          <c:v>634.5</c:v>
                        </c:pt>
                        <c:pt idx="65">
                          <c:v>637.6</c:v>
                        </c:pt>
                        <c:pt idx="66">
                          <c:v>640.7</c:v>
                        </c:pt>
                        <c:pt idx="67">
                          <c:v>644</c:v>
                        </c:pt>
                        <c:pt idx="68">
                          <c:v>647.4</c:v>
                        </c:pt>
                        <c:pt idx="69">
                          <c:v>650.5</c:v>
                        </c:pt>
                        <c:pt idx="70">
                          <c:v>653.7</c:v>
                        </c:pt>
                        <c:pt idx="71">
                          <c:v>656.8</c:v>
                        </c:pt>
                        <c:pt idx="72">
                          <c:v>660.6</c:v>
                        </c:pt>
                        <c:pt idx="73">
                          <c:v>664.8</c:v>
                        </c:pt>
                        <c:pt idx="74">
                          <c:v>669.2</c:v>
                        </c:pt>
                        <c:pt idx="75">
                          <c:v>673.1</c:v>
                        </c:pt>
                        <c:pt idx="76">
                          <c:v>677.4</c:v>
                        </c:pt>
                        <c:pt idx="77">
                          <c:v>682.2</c:v>
                        </c:pt>
                        <c:pt idx="78">
                          <c:v>686.5</c:v>
                        </c:pt>
                        <c:pt idx="79">
                          <c:v>691.2</c:v>
                        </c:pt>
                        <c:pt idx="80">
                          <c:v>694.8</c:v>
                        </c:pt>
                        <c:pt idx="81">
                          <c:v>699.9</c:v>
                        </c:pt>
                        <c:pt idx="82">
                          <c:v>704</c:v>
                        </c:pt>
                        <c:pt idx="83">
                          <c:v>708.8</c:v>
                        </c:pt>
                        <c:pt idx="84">
                          <c:v>714.2</c:v>
                        </c:pt>
                        <c:pt idx="85">
                          <c:v>719.8</c:v>
                        </c:pt>
                        <c:pt idx="86">
                          <c:v>726.2</c:v>
                        </c:pt>
                        <c:pt idx="87">
                          <c:v>733.5</c:v>
                        </c:pt>
                        <c:pt idx="88">
                          <c:v>-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152.5</c:v>
                        </c:pt>
                        <c:pt idx="1">
                          <c:v>185.3</c:v>
                        </c:pt>
                        <c:pt idx="2">
                          <c:v>226.6</c:v>
                        </c:pt>
                        <c:pt idx="3">
                          <c:v>255</c:v>
                        </c:pt>
                        <c:pt idx="4">
                          <c:v>279.1</c:v>
                        </c:pt>
                        <c:pt idx="5">
                          <c:v>299.2</c:v>
                        </c:pt>
                        <c:pt idx="6">
                          <c:v>317.3</c:v>
                        </c:pt>
                        <c:pt idx="7">
                          <c:v>332.5</c:v>
                        </c:pt>
                        <c:pt idx="8">
                          <c:v>345.5</c:v>
                        </c:pt>
                        <c:pt idx="9">
                          <c:v>356.3</c:v>
                        </c:pt>
                        <c:pt idx="10">
                          <c:v>366.7</c:v>
                        </c:pt>
                        <c:pt idx="11">
                          <c:v>378.3</c:v>
                        </c:pt>
                        <c:pt idx="12">
                          <c:v>390.2</c:v>
                        </c:pt>
                        <c:pt idx="13">
                          <c:v>398.9</c:v>
                        </c:pt>
                        <c:pt idx="14">
                          <c:v>407.3</c:v>
                        </c:pt>
                        <c:pt idx="15">
                          <c:v>415.7</c:v>
                        </c:pt>
                        <c:pt idx="16">
                          <c:v>424.9</c:v>
                        </c:pt>
                        <c:pt idx="17">
                          <c:v>433.3</c:v>
                        </c:pt>
                        <c:pt idx="18">
                          <c:v>440.7</c:v>
                        </c:pt>
                        <c:pt idx="19">
                          <c:v>448</c:v>
                        </c:pt>
                        <c:pt idx="20">
                          <c:v>455.9</c:v>
                        </c:pt>
                        <c:pt idx="21">
                          <c:v>463.6</c:v>
                        </c:pt>
                        <c:pt idx="22">
                          <c:v>470.6</c:v>
                        </c:pt>
                        <c:pt idx="23">
                          <c:v>477.3</c:v>
                        </c:pt>
                        <c:pt idx="24">
                          <c:v>484.2</c:v>
                        </c:pt>
                        <c:pt idx="25">
                          <c:v>491.3</c:v>
                        </c:pt>
                        <c:pt idx="26">
                          <c:v>497.8</c:v>
                        </c:pt>
                        <c:pt idx="27">
                          <c:v>503.3</c:v>
                        </c:pt>
                        <c:pt idx="28">
                          <c:v>508.7</c:v>
                        </c:pt>
                        <c:pt idx="29">
                          <c:v>514.7</c:v>
                        </c:pt>
                        <c:pt idx="30">
                          <c:v>520.6</c:v>
                        </c:pt>
                        <c:pt idx="31">
                          <c:v>525.7</c:v>
                        </c:pt>
                        <c:pt idx="32">
                          <c:v>530.5</c:v>
                        </c:pt>
                        <c:pt idx="33">
                          <c:v>535.2</c:v>
                        </c:pt>
                        <c:pt idx="34">
                          <c:v>539.6</c:v>
                        </c:pt>
                        <c:pt idx="35">
                          <c:v>543.9</c:v>
                        </c:pt>
                        <c:pt idx="36">
                          <c:v>548.2</c:v>
                        </c:pt>
                        <c:pt idx="37">
                          <c:v>552.4</c:v>
                        </c:pt>
                        <c:pt idx="38">
                          <c:v>556.4</c:v>
                        </c:pt>
                        <c:pt idx="39">
                          <c:v>560</c:v>
                        </c:pt>
                        <c:pt idx="40">
                          <c:v>563.5</c:v>
                        </c:pt>
                        <c:pt idx="41">
                          <c:v>566.8</c:v>
                        </c:pt>
                        <c:pt idx="42">
                          <c:v>569.9</c:v>
                        </c:pt>
                        <c:pt idx="43">
                          <c:v>572.9</c:v>
                        </c:pt>
                        <c:pt idx="44">
                          <c:v>575.8</c:v>
                        </c:pt>
                        <c:pt idx="45">
                          <c:v>578.8</c:v>
                        </c:pt>
                        <c:pt idx="46">
                          <c:v>581.7</c:v>
                        </c:pt>
                        <c:pt idx="47">
                          <c:v>584.6</c:v>
                        </c:pt>
                        <c:pt idx="48">
                          <c:v>587.4</c:v>
                        </c:pt>
                        <c:pt idx="49">
                          <c:v>590.1</c:v>
                        </c:pt>
                        <c:pt idx="50">
                          <c:v>592.8</c:v>
                        </c:pt>
                        <c:pt idx="51">
                          <c:v>595.5</c:v>
                        </c:pt>
                        <c:pt idx="52">
                          <c:v>598.1</c:v>
                        </c:pt>
                        <c:pt idx="53">
                          <c:v>600.8</c:v>
                        </c:pt>
                        <c:pt idx="54">
                          <c:v>603.6</c:v>
                        </c:pt>
                        <c:pt idx="55">
                          <c:v>606.3</c:v>
                        </c:pt>
                        <c:pt idx="56">
                          <c:v>609</c:v>
                        </c:pt>
                        <c:pt idx="57">
                          <c:v>611.7</c:v>
                        </c:pt>
                        <c:pt idx="58">
                          <c:v>614.5</c:v>
                        </c:pt>
                        <c:pt idx="59">
                          <c:v>617.3</c:v>
                        </c:pt>
                        <c:pt idx="60">
                          <c:v>620.1</c:v>
                        </c:pt>
                        <c:pt idx="61">
                          <c:v>623</c:v>
                        </c:pt>
                        <c:pt idx="62">
                          <c:v>625.8</c:v>
                        </c:pt>
                        <c:pt idx="63">
                          <c:v>628.6</c:v>
                        </c:pt>
                        <c:pt idx="64">
                          <c:v>631.4</c:v>
                        </c:pt>
                        <c:pt idx="65">
                          <c:v>634.2</c:v>
                        </c:pt>
                        <c:pt idx="66">
                          <c:v>637.1</c:v>
                        </c:pt>
                        <c:pt idx="67">
                          <c:v>640</c:v>
                        </c:pt>
                        <c:pt idx="68">
                          <c:v>643.1</c:v>
                        </c:pt>
                        <c:pt idx="69">
                          <c:v>646.2</c:v>
                        </c:pt>
                        <c:pt idx="70">
                          <c:v>649.2</c:v>
                        </c:pt>
                        <c:pt idx="71">
                          <c:v>652.2</c:v>
                        </c:pt>
                        <c:pt idx="72">
                          <c:v>655.1</c:v>
                        </c:pt>
                        <c:pt idx="73">
                          <c:v>658.1</c:v>
                        </c:pt>
                        <c:pt idx="74">
                          <c:v>661.9</c:v>
                        </c:pt>
                        <c:pt idx="75">
                          <c:v>665.7</c:v>
                        </c:pt>
                        <c:pt idx="76">
                          <c:v>669.7</c:v>
                        </c:pt>
                        <c:pt idx="77">
                          <c:v>673.1</c:v>
                        </c:pt>
                        <c:pt idx="78">
                          <c:v>676.9</c:v>
                        </c:pt>
                        <c:pt idx="79">
                          <c:v>681.3</c:v>
                        </c:pt>
                        <c:pt idx="80">
                          <c:v>685</c:v>
                        </c:pt>
                        <c:pt idx="81">
                          <c:v>688.9</c:v>
                        </c:pt>
                        <c:pt idx="82">
                          <c:v>692.4</c:v>
                        </c:pt>
                        <c:pt idx="83">
                          <c:v>695.7</c:v>
                        </c:pt>
                        <c:pt idx="84">
                          <c:v>700</c:v>
                        </c:pt>
                        <c:pt idx="85">
                          <c:v>703.3</c:v>
                        </c:pt>
                        <c:pt idx="86">
                          <c:v>706.7</c:v>
                        </c:pt>
                        <c:pt idx="87">
                          <c:v>710.8</c:v>
                        </c:pt>
                        <c:pt idx="88">
                          <c:v>714.7</c:v>
                        </c:pt>
                        <c:pt idx="89">
                          <c:v>718.6</c:v>
                        </c:pt>
                        <c:pt idx="90">
                          <c:v>722.6</c:v>
                        </c:pt>
                        <c:pt idx="91">
                          <c:v>726.7</c:v>
                        </c:pt>
                        <c:pt idx="92">
                          <c:v>730.9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140.2</c:v>
                        </c:pt>
                        <c:pt idx="1">
                          <c:v>187.3</c:v>
                        </c:pt>
                        <c:pt idx="2">
                          <c:v>232</c:v>
                        </c:pt>
                        <c:pt idx="3">
                          <c:v>261.4</c:v>
                        </c:pt>
                        <c:pt idx="4">
                          <c:v>285.2</c:v>
                        </c:pt>
                        <c:pt idx="5">
                          <c:v>305.6</c:v>
                        </c:pt>
                        <c:pt idx="6">
                          <c:v>323.2</c:v>
                        </c:pt>
                        <c:pt idx="7">
                          <c:v>338.6</c:v>
                        </c:pt>
                        <c:pt idx="8">
                          <c:v>351.3</c:v>
                        </c:pt>
                        <c:pt idx="9">
                          <c:v>362.4</c:v>
                        </c:pt>
                        <c:pt idx="10">
                          <c:v>374.1</c:v>
                        </c:pt>
                        <c:pt idx="11">
                          <c:v>387.1</c:v>
                        </c:pt>
                        <c:pt idx="12">
                          <c:v>397.2</c:v>
                        </c:pt>
                        <c:pt idx="13">
                          <c:v>406</c:v>
                        </c:pt>
                        <c:pt idx="14">
                          <c:v>414.7</c:v>
                        </c:pt>
                        <c:pt idx="15">
                          <c:v>424.4</c:v>
                        </c:pt>
                        <c:pt idx="16">
                          <c:v>433.3</c:v>
                        </c:pt>
                        <c:pt idx="17">
                          <c:v>441.2</c:v>
                        </c:pt>
                        <c:pt idx="18">
                          <c:v>448.8</c:v>
                        </c:pt>
                        <c:pt idx="19">
                          <c:v>457.3</c:v>
                        </c:pt>
                        <c:pt idx="20">
                          <c:v>465.4</c:v>
                        </c:pt>
                        <c:pt idx="21">
                          <c:v>472.5</c:v>
                        </c:pt>
                        <c:pt idx="22">
                          <c:v>479.5</c:v>
                        </c:pt>
                        <c:pt idx="23">
                          <c:v>486.9</c:v>
                        </c:pt>
                        <c:pt idx="24">
                          <c:v>494.3</c:v>
                        </c:pt>
                        <c:pt idx="25">
                          <c:v>500.6</c:v>
                        </c:pt>
                        <c:pt idx="26">
                          <c:v>506.4</c:v>
                        </c:pt>
                        <c:pt idx="27">
                          <c:v>512.4</c:v>
                        </c:pt>
                        <c:pt idx="28">
                          <c:v>518.7</c:v>
                        </c:pt>
                        <c:pt idx="29">
                          <c:v>524.4</c:v>
                        </c:pt>
                        <c:pt idx="30">
                          <c:v>529.6</c:v>
                        </c:pt>
                        <c:pt idx="31">
                          <c:v>534.6</c:v>
                        </c:pt>
                        <c:pt idx="32">
                          <c:v>539.3</c:v>
                        </c:pt>
                        <c:pt idx="33">
                          <c:v>543.9</c:v>
                        </c:pt>
                        <c:pt idx="34">
                          <c:v>548.6</c:v>
                        </c:pt>
                        <c:pt idx="35">
                          <c:v>553.1</c:v>
                        </c:pt>
                        <c:pt idx="36">
                          <c:v>557.3</c:v>
                        </c:pt>
                        <c:pt idx="37">
                          <c:v>561.1</c:v>
                        </c:pt>
                        <c:pt idx="38">
                          <c:v>564.8</c:v>
                        </c:pt>
                        <c:pt idx="39">
                          <c:v>568.2</c:v>
                        </c:pt>
                        <c:pt idx="40">
                          <c:v>571.4</c:v>
                        </c:pt>
                        <c:pt idx="41">
                          <c:v>574.6</c:v>
                        </c:pt>
                        <c:pt idx="42">
                          <c:v>577.8</c:v>
                        </c:pt>
                        <c:pt idx="43">
                          <c:v>580.9</c:v>
                        </c:pt>
                        <c:pt idx="44">
                          <c:v>584.1</c:v>
                        </c:pt>
                        <c:pt idx="45">
                          <c:v>587</c:v>
                        </c:pt>
                        <c:pt idx="46">
                          <c:v>590</c:v>
                        </c:pt>
                        <c:pt idx="47">
                          <c:v>592.9</c:v>
                        </c:pt>
                        <c:pt idx="48">
                          <c:v>595.7</c:v>
                        </c:pt>
                        <c:pt idx="49">
                          <c:v>598.6</c:v>
                        </c:pt>
                        <c:pt idx="50">
                          <c:v>601.5</c:v>
                        </c:pt>
                        <c:pt idx="51">
                          <c:v>604.4</c:v>
                        </c:pt>
                        <c:pt idx="52">
                          <c:v>607.4</c:v>
                        </c:pt>
                        <c:pt idx="53">
                          <c:v>610.3</c:v>
                        </c:pt>
                        <c:pt idx="54">
                          <c:v>613.3</c:v>
                        </c:pt>
                        <c:pt idx="55">
                          <c:v>616.3</c:v>
                        </c:pt>
                        <c:pt idx="56">
                          <c:v>619.4</c:v>
                        </c:pt>
                        <c:pt idx="57">
                          <c:v>622.6</c:v>
                        </c:pt>
                        <c:pt idx="58">
                          <c:v>625.7</c:v>
                        </c:pt>
                        <c:pt idx="59">
                          <c:v>628.9</c:v>
                        </c:pt>
                        <c:pt idx="60">
                          <c:v>631.9</c:v>
                        </c:pt>
                        <c:pt idx="61">
                          <c:v>635.1</c:v>
                        </c:pt>
                        <c:pt idx="62">
                          <c:v>638.4</c:v>
                        </c:pt>
                        <c:pt idx="63">
                          <c:v>641.8</c:v>
                        </c:pt>
                        <c:pt idx="64">
                          <c:v>645.4</c:v>
                        </c:pt>
                        <c:pt idx="65">
                          <c:v>648.9</c:v>
                        </c:pt>
                        <c:pt idx="66">
                          <c:v>652.4</c:v>
                        </c:pt>
                        <c:pt idx="67">
                          <c:v>655.8</c:v>
                        </c:pt>
                        <c:pt idx="68">
                          <c:v>659.7</c:v>
                        </c:pt>
                        <c:pt idx="69">
                          <c:v>664.3</c:v>
                        </c:pt>
                        <c:pt idx="70">
                          <c:v>669.1</c:v>
                        </c:pt>
                        <c:pt idx="71">
                          <c:v>673.5</c:v>
                        </c:pt>
                        <c:pt idx="72">
                          <c:v>678.6</c:v>
                        </c:pt>
                        <c:pt idx="73">
                          <c:v>683.9</c:v>
                        </c:pt>
                        <c:pt idx="74">
                          <c:v>689.1</c:v>
                        </c:pt>
                        <c:pt idx="75">
                          <c:v>693.9</c:v>
                        </c:pt>
                        <c:pt idx="76">
                          <c:v>699.8</c:v>
                        </c:pt>
                        <c:pt idx="77">
                          <c:v>705.2</c:v>
                        </c:pt>
                        <c:pt idx="78">
                          <c:v>712.1</c:v>
                        </c:pt>
                        <c:pt idx="79">
                          <c:v>720.3</c:v>
                        </c:pt>
                        <c:pt idx="80">
                          <c:v>733.8</c:v>
                        </c:pt>
                        <c:pt idx="81">
                          <c:v>-</c:v>
                        </c:pt>
                        <c:pt idx="82">
                          <c:v>-</c:v>
                        </c:pt>
                        <c:pt idx="83">
                          <c:v>-</c:v>
                        </c:pt>
                        <c:pt idx="84">
                          <c:v>-</c:v>
                        </c:pt>
                        <c:pt idx="85">
                          <c:v>-</c:v>
                        </c:pt>
                        <c:pt idx="86">
                          <c:v>-</c:v>
                        </c:pt>
                        <c:pt idx="87">
                          <c:v>-</c:v>
                        </c:pt>
                        <c:pt idx="88">
                          <c:v>-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142.1</c:v>
                        </c:pt>
                        <c:pt idx="1">
                          <c:v>173.4</c:v>
                        </c:pt>
                        <c:pt idx="2">
                          <c:v>215</c:v>
                        </c:pt>
                        <c:pt idx="3">
                          <c:v>248.3</c:v>
                        </c:pt>
                        <c:pt idx="4">
                          <c:v>270.7</c:v>
                        </c:pt>
                        <c:pt idx="5">
                          <c:v>291.2</c:v>
                        </c:pt>
                        <c:pt idx="6">
                          <c:v>308.6</c:v>
                        </c:pt>
                        <c:pt idx="7">
                          <c:v>324.2</c:v>
                        </c:pt>
                        <c:pt idx="8">
                          <c:v>338.5</c:v>
                        </c:pt>
                        <c:pt idx="9">
                          <c:v>351.6</c:v>
                        </c:pt>
                        <c:pt idx="10">
                          <c:v>363.5</c:v>
                        </c:pt>
                        <c:pt idx="11">
                          <c:v>374.4</c:v>
                        </c:pt>
                        <c:pt idx="12">
                          <c:v>384.5</c:v>
                        </c:pt>
                        <c:pt idx="13">
                          <c:v>394.2</c:v>
                        </c:pt>
                        <c:pt idx="14">
                          <c:v>404</c:v>
                        </c:pt>
                        <c:pt idx="15">
                          <c:v>413.2</c:v>
                        </c:pt>
                        <c:pt idx="16">
                          <c:v>421.9</c:v>
                        </c:pt>
                        <c:pt idx="17">
                          <c:v>430.1</c:v>
                        </c:pt>
                        <c:pt idx="18">
                          <c:v>438.5</c:v>
                        </c:pt>
                        <c:pt idx="19">
                          <c:v>446.5</c:v>
                        </c:pt>
                        <c:pt idx="20">
                          <c:v>454.4</c:v>
                        </c:pt>
                        <c:pt idx="21">
                          <c:v>462</c:v>
                        </c:pt>
                        <c:pt idx="22">
                          <c:v>469.5</c:v>
                        </c:pt>
                        <c:pt idx="23">
                          <c:v>476.7</c:v>
                        </c:pt>
                        <c:pt idx="24">
                          <c:v>483.7</c:v>
                        </c:pt>
                        <c:pt idx="25">
                          <c:v>490.4</c:v>
                        </c:pt>
                        <c:pt idx="26">
                          <c:v>496.8</c:v>
                        </c:pt>
                        <c:pt idx="27">
                          <c:v>502.6</c:v>
                        </c:pt>
                        <c:pt idx="28">
                          <c:v>508.1</c:v>
                        </c:pt>
                        <c:pt idx="29">
                          <c:v>513.7</c:v>
                        </c:pt>
                        <c:pt idx="30">
                          <c:v>519.1</c:v>
                        </c:pt>
                        <c:pt idx="31">
                          <c:v>524.2</c:v>
                        </c:pt>
                        <c:pt idx="32">
                          <c:v>528.8</c:v>
                        </c:pt>
                        <c:pt idx="33">
                          <c:v>533.2</c:v>
                        </c:pt>
                        <c:pt idx="34">
                          <c:v>537.4</c:v>
                        </c:pt>
                        <c:pt idx="35">
                          <c:v>541.5</c:v>
                        </c:pt>
                        <c:pt idx="36">
                          <c:v>545.3</c:v>
                        </c:pt>
                        <c:pt idx="37">
                          <c:v>549.4</c:v>
                        </c:pt>
                        <c:pt idx="38">
                          <c:v>553.2</c:v>
                        </c:pt>
                        <c:pt idx="39">
                          <c:v>556.9</c:v>
                        </c:pt>
                        <c:pt idx="40">
                          <c:v>560.4</c:v>
                        </c:pt>
                        <c:pt idx="41">
                          <c:v>563.8</c:v>
                        </c:pt>
                        <c:pt idx="42">
                          <c:v>567</c:v>
                        </c:pt>
                        <c:pt idx="43">
                          <c:v>570</c:v>
                        </c:pt>
                        <c:pt idx="44">
                          <c:v>573</c:v>
                        </c:pt>
                        <c:pt idx="45">
                          <c:v>576.1</c:v>
                        </c:pt>
                        <c:pt idx="46">
                          <c:v>579.2</c:v>
                        </c:pt>
                        <c:pt idx="47">
                          <c:v>582.4</c:v>
                        </c:pt>
                        <c:pt idx="48">
                          <c:v>585.5</c:v>
                        </c:pt>
                        <c:pt idx="49">
                          <c:v>588.5</c:v>
                        </c:pt>
                        <c:pt idx="50">
                          <c:v>591.6</c:v>
                        </c:pt>
                        <c:pt idx="51">
                          <c:v>594.7</c:v>
                        </c:pt>
                        <c:pt idx="52">
                          <c:v>597.8</c:v>
                        </c:pt>
                        <c:pt idx="53">
                          <c:v>601</c:v>
                        </c:pt>
                        <c:pt idx="54">
                          <c:v>604.3</c:v>
                        </c:pt>
                        <c:pt idx="55">
                          <c:v>607.6</c:v>
                        </c:pt>
                        <c:pt idx="56">
                          <c:v>610.9</c:v>
                        </c:pt>
                        <c:pt idx="57">
                          <c:v>614.3</c:v>
                        </c:pt>
                        <c:pt idx="58">
                          <c:v>617.8</c:v>
                        </c:pt>
                        <c:pt idx="59">
                          <c:v>621.4</c:v>
                        </c:pt>
                        <c:pt idx="60">
                          <c:v>625</c:v>
                        </c:pt>
                        <c:pt idx="61">
                          <c:v>628.6</c:v>
                        </c:pt>
                        <c:pt idx="62">
                          <c:v>632</c:v>
                        </c:pt>
                        <c:pt idx="63">
                          <c:v>635.5</c:v>
                        </c:pt>
                        <c:pt idx="64">
                          <c:v>639.3</c:v>
                        </c:pt>
                        <c:pt idx="65">
                          <c:v>643.3</c:v>
                        </c:pt>
                        <c:pt idx="66">
                          <c:v>647.4</c:v>
                        </c:pt>
                        <c:pt idx="67">
                          <c:v>651.4</c:v>
                        </c:pt>
                        <c:pt idx="68">
                          <c:v>655.2</c:v>
                        </c:pt>
                        <c:pt idx="69">
                          <c:v>659.4</c:v>
                        </c:pt>
                        <c:pt idx="70">
                          <c:v>664.4</c:v>
                        </c:pt>
                        <c:pt idx="71">
                          <c:v>669.7</c:v>
                        </c:pt>
                        <c:pt idx="72">
                          <c:v>674.4</c:v>
                        </c:pt>
                        <c:pt idx="73">
                          <c:v>680</c:v>
                        </c:pt>
                        <c:pt idx="74">
                          <c:v>685.4</c:v>
                        </c:pt>
                        <c:pt idx="75">
                          <c:v>691</c:v>
                        </c:pt>
                        <c:pt idx="76">
                          <c:v>696</c:v>
                        </c:pt>
                        <c:pt idx="77">
                          <c:v>702.3</c:v>
                        </c:pt>
                        <c:pt idx="78">
                          <c:v>708.5</c:v>
                        </c:pt>
                        <c:pt idx="79">
                          <c:v>716.3</c:v>
                        </c:pt>
                        <c:pt idx="80">
                          <c:v>-</c:v>
                        </c:pt>
                        <c:pt idx="81">
                          <c:v>-</c:v>
                        </c:pt>
                        <c:pt idx="82">
                          <c:v>-</c:v>
                        </c:pt>
                        <c:pt idx="83">
                          <c:v>-</c:v>
                        </c:pt>
                        <c:pt idx="84">
                          <c:v>-</c:v>
                        </c:pt>
                        <c:pt idx="85">
                          <c:v>-</c:v>
                        </c:pt>
                        <c:pt idx="86">
                          <c:v>-</c:v>
                        </c:pt>
                        <c:pt idx="87">
                          <c:v>-</c:v>
                        </c:pt>
                        <c:pt idx="88">
                          <c:v>-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436.7</c:v>
                        </c:pt>
                        <c:pt idx="1">
                          <c:v>499.2</c:v>
                        </c:pt>
                        <c:pt idx="2">
                          <c:v>527.2</c:v>
                        </c:pt>
                        <c:pt idx="3">
                          <c:v>538.6</c:v>
                        </c:pt>
                        <c:pt idx="4">
                          <c:v>546.5</c:v>
                        </c:pt>
                        <c:pt idx="5">
                          <c:v>553.1</c:v>
                        </c:pt>
                        <c:pt idx="6">
                          <c:v>558.5</c:v>
                        </c:pt>
                        <c:pt idx="7">
                          <c:v>563.2</c:v>
                        </c:pt>
                        <c:pt idx="8">
                          <c:v>567.4</c:v>
                        </c:pt>
                        <c:pt idx="9">
                          <c:v>571.1</c:v>
                        </c:pt>
                        <c:pt idx="10">
                          <c:v>574.7</c:v>
                        </c:pt>
                        <c:pt idx="11">
                          <c:v>578.2</c:v>
                        </c:pt>
                        <c:pt idx="12">
                          <c:v>581.7</c:v>
                        </c:pt>
                        <c:pt idx="13">
                          <c:v>585.1</c:v>
                        </c:pt>
                        <c:pt idx="14">
                          <c:v>588.4</c:v>
                        </c:pt>
                        <c:pt idx="15">
                          <c:v>591.6</c:v>
                        </c:pt>
                        <c:pt idx="16">
                          <c:v>594.8</c:v>
                        </c:pt>
                        <c:pt idx="17">
                          <c:v>598</c:v>
                        </c:pt>
                        <c:pt idx="18">
                          <c:v>601.2</c:v>
                        </c:pt>
                        <c:pt idx="19">
                          <c:v>604.6</c:v>
                        </c:pt>
                        <c:pt idx="20">
                          <c:v>607.9</c:v>
                        </c:pt>
                        <c:pt idx="21">
                          <c:v>611.2</c:v>
                        </c:pt>
                        <c:pt idx="22">
                          <c:v>614.5</c:v>
                        </c:pt>
                        <c:pt idx="23">
                          <c:v>618</c:v>
                        </c:pt>
                        <c:pt idx="24">
                          <c:v>621.5</c:v>
                        </c:pt>
                        <c:pt idx="25">
                          <c:v>624.9</c:v>
                        </c:pt>
                        <c:pt idx="26">
                          <c:v>628.4</c:v>
                        </c:pt>
                        <c:pt idx="27">
                          <c:v>631.8</c:v>
                        </c:pt>
                        <c:pt idx="28">
                          <c:v>635.2</c:v>
                        </c:pt>
                        <c:pt idx="29">
                          <c:v>638.8</c:v>
                        </c:pt>
                        <c:pt idx="30">
                          <c:v>642.6</c:v>
                        </c:pt>
                        <c:pt idx="31">
                          <c:v>646.5</c:v>
                        </c:pt>
                        <c:pt idx="32">
                          <c:v>650.2</c:v>
                        </c:pt>
                        <c:pt idx="33">
                          <c:v>654</c:v>
                        </c:pt>
                        <c:pt idx="34">
                          <c:v>657.6</c:v>
                        </c:pt>
                        <c:pt idx="35">
                          <c:v>662.3</c:v>
                        </c:pt>
                        <c:pt idx="36">
                          <c:v>667.3</c:v>
                        </c:pt>
                        <c:pt idx="37">
                          <c:v>672.1</c:v>
                        </c:pt>
                        <c:pt idx="38">
                          <c:v>677.2</c:v>
                        </c:pt>
                        <c:pt idx="39">
                          <c:v>683</c:v>
                        </c:pt>
                        <c:pt idx="40">
                          <c:v>688.5</c:v>
                        </c:pt>
                        <c:pt idx="41">
                          <c:v>693.9</c:v>
                        </c:pt>
                        <c:pt idx="42">
                          <c:v>700.7</c:v>
                        </c:pt>
                        <c:pt idx="43">
                          <c:v>708.3</c:v>
                        </c:pt>
                        <c:pt idx="44">
                          <c:v>721.3</c:v>
                        </c:pt>
                        <c:pt idx="45">
                          <c:v>-</c:v>
                        </c:pt>
                        <c:pt idx="46">
                          <c:v>-</c:v>
                        </c:pt>
                        <c:pt idx="47">
                          <c:v>-</c:v>
                        </c:pt>
                        <c:pt idx="48">
                          <c:v>-</c:v>
                        </c:pt>
                        <c:pt idx="49">
                          <c:v>-</c:v>
                        </c:pt>
                        <c:pt idx="50">
                          <c:v>-</c:v>
                        </c:pt>
                        <c:pt idx="51">
                          <c:v>-</c:v>
                        </c:pt>
                        <c:pt idx="52">
                          <c:v>-</c:v>
                        </c:pt>
                        <c:pt idx="53">
                          <c:v>-</c:v>
                        </c:pt>
                        <c:pt idx="54">
                          <c:v>-</c:v>
                        </c:pt>
                        <c:pt idx="55">
                          <c:v>-</c:v>
                        </c:pt>
                        <c:pt idx="56">
                          <c:v>-</c:v>
                        </c:pt>
                        <c:pt idx="57">
                          <c:v>-</c:v>
                        </c:pt>
                        <c:pt idx="58">
                          <c:v>-</c:v>
                        </c:pt>
                        <c:pt idx="59">
                          <c:v>-</c:v>
                        </c:pt>
                        <c:pt idx="60">
                          <c:v>-</c:v>
                        </c:pt>
                        <c:pt idx="61">
                          <c:v>-</c:v>
                        </c:pt>
                        <c:pt idx="62">
                          <c:v>-</c:v>
                        </c:pt>
                        <c:pt idx="63">
                          <c:v>-</c:v>
                        </c:pt>
                        <c:pt idx="64">
                          <c:v>-</c:v>
                        </c:pt>
                        <c:pt idx="65">
                          <c:v>-</c:v>
                        </c:pt>
                        <c:pt idx="66">
                          <c:v>-</c:v>
                        </c:pt>
                        <c:pt idx="67">
                          <c:v>-</c:v>
                        </c:pt>
                        <c:pt idx="68">
                          <c:v>-</c:v>
                        </c:pt>
                        <c:pt idx="69">
                          <c:v>-</c:v>
                        </c:pt>
                        <c:pt idx="70">
                          <c:v>-</c:v>
                        </c:pt>
                        <c:pt idx="71">
                          <c:v>-</c:v>
                        </c:pt>
                        <c:pt idx="72">
                          <c:v>-</c:v>
                        </c:pt>
                        <c:pt idx="73">
                          <c:v>-</c:v>
                        </c:pt>
                        <c:pt idx="74">
                          <c:v>-</c:v>
                        </c:pt>
                        <c:pt idx="75">
                          <c:v>-</c:v>
                        </c:pt>
                        <c:pt idx="76">
                          <c:v>-</c:v>
                        </c:pt>
                        <c:pt idx="77">
                          <c:v>-</c:v>
                        </c:pt>
                        <c:pt idx="78">
                          <c:v>-</c:v>
                        </c:pt>
                        <c:pt idx="79">
                          <c:v>-</c:v>
                        </c:pt>
                        <c:pt idx="80">
                          <c:v>-</c:v>
                        </c:pt>
                        <c:pt idx="81">
                          <c:v>-</c:v>
                        </c:pt>
                        <c:pt idx="82">
                          <c:v>-</c:v>
                        </c:pt>
                        <c:pt idx="83">
                          <c:v>-</c:v>
                        </c:pt>
                        <c:pt idx="84">
                          <c:v>-</c:v>
                        </c:pt>
                        <c:pt idx="85">
                          <c:v>-</c:v>
                        </c:pt>
                        <c:pt idx="86">
                          <c:v>-</c:v>
                        </c:pt>
                        <c:pt idx="87">
                          <c:v>-</c:v>
                        </c:pt>
                        <c:pt idx="88">
                          <c:v>-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462.3</c:v>
                        </c:pt>
                        <c:pt idx="1">
                          <c:v>528.9</c:v>
                        </c:pt>
                        <c:pt idx="2">
                          <c:v>546.9</c:v>
                        </c:pt>
                        <c:pt idx="3">
                          <c:v>555.2</c:v>
                        </c:pt>
                        <c:pt idx="4">
                          <c:v>561</c:v>
                        </c:pt>
                        <c:pt idx="5">
                          <c:v>565.7</c:v>
                        </c:pt>
                        <c:pt idx="6">
                          <c:v>569.7</c:v>
                        </c:pt>
                        <c:pt idx="7">
                          <c:v>573.2</c:v>
                        </c:pt>
                        <c:pt idx="8">
                          <c:v>576.7</c:v>
                        </c:pt>
                        <c:pt idx="9">
                          <c:v>580.1</c:v>
                        </c:pt>
                        <c:pt idx="10">
                          <c:v>583.4</c:v>
                        </c:pt>
                        <c:pt idx="11">
                          <c:v>586.6</c:v>
                        </c:pt>
                        <c:pt idx="12">
                          <c:v>589.6</c:v>
                        </c:pt>
                        <c:pt idx="13">
                          <c:v>592.6</c:v>
                        </c:pt>
                        <c:pt idx="14">
                          <c:v>595.6</c:v>
                        </c:pt>
                        <c:pt idx="15">
                          <c:v>598.5</c:v>
                        </c:pt>
                        <c:pt idx="16">
                          <c:v>601.4</c:v>
                        </c:pt>
                        <c:pt idx="17">
                          <c:v>604.4</c:v>
                        </c:pt>
                        <c:pt idx="18">
                          <c:v>607.3</c:v>
                        </c:pt>
                        <c:pt idx="19">
                          <c:v>610.2</c:v>
                        </c:pt>
                        <c:pt idx="20">
                          <c:v>613.1</c:v>
                        </c:pt>
                        <c:pt idx="21">
                          <c:v>616.1</c:v>
                        </c:pt>
                        <c:pt idx="22">
                          <c:v>619.2</c:v>
                        </c:pt>
                        <c:pt idx="23">
                          <c:v>622.3</c:v>
                        </c:pt>
                        <c:pt idx="24">
                          <c:v>625.3</c:v>
                        </c:pt>
                        <c:pt idx="25">
                          <c:v>628.4</c:v>
                        </c:pt>
                        <c:pt idx="26">
                          <c:v>631.4</c:v>
                        </c:pt>
                        <c:pt idx="27">
                          <c:v>634.4</c:v>
                        </c:pt>
                        <c:pt idx="28">
                          <c:v>637.5</c:v>
                        </c:pt>
                        <c:pt idx="29">
                          <c:v>640.8</c:v>
                        </c:pt>
                        <c:pt idx="30">
                          <c:v>644.2</c:v>
                        </c:pt>
                        <c:pt idx="31">
                          <c:v>647.6</c:v>
                        </c:pt>
                        <c:pt idx="32">
                          <c:v>650.9</c:v>
                        </c:pt>
                        <c:pt idx="33">
                          <c:v>654.2</c:v>
                        </c:pt>
                        <c:pt idx="34">
                          <c:v>657.5</c:v>
                        </c:pt>
                        <c:pt idx="35">
                          <c:v>661.5</c:v>
                        </c:pt>
                        <c:pt idx="36">
                          <c:v>665.8</c:v>
                        </c:pt>
                        <c:pt idx="37">
                          <c:v>670.3</c:v>
                        </c:pt>
                        <c:pt idx="38">
                          <c:v>674.2</c:v>
                        </c:pt>
                        <c:pt idx="39">
                          <c:v>679.2</c:v>
                        </c:pt>
                        <c:pt idx="40">
                          <c:v>683.9</c:v>
                        </c:pt>
                        <c:pt idx="41">
                          <c:v>688.5</c:v>
                        </c:pt>
                        <c:pt idx="42">
                          <c:v>693</c:v>
                        </c:pt>
                        <c:pt idx="43">
                          <c:v>697.8</c:v>
                        </c:pt>
                        <c:pt idx="44">
                          <c:v>702.9</c:v>
                        </c:pt>
                        <c:pt idx="45">
                          <c:v>708.2</c:v>
                        </c:pt>
                        <c:pt idx="46">
                          <c:v>715.3</c:v>
                        </c:pt>
                        <c:pt idx="47">
                          <c:v>724.1</c:v>
                        </c:pt>
                        <c:pt idx="48">
                          <c:v>-</c:v>
                        </c:pt>
                        <c:pt idx="49">
                          <c:v>-</c:v>
                        </c:pt>
                        <c:pt idx="50">
                          <c:v>-</c:v>
                        </c:pt>
                        <c:pt idx="51">
                          <c:v>-</c:v>
                        </c:pt>
                        <c:pt idx="52">
                          <c:v>-</c:v>
                        </c:pt>
                        <c:pt idx="53">
                          <c:v>-</c:v>
                        </c:pt>
                        <c:pt idx="54">
                          <c:v>-</c:v>
                        </c:pt>
                        <c:pt idx="55">
                          <c:v>-</c:v>
                        </c:pt>
                        <c:pt idx="56">
                          <c:v>-</c:v>
                        </c:pt>
                        <c:pt idx="57">
                          <c:v>-</c:v>
                        </c:pt>
                        <c:pt idx="58">
                          <c:v>-</c:v>
                        </c:pt>
                        <c:pt idx="59">
                          <c:v>-</c:v>
                        </c:pt>
                        <c:pt idx="60">
                          <c:v>-</c:v>
                        </c:pt>
                        <c:pt idx="61">
                          <c:v>-</c:v>
                        </c:pt>
                        <c:pt idx="62">
                          <c:v>-</c:v>
                        </c:pt>
                        <c:pt idx="63">
                          <c:v>-</c:v>
                        </c:pt>
                        <c:pt idx="64">
                          <c:v>-</c:v>
                        </c:pt>
                        <c:pt idx="65">
                          <c:v>-</c:v>
                        </c:pt>
                        <c:pt idx="66">
                          <c:v>-</c:v>
                        </c:pt>
                        <c:pt idx="67">
                          <c:v>-</c:v>
                        </c:pt>
                        <c:pt idx="68">
                          <c:v>-</c:v>
                        </c:pt>
                        <c:pt idx="69">
                          <c:v>-</c:v>
                        </c:pt>
                        <c:pt idx="70">
                          <c:v>-</c:v>
                        </c:pt>
                        <c:pt idx="71">
                          <c:v>-</c:v>
                        </c:pt>
                        <c:pt idx="72">
                          <c:v>-</c:v>
                        </c:pt>
                        <c:pt idx="73">
                          <c:v>-</c:v>
                        </c:pt>
                        <c:pt idx="74">
                          <c:v>-</c:v>
                        </c:pt>
                        <c:pt idx="75">
                          <c:v>-</c:v>
                        </c:pt>
                        <c:pt idx="76">
                          <c:v>-</c:v>
                        </c:pt>
                        <c:pt idx="77">
                          <c:v>-</c:v>
                        </c:pt>
                        <c:pt idx="78">
                          <c:v>-</c:v>
                        </c:pt>
                        <c:pt idx="79">
                          <c:v>-</c:v>
                        </c:pt>
                        <c:pt idx="80">
                          <c:v>-</c:v>
                        </c:pt>
                        <c:pt idx="81">
                          <c:v>-</c:v>
                        </c:pt>
                        <c:pt idx="82">
                          <c:v>-</c:v>
                        </c:pt>
                        <c:pt idx="83">
                          <c:v>-</c:v>
                        </c:pt>
                        <c:pt idx="84">
                          <c:v>-</c:v>
                        </c:pt>
                        <c:pt idx="85">
                          <c:v>-</c:v>
                        </c:pt>
                        <c:pt idx="86">
                          <c:v>-</c:v>
                        </c:pt>
                        <c:pt idx="87">
                          <c:v>-</c:v>
                        </c:pt>
                        <c:pt idx="88">
                          <c:v>-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375.98</c:v>
                        </c:pt>
                        <c:pt idx="1">
                          <c:v>402</c:v>
                        </c:pt>
                        <c:pt idx="2">
                          <c:v>422</c:v>
                        </c:pt>
                        <c:pt idx="3">
                          <c:v>462</c:v>
                        </c:pt>
                        <c:pt idx="4">
                          <c:v>489</c:v>
                        </c:pt>
                        <c:pt idx="5">
                          <c:v>510</c:v>
                        </c:pt>
                        <c:pt idx="6">
                          <c:v>518</c:v>
                        </c:pt>
                        <c:pt idx="7">
                          <c:v>525</c:v>
                        </c:pt>
                        <c:pt idx="8">
                          <c:v>533</c:v>
                        </c:pt>
                        <c:pt idx="9">
                          <c:v>538</c:v>
                        </c:pt>
                        <c:pt idx="10">
                          <c:v>543.5</c:v>
                        </c:pt>
                        <c:pt idx="11">
                          <c:v>548</c:v>
                        </c:pt>
                        <c:pt idx="12">
                          <c:v>553</c:v>
                        </c:pt>
                        <c:pt idx="13">
                          <c:v>556</c:v>
                        </c:pt>
                        <c:pt idx="14">
                          <c:v>560</c:v>
                        </c:pt>
                        <c:pt idx="15">
                          <c:v>563</c:v>
                        </c:pt>
                        <c:pt idx="16">
                          <c:v>566</c:v>
                        </c:pt>
                        <c:pt idx="17">
                          <c:v>569</c:v>
                        </c:pt>
                        <c:pt idx="18">
                          <c:v>572</c:v>
                        </c:pt>
                        <c:pt idx="19">
                          <c:v>575</c:v>
                        </c:pt>
                        <c:pt idx="20">
                          <c:v>578</c:v>
                        </c:pt>
                        <c:pt idx="21">
                          <c:v>581</c:v>
                        </c:pt>
                        <c:pt idx="22">
                          <c:v>584</c:v>
                        </c:pt>
                        <c:pt idx="23">
                          <c:v>587</c:v>
                        </c:pt>
                        <c:pt idx="24">
                          <c:v>590</c:v>
                        </c:pt>
                        <c:pt idx="25">
                          <c:v>593</c:v>
                        </c:pt>
                        <c:pt idx="26">
                          <c:v>595</c:v>
                        </c:pt>
                        <c:pt idx="27">
                          <c:v>598</c:v>
                        </c:pt>
                        <c:pt idx="28">
                          <c:v>600</c:v>
                        </c:pt>
                        <c:pt idx="29">
                          <c:v>602</c:v>
                        </c:pt>
                        <c:pt idx="30">
                          <c:v>606</c:v>
                        </c:pt>
                        <c:pt idx="31">
                          <c:v>609</c:v>
                        </c:pt>
                        <c:pt idx="32">
                          <c:v>611</c:v>
                        </c:pt>
                        <c:pt idx="33">
                          <c:v>614</c:v>
                        </c:pt>
                        <c:pt idx="34">
                          <c:v>617</c:v>
                        </c:pt>
                        <c:pt idx="35">
                          <c:v>620</c:v>
                        </c:pt>
                        <c:pt idx="36">
                          <c:v>622</c:v>
                        </c:pt>
                        <c:pt idx="37">
                          <c:v>626</c:v>
                        </c:pt>
                        <c:pt idx="38">
                          <c:v>630</c:v>
                        </c:pt>
                        <c:pt idx="39">
                          <c:v>632</c:v>
                        </c:pt>
                        <c:pt idx="40">
                          <c:v>635</c:v>
                        </c:pt>
                        <c:pt idx="41">
                          <c:v>638</c:v>
                        </c:pt>
                        <c:pt idx="42">
                          <c:v>641</c:v>
                        </c:pt>
                        <c:pt idx="43">
                          <c:v>644</c:v>
                        </c:pt>
                        <c:pt idx="44">
                          <c:v>647</c:v>
                        </c:pt>
                        <c:pt idx="45">
                          <c:v>650</c:v>
                        </c:pt>
                        <c:pt idx="46">
                          <c:v>654</c:v>
                        </c:pt>
                        <c:pt idx="47">
                          <c:v>657</c:v>
                        </c:pt>
                        <c:pt idx="48">
                          <c:v>661</c:v>
                        </c:pt>
                        <c:pt idx="49">
                          <c:v>664</c:v>
                        </c:pt>
                        <c:pt idx="50">
                          <c:v>667</c:v>
                        </c:pt>
                        <c:pt idx="51">
                          <c:v>671</c:v>
                        </c:pt>
                        <c:pt idx="52">
                          <c:v>675</c:v>
                        </c:pt>
                        <c:pt idx="53">
                          <c:v>678</c:v>
                        </c:pt>
                        <c:pt idx="54">
                          <c:v>682</c:v>
                        </c:pt>
                        <c:pt idx="55">
                          <c:v>687</c:v>
                        </c:pt>
                        <c:pt idx="56">
                          <c:v>691</c:v>
                        </c:pt>
                        <c:pt idx="57">
                          <c:v>694</c:v>
                        </c:pt>
                        <c:pt idx="58">
                          <c:v>698</c:v>
                        </c:pt>
                        <c:pt idx="59">
                          <c:v>702</c:v>
                        </c:pt>
                        <c:pt idx="60">
                          <c:v>705</c:v>
                        </c:pt>
                        <c:pt idx="61">
                          <c:v>708</c:v>
                        </c:pt>
                        <c:pt idx="62">
                          <c:v>713</c:v>
                        </c:pt>
                        <c:pt idx="63">
                          <c:v>718</c:v>
                        </c:pt>
                        <c:pt idx="64">
                          <c:v>720</c:v>
                        </c:pt>
                        <c:pt idx="65">
                          <c:v>-</c:v>
                        </c:pt>
                        <c:pt idx="66">
                          <c:v>-</c:v>
                        </c:pt>
                        <c:pt idx="67">
                          <c:v>-</c:v>
                        </c:pt>
                        <c:pt idx="68">
                          <c:v>-</c:v>
                        </c:pt>
                        <c:pt idx="69">
                          <c:v>-</c:v>
                        </c:pt>
                        <c:pt idx="70">
                          <c:v>-</c:v>
                        </c:pt>
                        <c:pt idx="71">
                          <c:v>-</c:v>
                        </c:pt>
                        <c:pt idx="72">
                          <c:v>-</c:v>
                        </c:pt>
                        <c:pt idx="73">
                          <c:v>-</c:v>
                        </c:pt>
                        <c:pt idx="74">
                          <c:v>-</c:v>
                        </c:pt>
                        <c:pt idx="75">
                          <c:v>-</c:v>
                        </c:pt>
                        <c:pt idx="76">
                          <c:v>-</c:v>
                        </c:pt>
                        <c:pt idx="77">
                          <c:v>-</c:v>
                        </c:pt>
                        <c:pt idx="78">
                          <c:v>-</c:v>
                        </c:pt>
                        <c:pt idx="79">
                          <c:v>-</c:v>
                        </c:pt>
                        <c:pt idx="80">
                          <c:v>-</c:v>
                        </c:pt>
                        <c:pt idx="81">
                          <c:v>-</c:v>
                        </c:pt>
                        <c:pt idx="82">
                          <c:v>-</c:v>
                        </c:pt>
                        <c:pt idx="83">
                          <c:v>-</c:v>
                        </c:pt>
                        <c:pt idx="84">
                          <c:v>-</c:v>
                        </c:pt>
                        <c:pt idx="85">
                          <c:v>-</c:v>
                        </c:pt>
                        <c:pt idx="86">
                          <c:v>-</c:v>
                        </c:pt>
                        <c:pt idx="87">
                          <c:v>-</c:v>
                        </c:pt>
                        <c:pt idx="88">
                          <c:v>-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560</c:v>
                        </c:pt>
                        <c:pt idx="1">
                          <c:v>560</c:v>
                        </c:pt>
                        <c:pt idx="2">
                          <c:v>560</c:v>
                        </c:pt>
                        <c:pt idx="3">
                          <c:v>560</c:v>
                        </c:pt>
                        <c:pt idx="4">
                          <c:v>560</c:v>
                        </c:pt>
                        <c:pt idx="5">
                          <c:v>560</c:v>
                        </c:pt>
                        <c:pt idx="6">
                          <c:v>560</c:v>
                        </c:pt>
                        <c:pt idx="7">
                          <c:v>560</c:v>
                        </c:pt>
                        <c:pt idx="8">
                          <c:v>560</c:v>
                        </c:pt>
                        <c:pt idx="9">
                          <c:v>560</c:v>
                        </c:pt>
                        <c:pt idx="10">
                          <c:v>560</c:v>
                        </c:pt>
                        <c:pt idx="11">
                          <c:v>560</c:v>
                        </c:pt>
                        <c:pt idx="12">
                          <c:v>560</c:v>
                        </c:pt>
                        <c:pt idx="13">
                          <c:v>560</c:v>
                        </c:pt>
                        <c:pt idx="14">
                          <c:v>560</c:v>
                        </c:pt>
                        <c:pt idx="15">
                          <c:v>560</c:v>
                        </c:pt>
                        <c:pt idx="16">
                          <c:v>560</c:v>
                        </c:pt>
                        <c:pt idx="17">
                          <c:v>560</c:v>
                        </c:pt>
                        <c:pt idx="18">
                          <c:v>560</c:v>
                        </c:pt>
                        <c:pt idx="19">
                          <c:v>560</c:v>
                        </c:pt>
                        <c:pt idx="20">
                          <c:v>560</c:v>
                        </c:pt>
                        <c:pt idx="21">
                          <c:v>560</c:v>
                        </c:pt>
                        <c:pt idx="22">
                          <c:v>560</c:v>
                        </c:pt>
                        <c:pt idx="23">
                          <c:v>560</c:v>
                        </c:pt>
                        <c:pt idx="24">
                          <c:v>560</c:v>
                        </c:pt>
                        <c:pt idx="25">
                          <c:v>560</c:v>
                        </c:pt>
                        <c:pt idx="26">
                          <c:v>560</c:v>
                        </c:pt>
                        <c:pt idx="27">
                          <c:v>560</c:v>
                        </c:pt>
                        <c:pt idx="28">
                          <c:v>560</c:v>
                        </c:pt>
                        <c:pt idx="29">
                          <c:v>560</c:v>
                        </c:pt>
                        <c:pt idx="30">
                          <c:v>560</c:v>
                        </c:pt>
                        <c:pt idx="31">
                          <c:v>560</c:v>
                        </c:pt>
                        <c:pt idx="32">
                          <c:v>560</c:v>
                        </c:pt>
                        <c:pt idx="33">
                          <c:v>560</c:v>
                        </c:pt>
                        <c:pt idx="34">
                          <c:v>560</c:v>
                        </c:pt>
                        <c:pt idx="35">
                          <c:v>560</c:v>
                        </c:pt>
                        <c:pt idx="36">
                          <c:v>560</c:v>
                        </c:pt>
                        <c:pt idx="37">
                          <c:v>560</c:v>
                        </c:pt>
                        <c:pt idx="38">
                          <c:v>560</c:v>
                        </c:pt>
                        <c:pt idx="39">
                          <c:v>560</c:v>
                        </c:pt>
                        <c:pt idx="40">
                          <c:v>560</c:v>
                        </c:pt>
                        <c:pt idx="41">
                          <c:v>560</c:v>
                        </c:pt>
                        <c:pt idx="42">
                          <c:v>560</c:v>
                        </c:pt>
                        <c:pt idx="43">
                          <c:v>560</c:v>
                        </c:pt>
                        <c:pt idx="44">
                          <c:v>560</c:v>
                        </c:pt>
                        <c:pt idx="45">
                          <c:v>560</c:v>
                        </c:pt>
                        <c:pt idx="46">
                          <c:v>560</c:v>
                        </c:pt>
                        <c:pt idx="47">
                          <c:v>560</c:v>
                        </c:pt>
                        <c:pt idx="48">
                          <c:v>560</c:v>
                        </c:pt>
                        <c:pt idx="49">
                          <c:v>560</c:v>
                        </c:pt>
                        <c:pt idx="50">
                          <c:v>560</c:v>
                        </c:pt>
                        <c:pt idx="51">
                          <c:v>560</c:v>
                        </c:pt>
                        <c:pt idx="52">
                          <c:v>560</c:v>
                        </c:pt>
                        <c:pt idx="53">
                          <c:v>560</c:v>
                        </c:pt>
                        <c:pt idx="54">
                          <c:v>560</c:v>
                        </c:pt>
                        <c:pt idx="55">
                          <c:v>560</c:v>
                        </c:pt>
                        <c:pt idx="56">
                          <c:v>560</c:v>
                        </c:pt>
                        <c:pt idx="57">
                          <c:v>560</c:v>
                        </c:pt>
                        <c:pt idx="58">
                          <c:v>560</c:v>
                        </c:pt>
                        <c:pt idx="59">
                          <c:v>560</c:v>
                        </c:pt>
                        <c:pt idx="60">
                          <c:v>560</c:v>
                        </c:pt>
                        <c:pt idx="61">
                          <c:v>560</c:v>
                        </c:pt>
                        <c:pt idx="62">
                          <c:v>560</c:v>
                        </c:pt>
                        <c:pt idx="63">
                          <c:v>560</c:v>
                        </c:pt>
                        <c:pt idx="64">
                          <c:v>560</c:v>
                        </c:pt>
                        <c:pt idx="65">
                          <c:v>560</c:v>
                        </c:pt>
                        <c:pt idx="66">
                          <c:v>560</c:v>
                        </c:pt>
                        <c:pt idx="67">
                          <c:v>560</c:v>
                        </c:pt>
                        <c:pt idx="68">
                          <c:v>560</c:v>
                        </c:pt>
                        <c:pt idx="69">
                          <c:v>560</c:v>
                        </c:pt>
                        <c:pt idx="70">
                          <c:v>560</c:v>
                        </c:pt>
                        <c:pt idx="71">
                          <c:v>560</c:v>
                        </c:pt>
                        <c:pt idx="72">
                          <c:v>560</c:v>
                        </c:pt>
                        <c:pt idx="73">
                          <c:v>560</c:v>
                        </c:pt>
                        <c:pt idx="74">
                          <c:v>560</c:v>
                        </c:pt>
                        <c:pt idx="75">
                          <c:v>560</c:v>
                        </c:pt>
                        <c:pt idx="76">
                          <c:v>560</c:v>
                        </c:pt>
                        <c:pt idx="77">
                          <c:v>560</c:v>
                        </c:pt>
                        <c:pt idx="78">
                          <c:v>560</c:v>
                        </c:pt>
                        <c:pt idx="79">
                          <c:v>560</c:v>
                        </c:pt>
                        <c:pt idx="80">
                          <c:v>560</c:v>
                        </c:pt>
                        <c:pt idx="81">
                          <c:v>560</c:v>
                        </c:pt>
                        <c:pt idx="82">
                          <c:v>560</c:v>
                        </c:pt>
                        <c:pt idx="83">
                          <c:v>560</c:v>
                        </c:pt>
                        <c:pt idx="84">
                          <c:v>560</c:v>
                        </c:pt>
                        <c:pt idx="85">
                          <c:v>560</c:v>
                        </c:pt>
                        <c:pt idx="86">
                          <c:v>560</c:v>
                        </c:pt>
                        <c:pt idx="87">
                          <c:v>560</c:v>
                        </c:pt>
                        <c:pt idx="88">
                          <c:v>560</c:v>
                        </c:pt>
                        <c:pt idx="89">
                          <c:v>560</c:v>
                        </c:pt>
                        <c:pt idx="90">
                          <c:v>560</c:v>
                        </c:pt>
                        <c:pt idx="91">
                          <c:v>560</c:v>
                        </c:pt>
                        <c:pt idx="92">
                          <c:v>560</c:v>
                        </c:pt>
                        <c:pt idx="93">
                          <c:v>560</c:v>
                        </c:pt>
                        <c:pt idx="94">
                          <c:v>560</c:v>
                        </c:pt>
                        <c:pt idx="95">
                          <c:v>560</c:v>
                        </c:pt>
                        <c:pt idx="96">
                          <c:v>560</c:v>
                        </c:pt>
                        <c:pt idx="97">
                          <c:v>560</c:v>
                        </c:pt>
                        <c:pt idx="98">
                          <c:v>560</c:v>
                        </c:pt>
                        <c:pt idx="99">
                          <c:v>560</c:v>
                        </c:pt>
                        <c:pt idx="100">
                          <c:v>560</c:v>
                        </c:pt>
                      </c:lvl>
                      <c:lvl>
                        <c:pt idx="0">
                          <c:v>500</c:v>
                        </c:pt>
                        <c:pt idx="1">
                          <c:v>500</c:v>
                        </c:pt>
                        <c:pt idx="2">
                          <c:v>500</c:v>
                        </c:pt>
                        <c:pt idx="3">
                          <c:v>500</c:v>
                        </c:pt>
                        <c:pt idx="4">
                          <c:v>500</c:v>
                        </c:pt>
                        <c:pt idx="5">
                          <c:v>500</c:v>
                        </c:pt>
                        <c:pt idx="6">
                          <c:v>500</c:v>
                        </c:pt>
                        <c:pt idx="7">
                          <c:v>500</c:v>
                        </c:pt>
                        <c:pt idx="8">
                          <c:v>500</c:v>
                        </c:pt>
                        <c:pt idx="9">
                          <c:v>500</c:v>
                        </c:pt>
                        <c:pt idx="10">
                          <c:v>500</c:v>
                        </c:pt>
                        <c:pt idx="11">
                          <c:v>500</c:v>
                        </c:pt>
                        <c:pt idx="12">
                          <c:v>500</c:v>
                        </c:pt>
                        <c:pt idx="13">
                          <c:v>500</c:v>
                        </c:pt>
                        <c:pt idx="14">
                          <c:v>500</c:v>
                        </c:pt>
                        <c:pt idx="15">
                          <c:v>500</c:v>
                        </c:pt>
                        <c:pt idx="16">
                          <c:v>500</c:v>
                        </c:pt>
                        <c:pt idx="17">
                          <c:v>500</c:v>
                        </c:pt>
                        <c:pt idx="18">
                          <c:v>500</c:v>
                        </c:pt>
                        <c:pt idx="19">
                          <c:v>500</c:v>
                        </c:pt>
                        <c:pt idx="20">
                          <c:v>500</c:v>
                        </c:pt>
                        <c:pt idx="21">
                          <c:v>500</c:v>
                        </c:pt>
                        <c:pt idx="22">
                          <c:v>500</c:v>
                        </c:pt>
                        <c:pt idx="23">
                          <c:v>500</c:v>
                        </c:pt>
                        <c:pt idx="24">
                          <c:v>500</c:v>
                        </c:pt>
                        <c:pt idx="25">
                          <c:v>500</c:v>
                        </c:pt>
                        <c:pt idx="26">
                          <c:v>500</c:v>
                        </c:pt>
                        <c:pt idx="27">
                          <c:v>500</c:v>
                        </c:pt>
                        <c:pt idx="28">
                          <c:v>500</c:v>
                        </c:pt>
                        <c:pt idx="29">
                          <c:v>500</c:v>
                        </c:pt>
                        <c:pt idx="30">
                          <c:v>500</c:v>
                        </c:pt>
                        <c:pt idx="31">
                          <c:v>500</c:v>
                        </c:pt>
                        <c:pt idx="32">
                          <c:v>500</c:v>
                        </c:pt>
                        <c:pt idx="33">
                          <c:v>500</c:v>
                        </c:pt>
                        <c:pt idx="34">
                          <c:v>500</c:v>
                        </c:pt>
                        <c:pt idx="35">
                          <c:v>500</c:v>
                        </c:pt>
                        <c:pt idx="36">
                          <c:v>500</c:v>
                        </c:pt>
                        <c:pt idx="37">
                          <c:v>500</c:v>
                        </c:pt>
                        <c:pt idx="38">
                          <c:v>500</c:v>
                        </c:pt>
                        <c:pt idx="39">
                          <c:v>500</c:v>
                        </c:pt>
                        <c:pt idx="40">
                          <c:v>500</c:v>
                        </c:pt>
                        <c:pt idx="41">
                          <c:v>500</c:v>
                        </c:pt>
                        <c:pt idx="42">
                          <c:v>500</c:v>
                        </c:pt>
                        <c:pt idx="43">
                          <c:v>500</c:v>
                        </c:pt>
                        <c:pt idx="44">
                          <c:v>500</c:v>
                        </c:pt>
                        <c:pt idx="45">
                          <c:v>500</c:v>
                        </c:pt>
                        <c:pt idx="46">
                          <c:v>500</c:v>
                        </c:pt>
                        <c:pt idx="47">
                          <c:v>500</c:v>
                        </c:pt>
                        <c:pt idx="48">
                          <c:v>500</c:v>
                        </c:pt>
                        <c:pt idx="49">
                          <c:v>500</c:v>
                        </c:pt>
                        <c:pt idx="50">
                          <c:v>500</c:v>
                        </c:pt>
                        <c:pt idx="51">
                          <c:v>500</c:v>
                        </c:pt>
                        <c:pt idx="52">
                          <c:v>500</c:v>
                        </c:pt>
                        <c:pt idx="53">
                          <c:v>500</c:v>
                        </c:pt>
                        <c:pt idx="54">
                          <c:v>500</c:v>
                        </c:pt>
                        <c:pt idx="55">
                          <c:v>500</c:v>
                        </c:pt>
                        <c:pt idx="56">
                          <c:v>500</c:v>
                        </c:pt>
                        <c:pt idx="57">
                          <c:v>500</c:v>
                        </c:pt>
                        <c:pt idx="58">
                          <c:v>500</c:v>
                        </c:pt>
                        <c:pt idx="59">
                          <c:v>500</c:v>
                        </c:pt>
                        <c:pt idx="60">
                          <c:v>500</c:v>
                        </c:pt>
                        <c:pt idx="61">
                          <c:v>500</c:v>
                        </c:pt>
                        <c:pt idx="62">
                          <c:v>500</c:v>
                        </c:pt>
                        <c:pt idx="63">
                          <c:v>500</c:v>
                        </c:pt>
                        <c:pt idx="64">
                          <c:v>500</c:v>
                        </c:pt>
                        <c:pt idx="65">
                          <c:v>500</c:v>
                        </c:pt>
                        <c:pt idx="66">
                          <c:v>500</c:v>
                        </c:pt>
                        <c:pt idx="67">
                          <c:v>500</c:v>
                        </c:pt>
                        <c:pt idx="68">
                          <c:v>500</c:v>
                        </c:pt>
                        <c:pt idx="69">
                          <c:v>500</c:v>
                        </c:pt>
                        <c:pt idx="70">
                          <c:v>500</c:v>
                        </c:pt>
                        <c:pt idx="71">
                          <c:v>500</c:v>
                        </c:pt>
                        <c:pt idx="72">
                          <c:v>500</c:v>
                        </c:pt>
                        <c:pt idx="73">
                          <c:v>500</c:v>
                        </c:pt>
                        <c:pt idx="74">
                          <c:v>500</c:v>
                        </c:pt>
                        <c:pt idx="75">
                          <c:v>500</c:v>
                        </c:pt>
                        <c:pt idx="76">
                          <c:v>500</c:v>
                        </c:pt>
                        <c:pt idx="77">
                          <c:v>500</c:v>
                        </c:pt>
                        <c:pt idx="78">
                          <c:v>500</c:v>
                        </c:pt>
                        <c:pt idx="79">
                          <c:v>500</c:v>
                        </c:pt>
                        <c:pt idx="80">
                          <c:v>500</c:v>
                        </c:pt>
                        <c:pt idx="81">
                          <c:v>500</c:v>
                        </c:pt>
                        <c:pt idx="82">
                          <c:v>500</c:v>
                        </c:pt>
                        <c:pt idx="83">
                          <c:v>500</c:v>
                        </c:pt>
                        <c:pt idx="84">
                          <c:v>500</c:v>
                        </c:pt>
                        <c:pt idx="85">
                          <c:v>500</c:v>
                        </c:pt>
                        <c:pt idx="86">
                          <c:v>500</c:v>
                        </c:pt>
                        <c:pt idx="87">
                          <c:v>500</c:v>
                        </c:pt>
                        <c:pt idx="88">
                          <c:v>500</c:v>
                        </c:pt>
                        <c:pt idx="89">
                          <c:v>500</c:v>
                        </c:pt>
                        <c:pt idx="90">
                          <c:v>500</c:v>
                        </c:pt>
                        <c:pt idx="91">
                          <c:v>500</c:v>
                        </c:pt>
                        <c:pt idx="92">
                          <c:v>500</c:v>
                        </c:pt>
                        <c:pt idx="93">
                          <c:v>500</c:v>
                        </c:pt>
                        <c:pt idx="94">
                          <c:v>500</c:v>
                        </c:pt>
                        <c:pt idx="95">
                          <c:v>500</c:v>
                        </c:pt>
                        <c:pt idx="96">
                          <c:v>500</c:v>
                        </c:pt>
                        <c:pt idx="97">
                          <c:v>500</c:v>
                        </c:pt>
                        <c:pt idx="98">
                          <c:v>500</c:v>
                        </c:pt>
                        <c:pt idx="99">
                          <c:v>500</c:v>
                        </c:pt>
                        <c:pt idx="100">
                          <c:v>500</c:v>
                        </c:pt>
                      </c:lvl>
                      <c:lvl>
                        <c:pt idx="0">
                          <c:v>0</c:v>
                        </c:pt>
                        <c:pt idx="1">
                          <c:v>1</c:v>
                        </c:pt>
                        <c:pt idx="2">
                          <c:v>2</c:v>
                        </c:pt>
                        <c:pt idx="3">
                          <c:v>3</c:v>
                        </c:pt>
                        <c:pt idx="4">
                          <c:v>4</c:v>
                        </c:pt>
                        <c:pt idx="5">
                          <c:v>5</c:v>
                        </c:pt>
                        <c:pt idx="6">
                          <c:v>6</c:v>
                        </c:pt>
                        <c:pt idx="7">
                          <c:v>7</c:v>
                        </c:pt>
                        <c:pt idx="8">
                          <c:v>8</c:v>
                        </c:pt>
                        <c:pt idx="9">
                          <c:v>9</c:v>
                        </c:pt>
                        <c:pt idx="10">
                          <c:v>10</c:v>
                        </c:pt>
                        <c:pt idx="11">
                          <c:v>11</c:v>
                        </c:pt>
                        <c:pt idx="12">
                          <c:v>12</c:v>
                        </c:pt>
                        <c:pt idx="13">
                          <c:v>13</c:v>
                        </c:pt>
                        <c:pt idx="14">
                          <c:v>14</c:v>
                        </c:pt>
                        <c:pt idx="15">
                          <c:v>15</c:v>
                        </c:pt>
                        <c:pt idx="16">
                          <c:v>16</c:v>
                        </c:pt>
                        <c:pt idx="17">
                          <c:v>17</c:v>
                        </c:pt>
                        <c:pt idx="18">
                          <c:v>18</c:v>
                        </c:pt>
                        <c:pt idx="19">
                          <c:v>19</c:v>
                        </c:pt>
                        <c:pt idx="20">
                          <c:v>20</c:v>
                        </c:pt>
                        <c:pt idx="21">
                          <c:v>21</c:v>
                        </c:pt>
                        <c:pt idx="22">
                          <c:v>22</c:v>
                        </c:pt>
                        <c:pt idx="23">
                          <c:v>23</c:v>
                        </c:pt>
                        <c:pt idx="24">
                          <c:v>24</c:v>
                        </c:pt>
                        <c:pt idx="25">
                          <c:v>25</c:v>
                        </c:pt>
                        <c:pt idx="26">
                          <c:v>26</c:v>
                        </c:pt>
                        <c:pt idx="27">
                          <c:v>27</c:v>
                        </c:pt>
                        <c:pt idx="28">
                          <c:v>28</c:v>
                        </c:pt>
                        <c:pt idx="29">
                          <c:v>29</c:v>
                        </c:pt>
                        <c:pt idx="30">
                          <c:v>30</c:v>
                        </c:pt>
                        <c:pt idx="31">
                          <c:v>31</c:v>
                        </c:pt>
                        <c:pt idx="32">
                          <c:v>32</c:v>
                        </c:pt>
                        <c:pt idx="33">
                          <c:v>33</c:v>
                        </c:pt>
                        <c:pt idx="34">
                          <c:v>34</c:v>
                        </c:pt>
                        <c:pt idx="35">
                          <c:v>35</c:v>
                        </c:pt>
                        <c:pt idx="36">
                          <c:v>36</c:v>
                        </c:pt>
                        <c:pt idx="37">
                          <c:v>37</c:v>
                        </c:pt>
                        <c:pt idx="38">
                          <c:v>38</c:v>
                        </c:pt>
                        <c:pt idx="39">
                          <c:v>39</c:v>
                        </c:pt>
                        <c:pt idx="40">
                          <c:v>40</c:v>
                        </c:pt>
                        <c:pt idx="41">
                          <c:v>41</c:v>
                        </c:pt>
                        <c:pt idx="42">
                          <c:v>42</c:v>
                        </c:pt>
                        <c:pt idx="43">
                          <c:v>43</c:v>
                        </c:pt>
                        <c:pt idx="44">
                          <c:v>44</c:v>
                        </c:pt>
                        <c:pt idx="45">
                          <c:v>45</c:v>
                        </c:pt>
                        <c:pt idx="46">
                          <c:v>46</c:v>
                        </c:pt>
                        <c:pt idx="47">
                          <c:v>47</c:v>
                        </c:pt>
                        <c:pt idx="48">
                          <c:v>48</c:v>
                        </c:pt>
                        <c:pt idx="49">
                          <c:v>49</c:v>
                        </c:pt>
                        <c:pt idx="50">
                          <c:v>50</c:v>
                        </c:pt>
                        <c:pt idx="51">
                          <c:v>51</c:v>
                        </c:pt>
                        <c:pt idx="52">
                          <c:v>52</c:v>
                        </c:pt>
                        <c:pt idx="53">
                          <c:v>53</c:v>
                        </c:pt>
                        <c:pt idx="54">
                          <c:v>54</c:v>
                        </c:pt>
                        <c:pt idx="55">
                          <c:v>55</c:v>
                        </c:pt>
                        <c:pt idx="56">
                          <c:v>56</c:v>
                        </c:pt>
                        <c:pt idx="57">
                          <c:v>57</c:v>
                        </c:pt>
                        <c:pt idx="58">
                          <c:v>58</c:v>
                        </c:pt>
                        <c:pt idx="59">
                          <c:v>59</c:v>
                        </c:pt>
                        <c:pt idx="60">
                          <c:v>60</c:v>
                        </c:pt>
                        <c:pt idx="61">
                          <c:v>61</c:v>
                        </c:pt>
                        <c:pt idx="62">
                          <c:v>62</c:v>
                        </c:pt>
                        <c:pt idx="63">
                          <c:v>63</c:v>
                        </c:pt>
                        <c:pt idx="64">
                          <c:v>64</c:v>
                        </c:pt>
                        <c:pt idx="65">
                          <c:v>65</c:v>
                        </c:pt>
                        <c:pt idx="66">
                          <c:v>66</c:v>
                        </c:pt>
                        <c:pt idx="67">
                          <c:v>67</c:v>
                        </c:pt>
                        <c:pt idx="68">
                          <c:v>68</c:v>
                        </c:pt>
                        <c:pt idx="69">
                          <c:v>69</c:v>
                        </c:pt>
                        <c:pt idx="70">
                          <c:v>70</c:v>
                        </c:pt>
                        <c:pt idx="71">
                          <c:v>71</c:v>
                        </c:pt>
                        <c:pt idx="72">
                          <c:v>72</c:v>
                        </c:pt>
                        <c:pt idx="73">
                          <c:v>73</c:v>
                        </c:pt>
                        <c:pt idx="74">
                          <c:v>74</c:v>
                        </c:pt>
                        <c:pt idx="75">
                          <c:v>75</c:v>
                        </c:pt>
                        <c:pt idx="76">
                          <c:v>76</c:v>
                        </c:pt>
                        <c:pt idx="77">
                          <c:v>77</c:v>
                        </c:pt>
                        <c:pt idx="78">
                          <c:v>78</c:v>
                        </c:pt>
                        <c:pt idx="79">
                          <c:v>79</c:v>
                        </c:pt>
                        <c:pt idx="80">
                          <c:v>80</c:v>
                        </c:pt>
                        <c:pt idx="81">
                          <c:v>81</c:v>
                        </c:pt>
                        <c:pt idx="82">
                          <c:v>82</c:v>
                        </c:pt>
                        <c:pt idx="83">
                          <c:v>83</c:v>
                        </c:pt>
                        <c:pt idx="84">
                          <c:v>84</c:v>
                        </c:pt>
                        <c:pt idx="85">
                          <c:v>85</c:v>
                        </c:pt>
                        <c:pt idx="86">
                          <c:v>86</c:v>
                        </c:pt>
                        <c:pt idx="87">
                          <c:v>87</c:v>
                        </c:pt>
                        <c:pt idx="88">
                          <c:v>88</c:v>
                        </c:pt>
                        <c:pt idx="89">
                          <c:v>89</c:v>
                        </c:pt>
                        <c:pt idx="90">
                          <c:v>90</c:v>
                        </c:pt>
                        <c:pt idx="91">
                          <c:v>91</c:v>
                        </c:pt>
                        <c:pt idx="92">
                          <c:v>92</c:v>
                        </c:pt>
                        <c:pt idx="93">
                          <c:v>93</c:v>
                        </c:pt>
                        <c:pt idx="94">
                          <c:v>94</c:v>
                        </c:pt>
                        <c:pt idx="95">
                          <c:v>95</c:v>
                        </c:pt>
                        <c:pt idx="96">
                          <c:v>96</c:v>
                        </c:pt>
                        <c:pt idx="97">
                          <c:v>97</c:v>
                        </c:pt>
                        <c:pt idx="98">
                          <c:v>98</c:v>
                        </c:pt>
                        <c:pt idx="99">
                          <c:v>99</c:v>
                        </c:pt>
                        <c:pt idx="100">
                          <c:v>100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Comparing'!$Y$10:$Y$110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BA5C-4395-9C78-B97C184E9CD7}"/>
                  </c:ext>
                </c:extLst>
              </c15:ser>
            </c15:filteredScatterSeries>
          </c:ext>
        </c:extLst>
      </c:scatterChart>
      <c:valAx>
        <c:axId val="1611948943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%wt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934063"/>
        <c:crosses val="autoZero"/>
        <c:crossBetween val="midCat"/>
        <c:majorUnit val="5"/>
      </c:valAx>
      <c:valAx>
        <c:axId val="16119340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Boiling Temp (deg.C)</a:t>
                </a:r>
              </a:p>
            </c:rich>
          </c:tx>
          <c:layout>
            <c:manualLayout>
              <c:xMode val="edge"/>
              <c:yMode val="edge"/>
              <c:x val="3.6279909515466682E-2"/>
              <c:y val="0.306334503046594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948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75607562603333189"/>
          <c:y val="0.37361098795536835"/>
          <c:w val="0.11724917440729837"/>
          <c:h val="0.236325472688988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D5 1ST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Comparing'!$N$116:$N$213</c:f>
              <c:numCache>
                <c:formatCode>General</c:formatCode>
                <c:ptCount val="98"/>
                <c:pt idx="0">
                  <c:v>83.8</c:v>
                </c:pt>
                <c:pt idx="1">
                  <c:v>120.1</c:v>
                </c:pt>
                <c:pt idx="2">
                  <c:v>152.69999999999999</c:v>
                </c:pt>
                <c:pt idx="3">
                  <c:v>175.8</c:v>
                </c:pt>
                <c:pt idx="4">
                  <c:v>191.3</c:v>
                </c:pt>
                <c:pt idx="5">
                  <c:v>205.8</c:v>
                </c:pt>
                <c:pt idx="6">
                  <c:v>216.5</c:v>
                </c:pt>
                <c:pt idx="7">
                  <c:v>229.2</c:v>
                </c:pt>
                <c:pt idx="8">
                  <c:v>237.9</c:v>
                </c:pt>
                <c:pt idx="9">
                  <c:v>247.6</c:v>
                </c:pt>
                <c:pt idx="10">
                  <c:v>256.10000000000002</c:v>
                </c:pt>
                <c:pt idx="11">
                  <c:v>264.8</c:v>
                </c:pt>
                <c:pt idx="12">
                  <c:v>272.7</c:v>
                </c:pt>
                <c:pt idx="13">
                  <c:v>281</c:v>
                </c:pt>
                <c:pt idx="14">
                  <c:v>288.3</c:v>
                </c:pt>
                <c:pt idx="15">
                  <c:v>296.10000000000002</c:v>
                </c:pt>
                <c:pt idx="16">
                  <c:v>303.2</c:v>
                </c:pt>
                <c:pt idx="17">
                  <c:v>310.3</c:v>
                </c:pt>
                <c:pt idx="18">
                  <c:v>316.89999999999998</c:v>
                </c:pt>
                <c:pt idx="19">
                  <c:v>323.60000000000002</c:v>
                </c:pt>
                <c:pt idx="20">
                  <c:v>330.4</c:v>
                </c:pt>
                <c:pt idx="21">
                  <c:v>336</c:v>
                </c:pt>
                <c:pt idx="22">
                  <c:v>342.3</c:v>
                </c:pt>
                <c:pt idx="23">
                  <c:v>347.3</c:v>
                </c:pt>
                <c:pt idx="24">
                  <c:v>352.9</c:v>
                </c:pt>
                <c:pt idx="25">
                  <c:v>357.5</c:v>
                </c:pt>
                <c:pt idx="26">
                  <c:v>363.2</c:v>
                </c:pt>
                <c:pt idx="27">
                  <c:v>368.4</c:v>
                </c:pt>
                <c:pt idx="28">
                  <c:v>374.4</c:v>
                </c:pt>
                <c:pt idx="29">
                  <c:v>381.3</c:v>
                </c:pt>
                <c:pt idx="30">
                  <c:v>387.3</c:v>
                </c:pt>
                <c:pt idx="31">
                  <c:v>393.2</c:v>
                </c:pt>
                <c:pt idx="32">
                  <c:v>397.9</c:v>
                </c:pt>
                <c:pt idx="33">
                  <c:v>403</c:v>
                </c:pt>
                <c:pt idx="34">
                  <c:v>407.7</c:v>
                </c:pt>
                <c:pt idx="35">
                  <c:v>412.7</c:v>
                </c:pt>
                <c:pt idx="36">
                  <c:v>418.2</c:v>
                </c:pt>
                <c:pt idx="37">
                  <c:v>424</c:v>
                </c:pt>
                <c:pt idx="38">
                  <c:v>429.3</c:v>
                </c:pt>
                <c:pt idx="39">
                  <c:v>434.6</c:v>
                </c:pt>
                <c:pt idx="40">
                  <c:v>439.3</c:v>
                </c:pt>
                <c:pt idx="41">
                  <c:v>444.2</c:v>
                </c:pt>
                <c:pt idx="42">
                  <c:v>449</c:v>
                </c:pt>
                <c:pt idx="43">
                  <c:v>454.5</c:v>
                </c:pt>
                <c:pt idx="44">
                  <c:v>459.7</c:v>
                </c:pt>
                <c:pt idx="45">
                  <c:v>465</c:v>
                </c:pt>
                <c:pt idx="46">
                  <c:v>470.1</c:v>
                </c:pt>
                <c:pt idx="47">
                  <c:v>474.9</c:v>
                </c:pt>
                <c:pt idx="48">
                  <c:v>479.9</c:v>
                </c:pt>
                <c:pt idx="49">
                  <c:v>485</c:v>
                </c:pt>
                <c:pt idx="50">
                  <c:v>490.4</c:v>
                </c:pt>
                <c:pt idx="51">
                  <c:v>495.8</c:v>
                </c:pt>
                <c:pt idx="52">
                  <c:v>500.3</c:v>
                </c:pt>
                <c:pt idx="53">
                  <c:v>504.8</c:v>
                </c:pt>
                <c:pt idx="54">
                  <c:v>509.4</c:v>
                </c:pt>
                <c:pt idx="55">
                  <c:v>514.5</c:v>
                </c:pt>
                <c:pt idx="56">
                  <c:v>519.70000000000005</c:v>
                </c:pt>
                <c:pt idx="57">
                  <c:v>524.5</c:v>
                </c:pt>
                <c:pt idx="58">
                  <c:v>529.1</c:v>
                </c:pt>
                <c:pt idx="59">
                  <c:v>533.6</c:v>
                </c:pt>
                <c:pt idx="60">
                  <c:v>538</c:v>
                </c:pt>
                <c:pt idx="61">
                  <c:v>542.5</c:v>
                </c:pt>
                <c:pt idx="62">
                  <c:v>547</c:v>
                </c:pt>
                <c:pt idx="63">
                  <c:v>551.6</c:v>
                </c:pt>
                <c:pt idx="64">
                  <c:v>556.20000000000005</c:v>
                </c:pt>
                <c:pt idx="65">
                  <c:v>560.4</c:v>
                </c:pt>
                <c:pt idx="66">
                  <c:v>564.5</c:v>
                </c:pt>
                <c:pt idx="67">
                  <c:v>568.4</c:v>
                </c:pt>
                <c:pt idx="68">
                  <c:v>572.1</c:v>
                </c:pt>
                <c:pt idx="69">
                  <c:v>575.9</c:v>
                </c:pt>
                <c:pt idx="70">
                  <c:v>579.70000000000005</c:v>
                </c:pt>
                <c:pt idx="71">
                  <c:v>583.5</c:v>
                </c:pt>
                <c:pt idx="72">
                  <c:v>587.29999999999995</c:v>
                </c:pt>
                <c:pt idx="73">
                  <c:v>591</c:v>
                </c:pt>
                <c:pt idx="74">
                  <c:v>594.79999999999995</c:v>
                </c:pt>
                <c:pt idx="75">
                  <c:v>598.5</c:v>
                </c:pt>
                <c:pt idx="76">
                  <c:v>602.4</c:v>
                </c:pt>
                <c:pt idx="77">
                  <c:v>606.29999999999995</c:v>
                </c:pt>
                <c:pt idx="78">
                  <c:v>610.29999999999995</c:v>
                </c:pt>
                <c:pt idx="79">
                  <c:v>614.4</c:v>
                </c:pt>
                <c:pt idx="80">
                  <c:v>618.6</c:v>
                </c:pt>
                <c:pt idx="81">
                  <c:v>623</c:v>
                </c:pt>
                <c:pt idx="82">
                  <c:v>627.29999999999995</c:v>
                </c:pt>
                <c:pt idx="83">
                  <c:v>631.70000000000005</c:v>
                </c:pt>
                <c:pt idx="84">
                  <c:v>636.20000000000005</c:v>
                </c:pt>
                <c:pt idx="85">
                  <c:v>641.1</c:v>
                </c:pt>
                <c:pt idx="86">
                  <c:v>646.29999999999995</c:v>
                </c:pt>
                <c:pt idx="87">
                  <c:v>651.4</c:v>
                </c:pt>
                <c:pt idx="88">
                  <c:v>656.4</c:v>
                </c:pt>
                <c:pt idx="89">
                  <c:v>662.9</c:v>
                </c:pt>
                <c:pt idx="90">
                  <c:v>670.2</c:v>
                </c:pt>
                <c:pt idx="91">
                  <c:v>677.2</c:v>
                </c:pt>
                <c:pt idx="92">
                  <c:v>685.2</c:v>
                </c:pt>
                <c:pt idx="93">
                  <c:v>692.9</c:v>
                </c:pt>
                <c:pt idx="94">
                  <c:v>701.1</c:v>
                </c:pt>
                <c:pt idx="95">
                  <c:v>709.2</c:v>
                </c:pt>
                <c:pt idx="96">
                  <c:v>718.8</c:v>
                </c:pt>
                <c:pt idx="97">
                  <c:v>729.2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C1-4DBC-B2E1-09987C014495}"/>
            </c:ext>
          </c:extLst>
        </c:ser>
        <c:ser>
          <c:idx val="1"/>
          <c:order val="1"/>
          <c:tx>
            <c:v>D5 2ND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Comparing'!$N$10:$N$98</c:f>
              <c:numCache>
                <c:formatCode>General</c:formatCode>
                <c:ptCount val="89"/>
                <c:pt idx="0">
                  <c:v>95.5</c:v>
                </c:pt>
                <c:pt idx="1">
                  <c:v>125.7</c:v>
                </c:pt>
                <c:pt idx="2">
                  <c:v>155.6</c:v>
                </c:pt>
                <c:pt idx="3">
                  <c:v>174.7</c:v>
                </c:pt>
                <c:pt idx="4">
                  <c:v>190.5</c:v>
                </c:pt>
                <c:pt idx="5">
                  <c:v>203.2</c:v>
                </c:pt>
                <c:pt idx="6">
                  <c:v>216</c:v>
                </c:pt>
                <c:pt idx="7">
                  <c:v>226</c:v>
                </c:pt>
                <c:pt idx="8">
                  <c:v>235.1</c:v>
                </c:pt>
                <c:pt idx="9">
                  <c:v>245.2</c:v>
                </c:pt>
                <c:pt idx="10">
                  <c:v>253.3</c:v>
                </c:pt>
                <c:pt idx="11">
                  <c:v>262.5</c:v>
                </c:pt>
                <c:pt idx="12">
                  <c:v>270.2</c:v>
                </c:pt>
                <c:pt idx="13">
                  <c:v>278.8</c:v>
                </c:pt>
                <c:pt idx="14">
                  <c:v>286.39999999999998</c:v>
                </c:pt>
                <c:pt idx="15">
                  <c:v>294.10000000000002</c:v>
                </c:pt>
                <c:pt idx="16">
                  <c:v>301</c:v>
                </c:pt>
                <c:pt idx="17">
                  <c:v>308</c:v>
                </c:pt>
                <c:pt idx="18">
                  <c:v>314.89999999999998</c:v>
                </c:pt>
                <c:pt idx="19">
                  <c:v>321.3</c:v>
                </c:pt>
                <c:pt idx="20">
                  <c:v>328.2</c:v>
                </c:pt>
                <c:pt idx="21">
                  <c:v>334.2</c:v>
                </c:pt>
                <c:pt idx="22">
                  <c:v>340.8</c:v>
                </c:pt>
                <c:pt idx="23">
                  <c:v>346.4</c:v>
                </c:pt>
                <c:pt idx="24">
                  <c:v>352.3</c:v>
                </c:pt>
                <c:pt idx="25">
                  <c:v>357.5</c:v>
                </c:pt>
                <c:pt idx="26">
                  <c:v>363.2</c:v>
                </c:pt>
                <c:pt idx="27">
                  <c:v>368.5</c:v>
                </c:pt>
                <c:pt idx="28">
                  <c:v>375.1</c:v>
                </c:pt>
                <c:pt idx="29">
                  <c:v>381.5</c:v>
                </c:pt>
                <c:pt idx="30">
                  <c:v>388.2</c:v>
                </c:pt>
                <c:pt idx="31">
                  <c:v>393.9</c:v>
                </c:pt>
                <c:pt idx="32">
                  <c:v>399.4</c:v>
                </c:pt>
                <c:pt idx="33">
                  <c:v>404.7</c:v>
                </c:pt>
                <c:pt idx="34">
                  <c:v>410</c:v>
                </c:pt>
                <c:pt idx="35">
                  <c:v>415.6</c:v>
                </c:pt>
                <c:pt idx="36">
                  <c:v>421</c:v>
                </c:pt>
                <c:pt idx="37">
                  <c:v>427</c:v>
                </c:pt>
                <c:pt idx="38">
                  <c:v>432.5</c:v>
                </c:pt>
                <c:pt idx="39">
                  <c:v>438.1</c:v>
                </c:pt>
                <c:pt idx="40">
                  <c:v>443.3</c:v>
                </c:pt>
                <c:pt idx="41">
                  <c:v>448.5</c:v>
                </c:pt>
                <c:pt idx="42">
                  <c:v>454.3</c:v>
                </c:pt>
                <c:pt idx="43">
                  <c:v>459.9</c:v>
                </c:pt>
                <c:pt idx="44">
                  <c:v>465.4</c:v>
                </c:pt>
                <c:pt idx="45">
                  <c:v>471</c:v>
                </c:pt>
                <c:pt idx="46">
                  <c:v>476.4</c:v>
                </c:pt>
                <c:pt idx="47">
                  <c:v>481.9</c:v>
                </c:pt>
                <c:pt idx="48">
                  <c:v>487.5</c:v>
                </c:pt>
                <c:pt idx="49">
                  <c:v>493.2</c:v>
                </c:pt>
                <c:pt idx="50">
                  <c:v>498.4</c:v>
                </c:pt>
                <c:pt idx="51">
                  <c:v>503.4</c:v>
                </c:pt>
                <c:pt idx="52">
                  <c:v>508.3</c:v>
                </c:pt>
                <c:pt idx="53">
                  <c:v>513.70000000000005</c:v>
                </c:pt>
                <c:pt idx="54">
                  <c:v>519.1</c:v>
                </c:pt>
                <c:pt idx="55">
                  <c:v>524.20000000000005</c:v>
                </c:pt>
                <c:pt idx="56">
                  <c:v>529.1</c:v>
                </c:pt>
                <c:pt idx="57">
                  <c:v>533.9</c:v>
                </c:pt>
                <c:pt idx="58">
                  <c:v>538.70000000000005</c:v>
                </c:pt>
                <c:pt idx="59">
                  <c:v>543.29999999999995</c:v>
                </c:pt>
                <c:pt idx="60">
                  <c:v>548.1</c:v>
                </c:pt>
                <c:pt idx="61">
                  <c:v>552.79999999999995</c:v>
                </c:pt>
                <c:pt idx="62">
                  <c:v>557.4</c:v>
                </c:pt>
                <c:pt idx="63">
                  <c:v>561.79999999999995</c:v>
                </c:pt>
                <c:pt idx="64">
                  <c:v>566.1</c:v>
                </c:pt>
                <c:pt idx="65">
                  <c:v>570.20000000000005</c:v>
                </c:pt>
                <c:pt idx="66">
                  <c:v>574.20000000000005</c:v>
                </c:pt>
                <c:pt idx="67">
                  <c:v>578.5</c:v>
                </c:pt>
                <c:pt idx="68">
                  <c:v>582.9</c:v>
                </c:pt>
                <c:pt idx="69">
                  <c:v>587.20000000000005</c:v>
                </c:pt>
                <c:pt idx="70">
                  <c:v>591.6</c:v>
                </c:pt>
                <c:pt idx="71">
                  <c:v>596</c:v>
                </c:pt>
                <c:pt idx="72">
                  <c:v>600.5</c:v>
                </c:pt>
                <c:pt idx="73">
                  <c:v>605.29999999999995</c:v>
                </c:pt>
                <c:pt idx="74">
                  <c:v>610.29999999999995</c:v>
                </c:pt>
                <c:pt idx="75">
                  <c:v>615.29999999999995</c:v>
                </c:pt>
                <c:pt idx="76">
                  <c:v>620.9</c:v>
                </c:pt>
                <c:pt idx="77">
                  <c:v>626.4</c:v>
                </c:pt>
                <c:pt idx="78">
                  <c:v>632.1</c:v>
                </c:pt>
                <c:pt idx="79">
                  <c:v>638</c:v>
                </c:pt>
                <c:pt idx="80">
                  <c:v>644.6</c:v>
                </c:pt>
                <c:pt idx="81">
                  <c:v>651.6</c:v>
                </c:pt>
                <c:pt idx="82">
                  <c:v>658.6</c:v>
                </c:pt>
                <c:pt idx="83">
                  <c:v>667.9</c:v>
                </c:pt>
                <c:pt idx="84">
                  <c:v>677.4</c:v>
                </c:pt>
                <c:pt idx="85">
                  <c:v>688.1</c:v>
                </c:pt>
                <c:pt idx="86">
                  <c:v>698.6</c:v>
                </c:pt>
                <c:pt idx="87">
                  <c:v>709.6</c:v>
                </c:pt>
                <c:pt idx="88">
                  <c:v>722.6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C1-4DBC-B2E1-09987C014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080384"/>
        <c:axId val="1502075104"/>
      </c:scatterChart>
      <c:valAx>
        <c:axId val="150208038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075104"/>
        <c:crosses val="autoZero"/>
        <c:crossBetween val="midCat"/>
      </c:valAx>
      <c:valAx>
        <c:axId val="150207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080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D6 1ST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Comparing'!$O$116:$O$208</c:f>
              <c:numCache>
                <c:formatCode>General</c:formatCode>
                <c:ptCount val="93"/>
                <c:pt idx="0">
                  <c:v>96.6</c:v>
                </c:pt>
                <c:pt idx="1">
                  <c:v>124.3</c:v>
                </c:pt>
                <c:pt idx="2">
                  <c:v>152.1</c:v>
                </c:pt>
                <c:pt idx="3">
                  <c:v>173.7</c:v>
                </c:pt>
                <c:pt idx="4">
                  <c:v>191.4</c:v>
                </c:pt>
                <c:pt idx="5">
                  <c:v>205.2</c:v>
                </c:pt>
                <c:pt idx="6">
                  <c:v>218.2</c:v>
                </c:pt>
                <c:pt idx="7">
                  <c:v>229.6</c:v>
                </c:pt>
                <c:pt idx="8">
                  <c:v>239.8</c:v>
                </c:pt>
                <c:pt idx="9">
                  <c:v>250.7</c:v>
                </c:pt>
                <c:pt idx="10">
                  <c:v>260</c:v>
                </c:pt>
                <c:pt idx="11">
                  <c:v>269.8</c:v>
                </c:pt>
                <c:pt idx="12">
                  <c:v>278.8</c:v>
                </c:pt>
                <c:pt idx="13">
                  <c:v>287</c:v>
                </c:pt>
                <c:pt idx="14">
                  <c:v>295.8</c:v>
                </c:pt>
                <c:pt idx="15">
                  <c:v>303</c:v>
                </c:pt>
                <c:pt idx="16">
                  <c:v>311.39999999999998</c:v>
                </c:pt>
                <c:pt idx="17">
                  <c:v>318.3</c:v>
                </c:pt>
                <c:pt idx="18">
                  <c:v>326.39999999999998</c:v>
                </c:pt>
                <c:pt idx="19">
                  <c:v>333.1</c:v>
                </c:pt>
                <c:pt idx="20">
                  <c:v>340.8</c:v>
                </c:pt>
                <c:pt idx="21">
                  <c:v>347.4</c:v>
                </c:pt>
                <c:pt idx="22">
                  <c:v>354.7</c:v>
                </c:pt>
                <c:pt idx="23">
                  <c:v>360.8</c:v>
                </c:pt>
                <c:pt idx="24">
                  <c:v>367.9</c:v>
                </c:pt>
                <c:pt idx="25">
                  <c:v>373.9</c:v>
                </c:pt>
                <c:pt idx="26">
                  <c:v>380</c:v>
                </c:pt>
                <c:pt idx="27">
                  <c:v>386.5</c:v>
                </c:pt>
                <c:pt idx="28">
                  <c:v>392.4</c:v>
                </c:pt>
                <c:pt idx="29">
                  <c:v>398.9</c:v>
                </c:pt>
                <c:pt idx="30">
                  <c:v>404.9</c:v>
                </c:pt>
                <c:pt idx="31">
                  <c:v>411.2</c:v>
                </c:pt>
                <c:pt idx="32">
                  <c:v>416.8</c:v>
                </c:pt>
                <c:pt idx="33">
                  <c:v>422.2</c:v>
                </c:pt>
                <c:pt idx="34">
                  <c:v>428.1</c:v>
                </c:pt>
                <c:pt idx="35">
                  <c:v>433.6</c:v>
                </c:pt>
                <c:pt idx="36">
                  <c:v>439.5</c:v>
                </c:pt>
                <c:pt idx="37">
                  <c:v>445</c:v>
                </c:pt>
                <c:pt idx="38">
                  <c:v>450.4</c:v>
                </c:pt>
                <c:pt idx="39">
                  <c:v>456.3</c:v>
                </c:pt>
                <c:pt idx="40">
                  <c:v>461.8</c:v>
                </c:pt>
                <c:pt idx="41">
                  <c:v>467.4</c:v>
                </c:pt>
                <c:pt idx="42">
                  <c:v>473</c:v>
                </c:pt>
                <c:pt idx="43">
                  <c:v>478.6</c:v>
                </c:pt>
                <c:pt idx="44">
                  <c:v>484.1</c:v>
                </c:pt>
                <c:pt idx="45">
                  <c:v>489.7</c:v>
                </c:pt>
                <c:pt idx="46">
                  <c:v>495.3</c:v>
                </c:pt>
                <c:pt idx="47">
                  <c:v>500.3</c:v>
                </c:pt>
                <c:pt idx="48">
                  <c:v>505.2</c:v>
                </c:pt>
                <c:pt idx="49">
                  <c:v>510.2</c:v>
                </c:pt>
                <c:pt idx="50">
                  <c:v>515.5</c:v>
                </c:pt>
                <c:pt idx="51">
                  <c:v>520.79999999999995</c:v>
                </c:pt>
                <c:pt idx="52">
                  <c:v>525.70000000000005</c:v>
                </c:pt>
                <c:pt idx="53">
                  <c:v>530.4</c:v>
                </c:pt>
                <c:pt idx="54">
                  <c:v>535.1</c:v>
                </c:pt>
                <c:pt idx="55">
                  <c:v>539.6</c:v>
                </c:pt>
                <c:pt idx="56">
                  <c:v>544.1</c:v>
                </c:pt>
                <c:pt idx="57">
                  <c:v>548.5</c:v>
                </c:pt>
                <c:pt idx="58">
                  <c:v>553</c:v>
                </c:pt>
                <c:pt idx="59">
                  <c:v>557.29999999999995</c:v>
                </c:pt>
                <c:pt idx="60">
                  <c:v>561.4</c:v>
                </c:pt>
                <c:pt idx="61">
                  <c:v>565.29999999999995</c:v>
                </c:pt>
                <c:pt idx="62">
                  <c:v>569</c:v>
                </c:pt>
                <c:pt idx="63">
                  <c:v>572.5</c:v>
                </c:pt>
                <c:pt idx="64">
                  <c:v>576.20000000000005</c:v>
                </c:pt>
                <c:pt idx="65">
                  <c:v>580</c:v>
                </c:pt>
                <c:pt idx="66">
                  <c:v>583.70000000000005</c:v>
                </c:pt>
                <c:pt idx="67">
                  <c:v>587.5</c:v>
                </c:pt>
                <c:pt idx="68">
                  <c:v>591.29999999999995</c:v>
                </c:pt>
                <c:pt idx="69">
                  <c:v>595</c:v>
                </c:pt>
                <c:pt idx="70">
                  <c:v>598.70000000000005</c:v>
                </c:pt>
                <c:pt idx="71">
                  <c:v>602.6</c:v>
                </c:pt>
                <c:pt idx="72">
                  <c:v>606.70000000000005</c:v>
                </c:pt>
                <c:pt idx="73">
                  <c:v>610.79999999999995</c:v>
                </c:pt>
                <c:pt idx="74">
                  <c:v>614.9</c:v>
                </c:pt>
                <c:pt idx="75">
                  <c:v>619.4</c:v>
                </c:pt>
                <c:pt idx="76">
                  <c:v>623.9</c:v>
                </c:pt>
                <c:pt idx="77">
                  <c:v>628.5</c:v>
                </c:pt>
                <c:pt idx="78">
                  <c:v>633</c:v>
                </c:pt>
                <c:pt idx="79">
                  <c:v>637.9</c:v>
                </c:pt>
                <c:pt idx="80">
                  <c:v>643.20000000000005</c:v>
                </c:pt>
                <c:pt idx="81">
                  <c:v>648.70000000000005</c:v>
                </c:pt>
                <c:pt idx="82">
                  <c:v>654.1</c:v>
                </c:pt>
                <c:pt idx="83">
                  <c:v>659.8</c:v>
                </c:pt>
                <c:pt idx="84">
                  <c:v>667</c:v>
                </c:pt>
                <c:pt idx="85">
                  <c:v>673.9</c:v>
                </c:pt>
                <c:pt idx="86">
                  <c:v>682.1</c:v>
                </c:pt>
                <c:pt idx="87">
                  <c:v>689.8</c:v>
                </c:pt>
                <c:pt idx="88">
                  <c:v>697</c:v>
                </c:pt>
                <c:pt idx="89">
                  <c:v>705</c:v>
                </c:pt>
                <c:pt idx="90">
                  <c:v>713.3</c:v>
                </c:pt>
                <c:pt idx="91">
                  <c:v>721.8</c:v>
                </c:pt>
                <c:pt idx="92">
                  <c:v>730.5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C1-4DBC-B2E1-09987C014495}"/>
            </c:ext>
          </c:extLst>
        </c:ser>
        <c:ser>
          <c:idx val="1"/>
          <c:order val="1"/>
          <c:tx>
            <c:v>D6 2ND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Comparing'!$O$10:$O$97</c:f>
              <c:numCache>
                <c:formatCode>General</c:formatCode>
                <c:ptCount val="88"/>
                <c:pt idx="0">
                  <c:v>110.4</c:v>
                </c:pt>
                <c:pt idx="1">
                  <c:v>133.4</c:v>
                </c:pt>
                <c:pt idx="2">
                  <c:v>162.30000000000001</c:v>
                </c:pt>
                <c:pt idx="3">
                  <c:v>180.8</c:v>
                </c:pt>
                <c:pt idx="4">
                  <c:v>196.7</c:v>
                </c:pt>
                <c:pt idx="5">
                  <c:v>211.2</c:v>
                </c:pt>
                <c:pt idx="6">
                  <c:v>222.6</c:v>
                </c:pt>
                <c:pt idx="7">
                  <c:v>234</c:v>
                </c:pt>
                <c:pt idx="8">
                  <c:v>244.8</c:v>
                </c:pt>
                <c:pt idx="9">
                  <c:v>253.6</c:v>
                </c:pt>
                <c:pt idx="10">
                  <c:v>264</c:v>
                </c:pt>
                <c:pt idx="11">
                  <c:v>273.10000000000002</c:v>
                </c:pt>
                <c:pt idx="12">
                  <c:v>283</c:v>
                </c:pt>
                <c:pt idx="13">
                  <c:v>291.5</c:v>
                </c:pt>
                <c:pt idx="14">
                  <c:v>299.39999999999998</c:v>
                </c:pt>
                <c:pt idx="15">
                  <c:v>306.89999999999998</c:v>
                </c:pt>
                <c:pt idx="16">
                  <c:v>314.2</c:v>
                </c:pt>
                <c:pt idx="17">
                  <c:v>321.7</c:v>
                </c:pt>
                <c:pt idx="18">
                  <c:v>328.5</c:v>
                </c:pt>
                <c:pt idx="19">
                  <c:v>336.2</c:v>
                </c:pt>
                <c:pt idx="20">
                  <c:v>342.6</c:v>
                </c:pt>
                <c:pt idx="21">
                  <c:v>349.8</c:v>
                </c:pt>
                <c:pt idx="22">
                  <c:v>355.6</c:v>
                </c:pt>
                <c:pt idx="23">
                  <c:v>362.1</c:v>
                </c:pt>
                <c:pt idx="24">
                  <c:v>368</c:v>
                </c:pt>
                <c:pt idx="25">
                  <c:v>375.3</c:v>
                </c:pt>
                <c:pt idx="26">
                  <c:v>382.2</c:v>
                </c:pt>
                <c:pt idx="27">
                  <c:v>389</c:v>
                </c:pt>
                <c:pt idx="28">
                  <c:v>395.6</c:v>
                </c:pt>
                <c:pt idx="29">
                  <c:v>401.3</c:v>
                </c:pt>
                <c:pt idx="30">
                  <c:v>407.5</c:v>
                </c:pt>
                <c:pt idx="31">
                  <c:v>413.1</c:v>
                </c:pt>
                <c:pt idx="32">
                  <c:v>419</c:v>
                </c:pt>
                <c:pt idx="33">
                  <c:v>425.4</c:v>
                </c:pt>
                <c:pt idx="34">
                  <c:v>431.3</c:v>
                </c:pt>
                <c:pt idx="35">
                  <c:v>437.2</c:v>
                </c:pt>
                <c:pt idx="36">
                  <c:v>442.9</c:v>
                </c:pt>
                <c:pt idx="37">
                  <c:v>448.4</c:v>
                </c:pt>
                <c:pt idx="38">
                  <c:v>454.4</c:v>
                </c:pt>
                <c:pt idx="39">
                  <c:v>460.3</c:v>
                </c:pt>
                <c:pt idx="40">
                  <c:v>466.1</c:v>
                </c:pt>
                <c:pt idx="41">
                  <c:v>471.7</c:v>
                </c:pt>
                <c:pt idx="42">
                  <c:v>477.5</c:v>
                </c:pt>
                <c:pt idx="43">
                  <c:v>483.1</c:v>
                </c:pt>
                <c:pt idx="44">
                  <c:v>488.8</c:v>
                </c:pt>
                <c:pt idx="45">
                  <c:v>494.6</c:v>
                </c:pt>
                <c:pt idx="46">
                  <c:v>499.9</c:v>
                </c:pt>
                <c:pt idx="47">
                  <c:v>504.9</c:v>
                </c:pt>
                <c:pt idx="48">
                  <c:v>510</c:v>
                </c:pt>
                <c:pt idx="49">
                  <c:v>515.4</c:v>
                </c:pt>
                <c:pt idx="50">
                  <c:v>520.79999999999995</c:v>
                </c:pt>
                <c:pt idx="51">
                  <c:v>525.79999999999995</c:v>
                </c:pt>
                <c:pt idx="52">
                  <c:v>530.6</c:v>
                </c:pt>
                <c:pt idx="53">
                  <c:v>535.29999999999995</c:v>
                </c:pt>
                <c:pt idx="54">
                  <c:v>539.9</c:v>
                </c:pt>
                <c:pt idx="55">
                  <c:v>544.4</c:v>
                </c:pt>
                <c:pt idx="56">
                  <c:v>549</c:v>
                </c:pt>
                <c:pt idx="57">
                  <c:v>553.5</c:v>
                </c:pt>
                <c:pt idx="58">
                  <c:v>557.79999999999995</c:v>
                </c:pt>
                <c:pt idx="59">
                  <c:v>561.79999999999995</c:v>
                </c:pt>
                <c:pt idx="60">
                  <c:v>565.79999999999995</c:v>
                </c:pt>
                <c:pt idx="61">
                  <c:v>569.5</c:v>
                </c:pt>
                <c:pt idx="62">
                  <c:v>573.20000000000005</c:v>
                </c:pt>
                <c:pt idx="63">
                  <c:v>577.1</c:v>
                </c:pt>
                <c:pt idx="64">
                  <c:v>581</c:v>
                </c:pt>
                <c:pt idx="65">
                  <c:v>584.9</c:v>
                </c:pt>
                <c:pt idx="66">
                  <c:v>588.79999999999995</c:v>
                </c:pt>
                <c:pt idx="67">
                  <c:v>592.79999999999995</c:v>
                </c:pt>
                <c:pt idx="68">
                  <c:v>596.70000000000005</c:v>
                </c:pt>
                <c:pt idx="69">
                  <c:v>600.79999999999995</c:v>
                </c:pt>
                <c:pt idx="70">
                  <c:v>605.1</c:v>
                </c:pt>
                <c:pt idx="71">
                  <c:v>609.5</c:v>
                </c:pt>
                <c:pt idx="72">
                  <c:v>614</c:v>
                </c:pt>
                <c:pt idx="73">
                  <c:v>618.9</c:v>
                </c:pt>
                <c:pt idx="74">
                  <c:v>623.9</c:v>
                </c:pt>
                <c:pt idx="75">
                  <c:v>628.9</c:v>
                </c:pt>
                <c:pt idx="76">
                  <c:v>634.1</c:v>
                </c:pt>
                <c:pt idx="77">
                  <c:v>639.6</c:v>
                </c:pt>
                <c:pt idx="78">
                  <c:v>645.70000000000005</c:v>
                </c:pt>
                <c:pt idx="79">
                  <c:v>651.9</c:v>
                </c:pt>
                <c:pt idx="80">
                  <c:v>658</c:v>
                </c:pt>
                <c:pt idx="81">
                  <c:v>666.2</c:v>
                </c:pt>
                <c:pt idx="82">
                  <c:v>674.4</c:v>
                </c:pt>
                <c:pt idx="83">
                  <c:v>684</c:v>
                </c:pt>
                <c:pt idx="84">
                  <c:v>693</c:v>
                </c:pt>
                <c:pt idx="85">
                  <c:v>702.7</c:v>
                </c:pt>
                <c:pt idx="86">
                  <c:v>713.1</c:v>
                </c:pt>
                <c:pt idx="87">
                  <c:v>724.8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C1-4DBC-B2E1-09987C014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080384"/>
        <c:axId val="1502075104"/>
      </c:scatterChart>
      <c:valAx>
        <c:axId val="150208038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075104"/>
        <c:crosses val="autoZero"/>
        <c:crossBetween val="midCat"/>
      </c:valAx>
      <c:valAx>
        <c:axId val="150207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080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D7 1ST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Comparing'!$P$116:$P$208</c:f>
              <c:numCache>
                <c:formatCode>General</c:formatCode>
                <c:ptCount val="93"/>
                <c:pt idx="0">
                  <c:v>106</c:v>
                </c:pt>
                <c:pt idx="1">
                  <c:v>138.5</c:v>
                </c:pt>
                <c:pt idx="2">
                  <c:v>164.7</c:v>
                </c:pt>
                <c:pt idx="3">
                  <c:v>182.9</c:v>
                </c:pt>
                <c:pt idx="4">
                  <c:v>198.3</c:v>
                </c:pt>
                <c:pt idx="5">
                  <c:v>211.5</c:v>
                </c:pt>
                <c:pt idx="6">
                  <c:v>223.1</c:v>
                </c:pt>
                <c:pt idx="7">
                  <c:v>233.5</c:v>
                </c:pt>
                <c:pt idx="8">
                  <c:v>244</c:v>
                </c:pt>
                <c:pt idx="9">
                  <c:v>252.5</c:v>
                </c:pt>
                <c:pt idx="10">
                  <c:v>262.60000000000002</c:v>
                </c:pt>
                <c:pt idx="11">
                  <c:v>271.3</c:v>
                </c:pt>
                <c:pt idx="12">
                  <c:v>281.2</c:v>
                </c:pt>
                <c:pt idx="13">
                  <c:v>289.7</c:v>
                </c:pt>
                <c:pt idx="14">
                  <c:v>297.89999999999998</c:v>
                </c:pt>
                <c:pt idx="15">
                  <c:v>305</c:v>
                </c:pt>
                <c:pt idx="16">
                  <c:v>312.89999999999998</c:v>
                </c:pt>
                <c:pt idx="17">
                  <c:v>319.60000000000002</c:v>
                </c:pt>
                <c:pt idx="18">
                  <c:v>327.2</c:v>
                </c:pt>
                <c:pt idx="19">
                  <c:v>333.8</c:v>
                </c:pt>
                <c:pt idx="20">
                  <c:v>341</c:v>
                </c:pt>
                <c:pt idx="21">
                  <c:v>347.6</c:v>
                </c:pt>
                <c:pt idx="22">
                  <c:v>354.2</c:v>
                </c:pt>
                <c:pt idx="23">
                  <c:v>360.4</c:v>
                </c:pt>
                <c:pt idx="24">
                  <c:v>366.8</c:v>
                </c:pt>
                <c:pt idx="25">
                  <c:v>373.1</c:v>
                </c:pt>
                <c:pt idx="26">
                  <c:v>378.8</c:v>
                </c:pt>
                <c:pt idx="27">
                  <c:v>385.1</c:v>
                </c:pt>
                <c:pt idx="28">
                  <c:v>390.8</c:v>
                </c:pt>
                <c:pt idx="29">
                  <c:v>397.1</c:v>
                </c:pt>
                <c:pt idx="30">
                  <c:v>402.8</c:v>
                </c:pt>
                <c:pt idx="31">
                  <c:v>408.9</c:v>
                </c:pt>
                <c:pt idx="32">
                  <c:v>414.3</c:v>
                </c:pt>
                <c:pt idx="33">
                  <c:v>419.8</c:v>
                </c:pt>
                <c:pt idx="34">
                  <c:v>425.2</c:v>
                </c:pt>
                <c:pt idx="35">
                  <c:v>430.3</c:v>
                </c:pt>
                <c:pt idx="36">
                  <c:v>436</c:v>
                </c:pt>
                <c:pt idx="37">
                  <c:v>441.2</c:v>
                </c:pt>
                <c:pt idx="38">
                  <c:v>446.6</c:v>
                </c:pt>
                <c:pt idx="39">
                  <c:v>451.9</c:v>
                </c:pt>
                <c:pt idx="40">
                  <c:v>457.1</c:v>
                </c:pt>
                <c:pt idx="41">
                  <c:v>462.6</c:v>
                </c:pt>
                <c:pt idx="42">
                  <c:v>467.8</c:v>
                </c:pt>
                <c:pt idx="43">
                  <c:v>473</c:v>
                </c:pt>
                <c:pt idx="44">
                  <c:v>478.3</c:v>
                </c:pt>
                <c:pt idx="45">
                  <c:v>483.4</c:v>
                </c:pt>
                <c:pt idx="46">
                  <c:v>488.6</c:v>
                </c:pt>
                <c:pt idx="47">
                  <c:v>493.8</c:v>
                </c:pt>
                <c:pt idx="48">
                  <c:v>498.7</c:v>
                </c:pt>
                <c:pt idx="49">
                  <c:v>503.3</c:v>
                </c:pt>
                <c:pt idx="50">
                  <c:v>507.9</c:v>
                </c:pt>
                <c:pt idx="51">
                  <c:v>512.70000000000005</c:v>
                </c:pt>
                <c:pt idx="52">
                  <c:v>517.6</c:v>
                </c:pt>
                <c:pt idx="53">
                  <c:v>522.4</c:v>
                </c:pt>
                <c:pt idx="54">
                  <c:v>526.79999999999995</c:v>
                </c:pt>
                <c:pt idx="55">
                  <c:v>531.20000000000005</c:v>
                </c:pt>
                <c:pt idx="56">
                  <c:v>535.4</c:v>
                </c:pt>
                <c:pt idx="57">
                  <c:v>539.5</c:v>
                </c:pt>
                <c:pt idx="58">
                  <c:v>543.5</c:v>
                </c:pt>
                <c:pt idx="59">
                  <c:v>547.6</c:v>
                </c:pt>
                <c:pt idx="60">
                  <c:v>551.70000000000005</c:v>
                </c:pt>
                <c:pt idx="61">
                  <c:v>555.70000000000005</c:v>
                </c:pt>
                <c:pt idx="62">
                  <c:v>559.4</c:v>
                </c:pt>
                <c:pt idx="63">
                  <c:v>563</c:v>
                </c:pt>
                <c:pt idx="64">
                  <c:v>566.5</c:v>
                </c:pt>
                <c:pt idx="65">
                  <c:v>569.79999999999995</c:v>
                </c:pt>
                <c:pt idx="66">
                  <c:v>573.1</c:v>
                </c:pt>
                <c:pt idx="67">
                  <c:v>576.5</c:v>
                </c:pt>
                <c:pt idx="68">
                  <c:v>579.9</c:v>
                </c:pt>
                <c:pt idx="69">
                  <c:v>583.4</c:v>
                </c:pt>
                <c:pt idx="70">
                  <c:v>586.9</c:v>
                </c:pt>
                <c:pt idx="71">
                  <c:v>590.5</c:v>
                </c:pt>
                <c:pt idx="72">
                  <c:v>594</c:v>
                </c:pt>
                <c:pt idx="73">
                  <c:v>597.5</c:v>
                </c:pt>
                <c:pt idx="74">
                  <c:v>601.20000000000005</c:v>
                </c:pt>
                <c:pt idx="75">
                  <c:v>605.1</c:v>
                </c:pt>
                <c:pt idx="76">
                  <c:v>609</c:v>
                </c:pt>
                <c:pt idx="77">
                  <c:v>613</c:v>
                </c:pt>
                <c:pt idx="78">
                  <c:v>617.20000000000005</c:v>
                </c:pt>
                <c:pt idx="79">
                  <c:v>621.6</c:v>
                </c:pt>
                <c:pt idx="80">
                  <c:v>626.1</c:v>
                </c:pt>
                <c:pt idx="81">
                  <c:v>630.70000000000005</c:v>
                </c:pt>
                <c:pt idx="82">
                  <c:v>635.29999999999995</c:v>
                </c:pt>
                <c:pt idx="83">
                  <c:v>640.4</c:v>
                </c:pt>
                <c:pt idx="84">
                  <c:v>646</c:v>
                </c:pt>
                <c:pt idx="85">
                  <c:v>651.70000000000005</c:v>
                </c:pt>
                <c:pt idx="86">
                  <c:v>657.5</c:v>
                </c:pt>
                <c:pt idx="87">
                  <c:v>665.3</c:v>
                </c:pt>
                <c:pt idx="88">
                  <c:v>673.5</c:v>
                </c:pt>
                <c:pt idx="89">
                  <c:v>683.4</c:v>
                </c:pt>
                <c:pt idx="90">
                  <c:v>693.3</c:v>
                </c:pt>
                <c:pt idx="91">
                  <c:v>705.2</c:v>
                </c:pt>
                <c:pt idx="92">
                  <c:v>724.8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C1-4DBC-B2E1-09987C014495}"/>
            </c:ext>
          </c:extLst>
        </c:ser>
        <c:ser>
          <c:idx val="1"/>
          <c:order val="1"/>
          <c:tx>
            <c:v>D7 2ND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Comparing'!$P$10:$P$102</c:f>
              <c:numCache>
                <c:formatCode>General</c:formatCode>
                <c:ptCount val="93"/>
                <c:pt idx="0">
                  <c:v>111.6</c:v>
                </c:pt>
                <c:pt idx="1">
                  <c:v>136.19999999999999</c:v>
                </c:pt>
                <c:pt idx="2">
                  <c:v>162.80000000000001</c:v>
                </c:pt>
                <c:pt idx="3">
                  <c:v>181.4</c:v>
                </c:pt>
                <c:pt idx="4">
                  <c:v>196.4</c:v>
                </c:pt>
                <c:pt idx="5">
                  <c:v>209.9</c:v>
                </c:pt>
                <c:pt idx="6">
                  <c:v>220.8</c:v>
                </c:pt>
                <c:pt idx="7">
                  <c:v>231.5</c:v>
                </c:pt>
                <c:pt idx="8">
                  <c:v>241.8</c:v>
                </c:pt>
                <c:pt idx="9">
                  <c:v>250.5</c:v>
                </c:pt>
                <c:pt idx="10">
                  <c:v>260.3</c:v>
                </c:pt>
                <c:pt idx="11">
                  <c:v>268.3</c:v>
                </c:pt>
                <c:pt idx="12">
                  <c:v>278.10000000000002</c:v>
                </c:pt>
                <c:pt idx="13">
                  <c:v>286.39999999999998</c:v>
                </c:pt>
                <c:pt idx="14">
                  <c:v>294.60000000000002</c:v>
                </c:pt>
                <c:pt idx="15">
                  <c:v>301.60000000000002</c:v>
                </c:pt>
                <c:pt idx="16">
                  <c:v>309.5</c:v>
                </c:pt>
                <c:pt idx="17">
                  <c:v>316</c:v>
                </c:pt>
                <c:pt idx="18">
                  <c:v>323.7</c:v>
                </c:pt>
                <c:pt idx="19">
                  <c:v>330.2</c:v>
                </c:pt>
                <c:pt idx="20">
                  <c:v>337.5</c:v>
                </c:pt>
                <c:pt idx="21">
                  <c:v>343.9</c:v>
                </c:pt>
                <c:pt idx="22">
                  <c:v>350.3</c:v>
                </c:pt>
                <c:pt idx="23">
                  <c:v>355.9</c:v>
                </c:pt>
                <c:pt idx="24">
                  <c:v>361.9</c:v>
                </c:pt>
                <c:pt idx="25">
                  <c:v>367.7</c:v>
                </c:pt>
                <c:pt idx="26">
                  <c:v>374.1</c:v>
                </c:pt>
                <c:pt idx="27">
                  <c:v>381.5</c:v>
                </c:pt>
                <c:pt idx="28">
                  <c:v>388.1</c:v>
                </c:pt>
                <c:pt idx="29">
                  <c:v>394.7</c:v>
                </c:pt>
                <c:pt idx="30">
                  <c:v>400.2</c:v>
                </c:pt>
                <c:pt idx="31">
                  <c:v>406.1</c:v>
                </c:pt>
                <c:pt idx="32">
                  <c:v>411.5</c:v>
                </c:pt>
                <c:pt idx="33">
                  <c:v>417.2</c:v>
                </c:pt>
                <c:pt idx="34">
                  <c:v>423.4</c:v>
                </c:pt>
                <c:pt idx="35">
                  <c:v>429.2</c:v>
                </c:pt>
                <c:pt idx="36">
                  <c:v>435</c:v>
                </c:pt>
                <c:pt idx="37">
                  <c:v>440.4</c:v>
                </c:pt>
                <c:pt idx="38">
                  <c:v>445.8</c:v>
                </c:pt>
                <c:pt idx="39">
                  <c:v>451.6</c:v>
                </c:pt>
                <c:pt idx="40">
                  <c:v>457.2</c:v>
                </c:pt>
                <c:pt idx="41">
                  <c:v>462.8</c:v>
                </c:pt>
                <c:pt idx="42">
                  <c:v>468.5</c:v>
                </c:pt>
                <c:pt idx="43">
                  <c:v>473.8</c:v>
                </c:pt>
                <c:pt idx="44">
                  <c:v>479.2</c:v>
                </c:pt>
                <c:pt idx="45">
                  <c:v>484.6</c:v>
                </c:pt>
                <c:pt idx="46">
                  <c:v>490.2</c:v>
                </c:pt>
                <c:pt idx="47">
                  <c:v>495.6</c:v>
                </c:pt>
                <c:pt idx="48">
                  <c:v>500.4</c:v>
                </c:pt>
                <c:pt idx="49">
                  <c:v>505.2</c:v>
                </c:pt>
                <c:pt idx="50">
                  <c:v>510</c:v>
                </c:pt>
                <c:pt idx="51">
                  <c:v>515.1</c:v>
                </c:pt>
                <c:pt idx="52">
                  <c:v>520.1</c:v>
                </c:pt>
                <c:pt idx="53">
                  <c:v>524.79999999999995</c:v>
                </c:pt>
                <c:pt idx="54">
                  <c:v>529.29999999999995</c:v>
                </c:pt>
                <c:pt idx="55">
                  <c:v>533.70000000000005</c:v>
                </c:pt>
                <c:pt idx="56">
                  <c:v>538</c:v>
                </c:pt>
                <c:pt idx="57">
                  <c:v>542.20000000000005</c:v>
                </c:pt>
                <c:pt idx="58">
                  <c:v>546.4</c:v>
                </c:pt>
                <c:pt idx="59">
                  <c:v>550.5</c:v>
                </c:pt>
                <c:pt idx="60">
                  <c:v>554.6</c:v>
                </c:pt>
                <c:pt idx="61">
                  <c:v>558.5</c:v>
                </c:pt>
                <c:pt idx="62">
                  <c:v>562.20000000000005</c:v>
                </c:pt>
                <c:pt idx="63">
                  <c:v>565.9</c:v>
                </c:pt>
                <c:pt idx="64">
                  <c:v>569.29999999999995</c:v>
                </c:pt>
                <c:pt idx="65">
                  <c:v>572.70000000000005</c:v>
                </c:pt>
                <c:pt idx="66">
                  <c:v>576.20000000000005</c:v>
                </c:pt>
                <c:pt idx="67">
                  <c:v>579.79999999999995</c:v>
                </c:pt>
                <c:pt idx="68">
                  <c:v>583.5</c:v>
                </c:pt>
                <c:pt idx="69">
                  <c:v>587</c:v>
                </c:pt>
                <c:pt idx="70">
                  <c:v>590.6</c:v>
                </c:pt>
                <c:pt idx="71">
                  <c:v>594.29999999999995</c:v>
                </c:pt>
                <c:pt idx="72">
                  <c:v>598</c:v>
                </c:pt>
                <c:pt idx="73">
                  <c:v>601.79999999999995</c:v>
                </c:pt>
                <c:pt idx="74">
                  <c:v>605.79999999999995</c:v>
                </c:pt>
                <c:pt idx="75">
                  <c:v>609.9</c:v>
                </c:pt>
                <c:pt idx="76">
                  <c:v>614.1</c:v>
                </c:pt>
                <c:pt idx="77">
                  <c:v>618.6</c:v>
                </c:pt>
                <c:pt idx="78">
                  <c:v>623.20000000000005</c:v>
                </c:pt>
                <c:pt idx="79">
                  <c:v>628</c:v>
                </c:pt>
                <c:pt idx="80">
                  <c:v>632.79999999999995</c:v>
                </c:pt>
                <c:pt idx="81">
                  <c:v>638</c:v>
                </c:pt>
                <c:pt idx="82">
                  <c:v>643.70000000000005</c:v>
                </c:pt>
                <c:pt idx="83">
                  <c:v>649.70000000000005</c:v>
                </c:pt>
                <c:pt idx="84">
                  <c:v>655.7</c:v>
                </c:pt>
                <c:pt idx="85">
                  <c:v>662.9</c:v>
                </c:pt>
                <c:pt idx="86">
                  <c:v>671.4</c:v>
                </c:pt>
                <c:pt idx="87">
                  <c:v>680.7</c:v>
                </c:pt>
                <c:pt idx="88">
                  <c:v>690.4</c:v>
                </c:pt>
                <c:pt idx="89">
                  <c:v>700.8</c:v>
                </c:pt>
                <c:pt idx="90">
                  <c:v>712.8</c:v>
                </c:pt>
                <c:pt idx="91">
                  <c:v>729.3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C1-4DBC-B2E1-09987C014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080384"/>
        <c:axId val="1502075104"/>
      </c:scatterChart>
      <c:valAx>
        <c:axId val="150208038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075104"/>
        <c:crosses val="autoZero"/>
        <c:crossBetween val="midCat"/>
      </c:valAx>
      <c:valAx>
        <c:axId val="150207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080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D8 1ST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Comparing'!$Q$116:$Q$204</c:f>
              <c:numCache>
                <c:formatCode>General</c:formatCode>
                <c:ptCount val="89"/>
                <c:pt idx="0">
                  <c:v>112.2</c:v>
                </c:pt>
                <c:pt idx="1">
                  <c:v>134.4</c:v>
                </c:pt>
                <c:pt idx="2">
                  <c:v>161.5</c:v>
                </c:pt>
                <c:pt idx="3">
                  <c:v>179.5</c:v>
                </c:pt>
                <c:pt idx="4">
                  <c:v>194.5</c:v>
                </c:pt>
                <c:pt idx="5">
                  <c:v>208.9</c:v>
                </c:pt>
                <c:pt idx="6">
                  <c:v>220.4</c:v>
                </c:pt>
                <c:pt idx="7">
                  <c:v>231.9</c:v>
                </c:pt>
                <c:pt idx="8">
                  <c:v>242.9</c:v>
                </c:pt>
                <c:pt idx="9">
                  <c:v>252</c:v>
                </c:pt>
                <c:pt idx="10">
                  <c:v>262.7</c:v>
                </c:pt>
                <c:pt idx="11">
                  <c:v>272.3</c:v>
                </c:pt>
                <c:pt idx="12">
                  <c:v>282.7</c:v>
                </c:pt>
                <c:pt idx="13">
                  <c:v>287.39999999999998</c:v>
                </c:pt>
                <c:pt idx="14">
                  <c:v>289.89999999999998</c:v>
                </c:pt>
                <c:pt idx="15">
                  <c:v>292.7</c:v>
                </c:pt>
                <c:pt idx="16">
                  <c:v>296.5</c:v>
                </c:pt>
                <c:pt idx="17">
                  <c:v>300.2</c:v>
                </c:pt>
                <c:pt idx="18">
                  <c:v>305.60000000000002</c:v>
                </c:pt>
                <c:pt idx="19">
                  <c:v>311.39999999999998</c:v>
                </c:pt>
                <c:pt idx="20">
                  <c:v>316.5</c:v>
                </c:pt>
                <c:pt idx="21">
                  <c:v>322.7</c:v>
                </c:pt>
                <c:pt idx="22">
                  <c:v>328.1</c:v>
                </c:pt>
                <c:pt idx="23">
                  <c:v>334.9</c:v>
                </c:pt>
                <c:pt idx="24">
                  <c:v>340.8</c:v>
                </c:pt>
                <c:pt idx="25">
                  <c:v>348</c:v>
                </c:pt>
                <c:pt idx="26">
                  <c:v>354</c:v>
                </c:pt>
                <c:pt idx="27">
                  <c:v>360.9</c:v>
                </c:pt>
                <c:pt idx="28">
                  <c:v>367</c:v>
                </c:pt>
                <c:pt idx="29">
                  <c:v>373.7</c:v>
                </c:pt>
                <c:pt idx="30">
                  <c:v>379.7</c:v>
                </c:pt>
                <c:pt idx="31">
                  <c:v>386.4</c:v>
                </c:pt>
                <c:pt idx="32">
                  <c:v>392.3</c:v>
                </c:pt>
                <c:pt idx="33">
                  <c:v>398.5</c:v>
                </c:pt>
                <c:pt idx="34">
                  <c:v>404.9</c:v>
                </c:pt>
                <c:pt idx="35">
                  <c:v>410.7</c:v>
                </c:pt>
                <c:pt idx="36">
                  <c:v>417</c:v>
                </c:pt>
                <c:pt idx="37">
                  <c:v>422.6</c:v>
                </c:pt>
                <c:pt idx="38">
                  <c:v>428.2</c:v>
                </c:pt>
                <c:pt idx="39">
                  <c:v>434.3</c:v>
                </c:pt>
                <c:pt idx="40">
                  <c:v>440</c:v>
                </c:pt>
                <c:pt idx="41">
                  <c:v>445.7</c:v>
                </c:pt>
                <c:pt idx="42">
                  <c:v>451.7</c:v>
                </c:pt>
                <c:pt idx="43">
                  <c:v>457.4</c:v>
                </c:pt>
                <c:pt idx="44">
                  <c:v>463</c:v>
                </c:pt>
                <c:pt idx="45">
                  <c:v>469</c:v>
                </c:pt>
                <c:pt idx="46">
                  <c:v>474.6</c:v>
                </c:pt>
                <c:pt idx="47">
                  <c:v>480.3</c:v>
                </c:pt>
                <c:pt idx="48">
                  <c:v>486</c:v>
                </c:pt>
                <c:pt idx="49">
                  <c:v>491.8</c:v>
                </c:pt>
                <c:pt idx="50">
                  <c:v>497.3</c:v>
                </c:pt>
                <c:pt idx="51">
                  <c:v>502.3</c:v>
                </c:pt>
                <c:pt idx="52">
                  <c:v>507.4</c:v>
                </c:pt>
                <c:pt idx="53">
                  <c:v>512.70000000000005</c:v>
                </c:pt>
                <c:pt idx="54">
                  <c:v>518</c:v>
                </c:pt>
                <c:pt idx="55">
                  <c:v>523.20000000000005</c:v>
                </c:pt>
                <c:pt idx="56">
                  <c:v>528.1</c:v>
                </c:pt>
                <c:pt idx="57">
                  <c:v>532.79999999999995</c:v>
                </c:pt>
                <c:pt idx="58">
                  <c:v>537.4</c:v>
                </c:pt>
                <c:pt idx="59">
                  <c:v>541.9</c:v>
                </c:pt>
                <c:pt idx="60">
                  <c:v>546.4</c:v>
                </c:pt>
                <c:pt idx="61">
                  <c:v>550.9</c:v>
                </c:pt>
                <c:pt idx="62">
                  <c:v>555.29999999999995</c:v>
                </c:pt>
                <c:pt idx="63">
                  <c:v>559.4</c:v>
                </c:pt>
                <c:pt idx="64">
                  <c:v>563.4</c:v>
                </c:pt>
                <c:pt idx="65">
                  <c:v>567.29999999999995</c:v>
                </c:pt>
                <c:pt idx="66">
                  <c:v>570.9</c:v>
                </c:pt>
                <c:pt idx="67">
                  <c:v>574.5</c:v>
                </c:pt>
                <c:pt idx="68">
                  <c:v>578.29999999999995</c:v>
                </c:pt>
                <c:pt idx="69">
                  <c:v>582.1</c:v>
                </c:pt>
                <c:pt idx="70">
                  <c:v>586</c:v>
                </c:pt>
                <c:pt idx="71">
                  <c:v>589.79999999999995</c:v>
                </c:pt>
                <c:pt idx="72">
                  <c:v>593.70000000000005</c:v>
                </c:pt>
                <c:pt idx="73">
                  <c:v>597.6</c:v>
                </c:pt>
                <c:pt idx="74">
                  <c:v>601.70000000000005</c:v>
                </c:pt>
                <c:pt idx="75">
                  <c:v>606</c:v>
                </c:pt>
                <c:pt idx="76">
                  <c:v>610.5</c:v>
                </c:pt>
                <c:pt idx="77">
                  <c:v>615</c:v>
                </c:pt>
                <c:pt idx="78">
                  <c:v>620</c:v>
                </c:pt>
                <c:pt idx="79">
                  <c:v>625.1</c:v>
                </c:pt>
                <c:pt idx="80">
                  <c:v>630.29999999999995</c:v>
                </c:pt>
                <c:pt idx="81">
                  <c:v>635.70000000000005</c:v>
                </c:pt>
                <c:pt idx="82">
                  <c:v>641.79999999999995</c:v>
                </c:pt>
                <c:pt idx="83">
                  <c:v>648.5</c:v>
                </c:pt>
                <c:pt idx="84">
                  <c:v>655.20000000000005</c:v>
                </c:pt>
                <c:pt idx="85">
                  <c:v>663.5</c:v>
                </c:pt>
                <c:pt idx="86">
                  <c:v>673.4</c:v>
                </c:pt>
                <c:pt idx="87">
                  <c:v>685.9</c:v>
                </c:pt>
                <c:pt idx="88">
                  <c:v>703.1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C1-4DBC-B2E1-09987C014495}"/>
            </c:ext>
          </c:extLst>
        </c:ser>
        <c:ser>
          <c:idx val="1"/>
          <c:order val="1"/>
          <c:tx>
            <c:v>D8 2ND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Comparing'!$Q$10:$Q$91</c:f>
              <c:numCache>
                <c:formatCode>General</c:formatCode>
                <c:ptCount val="82"/>
                <c:pt idx="0">
                  <c:v>109.6</c:v>
                </c:pt>
                <c:pt idx="1">
                  <c:v>135.4</c:v>
                </c:pt>
                <c:pt idx="2">
                  <c:v>164.5</c:v>
                </c:pt>
                <c:pt idx="3">
                  <c:v>184.4</c:v>
                </c:pt>
                <c:pt idx="4">
                  <c:v>200.6</c:v>
                </c:pt>
                <c:pt idx="5">
                  <c:v>215.6</c:v>
                </c:pt>
                <c:pt idx="6">
                  <c:v>227.3</c:v>
                </c:pt>
                <c:pt idx="7">
                  <c:v>238.1</c:v>
                </c:pt>
                <c:pt idx="8">
                  <c:v>249.9</c:v>
                </c:pt>
                <c:pt idx="9">
                  <c:v>260</c:v>
                </c:pt>
                <c:pt idx="10">
                  <c:v>270</c:v>
                </c:pt>
                <c:pt idx="11">
                  <c:v>280.2</c:v>
                </c:pt>
                <c:pt idx="12">
                  <c:v>289.60000000000002</c:v>
                </c:pt>
                <c:pt idx="13">
                  <c:v>298.89999999999998</c:v>
                </c:pt>
                <c:pt idx="14">
                  <c:v>307.10000000000002</c:v>
                </c:pt>
                <c:pt idx="15">
                  <c:v>315.2</c:v>
                </c:pt>
                <c:pt idx="16">
                  <c:v>323.3</c:v>
                </c:pt>
                <c:pt idx="17">
                  <c:v>330.6</c:v>
                </c:pt>
                <c:pt idx="18">
                  <c:v>339.1</c:v>
                </c:pt>
                <c:pt idx="19">
                  <c:v>346.3</c:v>
                </c:pt>
                <c:pt idx="20">
                  <c:v>353.6</c:v>
                </c:pt>
                <c:pt idx="21">
                  <c:v>359.8</c:v>
                </c:pt>
                <c:pt idx="22">
                  <c:v>366.1</c:v>
                </c:pt>
                <c:pt idx="23">
                  <c:v>374</c:v>
                </c:pt>
                <c:pt idx="24">
                  <c:v>381.7</c:v>
                </c:pt>
                <c:pt idx="25">
                  <c:v>389.7</c:v>
                </c:pt>
                <c:pt idx="26">
                  <c:v>396.3</c:v>
                </c:pt>
                <c:pt idx="27">
                  <c:v>402.4</c:v>
                </c:pt>
                <c:pt idx="28">
                  <c:v>409.2</c:v>
                </c:pt>
                <c:pt idx="29">
                  <c:v>415.4</c:v>
                </c:pt>
                <c:pt idx="30">
                  <c:v>421.8</c:v>
                </c:pt>
                <c:pt idx="31">
                  <c:v>428.8</c:v>
                </c:pt>
                <c:pt idx="32">
                  <c:v>434.9</c:v>
                </c:pt>
                <c:pt idx="33">
                  <c:v>440.9</c:v>
                </c:pt>
                <c:pt idx="34">
                  <c:v>447.2</c:v>
                </c:pt>
                <c:pt idx="35">
                  <c:v>453.5</c:v>
                </c:pt>
                <c:pt idx="36">
                  <c:v>459.8</c:v>
                </c:pt>
                <c:pt idx="37">
                  <c:v>466</c:v>
                </c:pt>
                <c:pt idx="38">
                  <c:v>472.2</c:v>
                </c:pt>
                <c:pt idx="39">
                  <c:v>478.2</c:v>
                </c:pt>
                <c:pt idx="40">
                  <c:v>484.3</c:v>
                </c:pt>
                <c:pt idx="41">
                  <c:v>490.5</c:v>
                </c:pt>
                <c:pt idx="42">
                  <c:v>496.6</c:v>
                </c:pt>
                <c:pt idx="43">
                  <c:v>502</c:v>
                </c:pt>
                <c:pt idx="44">
                  <c:v>507.4</c:v>
                </c:pt>
                <c:pt idx="45">
                  <c:v>513</c:v>
                </c:pt>
                <c:pt idx="46">
                  <c:v>518.79999999999995</c:v>
                </c:pt>
                <c:pt idx="47">
                  <c:v>524.20000000000005</c:v>
                </c:pt>
                <c:pt idx="48">
                  <c:v>529.4</c:v>
                </c:pt>
                <c:pt idx="49">
                  <c:v>534.4</c:v>
                </c:pt>
                <c:pt idx="50">
                  <c:v>539.29999999999995</c:v>
                </c:pt>
                <c:pt idx="51">
                  <c:v>544.20000000000005</c:v>
                </c:pt>
                <c:pt idx="52">
                  <c:v>549</c:v>
                </c:pt>
                <c:pt idx="53">
                  <c:v>553.70000000000005</c:v>
                </c:pt>
                <c:pt idx="54">
                  <c:v>558.20000000000005</c:v>
                </c:pt>
                <c:pt idx="55">
                  <c:v>562.5</c:v>
                </c:pt>
                <c:pt idx="56">
                  <c:v>566.70000000000005</c:v>
                </c:pt>
                <c:pt idx="57">
                  <c:v>570.6</c:v>
                </c:pt>
                <c:pt idx="58">
                  <c:v>574.5</c:v>
                </c:pt>
                <c:pt idx="59">
                  <c:v>578.5</c:v>
                </c:pt>
                <c:pt idx="60">
                  <c:v>582.6</c:v>
                </c:pt>
                <c:pt idx="61">
                  <c:v>586.6</c:v>
                </c:pt>
                <c:pt idx="62">
                  <c:v>590.70000000000005</c:v>
                </c:pt>
                <c:pt idx="63">
                  <c:v>594.70000000000005</c:v>
                </c:pt>
                <c:pt idx="64">
                  <c:v>598.79999999999995</c:v>
                </c:pt>
                <c:pt idx="65">
                  <c:v>603.1</c:v>
                </c:pt>
                <c:pt idx="66">
                  <c:v>607.6</c:v>
                </c:pt>
                <c:pt idx="67">
                  <c:v>612.1</c:v>
                </c:pt>
                <c:pt idx="68">
                  <c:v>616.79999999999995</c:v>
                </c:pt>
                <c:pt idx="69">
                  <c:v>621.9</c:v>
                </c:pt>
                <c:pt idx="70">
                  <c:v>626.9</c:v>
                </c:pt>
                <c:pt idx="71">
                  <c:v>632.1</c:v>
                </c:pt>
                <c:pt idx="72">
                  <c:v>637.6</c:v>
                </c:pt>
                <c:pt idx="73">
                  <c:v>643.6</c:v>
                </c:pt>
                <c:pt idx="74">
                  <c:v>650</c:v>
                </c:pt>
                <c:pt idx="75">
                  <c:v>656.4</c:v>
                </c:pt>
                <c:pt idx="76">
                  <c:v>664.5</c:v>
                </c:pt>
                <c:pt idx="77">
                  <c:v>673.5</c:v>
                </c:pt>
                <c:pt idx="78">
                  <c:v>684</c:v>
                </c:pt>
                <c:pt idx="79">
                  <c:v>694.5</c:v>
                </c:pt>
                <c:pt idx="80">
                  <c:v>706.9</c:v>
                </c:pt>
                <c:pt idx="81">
                  <c:v>724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C1-4DBC-B2E1-09987C014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080384"/>
        <c:axId val="1502075104"/>
      </c:scatterChart>
      <c:valAx>
        <c:axId val="150208038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075104"/>
        <c:crosses val="autoZero"/>
        <c:crossBetween val="midCat"/>
      </c:valAx>
      <c:valAx>
        <c:axId val="150207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080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Boiling Point of VR Feed and </a:t>
            </a:r>
            <a:r>
              <a:rPr lang="en-US" sz="2000" b="1" baseline="0"/>
              <a:t>HPS Product_ Acceptance</a:t>
            </a:r>
            <a:endParaRPr lang="en-US" sz="2000" b="1"/>
          </a:p>
        </c:rich>
      </c:tx>
      <c:layout>
        <c:manualLayout>
          <c:xMode val="edge"/>
          <c:yMode val="edge"/>
          <c:x val="0.32751667293888309"/>
          <c:y val="3.34488213667166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41455262970878"/>
          <c:y val="0.12946676939384819"/>
          <c:w val="0.80200331062635477"/>
          <c:h val="0.676491386974574"/>
        </c:manualLayout>
      </c:layout>
      <c:scatterChart>
        <c:scatterStyle val="smoothMarker"/>
        <c:varyColors val="0"/>
        <c:ser>
          <c:idx val="0"/>
          <c:order val="0"/>
          <c:tx>
            <c:v>d2 ART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101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</c:numLit>
          </c:xVal>
          <c:yVal>
            <c:numLit>
              <c:formatCode>General</c:formatCode>
              <c:ptCount val="101"/>
              <c:pt idx="0">
                <c:v>108.67</c:v>
              </c:pt>
              <c:pt idx="1">
                <c:v>131.38999999999999</c:v>
              </c:pt>
              <c:pt idx="2">
                <c:v>159.06</c:v>
              </c:pt>
              <c:pt idx="3">
                <c:v>178.83</c:v>
              </c:pt>
              <c:pt idx="4">
                <c:v>195.72</c:v>
              </c:pt>
              <c:pt idx="5">
                <c:v>208.33</c:v>
              </c:pt>
              <c:pt idx="6">
                <c:v>219.11</c:v>
              </c:pt>
              <c:pt idx="7">
                <c:v>229.72</c:v>
              </c:pt>
              <c:pt idx="8">
                <c:v>239.28</c:v>
              </c:pt>
              <c:pt idx="9">
                <c:v>249</c:v>
              </c:pt>
              <c:pt idx="10">
                <c:v>256.94</c:v>
              </c:pt>
              <c:pt idx="11">
                <c:v>265.44</c:v>
              </c:pt>
              <c:pt idx="12">
                <c:v>272.44</c:v>
              </c:pt>
              <c:pt idx="13">
                <c:v>280.17</c:v>
              </c:pt>
              <c:pt idx="14">
                <c:v>287.17</c:v>
              </c:pt>
              <c:pt idx="15">
                <c:v>293.67</c:v>
              </c:pt>
              <c:pt idx="16">
                <c:v>300.27999999999997</c:v>
              </c:pt>
              <c:pt idx="17">
                <c:v>305.61</c:v>
              </c:pt>
              <c:pt idx="18">
                <c:v>311.5</c:v>
              </c:pt>
              <c:pt idx="19">
                <c:v>316.94</c:v>
              </c:pt>
              <c:pt idx="20">
                <c:v>322.67</c:v>
              </c:pt>
              <c:pt idx="21">
                <c:v>328.5</c:v>
              </c:pt>
              <c:pt idx="22">
                <c:v>333.39</c:v>
              </c:pt>
              <c:pt idx="23">
                <c:v>338.61</c:v>
              </c:pt>
              <c:pt idx="24">
                <c:v>343.89</c:v>
              </c:pt>
              <c:pt idx="25">
                <c:v>348.94</c:v>
              </c:pt>
              <c:pt idx="26">
                <c:v>353.72</c:v>
              </c:pt>
              <c:pt idx="27">
                <c:v>358.22</c:v>
              </c:pt>
              <c:pt idx="28">
                <c:v>363.28</c:v>
              </c:pt>
              <c:pt idx="29">
                <c:v>368</c:v>
              </c:pt>
              <c:pt idx="30">
                <c:v>372.61</c:v>
              </c:pt>
              <c:pt idx="31">
                <c:v>377.28</c:v>
              </c:pt>
              <c:pt idx="32">
                <c:v>381.67</c:v>
              </c:pt>
              <c:pt idx="33">
                <c:v>386.5</c:v>
              </c:pt>
              <c:pt idx="34">
                <c:v>390.89</c:v>
              </c:pt>
              <c:pt idx="35">
                <c:v>395.22</c:v>
              </c:pt>
              <c:pt idx="36">
                <c:v>399.83</c:v>
              </c:pt>
              <c:pt idx="37">
                <c:v>403.94</c:v>
              </c:pt>
              <c:pt idx="38">
                <c:v>408.33</c:v>
              </c:pt>
              <c:pt idx="39">
                <c:v>412.61</c:v>
              </c:pt>
              <c:pt idx="40">
                <c:v>417.06</c:v>
              </c:pt>
              <c:pt idx="41">
                <c:v>421.33</c:v>
              </c:pt>
              <c:pt idx="42">
                <c:v>425.61</c:v>
              </c:pt>
              <c:pt idx="43">
                <c:v>430.06</c:v>
              </c:pt>
              <c:pt idx="44">
                <c:v>434.33</c:v>
              </c:pt>
              <c:pt idx="45">
                <c:v>438.78</c:v>
              </c:pt>
              <c:pt idx="46">
                <c:v>443.06</c:v>
              </c:pt>
              <c:pt idx="47">
                <c:v>447.61</c:v>
              </c:pt>
              <c:pt idx="48">
                <c:v>452</c:v>
              </c:pt>
              <c:pt idx="49">
                <c:v>456.5</c:v>
              </c:pt>
              <c:pt idx="50">
                <c:v>460.94</c:v>
              </c:pt>
              <c:pt idx="51">
                <c:v>465.5</c:v>
              </c:pt>
              <c:pt idx="52">
                <c:v>469.72</c:v>
              </c:pt>
              <c:pt idx="53">
                <c:v>473.94</c:v>
              </c:pt>
              <c:pt idx="54">
                <c:v>478.11</c:v>
              </c:pt>
              <c:pt idx="55">
                <c:v>482.39</c:v>
              </c:pt>
              <c:pt idx="56">
                <c:v>486.61</c:v>
              </c:pt>
              <c:pt idx="57">
                <c:v>490.83</c:v>
              </c:pt>
              <c:pt idx="58">
                <c:v>495.11</c:v>
              </c:pt>
              <c:pt idx="59">
                <c:v>499.17</c:v>
              </c:pt>
              <c:pt idx="60">
                <c:v>503.22</c:v>
              </c:pt>
              <c:pt idx="61">
                <c:v>507.33</c:v>
              </c:pt>
              <c:pt idx="62">
                <c:v>511.39</c:v>
              </c:pt>
              <c:pt idx="63">
                <c:v>515.5</c:v>
              </c:pt>
              <c:pt idx="64">
                <c:v>519.61</c:v>
              </c:pt>
              <c:pt idx="65">
                <c:v>523.66999999999996</c:v>
              </c:pt>
              <c:pt idx="66">
                <c:v>527.78</c:v>
              </c:pt>
              <c:pt idx="67">
                <c:v>531.83000000000004</c:v>
              </c:pt>
              <c:pt idx="68">
                <c:v>535.83000000000004</c:v>
              </c:pt>
              <c:pt idx="69">
                <c:v>539.72</c:v>
              </c:pt>
              <c:pt idx="70">
                <c:v>543.66999999999996</c:v>
              </c:pt>
              <c:pt idx="71">
                <c:v>547.66999999999996</c:v>
              </c:pt>
              <c:pt idx="72">
                <c:v>551.78</c:v>
              </c:pt>
              <c:pt idx="73">
                <c:v>555.94000000000005</c:v>
              </c:pt>
              <c:pt idx="74">
                <c:v>559.94000000000005</c:v>
              </c:pt>
              <c:pt idx="75">
                <c:v>563.94000000000005</c:v>
              </c:pt>
              <c:pt idx="76">
                <c:v>567.89</c:v>
              </c:pt>
              <c:pt idx="77">
                <c:v>571.78</c:v>
              </c:pt>
              <c:pt idx="78">
                <c:v>575.83000000000004</c:v>
              </c:pt>
              <c:pt idx="79">
                <c:v>580.11</c:v>
              </c:pt>
              <c:pt idx="80">
                <c:v>584.44000000000005</c:v>
              </c:pt>
              <c:pt idx="81">
                <c:v>588.61</c:v>
              </c:pt>
              <c:pt idx="82">
                <c:v>593</c:v>
              </c:pt>
              <c:pt idx="83">
                <c:v>597.72</c:v>
              </c:pt>
              <c:pt idx="84">
                <c:v>602.72</c:v>
              </c:pt>
              <c:pt idx="85">
                <c:v>608.11</c:v>
              </c:pt>
              <c:pt idx="86">
                <c:v>613.22</c:v>
              </c:pt>
              <c:pt idx="87">
                <c:v>618.78</c:v>
              </c:pt>
              <c:pt idx="88">
                <c:v>624.78</c:v>
              </c:pt>
              <c:pt idx="89">
                <c:v>631.05999999999995</c:v>
              </c:pt>
              <c:pt idx="90">
                <c:v>637.33000000000004</c:v>
              </c:pt>
              <c:pt idx="91">
                <c:v>644.44000000000005</c:v>
              </c:pt>
              <c:pt idx="92">
                <c:v>652.5</c:v>
              </c:pt>
              <c:pt idx="93">
                <c:v>660.94</c:v>
              </c:pt>
              <c:pt idx="94">
                <c:v>672.06</c:v>
              </c:pt>
              <c:pt idx="95">
                <c:v>685.83</c:v>
              </c:pt>
              <c:pt idx="96">
                <c:v>704.28</c:v>
              </c:pt>
            </c:numLit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858F-476D-AA90-8EF35DFD1C88}"/>
            </c:ext>
          </c:extLst>
        </c:ser>
        <c:ser>
          <c:idx val="1"/>
          <c:order val="1"/>
          <c:tx>
            <c:v>d3 ART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101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</c:numLit>
          </c:xVal>
          <c:yVal>
            <c:numLit>
              <c:formatCode>General</c:formatCode>
              <c:ptCount val="101"/>
              <c:pt idx="0">
                <c:v>113.56</c:v>
              </c:pt>
              <c:pt idx="1">
                <c:v>136.61000000000001</c:v>
              </c:pt>
              <c:pt idx="2">
                <c:v>164</c:v>
              </c:pt>
              <c:pt idx="3">
                <c:v>183</c:v>
              </c:pt>
              <c:pt idx="4">
                <c:v>197.83</c:v>
              </c:pt>
              <c:pt idx="5">
                <c:v>211.94</c:v>
              </c:pt>
              <c:pt idx="6">
                <c:v>221.94</c:v>
              </c:pt>
              <c:pt idx="7">
                <c:v>233.22</c:v>
              </c:pt>
              <c:pt idx="8">
                <c:v>242.44</c:v>
              </c:pt>
              <c:pt idx="9">
                <c:v>252.28</c:v>
              </c:pt>
              <c:pt idx="10">
                <c:v>259.77999999999997</c:v>
              </c:pt>
              <c:pt idx="11">
                <c:v>268.33</c:v>
              </c:pt>
              <c:pt idx="12">
                <c:v>275.22000000000003</c:v>
              </c:pt>
              <c:pt idx="13">
                <c:v>283.11</c:v>
              </c:pt>
              <c:pt idx="14">
                <c:v>289.39</c:v>
              </c:pt>
              <c:pt idx="15">
                <c:v>296</c:v>
              </c:pt>
              <c:pt idx="16">
                <c:v>302.11</c:v>
              </c:pt>
              <c:pt idx="17">
                <c:v>308.17</c:v>
              </c:pt>
              <c:pt idx="18">
                <c:v>314.27999999999997</c:v>
              </c:pt>
              <c:pt idx="19">
                <c:v>319.33</c:v>
              </c:pt>
              <c:pt idx="20">
                <c:v>325.17</c:v>
              </c:pt>
              <c:pt idx="21">
                <c:v>330.33</c:v>
              </c:pt>
              <c:pt idx="22">
                <c:v>335.56</c:v>
              </c:pt>
              <c:pt idx="23">
                <c:v>341.28</c:v>
              </c:pt>
              <c:pt idx="24">
                <c:v>345.94</c:v>
              </c:pt>
              <c:pt idx="25">
                <c:v>350.94</c:v>
              </c:pt>
              <c:pt idx="26">
                <c:v>355.78</c:v>
              </c:pt>
              <c:pt idx="27">
                <c:v>360.56</c:v>
              </c:pt>
              <c:pt idx="28">
                <c:v>365.39</c:v>
              </c:pt>
              <c:pt idx="29">
                <c:v>369.72</c:v>
              </c:pt>
              <c:pt idx="30">
                <c:v>374.56</c:v>
              </c:pt>
              <c:pt idx="31">
                <c:v>379.28</c:v>
              </c:pt>
              <c:pt idx="32">
                <c:v>383.72</c:v>
              </c:pt>
              <c:pt idx="33">
                <c:v>388.28</c:v>
              </c:pt>
              <c:pt idx="34">
                <c:v>392.5</c:v>
              </c:pt>
              <c:pt idx="35">
                <c:v>397.06</c:v>
              </c:pt>
              <c:pt idx="36">
                <c:v>401.39</c:v>
              </c:pt>
              <c:pt idx="37">
                <c:v>405.67</c:v>
              </c:pt>
              <c:pt idx="38">
                <c:v>410.11</c:v>
              </c:pt>
              <c:pt idx="39">
                <c:v>414.28</c:v>
              </c:pt>
              <c:pt idx="40">
                <c:v>418.61</c:v>
              </c:pt>
              <c:pt idx="41">
                <c:v>422.78</c:v>
              </c:pt>
              <c:pt idx="42">
                <c:v>427.17</c:v>
              </c:pt>
              <c:pt idx="43">
                <c:v>431.44</c:v>
              </c:pt>
              <c:pt idx="44">
                <c:v>435.83</c:v>
              </c:pt>
              <c:pt idx="45">
                <c:v>440.17</c:v>
              </c:pt>
              <c:pt idx="46">
                <c:v>444.5</c:v>
              </c:pt>
              <c:pt idx="47">
                <c:v>448.94</c:v>
              </c:pt>
              <c:pt idx="48">
                <c:v>453.39</c:v>
              </c:pt>
              <c:pt idx="49">
                <c:v>457.78</c:v>
              </c:pt>
              <c:pt idx="50">
                <c:v>462.22</c:v>
              </c:pt>
              <c:pt idx="51">
                <c:v>466.61</c:v>
              </c:pt>
              <c:pt idx="52">
                <c:v>470.78</c:v>
              </c:pt>
              <c:pt idx="53">
                <c:v>474.94</c:v>
              </c:pt>
              <c:pt idx="54">
                <c:v>479.11</c:v>
              </c:pt>
              <c:pt idx="55">
                <c:v>483.28</c:v>
              </c:pt>
              <c:pt idx="56">
                <c:v>487.5</c:v>
              </c:pt>
              <c:pt idx="57">
                <c:v>491.67</c:v>
              </c:pt>
              <c:pt idx="58">
                <c:v>495.83</c:v>
              </c:pt>
              <c:pt idx="59">
                <c:v>499.89</c:v>
              </c:pt>
              <c:pt idx="60">
                <c:v>503.89</c:v>
              </c:pt>
              <c:pt idx="61">
                <c:v>507.94</c:v>
              </c:pt>
              <c:pt idx="62">
                <c:v>511.94</c:v>
              </c:pt>
              <c:pt idx="63">
                <c:v>516</c:v>
              </c:pt>
              <c:pt idx="64">
                <c:v>520.05999999999995</c:v>
              </c:pt>
              <c:pt idx="65">
                <c:v>524.05999999999995</c:v>
              </c:pt>
              <c:pt idx="66">
                <c:v>528.05999999999995</c:v>
              </c:pt>
              <c:pt idx="67">
                <c:v>532.11</c:v>
              </c:pt>
              <c:pt idx="68">
                <c:v>536</c:v>
              </c:pt>
              <c:pt idx="69">
                <c:v>539.83000000000004</c:v>
              </c:pt>
              <c:pt idx="70">
                <c:v>543.72</c:v>
              </c:pt>
              <c:pt idx="71">
                <c:v>547.66999999999996</c:v>
              </c:pt>
              <c:pt idx="72">
                <c:v>551.72</c:v>
              </c:pt>
              <c:pt idx="73">
                <c:v>555.78</c:v>
              </c:pt>
              <c:pt idx="74">
                <c:v>559.72</c:v>
              </c:pt>
              <c:pt idx="75">
                <c:v>563.61</c:v>
              </c:pt>
              <c:pt idx="76">
                <c:v>567.5</c:v>
              </c:pt>
              <c:pt idx="77">
                <c:v>571.33000000000004</c:v>
              </c:pt>
              <c:pt idx="78">
                <c:v>575.28</c:v>
              </c:pt>
              <c:pt idx="79">
                <c:v>579.44000000000005</c:v>
              </c:pt>
              <c:pt idx="80">
                <c:v>583.72</c:v>
              </c:pt>
              <c:pt idx="81">
                <c:v>587.78</c:v>
              </c:pt>
              <c:pt idx="82">
                <c:v>592</c:v>
              </c:pt>
              <c:pt idx="83">
                <c:v>596.61</c:v>
              </c:pt>
              <c:pt idx="84">
                <c:v>601.39</c:v>
              </c:pt>
              <c:pt idx="85">
                <c:v>606.61</c:v>
              </c:pt>
              <c:pt idx="86">
                <c:v>611.66999999999996</c:v>
              </c:pt>
              <c:pt idx="87">
                <c:v>616.94000000000005</c:v>
              </c:pt>
              <c:pt idx="88">
                <c:v>622.61</c:v>
              </c:pt>
              <c:pt idx="89">
                <c:v>628.89</c:v>
              </c:pt>
              <c:pt idx="90">
                <c:v>634.78</c:v>
              </c:pt>
              <c:pt idx="91">
                <c:v>641.33000000000004</c:v>
              </c:pt>
              <c:pt idx="92">
                <c:v>648.72</c:v>
              </c:pt>
              <c:pt idx="93">
                <c:v>656.39</c:v>
              </c:pt>
              <c:pt idx="94">
                <c:v>665.89</c:v>
              </c:pt>
              <c:pt idx="95">
                <c:v>676.89</c:v>
              </c:pt>
              <c:pt idx="96">
                <c:v>690.83</c:v>
              </c:pt>
              <c:pt idx="97">
                <c:v>709.11</c:v>
              </c:pt>
            </c:numLit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858F-476D-AA90-8EF35DFD1C88}"/>
            </c:ext>
          </c:extLst>
        </c:ser>
        <c:ser>
          <c:idx val="2"/>
          <c:order val="2"/>
          <c:tx>
            <c:v>d4 ART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01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</c:numLit>
          </c:xVal>
          <c:yVal>
            <c:numLit>
              <c:formatCode>General</c:formatCode>
              <c:ptCount val="101"/>
              <c:pt idx="0">
                <c:v>112.17</c:v>
              </c:pt>
              <c:pt idx="1">
                <c:v>135.22</c:v>
              </c:pt>
              <c:pt idx="2">
                <c:v>164</c:v>
              </c:pt>
              <c:pt idx="3">
                <c:v>183.39</c:v>
              </c:pt>
              <c:pt idx="4">
                <c:v>198.72</c:v>
              </c:pt>
              <c:pt idx="5">
                <c:v>213.5</c:v>
              </c:pt>
              <c:pt idx="6">
                <c:v>223.67</c:v>
              </c:pt>
              <c:pt idx="7">
                <c:v>234.28</c:v>
              </c:pt>
              <c:pt idx="8">
                <c:v>244.39</c:v>
              </c:pt>
              <c:pt idx="9">
                <c:v>253.5</c:v>
              </c:pt>
              <c:pt idx="10">
                <c:v>262.06</c:v>
              </c:pt>
              <c:pt idx="11">
                <c:v>270.22000000000003</c:v>
              </c:pt>
              <c:pt idx="12">
                <c:v>277.72000000000003</c:v>
              </c:pt>
              <c:pt idx="13">
                <c:v>285.83</c:v>
              </c:pt>
              <c:pt idx="14">
                <c:v>292</c:v>
              </c:pt>
              <c:pt idx="15">
                <c:v>298.94</c:v>
              </c:pt>
              <c:pt idx="16">
                <c:v>304.61</c:v>
              </c:pt>
              <c:pt idx="17">
                <c:v>310.83</c:v>
              </c:pt>
              <c:pt idx="18">
                <c:v>316.44</c:v>
              </c:pt>
              <c:pt idx="19">
                <c:v>322.33</c:v>
              </c:pt>
              <c:pt idx="20">
                <c:v>328.33</c:v>
              </c:pt>
              <c:pt idx="21">
                <c:v>333.44</c:v>
              </c:pt>
              <c:pt idx="22">
                <c:v>338.78</c:v>
              </c:pt>
              <c:pt idx="23">
                <c:v>344</c:v>
              </c:pt>
              <c:pt idx="24">
                <c:v>349.28</c:v>
              </c:pt>
              <c:pt idx="25">
                <c:v>354.17</c:v>
              </c:pt>
              <c:pt idx="26">
                <c:v>358.83</c:v>
              </c:pt>
              <c:pt idx="27">
                <c:v>363.83</c:v>
              </c:pt>
              <c:pt idx="28">
                <c:v>368.44</c:v>
              </c:pt>
              <c:pt idx="29">
                <c:v>373.28</c:v>
              </c:pt>
              <c:pt idx="30">
                <c:v>378.11</c:v>
              </c:pt>
              <c:pt idx="31">
                <c:v>382.5</c:v>
              </c:pt>
              <c:pt idx="32">
                <c:v>387.22</c:v>
              </c:pt>
              <c:pt idx="33">
                <c:v>391.5</c:v>
              </c:pt>
              <c:pt idx="34">
                <c:v>396.11</c:v>
              </c:pt>
              <c:pt idx="35">
                <c:v>400.72</c:v>
              </c:pt>
              <c:pt idx="36">
                <c:v>404.89</c:v>
              </c:pt>
              <c:pt idx="37">
                <c:v>409.33</c:v>
              </c:pt>
              <c:pt idx="38">
                <c:v>413.61</c:v>
              </c:pt>
              <c:pt idx="39">
                <c:v>418</c:v>
              </c:pt>
              <c:pt idx="40">
                <c:v>422.22</c:v>
              </c:pt>
              <c:pt idx="41">
                <c:v>426.67</c:v>
              </c:pt>
              <c:pt idx="42">
                <c:v>431</c:v>
              </c:pt>
              <c:pt idx="43">
                <c:v>435.39</c:v>
              </c:pt>
              <c:pt idx="44">
                <c:v>439.83</c:v>
              </c:pt>
              <c:pt idx="45">
                <c:v>444.17</c:v>
              </c:pt>
              <c:pt idx="46">
                <c:v>448.72</c:v>
              </c:pt>
              <c:pt idx="47">
                <c:v>453.17</c:v>
              </c:pt>
              <c:pt idx="48">
                <c:v>457.61</c:v>
              </c:pt>
              <c:pt idx="49">
                <c:v>462.11</c:v>
              </c:pt>
              <c:pt idx="50">
                <c:v>466.56</c:v>
              </c:pt>
              <c:pt idx="51">
                <c:v>470.78</c:v>
              </c:pt>
              <c:pt idx="52">
                <c:v>474.94</c:v>
              </c:pt>
              <c:pt idx="53">
                <c:v>479.17</c:v>
              </c:pt>
              <c:pt idx="54">
                <c:v>483.39</c:v>
              </c:pt>
              <c:pt idx="55">
                <c:v>487.61</c:v>
              </c:pt>
              <c:pt idx="56">
                <c:v>491.78</c:v>
              </c:pt>
              <c:pt idx="57">
                <c:v>496.06</c:v>
              </c:pt>
              <c:pt idx="58">
                <c:v>500.11</c:v>
              </c:pt>
              <c:pt idx="59">
                <c:v>504.11</c:v>
              </c:pt>
              <c:pt idx="60">
                <c:v>508.22</c:v>
              </c:pt>
              <c:pt idx="61">
                <c:v>512.22</c:v>
              </c:pt>
              <c:pt idx="62">
                <c:v>516.28</c:v>
              </c:pt>
              <c:pt idx="63">
                <c:v>520.39</c:v>
              </c:pt>
              <c:pt idx="64">
                <c:v>524.39</c:v>
              </c:pt>
              <c:pt idx="65">
                <c:v>528.44000000000005</c:v>
              </c:pt>
              <c:pt idx="66">
                <c:v>532.5</c:v>
              </c:pt>
              <c:pt idx="67">
                <c:v>536.39</c:v>
              </c:pt>
              <c:pt idx="68">
                <c:v>540.28</c:v>
              </c:pt>
              <c:pt idx="69">
                <c:v>544.11</c:v>
              </c:pt>
              <c:pt idx="70">
                <c:v>548.11</c:v>
              </c:pt>
              <c:pt idx="71">
                <c:v>552.16999999999996</c:v>
              </c:pt>
              <c:pt idx="72">
                <c:v>556.22</c:v>
              </c:pt>
              <c:pt idx="73">
                <c:v>560.16999999999996</c:v>
              </c:pt>
              <c:pt idx="74">
                <c:v>564.11</c:v>
              </c:pt>
              <c:pt idx="75">
                <c:v>568</c:v>
              </c:pt>
              <c:pt idx="76">
                <c:v>571.83000000000004</c:v>
              </c:pt>
              <c:pt idx="77">
                <c:v>575.78</c:v>
              </c:pt>
              <c:pt idx="78">
                <c:v>579.94000000000005</c:v>
              </c:pt>
              <c:pt idx="79">
                <c:v>584.22</c:v>
              </c:pt>
              <c:pt idx="80">
                <c:v>588.33000000000004</c:v>
              </c:pt>
              <c:pt idx="81">
                <c:v>592.55999999999995</c:v>
              </c:pt>
              <c:pt idx="82">
                <c:v>597.16999999999996</c:v>
              </c:pt>
              <c:pt idx="83">
                <c:v>602.05999999999995</c:v>
              </c:pt>
              <c:pt idx="84">
                <c:v>607.22</c:v>
              </c:pt>
              <c:pt idx="85">
                <c:v>612.28</c:v>
              </c:pt>
              <c:pt idx="86">
                <c:v>617.55999999999995</c:v>
              </c:pt>
              <c:pt idx="87">
                <c:v>623.28</c:v>
              </c:pt>
              <c:pt idx="88">
                <c:v>629.44000000000005</c:v>
              </c:pt>
              <c:pt idx="89">
                <c:v>635.33000000000004</c:v>
              </c:pt>
              <c:pt idx="90">
                <c:v>641.89</c:v>
              </c:pt>
              <c:pt idx="91">
                <c:v>649.28</c:v>
              </c:pt>
              <c:pt idx="92">
                <c:v>656.83</c:v>
              </c:pt>
              <c:pt idx="93">
                <c:v>666.39</c:v>
              </c:pt>
              <c:pt idx="94">
                <c:v>677.17</c:v>
              </c:pt>
              <c:pt idx="95">
                <c:v>690.72</c:v>
              </c:pt>
              <c:pt idx="96">
                <c:v>707.94</c:v>
              </c:pt>
            </c:numLit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858F-476D-AA90-8EF35DFD1C88}"/>
            </c:ext>
          </c:extLst>
        </c:ser>
        <c:ser>
          <c:idx val="6"/>
          <c:order val="6"/>
          <c:tx>
            <c:v>d2 TOP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Lit>
              <c:formatCode>General</c:formatCode>
              <c:ptCount val="101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</c:numLit>
          </c:xVal>
          <c:yVal>
            <c:numLit>
              <c:formatCode>General</c:formatCode>
              <c:ptCount val="102"/>
              <c:pt idx="0">
                <c:v>94.4</c:v>
              </c:pt>
              <c:pt idx="1">
                <c:v>119.27</c:v>
              </c:pt>
              <c:pt idx="2">
                <c:v>148.83000000000001</c:v>
              </c:pt>
              <c:pt idx="3">
                <c:v>170.14</c:v>
              </c:pt>
              <c:pt idx="4">
                <c:v>185.01</c:v>
              </c:pt>
              <c:pt idx="5">
                <c:v>199.54</c:v>
              </c:pt>
              <c:pt idx="6">
                <c:v>211.85</c:v>
              </c:pt>
              <c:pt idx="7">
                <c:v>222.31</c:v>
              </c:pt>
              <c:pt idx="8">
                <c:v>232.37</c:v>
              </c:pt>
              <c:pt idx="9">
                <c:v>242.16</c:v>
              </c:pt>
              <c:pt idx="10">
                <c:v>251.34</c:v>
              </c:pt>
              <c:pt idx="11">
                <c:v>259.73</c:v>
              </c:pt>
              <c:pt idx="12">
                <c:v>268.02</c:v>
              </c:pt>
              <c:pt idx="13">
                <c:v>275.39999999999998</c:v>
              </c:pt>
              <c:pt idx="14">
                <c:v>282.79000000000002</c:v>
              </c:pt>
              <c:pt idx="15">
                <c:v>289.75</c:v>
              </c:pt>
              <c:pt idx="16">
                <c:v>296.07</c:v>
              </c:pt>
              <c:pt idx="17">
                <c:v>301.81</c:v>
              </c:pt>
              <c:pt idx="18">
                <c:v>308.24</c:v>
              </c:pt>
              <c:pt idx="19">
                <c:v>314.02</c:v>
              </c:pt>
              <c:pt idx="20">
                <c:v>319.83999999999997</c:v>
              </c:pt>
              <c:pt idx="21">
                <c:v>325.8</c:v>
              </c:pt>
              <c:pt idx="22">
                <c:v>330.94</c:v>
              </c:pt>
              <c:pt idx="23">
                <c:v>336.61</c:v>
              </c:pt>
              <c:pt idx="24">
                <c:v>341.85</c:v>
              </c:pt>
              <c:pt idx="25">
                <c:v>346.94</c:v>
              </c:pt>
              <c:pt idx="26">
                <c:v>352.09</c:v>
              </c:pt>
              <c:pt idx="27">
                <c:v>356.68</c:v>
              </c:pt>
              <c:pt idx="28">
                <c:v>361.55</c:v>
              </c:pt>
              <c:pt idx="29">
                <c:v>366.32</c:v>
              </c:pt>
              <c:pt idx="30">
                <c:v>371.15</c:v>
              </c:pt>
              <c:pt idx="31">
                <c:v>375.92</c:v>
              </c:pt>
              <c:pt idx="32">
                <c:v>380.32</c:v>
              </c:pt>
              <c:pt idx="33">
                <c:v>385.18</c:v>
              </c:pt>
              <c:pt idx="34">
                <c:v>389.65</c:v>
              </c:pt>
              <c:pt idx="35">
                <c:v>394.33</c:v>
              </c:pt>
              <c:pt idx="36">
                <c:v>398.8</c:v>
              </c:pt>
              <c:pt idx="37">
                <c:v>403.16</c:v>
              </c:pt>
              <c:pt idx="38">
                <c:v>407.81</c:v>
              </c:pt>
              <c:pt idx="39">
                <c:v>412.14</c:v>
              </c:pt>
              <c:pt idx="40">
                <c:v>416.68</c:v>
              </c:pt>
              <c:pt idx="41">
                <c:v>421.11</c:v>
              </c:pt>
              <c:pt idx="42">
                <c:v>425.75</c:v>
              </c:pt>
              <c:pt idx="43">
                <c:v>430.29</c:v>
              </c:pt>
              <c:pt idx="44">
                <c:v>434.99</c:v>
              </c:pt>
              <c:pt idx="45">
                <c:v>439.45</c:v>
              </c:pt>
              <c:pt idx="46">
                <c:v>444.1</c:v>
              </c:pt>
              <c:pt idx="47">
                <c:v>448.54</c:v>
              </c:pt>
              <c:pt idx="48">
                <c:v>453.22</c:v>
              </c:pt>
              <c:pt idx="49">
                <c:v>457.79</c:v>
              </c:pt>
              <c:pt idx="50">
                <c:v>462.33</c:v>
              </c:pt>
              <c:pt idx="51">
                <c:v>466.92</c:v>
              </c:pt>
              <c:pt idx="52">
                <c:v>471.35</c:v>
              </c:pt>
              <c:pt idx="53">
                <c:v>475.79</c:v>
              </c:pt>
              <c:pt idx="54">
                <c:v>480.27</c:v>
              </c:pt>
              <c:pt idx="55">
                <c:v>484.77</c:v>
              </c:pt>
              <c:pt idx="56">
                <c:v>489.24</c:v>
              </c:pt>
              <c:pt idx="57">
                <c:v>493.72</c:v>
              </c:pt>
              <c:pt idx="58">
                <c:v>498.17</c:v>
              </c:pt>
              <c:pt idx="59">
                <c:v>502.45</c:v>
              </c:pt>
              <c:pt idx="60">
                <c:v>506.8</c:v>
              </c:pt>
              <c:pt idx="61">
                <c:v>511.15</c:v>
              </c:pt>
              <c:pt idx="62">
                <c:v>515.47</c:v>
              </c:pt>
              <c:pt idx="63">
                <c:v>519.83000000000004</c:v>
              </c:pt>
              <c:pt idx="64">
                <c:v>524.13</c:v>
              </c:pt>
              <c:pt idx="65">
                <c:v>528.32000000000005</c:v>
              </c:pt>
              <c:pt idx="66">
                <c:v>532.51</c:v>
              </c:pt>
              <c:pt idx="67">
                <c:v>536.73</c:v>
              </c:pt>
              <c:pt idx="68">
                <c:v>540.92999999999995</c:v>
              </c:pt>
              <c:pt idx="69">
                <c:v>545.11</c:v>
              </c:pt>
              <c:pt idx="70">
                <c:v>549.33000000000004</c:v>
              </c:pt>
              <c:pt idx="71">
                <c:v>553.55999999999995</c:v>
              </c:pt>
              <c:pt idx="72">
                <c:v>557.67999999999995</c:v>
              </c:pt>
              <c:pt idx="73">
                <c:v>561.69000000000005</c:v>
              </c:pt>
              <c:pt idx="74">
                <c:v>565.72</c:v>
              </c:pt>
              <c:pt idx="75">
                <c:v>569.84</c:v>
              </c:pt>
              <c:pt idx="76">
                <c:v>574.04999999999995</c:v>
              </c:pt>
              <c:pt idx="77">
                <c:v>578.45000000000005</c:v>
              </c:pt>
              <c:pt idx="78">
                <c:v>583</c:v>
              </c:pt>
              <c:pt idx="79">
                <c:v>587.49</c:v>
              </c:pt>
              <c:pt idx="80">
                <c:v>592.11</c:v>
              </c:pt>
              <c:pt idx="81">
                <c:v>596.92999999999995</c:v>
              </c:pt>
              <c:pt idx="82">
                <c:v>602.04</c:v>
              </c:pt>
              <c:pt idx="83">
                <c:v>607.49</c:v>
              </c:pt>
              <c:pt idx="84">
                <c:v>613.19000000000005</c:v>
              </c:pt>
              <c:pt idx="85">
                <c:v>619.12</c:v>
              </c:pt>
              <c:pt idx="86">
                <c:v>625.39</c:v>
              </c:pt>
              <c:pt idx="87">
                <c:v>632.07000000000005</c:v>
              </c:pt>
              <c:pt idx="88">
                <c:v>639.15</c:v>
              </c:pt>
              <c:pt idx="89">
                <c:v>646.79</c:v>
              </c:pt>
              <c:pt idx="90">
                <c:v>655.29</c:v>
              </c:pt>
              <c:pt idx="91">
                <c:v>664.56</c:v>
              </c:pt>
              <c:pt idx="92">
                <c:v>675.22</c:v>
              </c:pt>
              <c:pt idx="93">
                <c:v>687.44</c:v>
              </c:pt>
              <c:pt idx="94">
                <c:v>700.09</c:v>
              </c:pt>
              <c:pt idx="95">
                <c:v>713.39</c:v>
              </c:pt>
            </c:numLit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3-858F-476D-AA90-8EF35DFD1C88}"/>
            </c:ext>
          </c:extLst>
        </c:ser>
        <c:ser>
          <c:idx val="7"/>
          <c:order val="7"/>
          <c:tx>
            <c:v>d3 TOP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Lit>
              <c:formatCode>General</c:formatCode>
              <c:ptCount val="101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</c:numLit>
          </c:xVal>
          <c:yVal>
            <c:numLit>
              <c:formatCode>General</c:formatCode>
              <c:ptCount val="103"/>
              <c:pt idx="0">
                <c:v>97.26</c:v>
              </c:pt>
              <c:pt idx="1">
                <c:v>122.15</c:v>
              </c:pt>
              <c:pt idx="2">
                <c:v>154.13999999999999</c:v>
              </c:pt>
              <c:pt idx="3">
                <c:v>173.44</c:v>
              </c:pt>
              <c:pt idx="4">
                <c:v>190.25</c:v>
              </c:pt>
              <c:pt idx="5">
                <c:v>203.42</c:v>
              </c:pt>
              <c:pt idx="6">
                <c:v>215.86</c:v>
              </c:pt>
              <c:pt idx="7">
                <c:v>226.8</c:v>
              </c:pt>
              <c:pt idx="8">
                <c:v>236.7</c:v>
              </c:pt>
              <c:pt idx="9">
                <c:v>247.63</c:v>
              </c:pt>
              <c:pt idx="10">
                <c:v>256.39</c:v>
              </c:pt>
              <c:pt idx="11">
                <c:v>265.20999999999998</c:v>
              </c:pt>
              <c:pt idx="12">
                <c:v>273.23</c:v>
              </c:pt>
              <c:pt idx="13">
                <c:v>281.17</c:v>
              </c:pt>
              <c:pt idx="14">
                <c:v>288.68</c:v>
              </c:pt>
              <c:pt idx="15">
                <c:v>295.58</c:v>
              </c:pt>
              <c:pt idx="16">
                <c:v>301.73</c:v>
              </c:pt>
              <c:pt idx="17">
                <c:v>308.52999999999997</c:v>
              </c:pt>
              <c:pt idx="18">
                <c:v>314.43</c:v>
              </c:pt>
              <c:pt idx="19">
                <c:v>320.76</c:v>
              </c:pt>
              <c:pt idx="20">
                <c:v>327.08999999999997</c:v>
              </c:pt>
              <c:pt idx="21">
                <c:v>332.57</c:v>
              </c:pt>
              <c:pt idx="22">
                <c:v>338.35</c:v>
              </c:pt>
              <c:pt idx="23">
                <c:v>343.58</c:v>
              </c:pt>
              <c:pt idx="24">
                <c:v>349.13</c:v>
              </c:pt>
              <c:pt idx="25">
                <c:v>354.33</c:v>
              </c:pt>
              <c:pt idx="26">
                <c:v>359.45</c:v>
              </c:pt>
              <c:pt idx="27">
                <c:v>364.34</c:v>
              </c:pt>
              <c:pt idx="28">
                <c:v>369.2</c:v>
              </c:pt>
              <c:pt idx="29">
                <c:v>374.25</c:v>
              </c:pt>
              <c:pt idx="30">
                <c:v>378.86</c:v>
              </c:pt>
              <c:pt idx="31">
                <c:v>383.9</c:v>
              </c:pt>
              <c:pt idx="32">
                <c:v>388.7</c:v>
              </c:pt>
              <c:pt idx="33">
                <c:v>393.42</c:v>
              </c:pt>
              <c:pt idx="34">
                <c:v>398.17</c:v>
              </c:pt>
              <c:pt idx="35">
                <c:v>402.57</c:v>
              </c:pt>
              <c:pt idx="36">
                <c:v>407.41</c:v>
              </c:pt>
              <c:pt idx="37">
                <c:v>411.91</c:v>
              </c:pt>
              <c:pt idx="38">
                <c:v>416.63</c:v>
              </c:pt>
              <c:pt idx="39">
                <c:v>421.22</c:v>
              </c:pt>
              <c:pt idx="40">
                <c:v>425.72</c:v>
              </c:pt>
              <c:pt idx="41">
                <c:v>430.37</c:v>
              </c:pt>
              <c:pt idx="42">
                <c:v>435.22</c:v>
              </c:pt>
              <c:pt idx="43">
                <c:v>439.82</c:v>
              </c:pt>
              <c:pt idx="44">
                <c:v>444.6</c:v>
              </c:pt>
              <c:pt idx="45">
                <c:v>449.15</c:v>
              </c:pt>
              <c:pt idx="46">
                <c:v>453.98</c:v>
              </c:pt>
              <c:pt idx="47">
                <c:v>458.68</c:v>
              </c:pt>
              <c:pt idx="48">
                <c:v>463.34</c:v>
              </c:pt>
              <c:pt idx="49">
                <c:v>468.03</c:v>
              </c:pt>
              <c:pt idx="50">
                <c:v>472.52</c:v>
              </c:pt>
              <c:pt idx="51">
                <c:v>477.15</c:v>
              </c:pt>
              <c:pt idx="52">
                <c:v>481.73</c:v>
              </c:pt>
              <c:pt idx="53">
                <c:v>486.34</c:v>
              </c:pt>
              <c:pt idx="54">
                <c:v>490.97</c:v>
              </c:pt>
              <c:pt idx="55">
                <c:v>495.52</c:v>
              </c:pt>
              <c:pt idx="56">
                <c:v>500.01</c:v>
              </c:pt>
              <c:pt idx="57">
                <c:v>504.41</c:v>
              </c:pt>
              <c:pt idx="58">
                <c:v>508.8</c:v>
              </c:pt>
              <c:pt idx="59">
                <c:v>513.23</c:v>
              </c:pt>
              <c:pt idx="60">
                <c:v>517.64</c:v>
              </c:pt>
              <c:pt idx="61">
                <c:v>522.02</c:v>
              </c:pt>
              <c:pt idx="62">
                <c:v>526.29</c:v>
              </c:pt>
              <c:pt idx="63">
                <c:v>530.55999999999995</c:v>
              </c:pt>
              <c:pt idx="64">
                <c:v>534.79</c:v>
              </c:pt>
              <c:pt idx="65">
                <c:v>539.03</c:v>
              </c:pt>
              <c:pt idx="66">
                <c:v>543.24</c:v>
              </c:pt>
              <c:pt idx="67">
                <c:v>547.48</c:v>
              </c:pt>
              <c:pt idx="68">
                <c:v>551.72</c:v>
              </c:pt>
              <c:pt idx="69">
                <c:v>555.95000000000005</c:v>
              </c:pt>
              <c:pt idx="70">
                <c:v>559.91999999999996</c:v>
              </c:pt>
              <c:pt idx="71">
                <c:v>563.94000000000005</c:v>
              </c:pt>
              <c:pt idx="72">
                <c:v>568.01</c:v>
              </c:pt>
              <c:pt idx="73">
                <c:v>572.16</c:v>
              </c:pt>
              <c:pt idx="74">
                <c:v>576.42999999999995</c:v>
              </c:pt>
              <c:pt idx="75">
                <c:v>580.87</c:v>
              </c:pt>
              <c:pt idx="76">
                <c:v>585.37</c:v>
              </c:pt>
              <c:pt idx="77">
                <c:v>589.85</c:v>
              </c:pt>
              <c:pt idx="78">
                <c:v>594.52</c:v>
              </c:pt>
              <c:pt idx="79">
                <c:v>599.4</c:v>
              </c:pt>
              <c:pt idx="80">
                <c:v>604.59</c:v>
              </c:pt>
              <c:pt idx="81">
                <c:v>610.08000000000004</c:v>
              </c:pt>
              <c:pt idx="82">
                <c:v>615.77</c:v>
              </c:pt>
              <c:pt idx="83">
                <c:v>621.67999999999995</c:v>
              </c:pt>
              <c:pt idx="84">
                <c:v>627.92999999999995</c:v>
              </c:pt>
              <c:pt idx="85">
                <c:v>634.57000000000005</c:v>
              </c:pt>
              <c:pt idx="86">
                <c:v>641.54</c:v>
              </c:pt>
              <c:pt idx="87">
                <c:v>649.09</c:v>
              </c:pt>
              <c:pt idx="88">
                <c:v>657.37</c:v>
              </c:pt>
              <c:pt idx="89">
                <c:v>666.4</c:v>
              </c:pt>
              <c:pt idx="90">
                <c:v>676.07</c:v>
              </c:pt>
              <c:pt idx="91">
                <c:v>686.95</c:v>
              </c:pt>
              <c:pt idx="92">
                <c:v>697.83</c:v>
              </c:pt>
              <c:pt idx="93">
                <c:v>708.49</c:v>
              </c:pt>
              <c:pt idx="94">
                <c:v>720.1</c:v>
              </c:pt>
              <c:pt idx="95">
                <c:v>722.84</c:v>
              </c:pt>
            </c:numLit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4-858F-476D-AA90-8EF35DFD1C88}"/>
            </c:ext>
          </c:extLst>
        </c:ser>
        <c:ser>
          <c:idx val="8"/>
          <c:order val="8"/>
          <c:tx>
            <c:v>d4 TOP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Lit>
              <c:formatCode>General</c:formatCode>
              <c:ptCount val="101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</c:numLit>
          </c:xVal>
          <c:yVal>
            <c:numLit>
              <c:formatCode>General</c:formatCode>
              <c:ptCount val="101"/>
              <c:pt idx="0">
                <c:v>95.55</c:v>
              </c:pt>
              <c:pt idx="1">
                <c:v>121.33</c:v>
              </c:pt>
              <c:pt idx="2">
                <c:v>152.68</c:v>
              </c:pt>
              <c:pt idx="3">
                <c:v>172.57</c:v>
              </c:pt>
              <c:pt idx="4">
                <c:v>189.45</c:v>
              </c:pt>
              <c:pt idx="5">
                <c:v>203.23</c:v>
              </c:pt>
              <c:pt idx="6">
                <c:v>215.87</c:v>
              </c:pt>
              <c:pt idx="7">
                <c:v>226.97</c:v>
              </c:pt>
              <c:pt idx="8">
                <c:v>237.07</c:v>
              </c:pt>
              <c:pt idx="9">
                <c:v>248.03</c:v>
              </c:pt>
              <c:pt idx="10">
                <c:v>256.95999999999998</c:v>
              </c:pt>
              <c:pt idx="11">
                <c:v>265.81</c:v>
              </c:pt>
              <c:pt idx="12">
                <c:v>273.86</c:v>
              </c:pt>
              <c:pt idx="13">
                <c:v>281.76</c:v>
              </c:pt>
              <c:pt idx="14">
                <c:v>289.23</c:v>
              </c:pt>
              <c:pt idx="15">
                <c:v>296.06</c:v>
              </c:pt>
              <c:pt idx="16">
                <c:v>302.16000000000003</c:v>
              </c:pt>
              <c:pt idx="17">
                <c:v>308.88</c:v>
              </c:pt>
              <c:pt idx="18">
                <c:v>314.67</c:v>
              </c:pt>
              <c:pt idx="19">
                <c:v>321.02999999999997</c:v>
              </c:pt>
              <c:pt idx="20">
                <c:v>327.3</c:v>
              </c:pt>
              <c:pt idx="21">
                <c:v>332.78</c:v>
              </c:pt>
              <c:pt idx="22">
                <c:v>338.53</c:v>
              </c:pt>
              <c:pt idx="23">
                <c:v>343.73</c:v>
              </c:pt>
              <c:pt idx="24">
                <c:v>349.23</c:v>
              </c:pt>
              <c:pt idx="25">
                <c:v>354.39</c:v>
              </c:pt>
              <c:pt idx="26">
                <c:v>359.48</c:v>
              </c:pt>
              <c:pt idx="27">
                <c:v>364.34</c:v>
              </c:pt>
              <c:pt idx="28">
                <c:v>369.2</c:v>
              </c:pt>
              <c:pt idx="29">
                <c:v>374.25</c:v>
              </c:pt>
              <c:pt idx="30">
                <c:v>378.86</c:v>
              </c:pt>
              <c:pt idx="31">
                <c:v>383.9</c:v>
              </c:pt>
              <c:pt idx="32">
                <c:v>388.7</c:v>
              </c:pt>
              <c:pt idx="33">
                <c:v>393.42</c:v>
              </c:pt>
              <c:pt idx="34">
                <c:v>398.17</c:v>
              </c:pt>
              <c:pt idx="35">
                <c:v>402.57</c:v>
              </c:pt>
              <c:pt idx="36">
                <c:v>407.41</c:v>
              </c:pt>
              <c:pt idx="37">
                <c:v>411.91</c:v>
              </c:pt>
              <c:pt idx="38">
                <c:v>416.63</c:v>
              </c:pt>
              <c:pt idx="39">
                <c:v>421.22</c:v>
              </c:pt>
              <c:pt idx="40">
                <c:v>425.72</c:v>
              </c:pt>
              <c:pt idx="41">
                <c:v>430.37</c:v>
              </c:pt>
              <c:pt idx="42">
                <c:v>435.22</c:v>
              </c:pt>
              <c:pt idx="43">
                <c:v>439.82</c:v>
              </c:pt>
              <c:pt idx="44">
                <c:v>444.6</c:v>
              </c:pt>
              <c:pt idx="45">
                <c:v>449.15</c:v>
              </c:pt>
              <c:pt idx="46">
                <c:v>453.98</c:v>
              </c:pt>
              <c:pt idx="47">
                <c:v>458.68</c:v>
              </c:pt>
              <c:pt idx="48">
                <c:v>463.34</c:v>
              </c:pt>
              <c:pt idx="49">
                <c:v>468.03</c:v>
              </c:pt>
              <c:pt idx="50">
                <c:v>472.52</c:v>
              </c:pt>
              <c:pt idx="51">
                <c:v>477.15</c:v>
              </c:pt>
              <c:pt idx="52">
                <c:v>481.73</c:v>
              </c:pt>
              <c:pt idx="53">
                <c:v>486.34</c:v>
              </c:pt>
              <c:pt idx="54">
                <c:v>490.97</c:v>
              </c:pt>
              <c:pt idx="55">
                <c:v>495.52</c:v>
              </c:pt>
              <c:pt idx="56">
                <c:v>500.01</c:v>
              </c:pt>
              <c:pt idx="57">
                <c:v>504.41</c:v>
              </c:pt>
              <c:pt idx="58">
                <c:v>508.8</c:v>
              </c:pt>
              <c:pt idx="59">
                <c:v>513.23</c:v>
              </c:pt>
              <c:pt idx="60">
                <c:v>517.64</c:v>
              </c:pt>
              <c:pt idx="61">
                <c:v>522.02</c:v>
              </c:pt>
              <c:pt idx="62">
                <c:v>526.29</c:v>
              </c:pt>
              <c:pt idx="63">
                <c:v>530.55999999999995</c:v>
              </c:pt>
              <c:pt idx="64">
                <c:v>534.79</c:v>
              </c:pt>
              <c:pt idx="65">
                <c:v>539.03</c:v>
              </c:pt>
              <c:pt idx="66">
                <c:v>543.24</c:v>
              </c:pt>
              <c:pt idx="67">
                <c:v>547.48</c:v>
              </c:pt>
              <c:pt idx="68">
                <c:v>551.72</c:v>
              </c:pt>
              <c:pt idx="69">
                <c:v>555.95000000000005</c:v>
              </c:pt>
              <c:pt idx="70">
                <c:v>559.91999999999996</c:v>
              </c:pt>
              <c:pt idx="71">
                <c:v>563.94000000000005</c:v>
              </c:pt>
              <c:pt idx="72">
                <c:v>568.01</c:v>
              </c:pt>
              <c:pt idx="73">
                <c:v>572.16</c:v>
              </c:pt>
              <c:pt idx="74">
                <c:v>576.42999999999995</c:v>
              </c:pt>
              <c:pt idx="75">
                <c:v>580.87</c:v>
              </c:pt>
              <c:pt idx="76">
                <c:v>585.37</c:v>
              </c:pt>
              <c:pt idx="77">
                <c:v>589.85</c:v>
              </c:pt>
              <c:pt idx="78">
                <c:v>594.52</c:v>
              </c:pt>
              <c:pt idx="79">
                <c:v>599.4</c:v>
              </c:pt>
              <c:pt idx="80">
                <c:v>604.59</c:v>
              </c:pt>
              <c:pt idx="81">
                <c:v>610.08000000000004</c:v>
              </c:pt>
              <c:pt idx="82">
                <c:v>615.77</c:v>
              </c:pt>
              <c:pt idx="83">
                <c:v>621.67999999999995</c:v>
              </c:pt>
              <c:pt idx="84">
                <c:v>627.92999999999995</c:v>
              </c:pt>
              <c:pt idx="85">
                <c:v>634.57000000000005</c:v>
              </c:pt>
              <c:pt idx="86">
                <c:v>641.54</c:v>
              </c:pt>
              <c:pt idx="87">
                <c:v>649.09</c:v>
              </c:pt>
              <c:pt idx="88">
                <c:v>657.37</c:v>
              </c:pt>
              <c:pt idx="89">
                <c:v>666.4</c:v>
              </c:pt>
              <c:pt idx="90">
                <c:v>676.07</c:v>
              </c:pt>
              <c:pt idx="91">
                <c:v>686.95</c:v>
              </c:pt>
              <c:pt idx="92">
                <c:v>697.83</c:v>
              </c:pt>
              <c:pt idx="93">
                <c:v>708.49</c:v>
              </c:pt>
              <c:pt idx="94">
                <c:v>720.1</c:v>
              </c:pt>
              <c:pt idx="95">
                <c:v>722.84</c:v>
              </c:pt>
            </c:numLit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5-858F-476D-AA90-8EF35DFD1C88}"/>
            </c:ext>
          </c:extLst>
        </c:ser>
        <c:ser>
          <c:idx val="12"/>
          <c:order val="12"/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38100">
                <a:solidFill>
                  <a:srgbClr val="FF0000"/>
                </a:solidFill>
              </a:ln>
              <a:effectLst/>
            </c:spPr>
          </c:marker>
          <c:xVal>
            <c:numLit>
              <c:formatCode>General</c:formatCode>
              <c:ptCount val="2"/>
              <c:pt idx="0">
                <c:v>-5</c:v>
              </c:pt>
              <c:pt idx="1">
                <c:v>120</c:v>
              </c:pt>
            </c:numLit>
          </c:xVal>
          <c:yVal>
            <c:numLit>
              <c:formatCode>General</c:formatCode>
              <c:ptCount val="2"/>
              <c:pt idx="0">
                <c:v>560</c:v>
              </c:pt>
              <c:pt idx="1">
                <c:v>560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858F-476D-AA90-8EF35DFD1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3583408"/>
        <c:axId val="253598768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v>d5 ART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101"/>
                    <c:pt idx="0">
                      <c:v>0</c:v>
                    </c:pt>
                    <c:pt idx="1">
                      <c:v>1</c:v>
                    </c:pt>
                    <c:pt idx="2">
                      <c:v>2</c:v>
                    </c:pt>
                    <c:pt idx="3">
                      <c:v>3</c:v>
                    </c:pt>
                    <c:pt idx="4">
                      <c:v>4</c:v>
                    </c:pt>
                    <c:pt idx="5">
                      <c:v>5</c:v>
                    </c:pt>
                    <c:pt idx="6">
                      <c:v>6</c:v>
                    </c:pt>
                    <c:pt idx="7">
                      <c:v>7</c:v>
                    </c:pt>
                    <c:pt idx="8">
                      <c:v>8</c:v>
                    </c:pt>
                    <c:pt idx="9">
                      <c:v>9</c:v>
                    </c:pt>
                    <c:pt idx="10">
                      <c:v>10</c:v>
                    </c:pt>
                    <c:pt idx="11">
                      <c:v>11</c:v>
                    </c:pt>
                    <c:pt idx="12">
                      <c:v>12</c:v>
                    </c:pt>
                    <c:pt idx="13">
                      <c:v>13</c:v>
                    </c:pt>
                    <c:pt idx="14">
                      <c:v>14</c:v>
                    </c:pt>
                    <c:pt idx="15">
                      <c:v>15</c:v>
                    </c:pt>
                    <c:pt idx="16">
                      <c:v>16</c:v>
                    </c:pt>
                    <c:pt idx="17">
                      <c:v>17</c:v>
                    </c:pt>
                    <c:pt idx="18">
                      <c:v>18</c:v>
                    </c:pt>
                    <c:pt idx="19">
                      <c:v>19</c:v>
                    </c:pt>
                    <c:pt idx="20">
                      <c:v>20</c:v>
                    </c:pt>
                    <c:pt idx="21">
                      <c:v>21</c:v>
                    </c:pt>
                    <c:pt idx="22">
                      <c:v>22</c:v>
                    </c:pt>
                    <c:pt idx="23">
                      <c:v>23</c:v>
                    </c:pt>
                    <c:pt idx="24">
                      <c:v>24</c:v>
                    </c:pt>
                    <c:pt idx="25">
                      <c:v>25</c:v>
                    </c:pt>
                    <c:pt idx="26">
                      <c:v>26</c:v>
                    </c:pt>
                    <c:pt idx="27">
                      <c:v>27</c:v>
                    </c:pt>
                    <c:pt idx="28">
                      <c:v>28</c:v>
                    </c:pt>
                    <c:pt idx="29">
                      <c:v>29</c:v>
                    </c:pt>
                    <c:pt idx="30">
                      <c:v>30</c:v>
                    </c:pt>
                    <c:pt idx="31">
                      <c:v>31</c:v>
                    </c:pt>
                    <c:pt idx="32">
                      <c:v>32</c:v>
                    </c:pt>
                    <c:pt idx="33">
                      <c:v>33</c:v>
                    </c:pt>
                    <c:pt idx="34">
                      <c:v>34</c:v>
                    </c:pt>
                    <c:pt idx="35">
                      <c:v>35</c:v>
                    </c:pt>
                    <c:pt idx="36">
                      <c:v>36</c:v>
                    </c:pt>
                    <c:pt idx="37">
                      <c:v>37</c:v>
                    </c:pt>
                    <c:pt idx="38">
                      <c:v>38</c:v>
                    </c:pt>
                    <c:pt idx="39">
                      <c:v>39</c:v>
                    </c:pt>
                    <c:pt idx="40">
                      <c:v>40</c:v>
                    </c:pt>
                    <c:pt idx="41">
                      <c:v>41</c:v>
                    </c:pt>
                    <c:pt idx="42">
                      <c:v>42</c:v>
                    </c:pt>
                    <c:pt idx="43">
                      <c:v>43</c:v>
                    </c:pt>
                    <c:pt idx="44">
                      <c:v>44</c:v>
                    </c:pt>
                    <c:pt idx="45">
                      <c:v>45</c:v>
                    </c:pt>
                    <c:pt idx="46">
                      <c:v>46</c:v>
                    </c:pt>
                    <c:pt idx="47">
                      <c:v>47</c:v>
                    </c:pt>
                    <c:pt idx="48">
                      <c:v>48</c:v>
                    </c:pt>
                    <c:pt idx="49">
                      <c:v>49</c:v>
                    </c:pt>
                    <c:pt idx="50">
                      <c:v>50</c:v>
                    </c:pt>
                    <c:pt idx="51">
                      <c:v>51</c:v>
                    </c:pt>
                    <c:pt idx="52">
                      <c:v>52</c:v>
                    </c:pt>
                    <c:pt idx="53">
                      <c:v>53</c:v>
                    </c:pt>
                    <c:pt idx="54">
                      <c:v>54</c:v>
                    </c:pt>
                    <c:pt idx="55">
                      <c:v>55</c:v>
                    </c:pt>
                    <c:pt idx="56">
                      <c:v>56</c:v>
                    </c:pt>
                    <c:pt idx="57">
                      <c:v>57</c:v>
                    </c:pt>
                    <c:pt idx="58">
                      <c:v>58</c:v>
                    </c:pt>
                    <c:pt idx="59">
                      <c:v>59</c:v>
                    </c:pt>
                    <c:pt idx="60">
                      <c:v>60</c:v>
                    </c:pt>
                    <c:pt idx="61">
                      <c:v>61</c:v>
                    </c:pt>
                    <c:pt idx="62">
                      <c:v>62</c:v>
                    </c:pt>
                    <c:pt idx="63">
                      <c:v>63</c:v>
                    </c:pt>
                    <c:pt idx="64">
                      <c:v>64</c:v>
                    </c:pt>
                    <c:pt idx="65">
                      <c:v>65</c:v>
                    </c:pt>
                    <c:pt idx="66">
                      <c:v>66</c:v>
                    </c:pt>
                    <c:pt idx="67">
                      <c:v>67</c:v>
                    </c:pt>
                    <c:pt idx="68">
                      <c:v>68</c:v>
                    </c:pt>
                    <c:pt idx="69">
                      <c:v>69</c:v>
                    </c:pt>
                    <c:pt idx="70">
                      <c:v>70</c:v>
                    </c:pt>
                    <c:pt idx="71">
                      <c:v>71</c:v>
                    </c:pt>
                    <c:pt idx="72">
                      <c:v>72</c:v>
                    </c:pt>
                    <c:pt idx="73">
                      <c:v>73</c:v>
                    </c:pt>
                    <c:pt idx="74">
                      <c:v>74</c:v>
                    </c:pt>
                    <c:pt idx="75">
                      <c:v>75</c:v>
                    </c:pt>
                    <c:pt idx="76">
                      <c:v>76</c:v>
                    </c:pt>
                    <c:pt idx="77">
                      <c:v>77</c:v>
                    </c:pt>
                    <c:pt idx="78">
                      <c:v>78</c:v>
                    </c:pt>
                    <c:pt idx="79">
                      <c:v>79</c:v>
                    </c:pt>
                    <c:pt idx="80">
                      <c:v>80</c:v>
                    </c:pt>
                    <c:pt idx="81">
                      <c:v>81</c:v>
                    </c:pt>
                    <c:pt idx="82">
                      <c:v>82</c:v>
                    </c:pt>
                    <c:pt idx="83">
                      <c:v>83</c:v>
                    </c:pt>
                    <c:pt idx="84">
                      <c:v>84</c:v>
                    </c:pt>
                    <c:pt idx="85">
                      <c:v>85</c:v>
                    </c:pt>
                    <c:pt idx="86">
                      <c:v>86</c:v>
                    </c:pt>
                    <c:pt idx="87">
                      <c:v>87</c:v>
                    </c:pt>
                    <c:pt idx="88">
                      <c:v>88</c:v>
                    </c:pt>
                    <c:pt idx="89">
                      <c:v>89</c:v>
                    </c:pt>
                    <c:pt idx="90">
                      <c:v>90</c:v>
                    </c:pt>
                    <c:pt idx="91">
                      <c:v>91</c:v>
                    </c:pt>
                    <c:pt idx="92">
                      <c:v>92</c:v>
                    </c:pt>
                    <c:pt idx="93">
                      <c:v>93</c:v>
                    </c:pt>
                    <c:pt idx="94">
                      <c:v>94</c:v>
                    </c:pt>
                    <c:pt idx="95">
                      <c:v>95</c:v>
                    </c:pt>
                    <c:pt idx="96">
                      <c:v>96</c:v>
                    </c:pt>
                    <c:pt idx="97">
                      <c:v>97</c:v>
                    </c:pt>
                    <c:pt idx="98">
                      <c:v>98</c:v>
                    </c:pt>
                    <c:pt idx="99">
                      <c:v>99</c:v>
                    </c:pt>
                    <c:pt idx="100">
                      <c:v>100</c:v>
                    </c:pt>
                  </c:numLit>
                </c:xVal>
                <c:yVal>
                  <c:numLit>
                    <c:formatCode>General</c:formatCode>
                    <c:ptCount val="101"/>
                    <c:pt idx="0">
                      <c:v>100.06</c:v>
                    </c:pt>
                    <c:pt idx="1">
                      <c:v>133.5</c:v>
                    </c:pt>
                    <c:pt idx="2">
                      <c:v>161.56</c:v>
                    </c:pt>
                    <c:pt idx="3">
                      <c:v>180.83</c:v>
                    </c:pt>
                    <c:pt idx="4">
                      <c:v>196.83</c:v>
                    </c:pt>
                    <c:pt idx="5">
                      <c:v>210.22</c:v>
                    </c:pt>
                    <c:pt idx="6">
                      <c:v>221.17</c:v>
                    </c:pt>
                    <c:pt idx="7">
                      <c:v>232.39</c:v>
                    </c:pt>
                    <c:pt idx="8">
                      <c:v>241.78</c:v>
                    </c:pt>
                    <c:pt idx="9">
                      <c:v>252.56</c:v>
                    </c:pt>
                    <c:pt idx="10">
                      <c:v>260.33</c:v>
                    </c:pt>
                    <c:pt idx="11">
                      <c:v>269.5</c:v>
                    </c:pt>
                    <c:pt idx="12">
                      <c:v>276.61</c:v>
                    </c:pt>
                    <c:pt idx="13">
                      <c:v>285.33</c:v>
                    </c:pt>
                    <c:pt idx="14">
                      <c:v>291.61</c:v>
                    </c:pt>
                    <c:pt idx="15">
                      <c:v>298.72000000000003</c:v>
                    </c:pt>
                    <c:pt idx="16">
                      <c:v>304.61</c:v>
                    </c:pt>
                    <c:pt idx="17">
                      <c:v>311</c:v>
                    </c:pt>
                    <c:pt idx="18">
                      <c:v>316.89</c:v>
                    </c:pt>
                    <c:pt idx="19">
                      <c:v>322.94</c:v>
                    </c:pt>
                    <c:pt idx="20">
                      <c:v>329.17</c:v>
                    </c:pt>
                    <c:pt idx="21">
                      <c:v>334.33</c:v>
                    </c:pt>
                    <c:pt idx="22">
                      <c:v>340</c:v>
                    </c:pt>
                    <c:pt idx="23">
                      <c:v>345.11</c:v>
                    </c:pt>
                    <c:pt idx="24">
                      <c:v>350.5</c:v>
                    </c:pt>
                    <c:pt idx="25">
                      <c:v>355.78</c:v>
                    </c:pt>
                    <c:pt idx="26">
                      <c:v>360.72</c:v>
                    </c:pt>
                    <c:pt idx="27">
                      <c:v>365.78</c:v>
                    </c:pt>
                    <c:pt idx="28">
                      <c:v>370.39</c:v>
                    </c:pt>
                    <c:pt idx="29">
                      <c:v>375.44</c:v>
                    </c:pt>
                    <c:pt idx="30">
                      <c:v>380.22</c:v>
                    </c:pt>
                    <c:pt idx="31">
                      <c:v>385.17</c:v>
                    </c:pt>
                    <c:pt idx="32">
                      <c:v>389.89</c:v>
                    </c:pt>
                    <c:pt idx="33">
                      <c:v>394.33</c:v>
                    </c:pt>
                    <c:pt idx="34">
                      <c:v>399.17</c:v>
                    </c:pt>
                    <c:pt idx="35">
                      <c:v>403.44</c:v>
                    </c:pt>
                    <c:pt idx="36">
                      <c:v>408.11</c:v>
                    </c:pt>
                    <c:pt idx="37">
                      <c:v>412.61</c:v>
                    </c:pt>
                    <c:pt idx="38">
                      <c:v>417.28</c:v>
                    </c:pt>
                    <c:pt idx="39">
                      <c:v>421.72</c:v>
                    </c:pt>
                    <c:pt idx="40">
                      <c:v>426.28</c:v>
                    </c:pt>
                    <c:pt idx="41">
                      <c:v>430.89</c:v>
                    </c:pt>
                    <c:pt idx="42">
                      <c:v>435.39</c:v>
                    </c:pt>
                    <c:pt idx="43">
                      <c:v>440</c:v>
                    </c:pt>
                    <c:pt idx="44">
                      <c:v>444.56</c:v>
                    </c:pt>
                    <c:pt idx="45">
                      <c:v>449.28</c:v>
                    </c:pt>
                    <c:pt idx="46">
                      <c:v>453.83</c:v>
                    </c:pt>
                    <c:pt idx="47">
                      <c:v>458.5</c:v>
                    </c:pt>
                    <c:pt idx="48">
                      <c:v>463.22</c:v>
                    </c:pt>
                    <c:pt idx="49">
                      <c:v>467.78</c:v>
                    </c:pt>
                    <c:pt idx="50">
                      <c:v>472.22</c:v>
                    </c:pt>
                    <c:pt idx="51">
                      <c:v>476.61</c:v>
                    </c:pt>
                    <c:pt idx="52">
                      <c:v>481.06</c:v>
                    </c:pt>
                    <c:pt idx="53">
                      <c:v>485.44</c:v>
                    </c:pt>
                    <c:pt idx="54">
                      <c:v>489.89</c:v>
                    </c:pt>
                    <c:pt idx="55">
                      <c:v>494.33</c:v>
                    </c:pt>
                    <c:pt idx="56">
                      <c:v>498.61</c:v>
                    </c:pt>
                    <c:pt idx="57">
                      <c:v>502.89</c:v>
                    </c:pt>
                    <c:pt idx="58">
                      <c:v>507.17</c:v>
                    </c:pt>
                    <c:pt idx="59">
                      <c:v>511.39</c:v>
                    </c:pt>
                    <c:pt idx="60">
                      <c:v>515.66999999999996</c:v>
                    </c:pt>
                    <c:pt idx="61">
                      <c:v>519.94000000000005</c:v>
                    </c:pt>
                    <c:pt idx="62">
                      <c:v>524.16999999999996</c:v>
                    </c:pt>
                    <c:pt idx="63">
                      <c:v>528.39</c:v>
                    </c:pt>
                    <c:pt idx="64">
                      <c:v>532.61</c:v>
                    </c:pt>
                    <c:pt idx="65">
                      <c:v>536.72</c:v>
                    </c:pt>
                    <c:pt idx="66">
                      <c:v>540.72</c:v>
                    </c:pt>
                    <c:pt idx="67">
                      <c:v>544.83000000000004</c:v>
                    </c:pt>
                    <c:pt idx="68">
                      <c:v>549.11</c:v>
                    </c:pt>
                    <c:pt idx="69">
                      <c:v>553.39</c:v>
                    </c:pt>
                    <c:pt idx="70">
                      <c:v>557.61</c:v>
                    </c:pt>
                    <c:pt idx="71">
                      <c:v>561.72</c:v>
                    </c:pt>
                    <c:pt idx="72">
                      <c:v>565.94000000000005</c:v>
                    </c:pt>
                    <c:pt idx="73">
                      <c:v>569.94000000000005</c:v>
                    </c:pt>
                    <c:pt idx="74">
                      <c:v>574</c:v>
                    </c:pt>
                    <c:pt idx="75">
                      <c:v>578.28</c:v>
                    </c:pt>
                    <c:pt idx="76">
                      <c:v>582.72</c:v>
                    </c:pt>
                    <c:pt idx="77">
                      <c:v>587.05999999999995</c:v>
                    </c:pt>
                    <c:pt idx="78">
                      <c:v>591.5</c:v>
                    </c:pt>
                    <c:pt idx="79">
                      <c:v>596.22</c:v>
                    </c:pt>
                    <c:pt idx="80">
                      <c:v>601.28</c:v>
                    </c:pt>
                    <c:pt idx="81">
                      <c:v>606.66999999999996</c:v>
                    </c:pt>
                    <c:pt idx="82">
                      <c:v>611.94000000000005</c:v>
                    </c:pt>
                    <c:pt idx="83">
                      <c:v>617.44000000000005</c:v>
                    </c:pt>
                    <c:pt idx="84">
                      <c:v>623.44000000000005</c:v>
                    </c:pt>
                    <c:pt idx="85">
                      <c:v>630</c:v>
                    </c:pt>
                    <c:pt idx="86">
                      <c:v>636.22</c:v>
                    </c:pt>
                    <c:pt idx="87">
                      <c:v>643.33000000000004</c:v>
                    </c:pt>
                    <c:pt idx="88">
                      <c:v>651.28</c:v>
                    </c:pt>
                    <c:pt idx="89">
                      <c:v>659.39</c:v>
                    </c:pt>
                    <c:pt idx="90">
                      <c:v>670.28</c:v>
                    </c:pt>
                    <c:pt idx="91">
                      <c:v>682.61</c:v>
                    </c:pt>
                    <c:pt idx="92">
                      <c:v>697.56</c:v>
                    </c:pt>
                    <c:pt idx="93">
                      <c:v>723.78</c:v>
                    </c:pt>
                  </c:numLit>
                </c:yVal>
                <c:smooth val="1"/>
                <c:extLst>
                  <c:ext xmlns:c16="http://schemas.microsoft.com/office/drawing/2014/chart" uri="{C3380CC4-5D6E-409C-BE32-E72D297353CC}">
                    <c16:uniqueId val="{00000009-858F-476D-AA90-8EF35DFD1C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d6 ART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101"/>
                    <c:pt idx="0">
                      <c:v>0</c:v>
                    </c:pt>
                    <c:pt idx="1">
                      <c:v>1</c:v>
                    </c:pt>
                    <c:pt idx="2">
                      <c:v>2</c:v>
                    </c:pt>
                    <c:pt idx="3">
                      <c:v>3</c:v>
                    </c:pt>
                    <c:pt idx="4">
                      <c:v>4</c:v>
                    </c:pt>
                    <c:pt idx="5">
                      <c:v>5</c:v>
                    </c:pt>
                    <c:pt idx="6">
                      <c:v>6</c:v>
                    </c:pt>
                    <c:pt idx="7">
                      <c:v>7</c:v>
                    </c:pt>
                    <c:pt idx="8">
                      <c:v>8</c:v>
                    </c:pt>
                    <c:pt idx="9">
                      <c:v>9</c:v>
                    </c:pt>
                    <c:pt idx="10">
                      <c:v>10</c:v>
                    </c:pt>
                    <c:pt idx="11">
                      <c:v>11</c:v>
                    </c:pt>
                    <c:pt idx="12">
                      <c:v>12</c:v>
                    </c:pt>
                    <c:pt idx="13">
                      <c:v>13</c:v>
                    </c:pt>
                    <c:pt idx="14">
                      <c:v>14</c:v>
                    </c:pt>
                    <c:pt idx="15">
                      <c:v>15</c:v>
                    </c:pt>
                    <c:pt idx="16">
                      <c:v>16</c:v>
                    </c:pt>
                    <c:pt idx="17">
                      <c:v>17</c:v>
                    </c:pt>
                    <c:pt idx="18">
                      <c:v>18</c:v>
                    </c:pt>
                    <c:pt idx="19">
                      <c:v>19</c:v>
                    </c:pt>
                    <c:pt idx="20">
                      <c:v>20</c:v>
                    </c:pt>
                    <c:pt idx="21">
                      <c:v>21</c:v>
                    </c:pt>
                    <c:pt idx="22">
                      <c:v>22</c:v>
                    </c:pt>
                    <c:pt idx="23">
                      <c:v>23</c:v>
                    </c:pt>
                    <c:pt idx="24">
                      <c:v>24</c:v>
                    </c:pt>
                    <c:pt idx="25">
                      <c:v>25</c:v>
                    </c:pt>
                    <c:pt idx="26">
                      <c:v>26</c:v>
                    </c:pt>
                    <c:pt idx="27">
                      <c:v>27</c:v>
                    </c:pt>
                    <c:pt idx="28">
                      <c:v>28</c:v>
                    </c:pt>
                    <c:pt idx="29">
                      <c:v>29</c:v>
                    </c:pt>
                    <c:pt idx="30">
                      <c:v>30</c:v>
                    </c:pt>
                    <c:pt idx="31">
                      <c:v>31</c:v>
                    </c:pt>
                    <c:pt idx="32">
                      <c:v>32</c:v>
                    </c:pt>
                    <c:pt idx="33">
                      <c:v>33</c:v>
                    </c:pt>
                    <c:pt idx="34">
                      <c:v>34</c:v>
                    </c:pt>
                    <c:pt idx="35">
                      <c:v>35</c:v>
                    </c:pt>
                    <c:pt idx="36">
                      <c:v>36</c:v>
                    </c:pt>
                    <c:pt idx="37">
                      <c:v>37</c:v>
                    </c:pt>
                    <c:pt idx="38">
                      <c:v>38</c:v>
                    </c:pt>
                    <c:pt idx="39">
                      <c:v>39</c:v>
                    </c:pt>
                    <c:pt idx="40">
                      <c:v>40</c:v>
                    </c:pt>
                    <c:pt idx="41">
                      <c:v>41</c:v>
                    </c:pt>
                    <c:pt idx="42">
                      <c:v>42</c:v>
                    </c:pt>
                    <c:pt idx="43">
                      <c:v>43</c:v>
                    </c:pt>
                    <c:pt idx="44">
                      <c:v>44</c:v>
                    </c:pt>
                    <c:pt idx="45">
                      <c:v>45</c:v>
                    </c:pt>
                    <c:pt idx="46">
                      <c:v>46</c:v>
                    </c:pt>
                    <c:pt idx="47">
                      <c:v>47</c:v>
                    </c:pt>
                    <c:pt idx="48">
                      <c:v>48</c:v>
                    </c:pt>
                    <c:pt idx="49">
                      <c:v>49</c:v>
                    </c:pt>
                    <c:pt idx="50">
                      <c:v>50</c:v>
                    </c:pt>
                    <c:pt idx="51">
                      <c:v>51</c:v>
                    </c:pt>
                    <c:pt idx="52">
                      <c:v>52</c:v>
                    </c:pt>
                    <c:pt idx="53">
                      <c:v>53</c:v>
                    </c:pt>
                    <c:pt idx="54">
                      <c:v>54</c:v>
                    </c:pt>
                    <c:pt idx="55">
                      <c:v>55</c:v>
                    </c:pt>
                    <c:pt idx="56">
                      <c:v>56</c:v>
                    </c:pt>
                    <c:pt idx="57">
                      <c:v>57</c:v>
                    </c:pt>
                    <c:pt idx="58">
                      <c:v>58</c:v>
                    </c:pt>
                    <c:pt idx="59">
                      <c:v>59</c:v>
                    </c:pt>
                    <c:pt idx="60">
                      <c:v>60</c:v>
                    </c:pt>
                    <c:pt idx="61">
                      <c:v>61</c:v>
                    </c:pt>
                    <c:pt idx="62">
                      <c:v>62</c:v>
                    </c:pt>
                    <c:pt idx="63">
                      <c:v>63</c:v>
                    </c:pt>
                    <c:pt idx="64">
                      <c:v>64</c:v>
                    </c:pt>
                    <c:pt idx="65">
                      <c:v>65</c:v>
                    </c:pt>
                    <c:pt idx="66">
                      <c:v>66</c:v>
                    </c:pt>
                    <c:pt idx="67">
                      <c:v>67</c:v>
                    </c:pt>
                    <c:pt idx="68">
                      <c:v>68</c:v>
                    </c:pt>
                    <c:pt idx="69">
                      <c:v>69</c:v>
                    </c:pt>
                    <c:pt idx="70">
                      <c:v>70</c:v>
                    </c:pt>
                    <c:pt idx="71">
                      <c:v>71</c:v>
                    </c:pt>
                    <c:pt idx="72">
                      <c:v>72</c:v>
                    </c:pt>
                    <c:pt idx="73">
                      <c:v>73</c:v>
                    </c:pt>
                    <c:pt idx="74">
                      <c:v>74</c:v>
                    </c:pt>
                    <c:pt idx="75">
                      <c:v>75</c:v>
                    </c:pt>
                    <c:pt idx="76">
                      <c:v>76</c:v>
                    </c:pt>
                    <c:pt idx="77">
                      <c:v>77</c:v>
                    </c:pt>
                    <c:pt idx="78">
                      <c:v>78</c:v>
                    </c:pt>
                    <c:pt idx="79">
                      <c:v>79</c:v>
                    </c:pt>
                    <c:pt idx="80">
                      <c:v>80</c:v>
                    </c:pt>
                    <c:pt idx="81">
                      <c:v>81</c:v>
                    </c:pt>
                    <c:pt idx="82">
                      <c:v>82</c:v>
                    </c:pt>
                    <c:pt idx="83">
                      <c:v>83</c:v>
                    </c:pt>
                    <c:pt idx="84">
                      <c:v>84</c:v>
                    </c:pt>
                    <c:pt idx="85">
                      <c:v>85</c:v>
                    </c:pt>
                    <c:pt idx="86">
                      <c:v>86</c:v>
                    </c:pt>
                    <c:pt idx="87">
                      <c:v>87</c:v>
                    </c:pt>
                    <c:pt idx="88">
                      <c:v>88</c:v>
                    </c:pt>
                    <c:pt idx="89">
                      <c:v>89</c:v>
                    </c:pt>
                    <c:pt idx="90">
                      <c:v>90</c:v>
                    </c:pt>
                    <c:pt idx="91">
                      <c:v>91</c:v>
                    </c:pt>
                    <c:pt idx="92">
                      <c:v>92</c:v>
                    </c:pt>
                    <c:pt idx="93">
                      <c:v>93</c:v>
                    </c:pt>
                    <c:pt idx="94">
                      <c:v>94</c:v>
                    </c:pt>
                    <c:pt idx="95">
                      <c:v>95</c:v>
                    </c:pt>
                    <c:pt idx="96">
                      <c:v>96</c:v>
                    </c:pt>
                    <c:pt idx="97">
                      <c:v>97</c:v>
                    </c:pt>
                    <c:pt idx="98">
                      <c:v>98</c:v>
                    </c:pt>
                    <c:pt idx="99">
                      <c:v>99</c:v>
                    </c:pt>
                    <c:pt idx="100">
                      <c:v>100</c:v>
                    </c:pt>
                  </c:numLit>
                </c:xVal>
                <c:yVal>
                  <c:numLit>
                    <c:formatCode>General</c:formatCode>
                    <c:ptCount val="102"/>
                    <c:pt idx="0">
                      <c:v>99.94</c:v>
                    </c:pt>
                    <c:pt idx="1">
                      <c:v>134.78</c:v>
                    </c:pt>
                    <c:pt idx="2">
                      <c:v>163.72</c:v>
                    </c:pt>
                    <c:pt idx="3">
                      <c:v>182.67</c:v>
                    </c:pt>
                    <c:pt idx="4">
                      <c:v>197.72</c:v>
                    </c:pt>
                    <c:pt idx="5">
                      <c:v>212.39</c:v>
                    </c:pt>
                    <c:pt idx="6">
                      <c:v>222.67</c:v>
                    </c:pt>
                    <c:pt idx="7">
                      <c:v>234.22</c:v>
                    </c:pt>
                    <c:pt idx="8">
                      <c:v>244.11</c:v>
                    </c:pt>
                    <c:pt idx="9">
                      <c:v>253.61</c:v>
                    </c:pt>
                    <c:pt idx="10">
                      <c:v>262.22000000000003</c:v>
                    </c:pt>
                    <c:pt idx="11">
                      <c:v>270.56</c:v>
                    </c:pt>
                    <c:pt idx="12">
                      <c:v>278.44</c:v>
                    </c:pt>
                    <c:pt idx="13">
                      <c:v>286.5</c:v>
                    </c:pt>
                    <c:pt idx="14">
                      <c:v>293.27999999999997</c:v>
                    </c:pt>
                    <c:pt idx="15">
                      <c:v>300.5</c:v>
                    </c:pt>
                    <c:pt idx="16">
                      <c:v>306.33</c:v>
                    </c:pt>
                    <c:pt idx="17">
                      <c:v>312.72000000000003</c:v>
                    </c:pt>
                    <c:pt idx="18">
                      <c:v>318.27999999999997</c:v>
                    </c:pt>
                    <c:pt idx="19">
                      <c:v>324.61</c:v>
                    </c:pt>
                    <c:pt idx="20">
                      <c:v>330.28</c:v>
                    </c:pt>
                    <c:pt idx="21">
                      <c:v>335.72</c:v>
                    </c:pt>
                    <c:pt idx="22">
                      <c:v>341.83</c:v>
                    </c:pt>
                    <c:pt idx="23">
                      <c:v>346.78</c:v>
                    </c:pt>
                    <c:pt idx="24">
                      <c:v>352</c:v>
                    </c:pt>
                    <c:pt idx="25">
                      <c:v>356.78</c:v>
                    </c:pt>
                    <c:pt idx="26">
                      <c:v>362.11</c:v>
                    </c:pt>
                    <c:pt idx="27">
                      <c:v>367.28</c:v>
                    </c:pt>
                    <c:pt idx="28">
                      <c:v>371.94</c:v>
                    </c:pt>
                    <c:pt idx="29">
                      <c:v>376.89</c:v>
                    </c:pt>
                    <c:pt idx="30">
                      <c:v>381.5</c:v>
                    </c:pt>
                    <c:pt idx="31">
                      <c:v>386.56</c:v>
                    </c:pt>
                    <c:pt idx="32">
                      <c:v>391.11</c:v>
                    </c:pt>
                    <c:pt idx="33">
                      <c:v>395.78</c:v>
                    </c:pt>
                    <c:pt idx="34">
                      <c:v>400.56</c:v>
                    </c:pt>
                    <c:pt idx="35">
                      <c:v>404.94</c:v>
                    </c:pt>
                    <c:pt idx="36">
                      <c:v>409.61</c:v>
                    </c:pt>
                    <c:pt idx="37">
                      <c:v>414.06</c:v>
                    </c:pt>
                    <c:pt idx="38">
                      <c:v>418.67</c:v>
                    </c:pt>
                    <c:pt idx="39">
                      <c:v>423.06</c:v>
                    </c:pt>
                    <c:pt idx="40">
                      <c:v>427.72</c:v>
                    </c:pt>
                    <c:pt idx="41">
                      <c:v>432.22</c:v>
                    </c:pt>
                    <c:pt idx="42">
                      <c:v>436.83</c:v>
                    </c:pt>
                    <c:pt idx="43">
                      <c:v>441.33</c:v>
                    </c:pt>
                    <c:pt idx="44">
                      <c:v>446.11</c:v>
                    </c:pt>
                    <c:pt idx="45">
                      <c:v>450.67</c:v>
                    </c:pt>
                    <c:pt idx="46">
                      <c:v>455.39</c:v>
                    </c:pt>
                    <c:pt idx="47">
                      <c:v>460.06</c:v>
                    </c:pt>
                    <c:pt idx="48">
                      <c:v>464.78</c:v>
                    </c:pt>
                    <c:pt idx="49">
                      <c:v>469.22</c:v>
                    </c:pt>
                    <c:pt idx="50">
                      <c:v>473.67</c:v>
                    </c:pt>
                    <c:pt idx="51">
                      <c:v>478.06</c:v>
                    </c:pt>
                    <c:pt idx="52">
                      <c:v>482.44</c:v>
                    </c:pt>
                    <c:pt idx="53">
                      <c:v>486.94</c:v>
                    </c:pt>
                    <c:pt idx="54">
                      <c:v>491.28</c:v>
                    </c:pt>
                    <c:pt idx="55">
                      <c:v>495.78</c:v>
                    </c:pt>
                    <c:pt idx="56">
                      <c:v>500</c:v>
                    </c:pt>
                    <c:pt idx="57">
                      <c:v>504.28</c:v>
                    </c:pt>
                    <c:pt idx="58">
                      <c:v>508.56</c:v>
                    </c:pt>
                    <c:pt idx="59">
                      <c:v>512.78</c:v>
                    </c:pt>
                    <c:pt idx="60">
                      <c:v>517.05999999999995</c:v>
                    </c:pt>
                    <c:pt idx="61">
                      <c:v>521.33000000000004</c:v>
                    </c:pt>
                    <c:pt idx="62">
                      <c:v>525.55999999999995</c:v>
                    </c:pt>
                    <c:pt idx="63">
                      <c:v>529.72</c:v>
                    </c:pt>
                    <c:pt idx="64">
                      <c:v>533.94000000000005</c:v>
                    </c:pt>
                    <c:pt idx="65">
                      <c:v>538</c:v>
                    </c:pt>
                    <c:pt idx="66">
                      <c:v>542</c:v>
                    </c:pt>
                    <c:pt idx="67">
                      <c:v>546.11</c:v>
                    </c:pt>
                    <c:pt idx="68">
                      <c:v>550.39</c:v>
                    </c:pt>
                    <c:pt idx="69">
                      <c:v>554.66999999999996</c:v>
                    </c:pt>
                    <c:pt idx="70">
                      <c:v>558.83000000000004</c:v>
                    </c:pt>
                    <c:pt idx="71">
                      <c:v>563</c:v>
                    </c:pt>
                    <c:pt idx="72">
                      <c:v>567.11</c:v>
                    </c:pt>
                    <c:pt idx="73">
                      <c:v>571.11</c:v>
                    </c:pt>
                    <c:pt idx="74">
                      <c:v>575.16999999999996</c:v>
                    </c:pt>
                    <c:pt idx="75">
                      <c:v>579.5</c:v>
                    </c:pt>
                    <c:pt idx="76">
                      <c:v>583.94000000000005</c:v>
                    </c:pt>
                    <c:pt idx="77">
                      <c:v>588.22</c:v>
                    </c:pt>
                    <c:pt idx="78">
                      <c:v>592.66999999999996</c:v>
                    </c:pt>
                    <c:pt idx="79">
                      <c:v>597.44000000000005</c:v>
                    </c:pt>
                    <c:pt idx="80">
                      <c:v>602.55999999999995</c:v>
                    </c:pt>
                    <c:pt idx="81">
                      <c:v>607.94000000000005</c:v>
                    </c:pt>
                    <c:pt idx="82">
                      <c:v>613.11</c:v>
                    </c:pt>
                    <c:pt idx="83">
                      <c:v>618.66999999999996</c:v>
                    </c:pt>
                    <c:pt idx="84">
                      <c:v>624.78</c:v>
                    </c:pt>
                    <c:pt idx="85">
                      <c:v>631.11</c:v>
                    </c:pt>
                    <c:pt idx="86">
                      <c:v>637.39</c:v>
                    </c:pt>
                    <c:pt idx="87">
                      <c:v>644.5</c:v>
                    </c:pt>
                    <c:pt idx="88">
                      <c:v>652.39</c:v>
                    </c:pt>
                    <c:pt idx="89">
                      <c:v>660.56</c:v>
                    </c:pt>
                    <c:pt idx="90">
                      <c:v>671.11</c:v>
                    </c:pt>
                    <c:pt idx="91">
                      <c:v>683.33</c:v>
                    </c:pt>
                    <c:pt idx="92">
                      <c:v>697.89</c:v>
                    </c:pt>
                    <c:pt idx="93">
                      <c:v>722.11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58F-476D-AA90-8EF35DFD1C88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d7 ART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101"/>
                    <c:pt idx="0">
                      <c:v>0</c:v>
                    </c:pt>
                    <c:pt idx="1">
                      <c:v>1</c:v>
                    </c:pt>
                    <c:pt idx="2">
                      <c:v>2</c:v>
                    </c:pt>
                    <c:pt idx="3">
                      <c:v>3</c:v>
                    </c:pt>
                    <c:pt idx="4">
                      <c:v>4</c:v>
                    </c:pt>
                    <c:pt idx="5">
                      <c:v>5</c:v>
                    </c:pt>
                    <c:pt idx="6">
                      <c:v>6</c:v>
                    </c:pt>
                    <c:pt idx="7">
                      <c:v>7</c:v>
                    </c:pt>
                    <c:pt idx="8">
                      <c:v>8</c:v>
                    </c:pt>
                    <c:pt idx="9">
                      <c:v>9</c:v>
                    </c:pt>
                    <c:pt idx="10">
                      <c:v>10</c:v>
                    </c:pt>
                    <c:pt idx="11">
                      <c:v>11</c:v>
                    </c:pt>
                    <c:pt idx="12">
                      <c:v>12</c:v>
                    </c:pt>
                    <c:pt idx="13">
                      <c:v>13</c:v>
                    </c:pt>
                    <c:pt idx="14">
                      <c:v>14</c:v>
                    </c:pt>
                    <c:pt idx="15">
                      <c:v>15</c:v>
                    </c:pt>
                    <c:pt idx="16">
                      <c:v>16</c:v>
                    </c:pt>
                    <c:pt idx="17">
                      <c:v>17</c:v>
                    </c:pt>
                    <c:pt idx="18">
                      <c:v>18</c:v>
                    </c:pt>
                    <c:pt idx="19">
                      <c:v>19</c:v>
                    </c:pt>
                    <c:pt idx="20">
                      <c:v>20</c:v>
                    </c:pt>
                    <c:pt idx="21">
                      <c:v>21</c:v>
                    </c:pt>
                    <c:pt idx="22">
                      <c:v>22</c:v>
                    </c:pt>
                    <c:pt idx="23">
                      <c:v>23</c:v>
                    </c:pt>
                    <c:pt idx="24">
                      <c:v>24</c:v>
                    </c:pt>
                    <c:pt idx="25">
                      <c:v>25</c:v>
                    </c:pt>
                    <c:pt idx="26">
                      <c:v>26</c:v>
                    </c:pt>
                    <c:pt idx="27">
                      <c:v>27</c:v>
                    </c:pt>
                    <c:pt idx="28">
                      <c:v>28</c:v>
                    </c:pt>
                    <c:pt idx="29">
                      <c:v>29</c:v>
                    </c:pt>
                    <c:pt idx="30">
                      <c:v>30</c:v>
                    </c:pt>
                    <c:pt idx="31">
                      <c:v>31</c:v>
                    </c:pt>
                    <c:pt idx="32">
                      <c:v>32</c:v>
                    </c:pt>
                    <c:pt idx="33">
                      <c:v>33</c:v>
                    </c:pt>
                    <c:pt idx="34">
                      <c:v>34</c:v>
                    </c:pt>
                    <c:pt idx="35">
                      <c:v>35</c:v>
                    </c:pt>
                    <c:pt idx="36">
                      <c:v>36</c:v>
                    </c:pt>
                    <c:pt idx="37">
                      <c:v>37</c:v>
                    </c:pt>
                    <c:pt idx="38">
                      <c:v>38</c:v>
                    </c:pt>
                    <c:pt idx="39">
                      <c:v>39</c:v>
                    </c:pt>
                    <c:pt idx="40">
                      <c:v>40</c:v>
                    </c:pt>
                    <c:pt idx="41">
                      <c:v>41</c:v>
                    </c:pt>
                    <c:pt idx="42">
                      <c:v>42</c:v>
                    </c:pt>
                    <c:pt idx="43">
                      <c:v>43</c:v>
                    </c:pt>
                    <c:pt idx="44">
                      <c:v>44</c:v>
                    </c:pt>
                    <c:pt idx="45">
                      <c:v>45</c:v>
                    </c:pt>
                    <c:pt idx="46">
                      <c:v>46</c:v>
                    </c:pt>
                    <c:pt idx="47">
                      <c:v>47</c:v>
                    </c:pt>
                    <c:pt idx="48">
                      <c:v>48</c:v>
                    </c:pt>
                    <c:pt idx="49">
                      <c:v>49</c:v>
                    </c:pt>
                    <c:pt idx="50">
                      <c:v>50</c:v>
                    </c:pt>
                    <c:pt idx="51">
                      <c:v>51</c:v>
                    </c:pt>
                    <c:pt idx="52">
                      <c:v>52</c:v>
                    </c:pt>
                    <c:pt idx="53">
                      <c:v>53</c:v>
                    </c:pt>
                    <c:pt idx="54">
                      <c:v>54</c:v>
                    </c:pt>
                    <c:pt idx="55">
                      <c:v>55</c:v>
                    </c:pt>
                    <c:pt idx="56">
                      <c:v>56</c:v>
                    </c:pt>
                    <c:pt idx="57">
                      <c:v>57</c:v>
                    </c:pt>
                    <c:pt idx="58">
                      <c:v>58</c:v>
                    </c:pt>
                    <c:pt idx="59">
                      <c:v>59</c:v>
                    </c:pt>
                    <c:pt idx="60">
                      <c:v>60</c:v>
                    </c:pt>
                    <c:pt idx="61">
                      <c:v>61</c:v>
                    </c:pt>
                    <c:pt idx="62">
                      <c:v>62</c:v>
                    </c:pt>
                    <c:pt idx="63">
                      <c:v>63</c:v>
                    </c:pt>
                    <c:pt idx="64">
                      <c:v>64</c:v>
                    </c:pt>
                    <c:pt idx="65">
                      <c:v>65</c:v>
                    </c:pt>
                    <c:pt idx="66">
                      <c:v>66</c:v>
                    </c:pt>
                    <c:pt idx="67">
                      <c:v>67</c:v>
                    </c:pt>
                    <c:pt idx="68">
                      <c:v>68</c:v>
                    </c:pt>
                    <c:pt idx="69">
                      <c:v>69</c:v>
                    </c:pt>
                    <c:pt idx="70">
                      <c:v>70</c:v>
                    </c:pt>
                    <c:pt idx="71">
                      <c:v>71</c:v>
                    </c:pt>
                    <c:pt idx="72">
                      <c:v>72</c:v>
                    </c:pt>
                    <c:pt idx="73">
                      <c:v>73</c:v>
                    </c:pt>
                    <c:pt idx="74">
                      <c:v>74</c:v>
                    </c:pt>
                    <c:pt idx="75">
                      <c:v>75</c:v>
                    </c:pt>
                    <c:pt idx="76">
                      <c:v>76</c:v>
                    </c:pt>
                    <c:pt idx="77">
                      <c:v>77</c:v>
                    </c:pt>
                    <c:pt idx="78">
                      <c:v>78</c:v>
                    </c:pt>
                    <c:pt idx="79">
                      <c:v>79</c:v>
                    </c:pt>
                    <c:pt idx="80">
                      <c:v>80</c:v>
                    </c:pt>
                    <c:pt idx="81">
                      <c:v>81</c:v>
                    </c:pt>
                    <c:pt idx="82">
                      <c:v>82</c:v>
                    </c:pt>
                    <c:pt idx="83">
                      <c:v>83</c:v>
                    </c:pt>
                    <c:pt idx="84">
                      <c:v>84</c:v>
                    </c:pt>
                    <c:pt idx="85">
                      <c:v>85</c:v>
                    </c:pt>
                    <c:pt idx="86">
                      <c:v>86</c:v>
                    </c:pt>
                    <c:pt idx="87">
                      <c:v>87</c:v>
                    </c:pt>
                    <c:pt idx="88">
                      <c:v>88</c:v>
                    </c:pt>
                    <c:pt idx="89">
                      <c:v>89</c:v>
                    </c:pt>
                    <c:pt idx="90">
                      <c:v>90</c:v>
                    </c:pt>
                    <c:pt idx="91">
                      <c:v>91</c:v>
                    </c:pt>
                    <c:pt idx="92">
                      <c:v>92</c:v>
                    </c:pt>
                    <c:pt idx="93">
                      <c:v>93</c:v>
                    </c:pt>
                    <c:pt idx="94">
                      <c:v>94</c:v>
                    </c:pt>
                    <c:pt idx="95">
                      <c:v>95</c:v>
                    </c:pt>
                    <c:pt idx="96">
                      <c:v>96</c:v>
                    </c:pt>
                    <c:pt idx="97">
                      <c:v>97</c:v>
                    </c:pt>
                    <c:pt idx="98">
                      <c:v>98</c:v>
                    </c:pt>
                    <c:pt idx="99">
                      <c:v>99</c:v>
                    </c:pt>
                    <c:pt idx="100">
                      <c:v>100</c:v>
                    </c:pt>
                  </c:numLit>
                </c:xVal>
                <c:yVal>
                  <c:numLit>
                    <c:formatCode>General</c:formatCode>
                    <c:ptCount val="101"/>
                    <c:pt idx="0">
                      <c:v>113.11</c:v>
                    </c:pt>
                    <c:pt idx="1">
                      <c:v>139.5</c:v>
                    </c:pt>
                    <c:pt idx="2">
                      <c:v>165.28</c:v>
                    </c:pt>
                    <c:pt idx="3">
                      <c:v>185.39</c:v>
                    </c:pt>
                    <c:pt idx="4">
                      <c:v>200.56</c:v>
                    </c:pt>
                    <c:pt idx="5">
                      <c:v>215.17</c:v>
                    </c:pt>
                    <c:pt idx="6">
                      <c:v>225.67</c:v>
                    </c:pt>
                    <c:pt idx="7">
                      <c:v>235.11</c:v>
                    </c:pt>
                    <c:pt idx="8">
                      <c:v>245.89</c:v>
                    </c:pt>
                    <c:pt idx="9">
                      <c:v>254.78</c:v>
                    </c:pt>
                    <c:pt idx="10">
                      <c:v>263.89</c:v>
                    </c:pt>
                    <c:pt idx="11">
                      <c:v>271.33</c:v>
                    </c:pt>
                    <c:pt idx="12">
                      <c:v>279.61</c:v>
                    </c:pt>
                    <c:pt idx="13">
                      <c:v>286.89</c:v>
                    </c:pt>
                    <c:pt idx="14">
                      <c:v>293.94</c:v>
                    </c:pt>
                    <c:pt idx="15">
                      <c:v>300.89</c:v>
                    </c:pt>
                    <c:pt idx="16">
                      <c:v>306.77999999999997</c:v>
                    </c:pt>
                    <c:pt idx="17">
                      <c:v>313.06</c:v>
                    </c:pt>
                    <c:pt idx="18">
                      <c:v>318.39</c:v>
                    </c:pt>
                    <c:pt idx="19">
                      <c:v>324.56</c:v>
                    </c:pt>
                    <c:pt idx="20">
                      <c:v>330</c:v>
                    </c:pt>
                    <c:pt idx="21">
                      <c:v>335.44</c:v>
                    </c:pt>
                    <c:pt idx="22">
                      <c:v>341.39</c:v>
                    </c:pt>
                    <c:pt idx="23">
                      <c:v>346.28</c:v>
                    </c:pt>
                    <c:pt idx="24">
                      <c:v>351.44</c:v>
                    </c:pt>
                    <c:pt idx="25">
                      <c:v>356.22</c:v>
                    </c:pt>
                    <c:pt idx="26">
                      <c:v>361.44</c:v>
                    </c:pt>
                    <c:pt idx="27">
                      <c:v>366.44</c:v>
                    </c:pt>
                    <c:pt idx="28">
                      <c:v>371</c:v>
                    </c:pt>
                    <c:pt idx="29">
                      <c:v>375.89</c:v>
                    </c:pt>
                    <c:pt idx="30">
                      <c:v>380.44</c:v>
                    </c:pt>
                    <c:pt idx="31">
                      <c:v>385.44</c:v>
                    </c:pt>
                    <c:pt idx="32">
                      <c:v>390.06</c:v>
                    </c:pt>
                    <c:pt idx="33">
                      <c:v>394.44</c:v>
                    </c:pt>
                    <c:pt idx="34">
                      <c:v>399.17</c:v>
                    </c:pt>
                    <c:pt idx="35">
                      <c:v>403.44</c:v>
                    </c:pt>
                    <c:pt idx="36">
                      <c:v>408</c:v>
                    </c:pt>
                    <c:pt idx="37">
                      <c:v>412.39</c:v>
                    </c:pt>
                    <c:pt idx="38">
                      <c:v>416.94</c:v>
                    </c:pt>
                    <c:pt idx="39">
                      <c:v>421.28</c:v>
                    </c:pt>
                    <c:pt idx="40">
                      <c:v>425.78</c:v>
                    </c:pt>
                    <c:pt idx="41">
                      <c:v>430.28</c:v>
                    </c:pt>
                    <c:pt idx="42">
                      <c:v>434.72</c:v>
                    </c:pt>
                    <c:pt idx="43">
                      <c:v>439.28</c:v>
                    </c:pt>
                    <c:pt idx="44">
                      <c:v>443.72</c:v>
                    </c:pt>
                    <c:pt idx="45">
                      <c:v>448.33</c:v>
                    </c:pt>
                    <c:pt idx="46">
                      <c:v>452.83</c:v>
                    </c:pt>
                    <c:pt idx="47">
                      <c:v>457.39</c:v>
                    </c:pt>
                    <c:pt idx="48">
                      <c:v>462</c:v>
                    </c:pt>
                    <c:pt idx="49">
                      <c:v>466.56</c:v>
                    </c:pt>
                    <c:pt idx="50">
                      <c:v>470.89</c:v>
                    </c:pt>
                    <c:pt idx="51">
                      <c:v>475.17</c:v>
                    </c:pt>
                    <c:pt idx="52">
                      <c:v>479.56</c:v>
                    </c:pt>
                    <c:pt idx="53">
                      <c:v>483.83</c:v>
                    </c:pt>
                    <c:pt idx="54">
                      <c:v>488.22</c:v>
                    </c:pt>
                    <c:pt idx="55">
                      <c:v>492.5</c:v>
                    </c:pt>
                    <c:pt idx="56">
                      <c:v>496.78</c:v>
                    </c:pt>
                    <c:pt idx="57">
                      <c:v>501</c:v>
                    </c:pt>
                    <c:pt idx="58">
                      <c:v>505.11</c:v>
                    </c:pt>
                    <c:pt idx="59">
                      <c:v>509.28</c:v>
                    </c:pt>
                    <c:pt idx="60">
                      <c:v>513.44000000000005</c:v>
                    </c:pt>
                    <c:pt idx="61">
                      <c:v>517.61</c:v>
                    </c:pt>
                    <c:pt idx="62">
                      <c:v>521.78</c:v>
                    </c:pt>
                    <c:pt idx="63">
                      <c:v>525.94000000000005</c:v>
                    </c:pt>
                    <c:pt idx="64">
                      <c:v>530.11</c:v>
                    </c:pt>
                    <c:pt idx="65">
                      <c:v>534.22</c:v>
                    </c:pt>
                    <c:pt idx="66">
                      <c:v>538.22</c:v>
                    </c:pt>
                    <c:pt idx="67">
                      <c:v>542.16999999999996</c:v>
                    </c:pt>
                    <c:pt idx="68">
                      <c:v>546.16999999999996</c:v>
                    </c:pt>
                    <c:pt idx="69">
                      <c:v>550.33000000000004</c:v>
                    </c:pt>
                    <c:pt idx="70">
                      <c:v>554.5</c:v>
                    </c:pt>
                    <c:pt idx="71">
                      <c:v>558.61</c:v>
                    </c:pt>
                    <c:pt idx="72">
                      <c:v>562.61</c:v>
                    </c:pt>
                    <c:pt idx="73">
                      <c:v>566.66999999999996</c:v>
                    </c:pt>
                    <c:pt idx="74">
                      <c:v>570.61</c:v>
                    </c:pt>
                    <c:pt idx="75">
                      <c:v>574.61</c:v>
                    </c:pt>
                    <c:pt idx="76">
                      <c:v>578.83000000000004</c:v>
                    </c:pt>
                    <c:pt idx="77">
                      <c:v>583.16999999999996</c:v>
                    </c:pt>
                    <c:pt idx="78">
                      <c:v>587.39</c:v>
                    </c:pt>
                    <c:pt idx="79">
                      <c:v>591.72</c:v>
                    </c:pt>
                    <c:pt idx="80">
                      <c:v>596.44000000000005</c:v>
                    </c:pt>
                    <c:pt idx="81">
                      <c:v>601.39</c:v>
                    </c:pt>
                    <c:pt idx="82">
                      <c:v>606.78</c:v>
                    </c:pt>
                    <c:pt idx="83">
                      <c:v>611.94000000000005</c:v>
                    </c:pt>
                    <c:pt idx="84">
                      <c:v>617.33000000000004</c:v>
                    </c:pt>
                    <c:pt idx="85">
                      <c:v>623.28</c:v>
                    </c:pt>
                    <c:pt idx="86">
                      <c:v>629.72</c:v>
                    </c:pt>
                    <c:pt idx="87">
                      <c:v>635.89</c:v>
                    </c:pt>
                    <c:pt idx="88">
                      <c:v>642.89</c:v>
                    </c:pt>
                    <c:pt idx="89">
                      <c:v>650.83000000000004</c:v>
                    </c:pt>
                    <c:pt idx="90">
                      <c:v>659.22</c:v>
                    </c:pt>
                    <c:pt idx="91">
                      <c:v>670.72</c:v>
                    </c:pt>
                    <c:pt idx="92">
                      <c:v>685.17</c:v>
                    </c:pt>
                    <c:pt idx="93">
                      <c:v>706.39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858F-476D-AA90-8EF35DFD1C88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d5 TOP</c:v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squar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101"/>
                    <c:pt idx="0">
                      <c:v>0</c:v>
                    </c:pt>
                    <c:pt idx="1">
                      <c:v>1</c:v>
                    </c:pt>
                    <c:pt idx="2">
                      <c:v>2</c:v>
                    </c:pt>
                    <c:pt idx="3">
                      <c:v>3</c:v>
                    </c:pt>
                    <c:pt idx="4">
                      <c:v>4</c:v>
                    </c:pt>
                    <c:pt idx="5">
                      <c:v>5</c:v>
                    </c:pt>
                    <c:pt idx="6">
                      <c:v>6</c:v>
                    </c:pt>
                    <c:pt idx="7">
                      <c:v>7</c:v>
                    </c:pt>
                    <c:pt idx="8">
                      <c:v>8</c:v>
                    </c:pt>
                    <c:pt idx="9">
                      <c:v>9</c:v>
                    </c:pt>
                    <c:pt idx="10">
                      <c:v>10</c:v>
                    </c:pt>
                    <c:pt idx="11">
                      <c:v>11</c:v>
                    </c:pt>
                    <c:pt idx="12">
                      <c:v>12</c:v>
                    </c:pt>
                    <c:pt idx="13">
                      <c:v>13</c:v>
                    </c:pt>
                    <c:pt idx="14">
                      <c:v>14</c:v>
                    </c:pt>
                    <c:pt idx="15">
                      <c:v>15</c:v>
                    </c:pt>
                    <c:pt idx="16">
                      <c:v>16</c:v>
                    </c:pt>
                    <c:pt idx="17">
                      <c:v>17</c:v>
                    </c:pt>
                    <c:pt idx="18">
                      <c:v>18</c:v>
                    </c:pt>
                    <c:pt idx="19">
                      <c:v>19</c:v>
                    </c:pt>
                    <c:pt idx="20">
                      <c:v>20</c:v>
                    </c:pt>
                    <c:pt idx="21">
                      <c:v>21</c:v>
                    </c:pt>
                    <c:pt idx="22">
                      <c:v>22</c:v>
                    </c:pt>
                    <c:pt idx="23">
                      <c:v>23</c:v>
                    </c:pt>
                    <c:pt idx="24">
                      <c:v>24</c:v>
                    </c:pt>
                    <c:pt idx="25">
                      <c:v>25</c:v>
                    </c:pt>
                    <c:pt idx="26">
                      <c:v>26</c:v>
                    </c:pt>
                    <c:pt idx="27">
                      <c:v>27</c:v>
                    </c:pt>
                    <c:pt idx="28">
                      <c:v>28</c:v>
                    </c:pt>
                    <c:pt idx="29">
                      <c:v>29</c:v>
                    </c:pt>
                    <c:pt idx="30">
                      <c:v>30</c:v>
                    </c:pt>
                    <c:pt idx="31">
                      <c:v>31</c:v>
                    </c:pt>
                    <c:pt idx="32">
                      <c:v>32</c:v>
                    </c:pt>
                    <c:pt idx="33">
                      <c:v>33</c:v>
                    </c:pt>
                    <c:pt idx="34">
                      <c:v>34</c:v>
                    </c:pt>
                    <c:pt idx="35">
                      <c:v>35</c:v>
                    </c:pt>
                    <c:pt idx="36">
                      <c:v>36</c:v>
                    </c:pt>
                    <c:pt idx="37">
                      <c:v>37</c:v>
                    </c:pt>
                    <c:pt idx="38">
                      <c:v>38</c:v>
                    </c:pt>
                    <c:pt idx="39">
                      <c:v>39</c:v>
                    </c:pt>
                    <c:pt idx="40">
                      <c:v>40</c:v>
                    </c:pt>
                    <c:pt idx="41">
                      <c:v>41</c:v>
                    </c:pt>
                    <c:pt idx="42">
                      <c:v>42</c:v>
                    </c:pt>
                    <c:pt idx="43">
                      <c:v>43</c:v>
                    </c:pt>
                    <c:pt idx="44">
                      <c:v>44</c:v>
                    </c:pt>
                    <c:pt idx="45">
                      <c:v>45</c:v>
                    </c:pt>
                    <c:pt idx="46">
                      <c:v>46</c:v>
                    </c:pt>
                    <c:pt idx="47">
                      <c:v>47</c:v>
                    </c:pt>
                    <c:pt idx="48">
                      <c:v>48</c:v>
                    </c:pt>
                    <c:pt idx="49">
                      <c:v>49</c:v>
                    </c:pt>
                    <c:pt idx="50">
                      <c:v>50</c:v>
                    </c:pt>
                    <c:pt idx="51">
                      <c:v>51</c:v>
                    </c:pt>
                    <c:pt idx="52">
                      <c:v>52</c:v>
                    </c:pt>
                    <c:pt idx="53">
                      <c:v>53</c:v>
                    </c:pt>
                    <c:pt idx="54">
                      <c:v>54</c:v>
                    </c:pt>
                    <c:pt idx="55">
                      <c:v>55</c:v>
                    </c:pt>
                    <c:pt idx="56">
                      <c:v>56</c:v>
                    </c:pt>
                    <c:pt idx="57">
                      <c:v>57</c:v>
                    </c:pt>
                    <c:pt idx="58">
                      <c:v>58</c:v>
                    </c:pt>
                    <c:pt idx="59">
                      <c:v>59</c:v>
                    </c:pt>
                    <c:pt idx="60">
                      <c:v>60</c:v>
                    </c:pt>
                    <c:pt idx="61">
                      <c:v>61</c:v>
                    </c:pt>
                    <c:pt idx="62">
                      <c:v>62</c:v>
                    </c:pt>
                    <c:pt idx="63">
                      <c:v>63</c:v>
                    </c:pt>
                    <c:pt idx="64">
                      <c:v>64</c:v>
                    </c:pt>
                    <c:pt idx="65">
                      <c:v>65</c:v>
                    </c:pt>
                    <c:pt idx="66">
                      <c:v>66</c:v>
                    </c:pt>
                    <c:pt idx="67">
                      <c:v>67</c:v>
                    </c:pt>
                    <c:pt idx="68">
                      <c:v>68</c:v>
                    </c:pt>
                    <c:pt idx="69">
                      <c:v>69</c:v>
                    </c:pt>
                    <c:pt idx="70">
                      <c:v>70</c:v>
                    </c:pt>
                    <c:pt idx="71">
                      <c:v>71</c:v>
                    </c:pt>
                    <c:pt idx="72">
                      <c:v>72</c:v>
                    </c:pt>
                    <c:pt idx="73">
                      <c:v>73</c:v>
                    </c:pt>
                    <c:pt idx="74">
                      <c:v>74</c:v>
                    </c:pt>
                    <c:pt idx="75">
                      <c:v>75</c:v>
                    </c:pt>
                    <c:pt idx="76">
                      <c:v>76</c:v>
                    </c:pt>
                    <c:pt idx="77">
                      <c:v>77</c:v>
                    </c:pt>
                    <c:pt idx="78">
                      <c:v>78</c:v>
                    </c:pt>
                    <c:pt idx="79">
                      <c:v>79</c:v>
                    </c:pt>
                    <c:pt idx="80">
                      <c:v>80</c:v>
                    </c:pt>
                    <c:pt idx="81">
                      <c:v>81</c:v>
                    </c:pt>
                    <c:pt idx="82">
                      <c:v>82</c:v>
                    </c:pt>
                    <c:pt idx="83">
                      <c:v>83</c:v>
                    </c:pt>
                    <c:pt idx="84">
                      <c:v>84</c:v>
                    </c:pt>
                    <c:pt idx="85">
                      <c:v>85</c:v>
                    </c:pt>
                    <c:pt idx="86">
                      <c:v>86</c:v>
                    </c:pt>
                    <c:pt idx="87">
                      <c:v>87</c:v>
                    </c:pt>
                    <c:pt idx="88">
                      <c:v>88</c:v>
                    </c:pt>
                    <c:pt idx="89">
                      <c:v>89</c:v>
                    </c:pt>
                    <c:pt idx="90">
                      <c:v>90</c:v>
                    </c:pt>
                    <c:pt idx="91">
                      <c:v>91</c:v>
                    </c:pt>
                    <c:pt idx="92">
                      <c:v>92</c:v>
                    </c:pt>
                    <c:pt idx="93">
                      <c:v>93</c:v>
                    </c:pt>
                    <c:pt idx="94">
                      <c:v>94</c:v>
                    </c:pt>
                    <c:pt idx="95">
                      <c:v>95</c:v>
                    </c:pt>
                    <c:pt idx="96">
                      <c:v>96</c:v>
                    </c:pt>
                    <c:pt idx="97">
                      <c:v>97</c:v>
                    </c:pt>
                    <c:pt idx="98">
                      <c:v>98</c:v>
                    </c:pt>
                    <c:pt idx="99">
                      <c:v>99</c:v>
                    </c:pt>
                    <c:pt idx="100">
                      <c:v>100</c:v>
                    </c:pt>
                  </c:numLit>
                </c:xVal>
                <c:yVal>
                  <c:numLit>
                    <c:formatCode>General</c:formatCode>
                    <c:ptCount val="193"/>
                    <c:pt idx="0">
                      <c:v>99.9</c:v>
                    </c:pt>
                    <c:pt idx="1">
                      <c:v>127.72</c:v>
                    </c:pt>
                    <c:pt idx="2">
                      <c:v>158.43</c:v>
                    </c:pt>
                    <c:pt idx="3">
                      <c:v>177.31</c:v>
                    </c:pt>
                    <c:pt idx="4">
                      <c:v>194.12</c:v>
                    </c:pt>
                    <c:pt idx="5">
                      <c:v>207.74</c:v>
                    </c:pt>
                    <c:pt idx="6">
                      <c:v>220.1</c:v>
                    </c:pt>
                    <c:pt idx="7">
                      <c:v>231.49</c:v>
                    </c:pt>
                    <c:pt idx="8">
                      <c:v>241.99</c:v>
                    </c:pt>
                    <c:pt idx="9">
                      <c:v>251.72</c:v>
                    </c:pt>
                    <c:pt idx="10">
                      <c:v>260.95999999999998</c:v>
                    </c:pt>
                    <c:pt idx="11">
                      <c:v>269.26</c:v>
                    </c:pt>
                    <c:pt idx="12">
                      <c:v>277.69</c:v>
                    </c:pt>
                    <c:pt idx="13">
                      <c:v>285.26</c:v>
                    </c:pt>
                    <c:pt idx="14">
                      <c:v>292.89999999999998</c:v>
                    </c:pt>
                    <c:pt idx="15">
                      <c:v>299.66000000000003</c:v>
                    </c:pt>
                    <c:pt idx="16">
                      <c:v>306.08999999999997</c:v>
                    </c:pt>
                    <c:pt idx="17">
                      <c:v>312.62</c:v>
                    </c:pt>
                    <c:pt idx="18">
                      <c:v>318.37</c:v>
                    </c:pt>
                    <c:pt idx="19">
                      <c:v>324.67</c:v>
                    </c:pt>
                    <c:pt idx="20">
                      <c:v>330.23</c:v>
                    </c:pt>
                    <c:pt idx="21">
                      <c:v>336.37</c:v>
                    </c:pt>
                    <c:pt idx="22">
                      <c:v>341.91</c:v>
                    </c:pt>
                    <c:pt idx="23">
                      <c:v>347.34</c:v>
                    </c:pt>
                    <c:pt idx="24">
                      <c:v>352.79</c:v>
                    </c:pt>
                    <c:pt idx="25">
                      <c:v>357.73</c:v>
                    </c:pt>
                    <c:pt idx="26">
                      <c:v>362.67</c:v>
                    </c:pt>
                    <c:pt idx="27">
                      <c:v>367.52</c:v>
                    </c:pt>
                    <c:pt idx="28">
                      <c:v>372.77</c:v>
                    </c:pt>
                    <c:pt idx="29">
                      <c:v>377.62</c:v>
                    </c:pt>
                    <c:pt idx="30">
                      <c:v>382.45</c:v>
                    </c:pt>
                    <c:pt idx="31">
                      <c:v>387.42</c:v>
                    </c:pt>
                    <c:pt idx="32">
                      <c:v>392.11</c:v>
                    </c:pt>
                    <c:pt idx="33">
                      <c:v>396.91</c:v>
                    </c:pt>
                    <c:pt idx="34">
                      <c:v>401.29</c:v>
                    </c:pt>
                    <c:pt idx="35">
                      <c:v>406.19</c:v>
                    </c:pt>
                    <c:pt idx="36">
                      <c:v>410.76</c:v>
                    </c:pt>
                    <c:pt idx="37">
                      <c:v>415.5</c:v>
                    </c:pt>
                    <c:pt idx="38">
                      <c:v>420.11</c:v>
                    </c:pt>
                    <c:pt idx="39">
                      <c:v>423.95</c:v>
                    </c:pt>
                    <c:pt idx="40">
                      <c:v>428.4</c:v>
                    </c:pt>
                    <c:pt idx="41">
                      <c:v>433.1</c:v>
                    </c:pt>
                    <c:pt idx="42">
                      <c:v>437.79</c:v>
                    </c:pt>
                    <c:pt idx="43">
                      <c:v>442.47</c:v>
                    </c:pt>
                    <c:pt idx="44">
                      <c:v>447.06</c:v>
                    </c:pt>
                    <c:pt idx="45">
                      <c:v>451.77</c:v>
                    </c:pt>
                    <c:pt idx="46">
                      <c:v>456.49</c:v>
                    </c:pt>
                    <c:pt idx="47">
                      <c:v>461.17</c:v>
                    </c:pt>
                    <c:pt idx="48">
                      <c:v>465.9</c:v>
                    </c:pt>
                    <c:pt idx="49">
                      <c:v>470.52</c:v>
                    </c:pt>
                    <c:pt idx="50">
                      <c:v>475.03</c:v>
                    </c:pt>
                    <c:pt idx="51">
                      <c:v>479.64</c:v>
                    </c:pt>
                    <c:pt idx="52">
                      <c:v>484.23</c:v>
                    </c:pt>
                    <c:pt idx="53">
                      <c:v>488.81</c:v>
                    </c:pt>
                    <c:pt idx="54">
                      <c:v>493.41</c:v>
                    </c:pt>
                    <c:pt idx="55">
                      <c:v>497.93</c:v>
                    </c:pt>
                    <c:pt idx="56">
                      <c:v>502.29</c:v>
                    </c:pt>
                    <c:pt idx="57">
                      <c:v>506.71</c:v>
                    </c:pt>
                    <c:pt idx="58">
                      <c:v>511.12</c:v>
                    </c:pt>
                    <c:pt idx="59">
                      <c:v>515.48</c:v>
                    </c:pt>
                    <c:pt idx="60">
                      <c:v>519.87</c:v>
                    </c:pt>
                    <c:pt idx="61">
                      <c:v>524.19000000000005</c:v>
                    </c:pt>
                    <c:pt idx="62">
                      <c:v>528.41</c:v>
                    </c:pt>
                    <c:pt idx="63">
                      <c:v>532.6</c:v>
                    </c:pt>
                    <c:pt idx="64">
                      <c:v>536.80999999999995</c:v>
                    </c:pt>
                    <c:pt idx="65">
                      <c:v>540.99</c:v>
                    </c:pt>
                    <c:pt idx="66">
                      <c:v>545.16</c:v>
                    </c:pt>
                    <c:pt idx="67">
                      <c:v>549.34</c:v>
                    </c:pt>
                    <c:pt idx="68">
                      <c:v>553.52</c:v>
                    </c:pt>
                    <c:pt idx="69">
                      <c:v>557.6</c:v>
                    </c:pt>
                    <c:pt idx="70">
                      <c:v>561.54</c:v>
                    </c:pt>
                    <c:pt idx="71">
                      <c:v>565.5</c:v>
                    </c:pt>
                    <c:pt idx="72">
                      <c:v>569.53</c:v>
                    </c:pt>
                    <c:pt idx="73">
                      <c:v>573.63</c:v>
                    </c:pt>
                    <c:pt idx="74">
                      <c:v>577.9</c:v>
                    </c:pt>
                    <c:pt idx="75">
                      <c:v>582.30999999999995</c:v>
                    </c:pt>
                    <c:pt idx="76">
                      <c:v>586.69000000000005</c:v>
                    </c:pt>
                    <c:pt idx="77">
                      <c:v>591.15</c:v>
                    </c:pt>
                    <c:pt idx="78">
                      <c:v>595.76</c:v>
                    </c:pt>
                    <c:pt idx="79">
                      <c:v>600.59</c:v>
                    </c:pt>
                    <c:pt idx="80">
                      <c:v>605.76</c:v>
                    </c:pt>
                    <c:pt idx="81">
                      <c:v>611.16</c:v>
                    </c:pt>
                    <c:pt idx="82">
                      <c:v>616.77</c:v>
                    </c:pt>
                    <c:pt idx="83">
                      <c:v>622.55999999999995</c:v>
                    </c:pt>
                    <c:pt idx="84">
                      <c:v>628.74</c:v>
                    </c:pt>
                    <c:pt idx="85">
                      <c:v>635.24</c:v>
                    </c:pt>
                    <c:pt idx="86">
                      <c:v>642.05999999999995</c:v>
                    </c:pt>
                    <c:pt idx="87">
                      <c:v>649.46</c:v>
                    </c:pt>
                    <c:pt idx="88">
                      <c:v>657.52</c:v>
                    </c:pt>
                    <c:pt idx="89">
                      <c:v>666.27</c:v>
                    </c:pt>
                    <c:pt idx="90">
                      <c:v>676.07</c:v>
                    </c:pt>
                    <c:pt idx="91">
                      <c:v>686.95</c:v>
                    </c:pt>
                    <c:pt idx="92">
                      <c:v>697.83</c:v>
                    </c:pt>
                    <c:pt idx="93">
                      <c:v>708.49</c:v>
                    </c:pt>
                    <c:pt idx="94">
                      <c:v>720.1</c:v>
                    </c:pt>
                    <c:pt idx="95">
                      <c:v>722.84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858F-476D-AA90-8EF35DFD1C88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v>d6 TOP</c:v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squar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101"/>
                    <c:pt idx="0">
                      <c:v>0</c:v>
                    </c:pt>
                    <c:pt idx="1">
                      <c:v>1</c:v>
                    </c:pt>
                    <c:pt idx="2">
                      <c:v>2</c:v>
                    </c:pt>
                    <c:pt idx="3">
                      <c:v>3</c:v>
                    </c:pt>
                    <c:pt idx="4">
                      <c:v>4</c:v>
                    </c:pt>
                    <c:pt idx="5">
                      <c:v>5</c:v>
                    </c:pt>
                    <c:pt idx="6">
                      <c:v>6</c:v>
                    </c:pt>
                    <c:pt idx="7">
                      <c:v>7</c:v>
                    </c:pt>
                    <c:pt idx="8">
                      <c:v>8</c:v>
                    </c:pt>
                    <c:pt idx="9">
                      <c:v>9</c:v>
                    </c:pt>
                    <c:pt idx="10">
                      <c:v>10</c:v>
                    </c:pt>
                    <c:pt idx="11">
                      <c:v>11</c:v>
                    </c:pt>
                    <c:pt idx="12">
                      <c:v>12</c:v>
                    </c:pt>
                    <c:pt idx="13">
                      <c:v>13</c:v>
                    </c:pt>
                    <c:pt idx="14">
                      <c:v>14</c:v>
                    </c:pt>
                    <c:pt idx="15">
                      <c:v>15</c:v>
                    </c:pt>
                    <c:pt idx="16">
                      <c:v>16</c:v>
                    </c:pt>
                    <c:pt idx="17">
                      <c:v>17</c:v>
                    </c:pt>
                    <c:pt idx="18">
                      <c:v>18</c:v>
                    </c:pt>
                    <c:pt idx="19">
                      <c:v>19</c:v>
                    </c:pt>
                    <c:pt idx="20">
                      <c:v>20</c:v>
                    </c:pt>
                    <c:pt idx="21">
                      <c:v>21</c:v>
                    </c:pt>
                    <c:pt idx="22">
                      <c:v>22</c:v>
                    </c:pt>
                    <c:pt idx="23">
                      <c:v>23</c:v>
                    </c:pt>
                    <c:pt idx="24">
                      <c:v>24</c:v>
                    </c:pt>
                    <c:pt idx="25">
                      <c:v>25</c:v>
                    </c:pt>
                    <c:pt idx="26">
                      <c:v>26</c:v>
                    </c:pt>
                    <c:pt idx="27">
                      <c:v>27</c:v>
                    </c:pt>
                    <c:pt idx="28">
                      <c:v>28</c:v>
                    </c:pt>
                    <c:pt idx="29">
                      <c:v>29</c:v>
                    </c:pt>
                    <c:pt idx="30">
                      <c:v>30</c:v>
                    </c:pt>
                    <c:pt idx="31">
                      <c:v>31</c:v>
                    </c:pt>
                    <c:pt idx="32">
                      <c:v>32</c:v>
                    </c:pt>
                    <c:pt idx="33">
                      <c:v>33</c:v>
                    </c:pt>
                    <c:pt idx="34">
                      <c:v>34</c:v>
                    </c:pt>
                    <c:pt idx="35">
                      <c:v>35</c:v>
                    </c:pt>
                    <c:pt idx="36">
                      <c:v>36</c:v>
                    </c:pt>
                    <c:pt idx="37">
                      <c:v>37</c:v>
                    </c:pt>
                    <c:pt idx="38">
                      <c:v>38</c:v>
                    </c:pt>
                    <c:pt idx="39">
                      <c:v>39</c:v>
                    </c:pt>
                    <c:pt idx="40">
                      <c:v>40</c:v>
                    </c:pt>
                    <c:pt idx="41">
                      <c:v>41</c:v>
                    </c:pt>
                    <c:pt idx="42">
                      <c:v>42</c:v>
                    </c:pt>
                    <c:pt idx="43">
                      <c:v>43</c:v>
                    </c:pt>
                    <c:pt idx="44">
                      <c:v>44</c:v>
                    </c:pt>
                    <c:pt idx="45">
                      <c:v>45</c:v>
                    </c:pt>
                    <c:pt idx="46">
                      <c:v>46</c:v>
                    </c:pt>
                    <c:pt idx="47">
                      <c:v>47</c:v>
                    </c:pt>
                    <c:pt idx="48">
                      <c:v>48</c:v>
                    </c:pt>
                    <c:pt idx="49">
                      <c:v>49</c:v>
                    </c:pt>
                    <c:pt idx="50">
                      <c:v>50</c:v>
                    </c:pt>
                    <c:pt idx="51">
                      <c:v>51</c:v>
                    </c:pt>
                    <c:pt idx="52">
                      <c:v>52</c:v>
                    </c:pt>
                    <c:pt idx="53">
                      <c:v>53</c:v>
                    </c:pt>
                    <c:pt idx="54">
                      <c:v>54</c:v>
                    </c:pt>
                    <c:pt idx="55">
                      <c:v>55</c:v>
                    </c:pt>
                    <c:pt idx="56">
                      <c:v>56</c:v>
                    </c:pt>
                    <c:pt idx="57">
                      <c:v>57</c:v>
                    </c:pt>
                    <c:pt idx="58">
                      <c:v>58</c:v>
                    </c:pt>
                    <c:pt idx="59">
                      <c:v>59</c:v>
                    </c:pt>
                    <c:pt idx="60">
                      <c:v>60</c:v>
                    </c:pt>
                    <c:pt idx="61">
                      <c:v>61</c:v>
                    </c:pt>
                    <c:pt idx="62">
                      <c:v>62</c:v>
                    </c:pt>
                    <c:pt idx="63">
                      <c:v>63</c:v>
                    </c:pt>
                    <c:pt idx="64">
                      <c:v>64</c:v>
                    </c:pt>
                    <c:pt idx="65">
                      <c:v>65</c:v>
                    </c:pt>
                    <c:pt idx="66">
                      <c:v>66</c:v>
                    </c:pt>
                    <c:pt idx="67">
                      <c:v>67</c:v>
                    </c:pt>
                    <c:pt idx="68">
                      <c:v>68</c:v>
                    </c:pt>
                    <c:pt idx="69">
                      <c:v>69</c:v>
                    </c:pt>
                    <c:pt idx="70">
                      <c:v>70</c:v>
                    </c:pt>
                    <c:pt idx="71">
                      <c:v>71</c:v>
                    </c:pt>
                    <c:pt idx="72">
                      <c:v>72</c:v>
                    </c:pt>
                    <c:pt idx="73">
                      <c:v>73</c:v>
                    </c:pt>
                    <c:pt idx="74">
                      <c:v>74</c:v>
                    </c:pt>
                    <c:pt idx="75">
                      <c:v>75</c:v>
                    </c:pt>
                    <c:pt idx="76">
                      <c:v>76</c:v>
                    </c:pt>
                    <c:pt idx="77">
                      <c:v>77</c:v>
                    </c:pt>
                    <c:pt idx="78">
                      <c:v>78</c:v>
                    </c:pt>
                    <c:pt idx="79">
                      <c:v>79</c:v>
                    </c:pt>
                    <c:pt idx="80">
                      <c:v>80</c:v>
                    </c:pt>
                    <c:pt idx="81">
                      <c:v>81</c:v>
                    </c:pt>
                    <c:pt idx="82">
                      <c:v>82</c:v>
                    </c:pt>
                    <c:pt idx="83">
                      <c:v>83</c:v>
                    </c:pt>
                    <c:pt idx="84">
                      <c:v>84</c:v>
                    </c:pt>
                    <c:pt idx="85">
                      <c:v>85</c:v>
                    </c:pt>
                    <c:pt idx="86">
                      <c:v>86</c:v>
                    </c:pt>
                    <c:pt idx="87">
                      <c:v>87</c:v>
                    </c:pt>
                    <c:pt idx="88">
                      <c:v>88</c:v>
                    </c:pt>
                    <c:pt idx="89">
                      <c:v>89</c:v>
                    </c:pt>
                    <c:pt idx="90">
                      <c:v>90</c:v>
                    </c:pt>
                    <c:pt idx="91">
                      <c:v>91</c:v>
                    </c:pt>
                    <c:pt idx="92">
                      <c:v>92</c:v>
                    </c:pt>
                    <c:pt idx="93">
                      <c:v>93</c:v>
                    </c:pt>
                    <c:pt idx="94">
                      <c:v>94</c:v>
                    </c:pt>
                    <c:pt idx="95">
                      <c:v>95</c:v>
                    </c:pt>
                    <c:pt idx="96">
                      <c:v>96</c:v>
                    </c:pt>
                    <c:pt idx="97">
                      <c:v>97</c:v>
                    </c:pt>
                    <c:pt idx="98">
                      <c:v>98</c:v>
                    </c:pt>
                    <c:pt idx="99">
                      <c:v>99</c:v>
                    </c:pt>
                    <c:pt idx="100">
                      <c:v>100</c:v>
                    </c:pt>
                  </c:numLit>
                </c:xVal>
                <c:yVal>
                  <c:numLit>
                    <c:formatCode>General</c:formatCode>
                    <c:ptCount val="117"/>
                    <c:pt idx="0">
                      <c:v>162</c:v>
                    </c:pt>
                    <c:pt idx="1">
                      <c:v>172.5</c:v>
                    </c:pt>
                    <c:pt idx="2">
                      <c:v>190.5</c:v>
                    </c:pt>
                    <c:pt idx="3">
                      <c:v>204.5</c:v>
                    </c:pt>
                    <c:pt idx="4">
                      <c:v>217.5</c:v>
                    </c:pt>
                    <c:pt idx="5">
                      <c:v>229</c:v>
                    </c:pt>
                    <c:pt idx="6">
                      <c:v>240</c:v>
                    </c:pt>
                    <c:pt idx="7">
                      <c:v>251</c:v>
                    </c:pt>
                    <c:pt idx="8">
                      <c:v>260</c:v>
                    </c:pt>
                    <c:pt idx="9">
                      <c:v>269</c:v>
                    </c:pt>
                    <c:pt idx="10">
                      <c:v>277.5</c:v>
                    </c:pt>
                    <c:pt idx="11">
                      <c:v>285.5</c:v>
                    </c:pt>
                    <c:pt idx="12">
                      <c:v>293</c:v>
                    </c:pt>
                    <c:pt idx="13">
                      <c:v>300</c:v>
                    </c:pt>
                    <c:pt idx="14">
                      <c:v>307</c:v>
                    </c:pt>
                    <c:pt idx="15">
                      <c:v>313.5</c:v>
                    </c:pt>
                    <c:pt idx="16">
                      <c:v>319.5</c:v>
                    </c:pt>
                    <c:pt idx="17">
                      <c:v>326</c:v>
                    </c:pt>
                    <c:pt idx="18">
                      <c:v>332</c:v>
                    </c:pt>
                    <c:pt idx="19">
                      <c:v>338</c:v>
                    </c:pt>
                    <c:pt idx="20">
                      <c:v>343.5</c:v>
                    </c:pt>
                    <c:pt idx="21">
                      <c:v>349</c:v>
                    </c:pt>
                    <c:pt idx="22">
                      <c:v>354.5</c:v>
                    </c:pt>
                    <c:pt idx="23">
                      <c:v>360</c:v>
                    </c:pt>
                    <c:pt idx="24">
                      <c:v>365</c:v>
                    </c:pt>
                    <c:pt idx="25">
                      <c:v>370</c:v>
                    </c:pt>
                    <c:pt idx="26">
                      <c:v>375</c:v>
                    </c:pt>
                    <c:pt idx="27">
                      <c:v>380</c:v>
                    </c:pt>
                    <c:pt idx="28">
                      <c:v>385</c:v>
                    </c:pt>
                    <c:pt idx="29">
                      <c:v>390</c:v>
                    </c:pt>
                    <c:pt idx="30">
                      <c:v>395</c:v>
                    </c:pt>
                    <c:pt idx="31">
                      <c:v>399.5</c:v>
                    </c:pt>
                    <c:pt idx="32">
                      <c:v>404.5</c:v>
                    </c:pt>
                    <c:pt idx="33">
                      <c:v>409</c:v>
                    </c:pt>
                    <c:pt idx="34">
                      <c:v>414</c:v>
                    </c:pt>
                    <c:pt idx="35">
                      <c:v>418.5</c:v>
                    </c:pt>
                    <c:pt idx="36">
                      <c:v>423.5</c:v>
                    </c:pt>
                    <c:pt idx="37">
                      <c:v>428</c:v>
                    </c:pt>
                    <c:pt idx="38">
                      <c:v>433</c:v>
                    </c:pt>
                    <c:pt idx="39">
                      <c:v>438</c:v>
                    </c:pt>
                    <c:pt idx="40">
                      <c:v>442.5</c:v>
                    </c:pt>
                    <c:pt idx="41">
                      <c:v>447.5</c:v>
                    </c:pt>
                    <c:pt idx="42">
                      <c:v>452</c:v>
                    </c:pt>
                    <c:pt idx="43">
                      <c:v>457</c:v>
                    </c:pt>
                    <c:pt idx="44">
                      <c:v>462</c:v>
                    </c:pt>
                    <c:pt idx="45">
                      <c:v>466.5</c:v>
                    </c:pt>
                    <c:pt idx="46">
                      <c:v>471</c:v>
                    </c:pt>
                    <c:pt idx="47">
                      <c:v>476</c:v>
                    </c:pt>
                    <c:pt idx="48">
                      <c:v>480.5</c:v>
                    </c:pt>
                    <c:pt idx="49">
                      <c:v>485</c:v>
                    </c:pt>
                    <c:pt idx="50">
                      <c:v>490</c:v>
                    </c:pt>
                    <c:pt idx="51">
                      <c:v>494.5</c:v>
                    </c:pt>
                    <c:pt idx="52">
                      <c:v>499</c:v>
                    </c:pt>
                    <c:pt idx="53">
                      <c:v>503.5</c:v>
                    </c:pt>
                    <c:pt idx="54">
                      <c:v>508</c:v>
                    </c:pt>
                    <c:pt idx="55">
                      <c:v>512.5</c:v>
                    </c:pt>
                    <c:pt idx="56">
                      <c:v>516.5</c:v>
                    </c:pt>
                    <c:pt idx="57">
                      <c:v>521</c:v>
                    </c:pt>
                    <c:pt idx="58">
                      <c:v>525.5</c:v>
                    </c:pt>
                    <c:pt idx="59">
                      <c:v>530</c:v>
                    </c:pt>
                    <c:pt idx="60">
                      <c:v>534</c:v>
                    </c:pt>
                    <c:pt idx="61">
                      <c:v>538</c:v>
                    </c:pt>
                    <c:pt idx="62">
                      <c:v>542.5</c:v>
                    </c:pt>
                    <c:pt idx="63">
                      <c:v>546.5</c:v>
                    </c:pt>
                    <c:pt idx="64">
                      <c:v>551</c:v>
                    </c:pt>
                    <c:pt idx="65">
                      <c:v>555</c:v>
                    </c:pt>
                    <c:pt idx="66">
                      <c:v>559</c:v>
                    </c:pt>
                    <c:pt idx="67">
                      <c:v>563</c:v>
                    </c:pt>
                    <c:pt idx="68">
                      <c:v>567</c:v>
                    </c:pt>
                    <c:pt idx="69">
                      <c:v>571</c:v>
                    </c:pt>
                    <c:pt idx="70">
                      <c:v>575</c:v>
                    </c:pt>
                    <c:pt idx="71">
                      <c:v>579.5</c:v>
                    </c:pt>
                    <c:pt idx="72">
                      <c:v>584</c:v>
                    </c:pt>
                    <c:pt idx="73">
                      <c:v>588.5</c:v>
                    </c:pt>
                    <c:pt idx="74">
                      <c:v>593</c:v>
                    </c:pt>
                    <c:pt idx="75">
                      <c:v>597.5</c:v>
                    </c:pt>
                    <c:pt idx="76">
                      <c:v>602.5</c:v>
                    </c:pt>
                    <c:pt idx="77">
                      <c:v>608</c:v>
                    </c:pt>
                    <c:pt idx="78">
                      <c:v>613.5</c:v>
                    </c:pt>
                    <c:pt idx="79">
                      <c:v>619</c:v>
                    </c:pt>
                    <c:pt idx="80">
                      <c:v>625</c:v>
                    </c:pt>
                    <c:pt idx="81">
                      <c:v>631.5</c:v>
                    </c:pt>
                    <c:pt idx="82">
                      <c:v>638</c:v>
                    </c:pt>
                    <c:pt idx="83">
                      <c:v>645</c:v>
                    </c:pt>
                    <c:pt idx="84">
                      <c:v>653</c:v>
                    </c:pt>
                    <c:pt idx="85">
                      <c:v>661.5</c:v>
                    </c:pt>
                    <c:pt idx="86">
                      <c:v>671</c:v>
                    </c:pt>
                    <c:pt idx="87">
                      <c:v>682</c:v>
                    </c:pt>
                    <c:pt idx="88">
                      <c:v>693.5</c:v>
                    </c:pt>
                    <c:pt idx="89">
                      <c:v>705</c:v>
                    </c:pt>
                    <c:pt idx="90">
                      <c:v>718.5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858F-476D-AA90-8EF35DFD1C88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v>d7 TOP</c:v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triang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101"/>
                    <c:pt idx="0">
                      <c:v>0</c:v>
                    </c:pt>
                    <c:pt idx="1">
                      <c:v>1</c:v>
                    </c:pt>
                    <c:pt idx="2">
                      <c:v>2</c:v>
                    </c:pt>
                    <c:pt idx="3">
                      <c:v>3</c:v>
                    </c:pt>
                    <c:pt idx="4">
                      <c:v>4</c:v>
                    </c:pt>
                    <c:pt idx="5">
                      <c:v>5</c:v>
                    </c:pt>
                    <c:pt idx="6">
                      <c:v>6</c:v>
                    </c:pt>
                    <c:pt idx="7">
                      <c:v>7</c:v>
                    </c:pt>
                    <c:pt idx="8">
                      <c:v>8</c:v>
                    </c:pt>
                    <c:pt idx="9">
                      <c:v>9</c:v>
                    </c:pt>
                    <c:pt idx="10">
                      <c:v>10</c:v>
                    </c:pt>
                    <c:pt idx="11">
                      <c:v>11</c:v>
                    </c:pt>
                    <c:pt idx="12">
                      <c:v>12</c:v>
                    </c:pt>
                    <c:pt idx="13">
                      <c:v>13</c:v>
                    </c:pt>
                    <c:pt idx="14">
                      <c:v>14</c:v>
                    </c:pt>
                    <c:pt idx="15">
                      <c:v>15</c:v>
                    </c:pt>
                    <c:pt idx="16">
                      <c:v>16</c:v>
                    </c:pt>
                    <c:pt idx="17">
                      <c:v>17</c:v>
                    </c:pt>
                    <c:pt idx="18">
                      <c:v>18</c:v>
                    </c:pt>
                    <c:pt idx="19">
                      <c:v>19</c:v>
                    </c:pt>
                    <c:pt idx="20">
                      <c:v>20</c:v>
                    </c:pt>
                    <c:pt idx="21">
                      <c:v>21</c:v>
                    </c:pt>
                    <c:pt idx="22">
                      <c:v>22</c:v>
                    </c:pt>
                    <c:pt idx="23">
                      <c:v>23</c:v>
                    </c:pt>
                    <c:pt idx="24">
                      <c:v>24</c:v>
                    </c:pt>
                    <c:pt idx="25">
                      <c:v>25</c:v>
                    </c:pt>
                    <c:pt idx="26">
                      <c:v>26</c:v>
                    </c:pt>
                    <c:pt idx="27">
                      <c:v>27</c:v>
                    </c:pt>
                    <c:pt idx="28">
                      <c:v>28</c:v>
                    </c:pt>
                    <c:pt idx="29">
                      <c:v>29</c:v>
                    </c:pt>
                    <c:pt idx="30">
                      <c:v>30</c:v>
                    </c:pt>
                    <c:pt idx="31">
                      <c:v>31</c:v>
                    </c:pt>
                    <c:pt idx="32">
                      <c:v>32</c:v>
                    </c:pt>
                    <c:pt idx="33">
                      <c:v>33</c:v>
                    </c:pt>
                    <c:pt idx="34">
                      <c:v>34</c:v>
                    </c:pt>
                    <c:pt idx="35">
                      <c:v>35</c:v>
                    </c:pt>
                    <c:pt idx="36">
                      <c:v>36</c:v>
                    </c:pt>
                    <c:pt idx="37">
                      <c:v>37</c:v>
                    </c:pt>
                    <c:pt idx="38">
                      <c:v>38</c:v>
                    </c:pt>
                    <c:pt idx="39">
                      <c:v>39</c:v>
                    </c:pt>
                    <c:pt idx="40">
                      <c:v>40</c:v>
                    </c:pt>
                    <c:pt idx="41">
                      <c:v>41</c:v>
                    </c:pt>
                    <c:pt idx="42">
                      <c:v>42</c:v>
                    </c:pt>
                    <c:pt idx="43">
                      <c:v>43</c:v>
                    </c:pt>
                    <c:pt idx="44">
                      <c:v>44</c:v>
                    </c:pt>
                    <c:pt idx="45">
                      <c:v>45</c:v>
                    </c:pt>
                    <c:pt idx="46">
                      <c:v>46</c:v>
                    </c:pt>
                    <c:pt idx="47">
                      <c:v>47</c:v>
                    </c:pt>
                    <c:pt idx="48">
                      <c:v>48</c:v>
                    </c:pt>
                    <c:pt idx="49">
                      <c:v>49</c:v>
                    </c:pt>
                    <c:pt idx="50">
                      <c:v>50</c:v>
                    </c:pt>
                    <c:pt idx="51">
                      <c:v>51</c:v>
                    </c:pt>
                    <c:pt idx="52">
                      <c:v>52</c:v>
                    </c:pt>
                    <c:pt idx="53">
                      <c:v>53</c:v>
                    </c:pt>
                    <c:pt idx="54">
                      <c:v>54</c:v>
                    </c:pt>
                    <c:pt idx="55">
                      <c:v>55</c:v>
                    </c:pt>
                    <c:pt idx="56">
                      <c:v>56</c:v>
                    </c:pt>
                    <c:pt idx="57">
                      <c:v>57</c:v>
                    </c:pt>
                    <c:pt idx="58">
                      <c:v>58</c:v>
                    </c:pt>
                    <c:pt idx="59">
                      <c:v>59</c:v>
                    </c:pt>
                    <c:pt idx="60">
                      <c:v>60</c:v>
                    </c:pt>
                    <c:pt idx="61">
                      <c:v>61</c:v>
                    </c:pt>
                    <c:pt idx="62">
                      <c:v>62</c:v>
                    </c:pt>
                    <c:pt idx="63">
                      <c:v>63</c:v>
                    </c:pt>
                    <c:pt idx="64">
                      <c:v>64</c:v>
                    </c:pt>
                    <c:pt idx="65">
                      <c:v>65</c:v>
                    </c:pt>
                    <c:pt idx="66">
                      <c:v>66</c:v>
                    </c:pt>
                    <c:pt idx="67">
                      <c:v>67</c:v>
                    </c:pt>
                    <c:pt idx="68">
                      <c:v>68</c:v>
                    </c:pt>
                    <c:pt idx="69">
                      <c:v>69</c:v>
                    </c:pt>
                    <c:pt idx="70">
                      <c:v>70</c:v>
                    </c:pt>
                    <c:pt idx="71">
                      <c:v>71</c:v>
                    </c:pt>
                    <c:pt idx="72">
                      <c:v>72</c:v>
                    </c:pt>
                    <c:pt idx="73">
                      <c:v>73</c:v>
                    </c:pt>
                    <c:pt idx="74">
                      <c:v>74</c:v>
                    </c:pt>
                    <c:pt idx="75">
                      <c:v>75</c:v>
                    </c:pt>
                    <c:pt idx="76">
                      <c:v>76</c:v>
                    </c:pt>
                    <c:pt idx="77">
                      <c:v>77</c:v>
                    </c:pt>
                    <c:pt idx="78">
                      <c:v>78</c:v>
                    </c:pt>
                    <c:pt idx="79">
                      <c:v>79</c:v>
                    </c:pt>
                    <c:pt idx="80">
                      <c:v>80</c:v>
                    </c:pt>
                    <c:pt idx="81">
                      <c:v>81</c:v>
                    </c:pt>
                    <c:pt idx="82">
                      <c:v>82</c:v>
                    </c:pt>
                    <c:pt idx="83">
                      <c:v>83</c:v>
                    </c:pt>
                    <c:pt idx="84">
                      <c:v>84</c:v>
                    </c:pt>
                    <c:pt idx="85">
                      <c:v>85</c:v>
                    </c:pt>
                    <c:pt idx="86">
                      <c:v>86</c:v>
                    </c:pt>
                    <c:pt idx="87">
                      <c:v>87</c:v>
                    </c:pt>
                    <c:pt idx="88">
                      <c:v>88</c:v>
                    </c:pt>
                    <c:pt idx="89">
                      <c:v>89</c:v>
                    </c:pt>
                    <c:pt idx="90">
                      <c:v>90</c:v>
                    </c:pt>
                    <c:pt idx="91">
                      <c:v>91</c:v>
                    </c:pt>
                    <c:pt idx="92">
                      <c:v>92</c:v>
                    </c:pt>
                    <c:pt idx="93">
                      <c:v>93</c:v>
                    </c:pt>
                    <c:pt idx="94">
                      <c:v>94</c:v>
                    </c:pt>
                    <c:pt idx="95">
                      <c:v>95</c:v>
                    </c:pt>
                    <c:pt idx="96">
                      <c:v>96</c:v>
                    </c:pt>
                    <c:pt idx="97">
                      <c:v>97</c:v>
                    </c:pt>
                    <c:pt idx="98">
                      <c:v>98</c:v>
                    </c:pt>
                    <c:pt idx="99">
                      <c:v>99</c:v>
                    </c:pt>
                    <c:pt idx="100">
                      <c:v>100</c:v>
                    </c:pt>
                  </c:numLit>
                </c:xVal>
                <c:yVal>
                  <c:numLit>
                    <c:formatCode>General</c:formatCode>
                    <c:ptCount val="119"/>
                    <c:pt idx="0">
                      <c:v>69</c:v>
                    </c:pt>
                    <c:pt idx="1">
                      <c:v>76</c:v>
                    </c:pt>
                    <c:pt idx="2">
                      <c:v>122</c:v>
                    </c:pt>
                    <c:pt idx="3">
                      <c:v>147</c:v>
                    </c:pt>
                    <c:pt idx="4">
                      <c:v>164</c:v>
                    </c:pt>
                    <c:pt idx="5">
                      <c:v>177</c:v>
                    </c:pt>
                    <c:pt idx="6">
                      <c:v>192</c:v>
                    </c:pt>
                    <c:pt idx="7">
                      <c:v>202</c:v>
                    </c:pt>
                    <c:pt idx="8">
                      <c:v>213</c:v>
                    </c:pt>
                    <c:pt idx="9">
                      <c:v>223</c:v>
                    </c:pt>
                    <c:pt idx="10">
                      <c:v>232</c:v>
                    </c:pt>
                    <c:pt idx="11">
                      <c:v>241</c:v>
                    </c:pt>
                    <c:pt idx="12">
                      <c:v>250</c:v>
                    </c:pt>
                    <c:pt idx="13">
                      <c:v>257</c:v>
                    </c:pt>
                    <c:pt idx="14">
                      <c:v>265</c:v>
                    </c:pt>
                    <c:pt idx="15">
                      <c:v>273</c:v>
                    </c:pt>
                    <c:pt idx="16">
                      <c:v>280</c:v>
                    </c:pt>
                    <c:pt idx="17">
                      <c:v>287</c:v>
                    </c:pt>
                    <c:pt idx="18">
                      <c:v>294</c:v>
                    </c:pt>
                    <c:pt idx="19">
                      <c:v>300</c:v>
                    </c:pt>
                    <c:pt idx="20">
                      <c:v>306</c:v>
                    </c:pt>
                    <c:pt idx="21">
                      <c:v>313</c:v>
                    </c:pt>
                    <c:pt idx="22">
                      <c:v>318</c:v>
                    </c:pt>
                    <c:pt idx="23">
                      <c:v>324</c:v>
                    </c:pt>
                    <c:pt idx="24">
                      <c:v>329</c:v>
                    </c:pt>
                    <c:pt idx="25">
                      <c:v>335</c:v>
                    </c:pt>
                    <c:pt idx="26">
                      <c:v>341</c:v>
                    </c:pt>
                    <c:pt idx="27">
                      <c:v>346</c:v>
                    </c:pt>
                    <c:pt idx="28">
                      <c:v>351</c:v>
                    </c:pt>
                    <c:pt idx="29">
                      <c:v>356</c:v>
                    </c:pt>
                    <c:pt idx="30">
                      <c:v>361</c:v>
                    </c:pt>
                    <c:pt idx="31">
                      <c:v>366</c:v>
                    </c:pt>
                    <c:pt idx="32">
                      <c:v>370</c:v>
                    </c:pt>
                    <c:pt idx="33">
                      <c:v>375</c:v>
                    </c:pt>
                    <c:pt idx="34">
                      <c:v>379</c:v>
                    </c:pt>
                    <c:pt idx="35">
                      <c:v>384</c:v>
                    </c:pt>
                    <c:pt idx="36">
                      <c:v>388</c:v>
                    </c:pt>
                    <c:pt idx="37">
                      <c:v>392</c:v>
                    </c:pt>
                    <c:pt idx="38">
                      <c:v>397</c:v>
                    </c:pt>
                    <c:pt idx="39">
                      <c:v>401</c:v>
                    </c:pt>
                    <c:pt idx="40">
                      <c:v>407</c:v>
                    </c:pt>
                    <c:pt idx="41">
                      <c:v>411</c:v>
                    </c:pt>
                    <c:pt idx="42">
                      <c:v>415</c:v>
                    </c:pt>
                    <c:pt idx="43">
                      <c:v>420</c:v>
                    </c:pt>
                    <c:pt idx="44">
                      <c:v>424</c:v>
                    </c:pt>
                    <c:pt idx="45">
                      <c:v>428</c:v>
                    </c:pt>
                    <c:pt idx="46">
                      <c:v>432</c:v>
                    </c:pt>
                    <c:pt idx="47">
                      <c:v>437</c:v>
                    </c:pt>
                    <c:pt idx="48">
                      <c:v>441</c:v>
                    </c:pt>
                    <c:pt idx="49">
                      <c:v>446</c:v>
                    </c:pt>
                    <c:pt idx="50">
                      <c:v>450</c:v>
                    </c:pt>
                    <c:pt idx="51">
                      <c:v>454</c:v>
                    </c:pt>
                    <c:pt idx="52">
                      <c:v>458</c:v>
                    </c:pt>
                    <c:pt idx="53">
                      <c:v>463</c:v>
                    </c:pt>
                    <c:pt idx="54">
                      <c:v>467</c:v>
                    </c:pt>
                    <c:pt idx="55">
                      <c:v>472</c:v>
                    </c:pt>
                    <c:pt idx="56">
                      <c:v>476</c:v>
                    </c:pt>
                    <c:pt idx="57">
                      <c:v>481</c:v>
                    </c:pt>
                    <c:pt idx="58">
                      <c:v>485</c:v>
                    </c:pt>
                    <c:pt idx="59">
                      <c:v>489</c:v>
                    </c:pt>
                    <c:pt idx="60">
                      <c:v>494</c:v>
                    </c:pt>
                    <c:pt idx="61">
                      <c:v>498</c:v>
                    </c:pt>
                    <c:pt idx="62">
                      <c:v>502</c:v>
                    </c:pt>
                    <c:pt idx="63">
                      <c:v>506</c:v>
                    </c:pt>
                    <c:pt idx="64">
                      <c:v>511</c:v>
                    </c:pt>
                    <c:pt idx="65">
                      <c:v>515</c:v>
                    </c:pt>
                    <c:pt idx="66">
                      <c:v>519</c:v>
                    </c:pt>
                    <c:pt idx="67">
                      <c:v>523</c:v>
                    </c:pt>
                    <c:pt idx="68">
                      <c:v>527</c:v>
                    </c:pt>
                    <c:pt idx="69">
                      <c:v>532</c:v>
                    </c:pt>
                    <c:pt idx="70">
                      <c:v>536</c:v>
                    </c:pt>
                    <c:pt idx="71">
                      <c:v>540</c:v>
                    </c:pt>
                    <c:pt idx="72">
                      <c:v>543</c:v>
                    </c:pt>
                    <c:pt idx="73">
                      <c:v>547</c:v>
                    </c:pt>
                    <c:pt idx="74">
                      <c:v>552</c:v>
                    </c:pt>
                    <c:pt idx="75">
                      <c:v>556</c:v>
                    </c:pt>
                    <c:pt idx="76">
                      <c:v>560</c:v>
                    </c:pt>
                    <c:pt idx="77">
                      <c:v>564</c:v>
                    </c:pt>
                    <c:pt idx="78">
                      <c:v>568</c:v>
                    </c:pt>
                    <c:pt idx="79">
                      <c:v>572</c:v>
                    </c:pt>
                    <c:pt idx="80">
                      <c:v>576</c:v>
                    </c:pt>
                    <c:pt idx="81">
                      <c:v>580</c:v>
                    </c:pt>
                    <c:pt idx="82">
                      <c:v>584</c:v>
                    </c:pt>
                    <c:pt idx="83">
                      <c:v>588</c:v>
                    </c:pt>
                    <c:pt idx="84">
                      <c:v>593</c:v>
                    </c:pt>
                    <c:pt idx="85">
                      <c:v>597</c:v>
                    </c:pt>
                    <c:pt idx="86">
                      <c:v>602</c:v>
                    </c:pt>
                    <c:pt idx="87">
                      <c:v>607</c:v>
                    </c:pt>
                    <c:pt idx="88">
                      <c:v>612</c:v>
                    </c:pt>
                    <c:pt idx="89">
                      <c:v>617</c:v>
                    </c:pt>
                    <c:pt idx="90">
                      <c:v>623</c:v>
                    </c:pt>
                    <c:pt idx="91">
                      <c:v>629</c:v>
                    </c:pt>
                    <c:pt idx="92">
                      <c:v>634</c:v>
                    </c:pt>
                    <c:pt idx="93">
                      <c:v>641</c:v>
                    </c:pt>
                    <c:pt idx="94">
                      <c:v>648</c:v>
                    </c:pt>
                    <c:pt idx="95">
                      <c:v>656</c:v>
                    </c:pt>
                    <c:pt idx="96">
                      <c:v>665</c:v>
                    </c:pt>
                    <c:pt idx="97">
                      <c:v>676</c:v>
                    </c:pt>
                    <c:pt idx="98">
                      <c:v>690</c:v>
                    </c:pt>
                    <c:pt idx="99">
                      <c:v>706</c:v>
                    </c:pt>
                    <c:pt idx="100">
                      <c:v>750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858F-476D-AA90-8EF35DFD1C88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v>VR Feed TOP</c:v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101"/>
                    <c:pt idx="0">
                      <c:v>0</c:v>
                    </c:pt>
                    <c:pt idx="1">
                      <c:v>1</c:v>
                    </c:pt>
                    <c:pt idx="2">
                      <c:v>2</c:v>
                    </c:pt>
                    <c:pt idx="3">
                      <c:v>3</c:v>
                    </c:pt>
                    <c:pt idx="4">
                      <c:v>4</c:v>
                    </c:pt>
                    <c:pt idx="5">
                      <c:v>5</c:v>
                    </c:pt>
                    <c:pt idx="6">
                      <c:v>6</c:v>
                    </c:pt>
                    <c:pt idx="7">
                      <c:v>7</c:v>
                    </c:pt>
                    <c:pt idx="8">
                      <c:v>8</c:v>
                    </c:pt>
                    <c:pt idx="9">
                      <c:v>9</c:v>
                    </c:pt>
                    <c:pt idx="10">
                      <c:v>10</c:v>
                    </c:pt>
                    <c:pt idx="11">
                      <c:v>11</c:v>
                    </c:pt>
                    <c:pt idx="12">
                      <c:v>12</c:v>
                    </c:pt>
                    <c:pt idx="13">
                      <c:v>13</c:v>
                    </c:pt>
                    <c:pt idx="14">
                      <c:v>14</c:v>
                    </c:pt>
                    <c:pt idx="15">
                      <c:v>15</c:v>
                    </c:pt>
                    <c:pt idx="16">
                      <c:v>16</c:v>
                    </c:pt>
                    <c:pt idx="17">
                      <c:v>17</c:v>
                    </c:pt>
                    <c:pt idx="18">
                      <c:v>18</c:v>
                    </c:pt>
                    <c:pt idx="19">
                      <c:v>19</c:v>
                    </c:pt>
                    <c:pt idx="20">
                      <c:v>20</c:v>
                    </c:pt>
                    <c:pt idx="21">
                      <c:v>21</c:v>
                    </c:pt>
                    <c:pt idx="22">
                      <c:v>22</c:v>
                    </c:pt>
                    <c:pt idx="23">
                      <c:v>23</c:v>
                    </c:pt>
                    <c:pt idx="24">
                      <c:v>24</c:v>
                    </c:pt>
                    <c:pt idx="25">
                      <c:v>25</c:v>
                    </c:pt>
                    <c:pt idx="26">
                      <c:v>26</c:v>
                    </c:pt>
                    <c:pt idx="27">
                      <c:v>27</c:v>
                    </c:pt>
                    <c:pt idx="28">
                      <c:v>28</c:v>
                    </c:pt>
                    <c:pt idx="29">
                      <c:v>29</c:v>
                    </c:pt>
                    <c:pt idx="30">
                      <c:v>30</c:v>
                    </c:pt>
                    <c:pt idx="31">
                      <c:v>31</c:v>
                    </c:pt>
                    <c:pt idx="32">
                      <c:v>32</c:v>
                    </c:pt>
                    <c:pt idx="33">
                      <c:v>33</c:v>
                    </c:pt>
                    <c:pt idx="34">
                      <c:v>34</c:v>
                    </c:pt>
                    <c:pt idx="35">
                      <c:v>35</c:v>
                    </c:pt>
                    <c:pt idx="36">
                      <c:v>36</c:v>
                    </c:pt>
                    <c:pt idx="37">
                      <c:v>37</c:v>
                    </c:pt>
                    <c:pt idx="38">
                      <c:v>38</c:v>
                    </c:pt>
                    <c:pt idx="39">
                      <c:v>39</c:v>
                    </c:pt>
                    <c:pt idx="40">
                      <c:v>40</c:v>
                    </c:pt>
                    <c:pt idx="41">
                      <c:v>41</c:v>
                    </c:pt>
                    <c:pt idx="42">
                      <c:v>42</c:v>
                    </c:pt>
                    <c:pt idx="43">
                      <c:v>43</c:v>
                    </c:pt>
                    <c:pt idx="44">
                      <c:v>44</c:v>
                    </c:pt>
                    <c:pt idx="45">
                      <c:v>45</c:v>
                    </c:pt>
                    <c:pt idx="46">
                      <c:v>46</c:v>
                    </c:pt>
                    <c:pt idx="47">
                      <c:v>47</c:v>
                    </c:pt>
                    <c:pt idx="48">
                      <c:v>48</c:v>
                    </c:pt>
                    <c:pt idx="49">
                      <c:v>49</c:v>
                    </c:pt>
                    <c:pt idx="50">
                      <c:v>50</c:v>
                    </c:pt>
                    <c:pt idx="51">
                      <c:v>51</c:v>
                    </c:pt>
                    <c:pt idx="52">
                      <c:v>52</c:v>
                    </c:pt>
                    <c:pt idx="53">
                      <c:v>53</c:v>
                    </c:pt>
                    <c:pt idx="54">
                      <c:v>54</c:v>
                    </c:pt>
                    <c:pt idx="55">
                      <c:v>55</c:v>
                    </c:pt>
                    <c:pt idx="56">
                      <c:v>56</c:v>
                    </c:pt>
                    <c:pt idx="57">
                      <c:v>57</c:v>
                    </c:pt>
                    <c:pt idx="58">
                      <c:v>58</c:v>
                    </c:pt>
                    <c:pt idx="59">
                      <c:v>59</c:v>
                    </c:pt>
                    <c:pt idx="60">
                      <c:v>60</c:v>
                    </c:pt>
                    <c:pt idx="61">
                      <c:v>61</c:v>
                    </c:pt>
                    <c:pt idx="62">
                      <c:v>62</c:v>
                    </c:pt>
                    <c:pt idx="63">
                      <c:v>63</c:v>
                    </c:pt>
                    <c:pt idx="64">
                      <c:v>64</c:v>
                    </c:pt>
                    <c:pt idx="65">
                      <c:v>65</c:v>
                    </c:pt>
                    <c:pt idx="66">
                      <c:v>66</c:v>
                    </c:pt>
                    <c:pt idx="67">
                      <c:v>67</c:v>
                    </c:pt>
                    <c:pt idx="68">
                      <c:v>68</c:v>
                    </c:pt>
                    <c:pt idx="69">
                      <c:v>69</c:v>
                    </c:pt>
                    <c:pt idx="70">
                      <c:v>70</c:v>
                    </c:pt>
                    <c:pt idx="71">
                      <c:v>71</c:v>
                    </c:pt>
                    <c:pt idx="72">
                      <c:v>72</c:v>
                    </c:pt>
                    <c:pt idx="73">
                      <c:v>73</c:v>
                    </c:pt>
                    <c:pt idx="74">
                      <c:v>74</c:v>
                    </c:pt>
                    <c:pt idx="75">
                      <c:v>75</c:v>
                    </c:pt>
                    <c:pt idx="76">
                      <c:v>76</c:v>
                    </c:pt>
                    <c:pt idx="77">
                      <c:v>77</c:v>
                    </c:pt>
                    <c:pt idx="78">
                      <c:v>78</c:v>
                    </c:pt>
                    <c:pt idx="79">
                      <c:v>79</c:v>
                    </c:pt>
                    <c:pt idx="80">
                      <c:v>80</c:v>
                    </c:pt>
                    <c:pt idx="81">
                      <c:v>81</c:v>
                    </c:pt>
                    <c:pt idx="82">
                      <c:v>82</c:v>
                    </c:pt>
                    <c:pt idx="83">
                      <c:v>83</c:v>
                    </c:pt>
                    <c:pt idx="84">
                      <c:v>84</c:v>
                    </c:pt>
                    <c:pt idx="85">
                      <c:v>85</c:v>
                    </c:pt>
                    <c:pt idx="86">
                      <c:v>86</c:v>
                    </c:pt>
                    <c:pt idx="87">
                      <c:v>87</c:v>
                    </c:pt>
                    <c:pt idx="88">
                      <c:v>88</c:v>
                    </c:pt>
                    <c:pt idx="89">
                      <c:v>89</c:v>
                    </c:pt>
                    <c:pt idx="90">
                      <c:v>90</c:v>
                    </c:pt>
                    <c:pt idx="91">
                      <c:v>91</c:v>
                    </c:pt>
                    <c:pt idx="92">
                      <c:v>92</c:v>
                    </c:pt>
                    <c:pt idx="93">
                      <c:v>93</c:v>
                    </c:pt>
                    <c:pt idx="94">
                      <c:v>94</c:v>
                    </c:pt>
                    <c:pt idx="95">
                      <c:v>95</c:v>
                    </c:pt>
                    <c:pt idx="96">
                      <c:v>96</c:v>
                    </c:pt>
                    <c:pt idx="97">
                      <c:v>97</c:v>
                    </c:pt>
                    <c:pt idx="98">
                      <c:v>98</c:v>
                    </c:pt>
                    <c:pt idx="99">
                      <c:v>99</c:v>
                    </c:pt>
                    <c:pt idx="100">
                      <c:v>100</c:v>
                    </c:pt>
                  </c:numLit>
                </c:xVal>
                <c:yVal>
                  <c:numLit>
                    <c:formatCode>General</c:formatCode>
                    <c:ptCount val="108"/>
                    <c:pt idx="0">
                      <c:v>375.98</c:v>
                    </c:pt>
                    <c:pt idx="1">
                      <c:v>402</c:v>
                    </c:pt>
                    <c:pt idx="2">
                      <c:v>422</c:v>
                    </c:pt>
                    <c:pt idx="3">
                      <c:v>462</c:v>
                    </c:pt>
                    <c:pt idx="4">
                      <c:v>489</c:v>
                    </c:pt>
                    <c:pt idx="5">
                      <c:v>510</c:v>
                    </c:pt>
                    <c:pt idx="6">
                      <c:v>518</c:v>
                    </c:pt>
                    <c:pt idx="7">
                      <c:v>525</c:v>
                    </c:pt>
                    <c:pt idx="8">
                      <c:v>533</c:v>
                    </c:pt>
                    <c:pt idx="9">
                      <c:v>538</c:v>
                    </c:pt>
                    <c:pt idx="10">
                      <c:v>543.5</c:v>
                    </c:pt>
                    <c:pt idx="11">
                      <c:v>548</c:v>
                    </c:pt>
                    <c:pt idx="12">
                      <c:v>553</c:v>
                    </c:pt>
                    <c:pt idx="13">
                      <c:v>556</c:v>
                    </c:pt>
                    <c:pt idx="14">
                      <c:v>560</c:v>
                    </c:pt>
                    <c:pt idx="15">
                      <c:v>563</c:v>
                    </c:pt>
                    <c:pt idx="16">
                      <c:v>566</c:v>
                    </c:pt>
                    <c:pt idx="17">
                      <c:v>569</c:v>
                    </c:pt>
                    <c:pt idx="18">
                      <c:v>572</c:v>
                    </c:pt>
                    <c:pt idx="19">
                      <c:v>575</c:v>
                    </c:pt>
                    <c:pt idx="20">
                      <c:v>578</c:v>
                    </c:pt>
                    <c:pt idx="21">
                      <c:v>581</c:v>
                    </c:pt>
                    <c:pt idx="22">
                      <c:v>584</c:v>
                    </c:pt>
                    <c:pt idx="23">
                      <c:v>587</c:v>
                    </c:pt>
                    <c:pt idx="24">
                      <c:v>590</c:v>
                    </c:pt>
                    <c:pt idx="25">
                      <c:v>593</c:v>
                    </c:pt>
                    <c:pt idx="26">
                      <c:v>595</c:v>
                    </c:pt>
                    <c:pt idx="27">
                      <c:v>598</c:v>
                    </c:pt>
                    <c:pt idx="28">
                      <c:v>600</c:v>
                    </c:pt>
                    <c:pt idx="29">
                      <c:v>602</c:v>
                    </c:pt>
                    <c:pt idx="30">
                      <c:v>606</c:v>
                    </c:pt>
                    <c:pt idx="31">
                      <c:v>609</c:v>
                    </c:pt>
                    <c:pt idx="32">
                      <c:v>611</c:v>
                    </c:pt>
                    <c:pt idx="33">
                      <c:v>614</c:v>
                    </c:pt>
                    <c:pt idx="34">
                      <c:v>617</c:v>
                    </c:pt>
                    <c:pt idx="35">
                      <c:v>620</c:v>
                    </c:pt>
                    <c:pt idx="36">
                      <c:v>622</c:v>
                    </c:pt>
                    <c:pt idx="37">
                      <c:v>626</c:v>
                    </c:pt>
                    <c:pt idx="38">
                      <c:v>630</c:v>
                    </c:pt>
                    <c:pt idx="39">
                      <c:v>632</c:v>
                    </c:pt>
                    <c:pt idx="40">
                      <c:v>635</c:v>
                    </c:pt>
                    <c:pt idx="41">
                      <c:v>638</c:v>
                    </c:pt>
                    <c:pt idx="42">
                      <c:v>641</c:v>
                    </c:pt>
                    <c:pt idx="43">
                      <c:v>644</c:v>
                    </c:pt>
                    <c:pt idx="44">
                      <c:v>647</c:v>
                    </c:pt>
                    <c:pt idx="45">
                      <c:v>650</c:v>
                    </c:pt>
                    <c:pt idx="46">
                      <c:v>654</c:v>
                    </c:pt>
                    <c:pt idx="47">
                      <c:v>657</c:v>
                    </c:pt>
                    <c:pt idx="48">
                      <c:v>661</c:v>
                    </c:pt>
                    <c:pt idx="49">
                      <c:v>664</c:v>
                    </c:pt>
                    <c:pt idx="50">
                      <c:v>667</c:v>
                    </c:pt>
                    <c:pt idx="51">
                      <c:v>671</c:v>
                    </c:pt>
                    <c:pt idx="52">
                      <c:v>675</c:v>
                    </c:pt>
                    <c:pt idx="53">
                      <c:v>678</c:v>
                    </c:pt>
                    <c:pt idx="54">
                      <c:v>682</c:v>
                    </c:pt>
                    <c:pt idx="55">
                      <c:v>687</c:v>
                    </c:pt>
                    <c:pt idx="56">
                      <c:v>691</c:v>
                    </c:pt>
                    <c:pt idx="57">
                      <c:v>694</c:v>
                    </c:pt>
                    <c:pt idx="58">
                      <c:v>698</c:v>
                    </c:pt>
                    <c:pt idx="59">
                      <c:v>702</c:v>
                    </c:pt>
                    <c:pt idx="60">
                      <c:v>705</c:v>
                    </c:pt>
                    <c:pt idx="61">
                      <c:v>708</c:v>
                    </c:pt>
                    <c:pt idx="62">
                      <c:v>713</c:v>
                    </c:pt>
                    <c:pt idx="63">
                      <c:v>718</c:v>
                    </c:pt>
                    <c:pt idx="64">
                      <c:v>720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58F-476D-AA90-8EF35DFD1C88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v>VR Feed ART</c:v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101"/>
                    <c:pt idx="0">
                      <c:v>0</c:v>
                    </c:pt>
                    <c:pt idx="1">
                      <c:v>1</c:v>
                    </c:pt>
                    <c:pt idx="2">
                      <c:v>2</c:v>
                    </c:pt>
                    <c:pt idx="3">
                      <c:v>3</c:v>
                    </c:pt>
                    <c:pt idx="4">
                      <c:v>4</c:v>
                    </c:pt>
                    <c:pt idx="5">
                      <c:v>5</c:v>
                    </c:pt>
                    <c:pt idx="6">
                      <c:v>6</c:v>
                    </c:pt>
                    <c:pt idx="7">
                      <c:v>7</c:v>
                    </c:pt>
                    <c:pt idx="8">
                      <c:v>8</c:v>
                    </c:pt>
                    <c:pt idx="9">
                      <c:v>9</c:v>
                    </c:pt>
                    <c:pt idx="10">
                      <c:v>10</c:v>
                    </c:pt>
                    <c:pt idx="11">
                      <c:v>11</c:v>
                    </c:pt>
                    <c:pt idx="12">
                      <c:v>12</c:v>
                    </c:pt>
                    <c:pt idx="13">
                      <c:v>13</c:v>
                    </c:pt>
                    <c:pt idx="14">
                      <c:v>14</c:v>
                    </c:pt>
                    <c:pt idx="15">
                      <c:v>15</c:v>
                    </c:pt>
                    <c:pt idx="16">
                      <c:v>16</c:v>
                    </c:pt>
                    <c:pt idx="17">
                      <c:v>17</c:v>
                    </c:pt>
                    <c:pt idx="18">
                      <c:v>18</c:v>
                    </c:pt>
                    <c:pt idx="19">
                      <c:v>19</c:v>
                    </c:pt>
                    <c:pt idx="20">
                      <c:v>20</c:v>
                    </c:pt>
                    <c:pt idx="21">
                      <c:v>21</c:v>
                    </c:pt>
                    <c:pt idx="22">
                      <c:v>22</c:v>
                    </c:pt>
                    <c:pt idx="23">
                      <c:v>23</c:v>
                    </c:pt>
                    <c:pt idx="24">
                      <c:v>24</c:v>
                    </c:pt>
                    <c:pt idx="25">
                      <c:v>25</c:v>
                    </c:pt>
                    <c:pt idx="26">
                      <c:v>26</c:v>
                    </c:pt>
                    <c:pt idx="27">
                      <c:v>27</c:v>
                    </c:pt>
                    <c:pt idx="28">
                      <c:v>28</c:v>
                    </c:pt>
                    <c:pt idx="29">
                      <c:v>29</c:v>
                    </c:pt>
                    <c:pt idx="30">
                      <c:v>30</c:v>
                    </c:pt>
                    <c:pt idx="31">
                      <c:v>31</c:v>
                    </c:pt>
                    <c:pt idx="32">
                      <c:v>32</c:v>
                    </c:pt>
                    <c:pt idx="33">
                      <c:v>33</c:v>
                    </c:pt>
                    <c:pt idx="34">
                      <c:v>34</c:v>
                    </c:pt>
                    <c:pt idx="35">
                      <c:v>35</c:v>
                    </c:pt>
                    <c:pt idx="36">
                      <c:v>36</c:v>
                    </c:pt>
                    <c:pt idx="37">
                      <c:v>37</c:v>
                    </c:pt>
                    <c:pt idx="38">
                      <c:v>38</c:v>
                    </c:pt>
                    <c:pt idx="39">
                      <c:v>39</c:v>
                    </c:pt>
                    <c:pt idx="40">
                      <c:v>40</c:v>
                    </c:pt>
                    <c:pt idx="41">
                      <c:v>41</c:v>
                    </c:pt>
                    <c:pt idx="42">
                      <c:v>42</c:v>
                    </c:pt>
                    <c:pt idx="43">
                      <c:v>43</c:v>
                    </c:pt>
                    <c:pt idx="44">
                      <c:v>44</c:v>
                    </c:pt>
                    <c:pt idx="45">
                      <c:v>45</c:v>
                    </c:pt>
                    <c:pt idx="46">
                      <c:v>46</c:v>
                    </c:pt>
                    <c:pt idx="47">
                      <c:v>47</c:v>
                    </c:pt>
                    <c:pt idx="48">
                      <c:v>48</c:v>
                    </c:pt>
                    <c:pt idx="49">
                      <c:v>49</c:v>
                    </c:pt>
                    <c:pt idx="50">
                      <c:v>50</c:v>
                    </c:pt>
                    <c:pt idx="51">
                      <c:v>51</c:v>
                    </c:pt>
                    <c:pt idx="52">
                      <c:v>52</c:v>
                    </c:pt>
                    <c:pt idx="53">
                      <c:v>53</c:v>
                    </c:pt>
                    <c:pt idx="54">
                      <c:v>54</c:v>
                    </c:pt>
                    <c:pt idx="55">
                      <c:v>55</c:v>
                    </c:pt>
                    <c:pt idx="56">
                      <c:v>56</c:v>
                    </c:pt>
                    <c:pt idx="57">
                      <c:v>57</c:v>
                    </c:pt>
                    <c:pt idx="58">
                      <c:v>58</c:v>
                    </c:pt>
                    <c:pt idx="59">
                      <c:v>59</c:v>
                    </c:pt>
                    <c:pt idx="60">
                      <c:v>60</c:v>
                    </c:pt>
                    <c:pt idx="61">
                      <c:v>61</c:v>
                    </c:pt>
                    <c:pt idx="62">
                      <c:v>62</c:v>
                    </c:pt>
                    <c:pt idx="63">
                      <c:v>63</c:v>
                    </c:pt>
                    <c:pt idx="64">
                      <c:v>64</c:v>
                    </c:pt>
                    <c:pt idx="65">
                      <c:v>65</c:v>
                    </c:pt>
                    <c:pt idx="66">
                      <c:v>66</c:v>
                    </c:pt>
                    <c:pt idx="67">
                      <c:v>67</c:v>
                    </c:pt>
                    <c:pt idx="68">
                      <c:v>68</c:v>
                    </c:pt>
                    <c:pt idx="69">
                      <c:v>69</c:v>
                    </c:pt>
                    <c:pt idx="70">
                      <c:v>70</c:v>
                    </c:pt>
                    <c:pt idx="71">
                      <c:v>71</c:v>
                    </c:pt>
                    <c:pt idx="72">
                      <c:v>72</c:v>
                    </c:pt>
                    <c:pt idx="73">
                      <c:v>73</c:v>
                    </c:pt>
                    <c:pt idx="74">
                      <c:v>74</c:v>
                    </c:pt>
                    <c:pt idx="75">
                      <c:v>75</c:v>
                    </c:pt>
                    <c:pt idx="76">
                      <c:v>76</c:v>
                    </c:pt>
                    <c:pt idx="77">
                      <c:v>77</c:v>
                    </c:pt>
                    <c:pt idx="78">
                      <c:v>78</c:v>
                    </c:pt>
                    <c:pt idx="79">
                      <c:v>79</c:v>
                    </c:pt>
                    <c:pt idx="80">
                      <c:v>80</c:v>
                    </c:pt>
                    <c:pt idx="81">
                      <c:v>81</c:v>
                    </c:pt>
                    <c:pt idx="82">
                      <c:v>82</c:v>
                    </c:pt>
                    <c:pt idx="83">
                      <c:v>83</c:v>
                    </c:pt>
                    <c:pt idx="84">
                      <c:v>84</c:v>
                    </c:pt>
                    <c:pt idx="85">
                      <c:v>85</c:v>
                    </c:pt>
                    <c:pt idx="86">
                      <c:v>86</c:v>
                    </c:pt>
                    <c:pt idx="87">
                      <c:v>87</c:v>
                    </c:pt>
                    <c:pt idx="88">
                      <c:v>88</c:v>
                    </c:pt>
                    <c:pt idx="89">
                      <c:v>89</c:v>
                    </c:pt>
                    <c:pt idx="90">
                      <c:v>90</c:v>
                    </c:pt>
                    <c:pt idx="91">
                      <c:v>91</c:v>
                    </c:pt>
                    <c:pt idx="92">
                      <c:v>92</c:v>
                    </c:pt>
                    <c:pt idx="93">
                      <c:v>93</c:v>
                    </c:pt>
                    <c:pt idx="94">
                      <c:v>94</c:v>
                    </c:pt>
                    <c:pt idx="95">
                      <c:v>95</c:v>
                    </c:pt>
                    <c:pt idx="96">
                      <c:v>96</c:v>
                    </c:pt>
                    <c:pt idx="97">
                      <c:v>97</c:v>
                    </c:pt>
                    <c:pt idx="98">
                      <c:v>98</c:v>
                    </c:pt>
                    <c:pt idx="99">
                      <c:v>99</c:v>
                    </c:pt>
                    <c:pt idx="100">
                      <c:v>100</c:v>
                    </c:pt>
                  </c:numLit>
                </c:xVal>
                <c:yVal>
                  <c:numLit>
                    <c:formatCode>General</c:formatCode>
                    <c:ptCount val="101"/>
                    <c:pt idx="0">
                      <c:v>361</c:v>
                    </c:pt>
                    <c:pt idx="1">
                      <c:v>389</c:v>
                    </c:pt>
                    <c:pt idx="2">
                      <c:v>425</c:v>
                    </c:pt>
                    <c:pt idx="3">
                      <c:v>463</c:v>
                    </c:pt>
                    <c:pt idx="4">
                      <c:v>493</c:v>
                    </c:pt>
                    <c:pt idx="5">
                      <c:v>511</c:v>
                    </c:pt>
                    <c:pt idx="6">
                      <c:v>523</c:v>
                    </c:pt>
                    <c:pt idx="7">
                      <c:v>532</c:v>
                    </c:pt>
                    <c:pt idx="8">
                      <c:v>538</c:v>
                    </c:pt>
                    <c:pt idx="9">
                      <c:v>543</c:v>
                    </c:pt>
                    <c:pt idx="10">
                      <c:v>548</c:v>
                    </c:pt>
                    <c:pt idx="11">
                      <c:v>553</c:v>
                    </c:pt>
                    <c:pt idx="12">
                      <c:v>557</c:v>
                    </c:pt>
                    <c:pt idx="13">
                      <c:v>560</c:v>
                    </c:pt>
                    <c:pt idx="14">
                      <c:v>564</c:v>
                    </c:pt>
                    <c:pt idx="15">
                      <c:v>567</c:v>
                    </c:pt>
                    <c:pt idx="16">
                      <c:v>570</c:v>
                    </c:pt>
                    <c:pt idx="17">
                      <c:v>573</c:v>
                    </c:pt>
                    <c:pt idx="18">
                      <c:v>575</c:v>
                    </c:pt>
                    <c:pt idx="19">
                      <c:v>578</c:v>
                    </c:pt>
                    <c:pt idx="20">
                      <c:v>581</c:v>
                    </c:pt>
                    <c:pt idx="21">
                      <c:v>584</c:v>
                    </c:pt>
                    <c:pt idx="22">
                      <c:v>587</c:v>
                    </c:pt>
                    <c:pt idx="23">
                      <c:v>589</c:v>
                    </c:pt>
                    <c:pt idx="24">
                      <c:v>592</c:v>
                    </c:pt>
                    <c:pt idx="25">
                      <c:v>595</c:v>
                    </c:pt>
                    <c:pt idx="26">
                      <c:v>598</c:v>
                    </c:pt>
                    <c:pt idx="27">
                      <c:v>600</c:v>
                    </c:pt>
                    <c:pt idx="28">
                      <c:v>603</c:v>
                    </c:pt>
                    <c:pt idx="29">
                      <c:v>606</c:v>
                    </c:pt>
                    <c:pt idx="30">
                      <c:v>609</c:v>
                    </c:pt>
                    <c:pt idx="31">
                      <c:v>612</c:v>
                    </c:pt>
                    <c:pt idx="32">
                      <c:v>615</c:v>
                    </c:pt>
                    <c:pt idx="33">
                      <c:v>618</c:v>
                    </c:pt>
                    <c:pt idx="34">
                      <c:v>621</c:v>
                    </c:pt>
                    <c:pt idx="35">
                      <c:v>624</c:v>
                    </c:pt>
                    <c:pt idx="36">
                      <c:v>627</c:v>
                    </c:pt>
                    <c:pt idx="37">
                      <c:v>630</c:v>
                    </c:pt>
                    <c:pt idx="38">
                      <c:v>633</c:v>
                    </c:pt>
                    <c:pt idx="39">
                      <c:v>637</c:v>
                    </c:pt>
                    <c:pt idx="40">
                      <c:v>640</c:v>
                    </c:pt>
                    <c:pt idx="41">
                      <c:v>643</c:v>
                    </c:pt>
                    <c:pt idx="42">
                      <c:v>647</c:v>
                    </c:pt>
                    <c:pt idx="43">
                      <c:v>651</c:v>
                    </c:pt>
                    <c:pt idx="44">
                      <c:v>655</c:v>
                    </c:pt>
                    <c:pt idx="45">
                      <c:v>659</c:v>
                    </c:pt>
                    <c:pt idx="46">
                      <c:v>664</c:v>
                    </c:pt>
                    <c:pt idx="47">
                      <c:v>669</c:v>
                    </c:pt>
                    <c:pt idx="48">
                      <c:v>674</c:v>
                    </c:pt>
                    <c:pt idx="49">
                      <c:v>681</c:v>
                    </c:pt>
                    <c:pt idx="50">
                      <c:v>688</c:v>
                    </c:pt>
                    <c:pt idx="51">
                      <c:v>695</c:v>
                    </c:pt>
                    <c:pt idx="52">
                      <c:v>705</c:v>
                    </c:pt>
                    <c:pt idx="53">
                      <c:v>718</c:v>
                    </c:pt>
                    <c:pt idx="54">
                      <c:v>732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58F-476D-AA90-8EF35DFD1C88}"/>
                  </c:ext>
                </c:extLst>
              </c15:ser>
            </c15:filteredScatterSeries>
          </c:ext>
        </c:extLst>
      </c:scatterChart>
      <c:valAx>
        <c:axId val="253583408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wt%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598768"/>
        <c:crosses val="autoZero"/>
        <c:crossBetween val="midCat"/>
        <c:majorUnit val="5"/>
      </c:valAx>
      <c:valAx>
        <c:axId val="253598768"/>
        <c:scaling>
          <c:orientation val="minMax"/>
          <c:max val="75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Boiling</a:t>
                </a:r>
                <a:r>
                  <a:rPr lang="en-US" sz="2000" b="1" baseline="0"/>
                  <a:t> Point (degC)</a:t>
                </a:r>
                <a:endParaRPr lang="en-US" sz="2000" b="1"/>
              </a:p>
            </c:rich>
          </c:tx>
          <c:layout>
            <c:manualLayout>
              <c:xMode val="edge"/>
              <c:yMode val="edge"/>
              <c:x val="2.8634286957266091E-2"/>
              <c:y val="0.309378772046072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583408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ayout>
        <c:manualLayout>
          <c:xMode val="edge"/>
          <c:yMode val="edge"/>
          <c:x val="0.8566863443113617"/>
          <c:y val="0.34262615133553909"/>
          <c:w val="9.4126756074712922E-2"/>
          <c:h val="0.32340885149115239"/>
        </c:manualLayout>
      </c:layout>
      <c:overlay val="0"/>
      <c:spPr>
        <a:solidFill>
          <a:schemeClr val="bg2">
            <a:lumMod val="9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HPS Simdist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03623699252627"/>
          <c:y val="8.572117501901709E-2"/>
          <c:w val="0.76219950210754861"/>
          <c:h val="0.81184027107984258"/>
        </c:manualLayout>
      </c:layout>
      <c:scatterChart>
        <c:scatterStyle val="smoothMarker"/>
        <c:varyColors val="0"/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multiLvlStrRef>
              <c:f>'HPS Comparing'!$D$10:$N$110</c:f>
              <c:multiLvlStrCache>
                <c:ptCount val="101"/>
                <c:lvl>
                  <c:pt idx="0">
                    <c:v>95.5</c:v>
                  </c:pt>
                  <c:pt idx="1">
                    <c:v>125.7</c:v>
                  </c:pt>
                  <c:pt idx="2">
                    <c:v>155.6</c:v>
                  </c:pt>
                  <c:pt idx="3">
                    <c:v>174.7</c:v>
                  </c:pt>
                  <c:pt idx="4">
                    <c:v>190.5</c:v>
                  </c:pt>
                  <c:pt idx="5">
                    <c:v>203.2</c:v>
                  </c:pt>
                  <c:pt idx="6">
                    <c:v>216</c:v>
                  </c:pt>
                  <c:pt idx="7">
                    <c:v>226</c:v>
                  </c:pt>
                  <c:pt idx="8">
                    <c:v>235.1</c:v>
                  </c:pt>
                  <c:pt idx="9">
                    <c:v>245.2</c:v>
                  </c:pt>
                  <c:pt idx="10">
                    <c:v>253.3</c:v>
                  </c:pt>
                  <c:pt idx="11">
                    <c:v>262.5</c:v>
                  </c:pt>
                  <c:pt idx="12">
                    <c:v>270.2</c:v>
                  </c:pt>
                  <c:pt idx="13">
                    <c:v>278.8</c:v>
                  </c:pt>
                  <c:pt idx="14">
                    <c:v>286.4</c:v>
                  </c:pt>
                  <c:pt idx="15">
                    <c:v>294.1</c:v>
                  </c:pt>
                  <c:pt idx="16">
                    <c:v>301</c:v>
                  </c:pt>
                  <c:pt idx="17">
                    <c:v>308</c:v>
                  </c:pt>
                  <c:pt idx="18">
                    <c:v>314.9</c:v>
                  </c:pt>
                  <c:pt idx="19">
                    <c:v>321.3</c:v>
                  </c:pt>
                  <c:pt idx="20">
                    <c:v>328.2</c:v>
                  </c:pt>
                  <c:pt idx="21">
                    <c:v>334.2</c:v>
                  </c:pt>
                  <c:pt idx="22">
                    <c:v>340.8</c:v>
                  </c:pt>
                  <c:pt idx="23">
                    <c:v>346.4</c:v>
                  </c:pt>
                  <c:pt idx="24">
                    <c:v>352.3</c:v>
                  </c:pt>
                  <c:pt idx="25">
                    <c:v>357.5</c:v>
                  </c:pt>
                  <c:pt idx="26">
                    <c:v>363.2</c:v>
                  </c:pt>
                  <c:pt idx="27">
                    <c:v>368.5</c:v>
                  </c:pt>
                  <c:pt idx="28">
                    <c:v>375.1</c:v>
                  </c:pt>
                  <c:pt idx="29">
                    <c:v>381.5</c:v>
                  </c:pt>
                  <c:pt idx="30">
                    <c:v>388.2</c:v>
                  </c:pt>
                  <c:pt idx="31">
                    <c:v>393.9</c:v>
                  </c:pt>
                  <c:pt idx="32">
                    <c:v>399.4</c:v>
                  </c:pt>
                  <c:pt idx="33">
                    <c:v>404.7</c:v>
                  </c:pt>
                  <c:pt idx="34">
                    <c:v>410</c:v>
                  </c:pt>
                  <c:pt idx="35">
                    <c:v>415.6</c:v>
                  </c:pt>
                  <c:pt idx="36">
                    <c:v>421</c:v>
                  </c:pt>
                  <c:pt idx="37">
                    <c:v>427</c:v>
                  </c:pt>
                  <c:pt idx="38">
                    <c:v>432.5</c:v>
                  </c:pt>
                  <c:pt idx="39">
                    <c:v>438.1</c:v>
                  </c:pt>
                  <c:pt idx="40">
                    <c:v>443.3</c:v>
                  </c:pt>
                  <c:pt idx="41">
                    <c:v>448.5</c:v>
                  </c:pt>
                  <c:pt idx="42">
                    <c:v>454.3</c:v>
                  </c:pt>
                  <c:pt idx="43">
                    <c:v>459.9</c:v>
                  </c:pt>
                  <c:pt idx="44">
                    <c:v>465.4</c:v>
                  </c:pt>
                  <c:pt idx="45">
                    <c:v>471</c:v>
                  </c:pt>
                  <c:pt idx="46">
                    <c:v>476.4</c:v>
                  </c:pt>
                  <c:pt idx="47">
                    <c:v>481.9</c:v>
                  </c:pt>
                  <c:pt idx="48">
                    <c:v>487.5</c:v>
                  </c:pt>
                  <c:pt idx="49">
                    <c:v>493.2</c:v>
                  </c:pt>
                  <c:pt idx="50">
                    <c:v>498.4</c:v>
                  </c:pt>
                  <c:pt idx="51">
                    <c:v>503.4</c:v>
                  </c:pt>
                  <c:pt idx="52">
                    <c:v>508.3</c:v>
                  </c:pt>
                  <c:pt idx="53">
                    <c:v>513.7</c:v>
                  </c:pt>
                  <c:pt idx="54">
                    <c:v>519.1</c:v>
                  </c:pt>
                  <c:pt idx="55">
                    <c:v>524.2</c:v>
                  </c:pt>
                  <c:pt idx="56">
                    <c:v>529.1</c:v>
                  </c:pt>
                  <c:pt idx="57">
                    <c:v>533.9</c:v>
                  </c:pt>
                  <c:pt idx="58">
                    <c:v>538.7</c:v>
                  </c:pt>
                  <c:pt idx="59">
                    <c:v>543.3</c:v>
                  </c:pt>
                  <c:pt idx="60">
                    <c:v>548.1</c:v>
                  </c:pt>
                  <c:pt idx="61">
                    <c:v>552.8</c:v>
                  </c:pt>
                  <c:pt idx="62">
                    <c:v>557.4</c:v>
                  </c:pt>
                  <c:pt idx="63">
                    <c:v>561.8</c:v>
                  </c:pt>
                  <c:pt idx="64">
                    <c:v>566.1</c:v>
                  </c:pt>
                  <c:pt idx="65">
                    <c:v>570.2</c:v>
                  </c:pt>
                  <c:pt idx="66">
                    <c:v>574.2</c:v>
                  </c:pt>
                  <c:pt idx="67">
                    <c:v>578.5</c:v>
                  </c:pt>
                  <c:pt idx="68">
                    <c:v>582.9</c:v>
                  </c:pt>
                  <c:pt idx="69">
                    <c:v>587.2</c:v>
                  </c:pt>
                  <c:pt idx="70">
                    <c:v>591.6</c:v>
                  </c:pt>
                  <c:pt idx="71">
                    <c:v>596</c:v>
                  </c:pt>
                  <c:pt idx="72">
                    <c:v>600.5</c:v>
                  </c:pt>
                  <c:pt idx="73">
                    <c:v>605.3</c:v>
                  </c:pt>
                  <c:pt idx="74">
                    <c:v>610.3</c:v>
                  </c:pt>
                  <c:pt idx="75">
                    <c:v>615.3</c:v>
                  </c:pt>
                  <c:pt idx="76">
                    <c:v>620.9</c:v>
                  </c:pt>
                  <c:pt idx="77">
                    <c:v>626.4</c:v>
                  </c:pt>
                  <c:pt idx="78">
                    <c:v>632.1</c:v>
                  </c:pt>
                  <c:pt idx="79">
                    <c:v>638</c:v>
                  </c:pt>
                  <c:pt idx="80">
                    <c:v>644.6</c:v>
                  </c:pt>
                  <c:pt idx="81">
                    <c:v>651.6</c:v>
                  </c:pt>
                  <c:pt idx="82">
                    <c:v>658.6</c:v>
                  </c:pt>
                  <c:pt idx="83">
                    <c:v>667.9</c:v>
                  </c:pt>
                  <c:pt idx="84">
                    <c:v>677.4</c:v>
                  </c:pt>
                  <c:pt idx="85">
                    <c:v>688.1</c:v>
                  </c:pt>
                  <c:pt idx="86">
                    <c:v>698.6</c:v>
                  </c:pt>
                  <c:pt idx="87">
                    <c:v>709.6</c:v>
                  </c:pt>
                  <c:pt idx="88">
                    <c:v>722.6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133.6</c:v>
                  </c:pt>
                  <c:pt idx="1">
                    <c:v>179.1</c:v>
                  </c:pt>
                  <c:pt idx="2">
                    <c:v>224.9</c:v>
                  </c:pt>
                  <c:pt idx="3">
                    <c:v>255.3</c:v>
                  </c:pt>
                  <c:pt idx="4">
                    <c:v>279.7</c:v>
                  </c:pt>
                  <c:pt idx="5">
                    <c:v>300.9</c:v>
                  </c:pt>
                  <c:pt idx="6">
                    <c:v>317.7</c:v>
                  </c:pt>
                  <c:pt idx="7">
                    <c:v>332.7</c:v>
                  </c:pt>
                  <c:pt idx="8">
                    <c:v>345.9</c:v>
                  </c:pt>
                  <c:pt idx="9">
                    <c:v>357.3</c:v>
                  </c:pt>
                  <c:pt idx="10">
                    <c:v>367.8</c:v>
                  </c:pt>
                  <c:pt idx="11">
                    <c:v>379.7</c:v>
                  </c:pt>
                  <c:pt idx="12">
                    <c:v>391.3</c:v>
                  </c:pt>
                  <c:pt idx="13">
                    <c:v>400</c:v>
                  </c:pt>
                  <c:pt idx="14">
                    <c:v>408.3</c:v>
                  </c:pt>
                  <c:pt idx="15">
                    <c:v>417</c:v>
                  </c:pt>
                  <c:pt idx="16">
                    <c:v>426.3</c:v>
                  </c:pt>
                  <c:pt idx="17">
                    <c:v>434.6</c:v>
                  </c:pt>
                  <c:pt idx="18">
                    <c:v>442.1</c:v>
                  </c:pt>
                  <c:pt idx="19">
                    <c:v>449.4</c:v>
                  </c:pt>
                  <c:pt idx="20">
                    <c:v>457.4</c:v>
                  </c:pt>
                  <c:pt idx="21">
                    <c:v>465.2</c:v>
                  </c:pt>
                  <c:pt idx="22">
                    <c:v>472.3</c:v>
                  </c:pt>
                  <c:pt idx="23">
                    <c:v>479</c:v>
                  </c:pt>
                  <c:pt idx="24">
                    <c:v>486.1</c:v>
                  </c:pt>
                  <c:pt idx="25">
                    <c:v>493.1</c:v>
                  </c:pt>
                  <c:pt idx="26">
                    <c:v>499.3</c:v>
                  </c:pt>
                  <c:pt idx="27">
                    <c:v>505</c:v>
                  </c:pt>
                  <c:pt idx="28">
                    <c:v>510.6</c:v>
                  </c:pt>
                  <c:pt idx="29">
                    <c:v>516.6</c:v>
                  </c:pt>
                  <c:pt idx="30">
                    <c:v>522.4</c:v>
                  </c:pt>
                  <c:pt idx="31">
                    <c:v>527.4</c:v>
                  </c:pt>
                  <c:pt idx="32">
                    <c:v>532.2</c:v>
                  </c:pt>
                  <c:pt idx="33">
                    <c:v>536.7</c:v>
                  </c:pt>
                  <c:pt idx="34">
                    <c:v>541.2</c:v>
                  </c:pt>
                  <c:pt idx="35">
                    <c:v>545.5</c:v>
                  </c:pt>
                  <c:pt idx="36">
                    <c:v>549.8</c:v>
                  </c:pt>
                  <c:pt idx="37">
                    <c:v>554</c:v>
                  </c:pt>
                  <c:pt idx="38">
                    <c:v>557.9</c:v>
                  </c:pt>
                  <c:pt idx="39">
                    <c:v>561.4</c:v>
                  </c:pt>
                  <c:pt idx="40">
                    <c:v>564.9</c:v>
                  </c:pt>
                  <c:pt idx="41">
                    <c:v>568.1</c:v>
                  </c:pt>
                  <c:pt idx="42">
                    <c:v>571.2</c:v>
                  </c:pt>
                  <c:pt idx="43">
                    <c:v>574.2</c:v>
                  </c:pt>
                  <c:pt idx="44">
                    <c:v>577.2</c:v>
                  </c:pt>
                  <c:pt idx="45">
                    <c:v>580.2</c:v>
                  </c:pt>
                  <c:pt idx="46">
                    <c:v>583.1</c:v>
                  </c:pt>
                  <c:pt idx="47">
                    <c:v>586</c:v>
                  </c:pt>
                  <c:pt idx="48">
                    <c:v>588.8</c:v>
                  </c:pt>
                  <c:pt idx="49">
                    <c:v>591.6</c:v>
                  </c:pt>
                  <c:pt idx="50">
                    <c:v>594.3</c:v>
                  </c:pt>
                  <c:pt idx="51">
                    <c:v>597</c:v>
                  </c:pt>
                  <c:pt idx="52">
                    <c:v>599.8</c:v>
                  </c:pt>
                  <c:pt idx="53">
                    <c:v>602.6</c:v>
                  </c:pt>
                  <c:pt idx="54">
                    <c:v>605.4</c:v>
                  </c:pt>
                  <c:pt idx="55">
                    <c:v>608.2</c:v>
                  </c:pt>
                  <c:pt idx="56">
                    <c:v>611</c:v>
                  </c:pt>
                  <c:pt idx="57">
                    <c:v>613.9</c:v>
                  </c:pt>
                  <c:pt idx="58">
                    <c:v>616.8</c:v>
                  </c:pt>
                  <c:pt idx="59">
                    <c:v>619.7</c:v>
                  </c:pt>
                  <c:pt idx="60">
                    <c:v>622.7</c:v>
                  </c:pt>
                  <c:pt idx="61">
                    <c:v>625.7</c:v>
                  </c:pt>
                  <c:pt idx="62">
                    <c:v>628.7</c:v>
                  </c:pt>
                  <c:pt idx="63">
                    <c:v>631.6</c:v>
                  </c:pt>
                  <c:pt idx="64">
                    <c:v>634.5</c:v>
                  </c:pt>
                  <c:pt idx="65">
                    <c:v>637.6</c:v>
                  </c:pt>
                  <c:pt idx="66">
                    <c:v>640.7</c:v>
                  </c:pt>
                  <c:pt idx="67">
                    <c:v>644</c:v>
                  </c:pt>
                  <c:pt idx="68">
                    <c:v>647.4</c:v>
                  </c:pt>
                  <c:pt idx="69">
                    <c:v>650.5</c:v>
                  </c:pt>
                  <c:pt idx="70">
                    <c:v>653.7</c:v>
                  </c:pt>
                  <c:pt idx="71">
                    <c:v>656.8</c:v>
                  </c:pt>
                  <c:pt idx="72">
                    <c:v>660.6</c:v>
                  </c:pt>
                  <c:pt idx="73">
                    <c:v>664.8</c:v>
                  </c:pt>
                  <c:pt idx="74">
                    <c:v>669.2</c:v>
                  </c:pt>
                  <c:pt idx="75">
                    <c:v>673.1</c:v>
                  </c:pt>
                  <c:pt idx="76">
                    <c:v>677.4</c:v>
                  </c:pt>
                  <c:pt idx="77">
                    <c:v>682.2</c:v>
                  </c:pt>
                  <c:pt idx="78">
                    <c:v>686.5</c:v>
                  </c:pt>
                  <c:pt idx="79">
                    <c:v>691.2</c:v>
                  </c:pt>
                  <c:pt idx="80">
                    <c:v>694.8</c:v>
                  </c:pt>
                  <c:pt idx="81">
                    <c:v>699.9</c:v>
                  </c:pt>
                  <c:pt idx="82">
                    <c:v>704</c:v>
                  </c:pt>
                  <c:pt idx="83">
                    <c:v>708.8</c:v>
                  </c:pt>
                  <c:pt idx="84">
                    <c:v>714.2</c:v>
                  </c:pt>
                  <c:pt idx="85">
                    <c:v>719.8</c:v>
                  </c:pt>
                  <c:pt idx="86">
                    <c:v>726.2</c:v>
                  </c:pt>
                  <c:pt idx="87">
                    <c:v>733.5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152.5</c:v>
                  </c:pt>
                  <c:pt idx="1">
                    <c:v>185.3</c:v>
                  </c:pt>
                  <c:pt idx="2">
                    <c:v>226.6</c:v>
                  </c:pt>
                  <c:pt idx="3">
                    <c:v>255</c:v>
                  </c:pt>
                  <c:pt idx="4">
                    <c:v>279.1</c:v>
                  </c:pt>
                  <c:pt idx="5">
                    <c:v>299.2</c:v>
                  </c:pt>
                  <c:pt idx="6">
                    <c:v>317.3</c:v>
                  </c:pt>
                  <c:pt idx="7">
                    <c:v>332.5</c:v>
                  </c:pt>
                  <c:pt idx="8">
                    <c:v>345.5</c:v>
                  </c:pt>
                  <c:pt idx="9">
                    <c:v>356.3</c:v>
                  </c:pt>
                  <c:pt idx="10">
                    <c:v>366.7</c:v>
                  </c:pt>
                  <c:pt idx="11">
                    <c:v>378.3</c:v>
                  </c:pt>
                  <c:pt idx="12">
                    <c:v>390.2</c:v>
                  </c:pt>
                  <c:pt idx="13">
                    <c:v>398.9</c:v>
                  </c:pt>
                  <c:pt idx="14">
                    <c:v>407.3</c:v>
                  </c:pt>
                  <c:pt idx="15">
                    <c:v>415.7</c:v>
                  </c:pt>
                  <c:pt idx="16">
                    <c:v>424.9</c:v>
                  </c:pt>
                  <c:pt idx="17">
                    <c:v>433.3</c:v>
                  </c:pt>
                  <c:pt idx="18">
                    <c:v>440.7</c:v>
                  </c:pt>
                  <c:pt idx="19">
                    <c:v>448</c:v>
                  </c:pt>
                  <c:pt idx="20">
                    <c:v>455.9</c:v>
                  </c:pt>
                  <c:pt idx="21">
                    <c:v>463.6</c:v>
                  </c:pt>
                  <c:pt idx="22">
                    <c:v>470.6</c:v>
                  </c:pt>
                  <c:pt idx="23">
                    <c:v>477.3</c:v>
                  </c:pt>
                  <c:pt idx="24">
                    <c:v>484.2</c:v>
                  </c:pt>
                  <c:pt idx="25">
                    <c:v>491.3</c:v>
                  </c:pt>
                  <c:pt idx="26">
                    <c:v>497.8</c:v>
                  </c:pt>
                  <c:pt idx="27">
                    <c:v>503.3</c:v>
                  </c:pt>
                  <c:pt idx="28">
                    <c:v>508.7</c:v>
                  </c:pt>
                  <c:pt idx="29">
                    <c:v>514.7</c:v>
                  </c:pt>
                  <c:pt idx="30">
                    <c:v>520.6</c:v>
                  </c:pt>
                  <c:pt idx="31">
                    <c:v>525.7</c:v>
                  </c:pt>
                  <c:pt idx="32">
                    <c:v>530.5</c:v>
                  </c:pt>
                  <c:pt idx="33">
                    <c:v>535.2</c:v>
                  </c:pt>
                  <c:pt idx="34">
                    <c:v>539.6</c:v>
                  </c:pt>
                  <c:pt idx="35">
                    <c:v>543.9</c:v>
                  </c:pt>
                  <c:pt idx="36">
                    <c:v>548.2</c:v>
                  </c:pt>
                  <c:pt idx="37">
                    <c:v>552.4</c:v>
                  </c:pt>
                  <c:pt idx="38">
                    <c:v>556.4</c:v>
                  </c:pt>
                  <c:pt idx="39">
                    <c:v>560</c:v>
                  </c:pt>
                  <c:pt idx="40">
                    <c:v>563.5</c:v>
                  </c:pt>
                  <c:pt idx="41">
                    <c:v>566.8</c:v>
                  </c:pt>
                  <c:pt idx="42">
                    <c:v>569.9</c:v>
                  </c:pt>
                  <c:pt idx="43">
                    <c:v>572.9</c:v>
                  </c:pt>
                  <c:pt idx="44">
                    <c:v>575.8</c:v>
                  </c:pt>
                  <c:pt idx="45">
                    <c:v>578.8</c:v>
                  </c:pt>
                  <c:pt idx="46">
                    <c:v>581.7</c:v>
                  </c:pt>
                  <c:pt idx="47">
                    <c:v>584.6</c:v>
                  </c:pt>
                  <c:pt idx="48">
                    <c:v>587.4</c:v>
                  </c:pt>
                  <c:pt idx="49">
                    <c:v>590.1</c:v>
                  </c:pt>
                  <c:pt idx="50">
                    <c:v>592.8</c:v>
                  </c:pt>
                  <c:pt idx="51">
                    <c:v>595.5</c:v>
                  </c:pt>
                  <c:pt idx="52">
                    <c:v>598.1</c:v>
                  </c:pt>
                  <c:pt idx="53">
                    <c:v>600.8</c:v>
                  </c:pt>
                  <c:pt idx="54">
                    <c:v>603.6</c:v>
                  </c:pt>
                  <c:pt idx="55">
                    <c:v>606.3</c:v>
                  </c:pt>
                  <c:pt idx="56">
                    <c:v>609</c:v>
                  </c:pt>
                  <c:pt idx="57">
                    <c:v>611.7</c:v>
                  </c:pt>
                  <c:pt idx="58">
                    <c:v>614.5</c:v>
                  </c:pt>
                  <c:pt idx="59">
                    <c:v>617.3</c:v>
                  </c:pt>
                  <c:pt idx="60">
                    <c:v>620.1</c:v>
                  </c:pt>
                  <c:pt idx="61">
                    <c:v>623</c:v>
                  </c:pt>
                  <c:pt idx="62">
                    <c:v>625.8</c:v>
                  </c:pt>
                  <c:pt idx="63">
                    <c:v>628.6</c:v>
                  </c:pt>
                  <c:pt idx="64">
                    <c:v>631.4</c:v>
                  </c:pt>
                  <c:pt idx="65">
                    <c:v>634.2</c:v>
                  </c:pt>
                  <c:pt idx="66">
                    <c:v>637.1</c:v>
                  </c:pt>
                  <c:pt idx="67">
                    <c:v>640</c:v>
                  </c:pt>
                  <c:pt idx="68">
                    <c:v>643.1</c:v>
                  </c:pt>
                  <c:pt idx="69">
                    <c:v>646.2</c:v>
                  </c:pt>
                  <c:pt idx="70">
                    <c:v>649.2</c:v>
                  </c:pt>
                  <c:pt idx="71">
                    <c:v>652.2</c:v>
                  </c:pt>
                  <c:pt idx="72">
                    <c:v>655.1</c:v>
                  </c:pt>
                  <c:pt idx="73">
                    <c:v>658.1</c:v>
                  </c:pt>
                  <c:pt idx="74">
                    <c:v>661.9</c:v>
                  </c:pt>
                  <c:pt idx="75">
                    <c:v>665.7</c:v>
                  </c:pt>
                  <c:pt idx="76">
                    <c:v>669.7</c:v>
                  </c:pt>
                  <c:pt idx="77">
                    <c:v>673.1</c:v>
                  </c:pt>
                  <c:pt idx="78">
                    <c:v>676.9</c:v>
                  </c:pt>
                  <c:pt idx="79">
                    <c:v>681.3</c:v>
                  </c:pt>
                  <c:pt idx="80">
                    <c:v>685</c:v>
                  </c:pt>
                  <c:pt idx="81">
                    <c:v>688.9</c:v>
                  </c:pt>
                  <c:pt idx="82">
                    <c:v>692.4</c:v>
                  </c:pt>
                  <c:pt idx="83">
                    <c:v>695.7</c:v>
                  </c:pt>
                  <c:pt idx="84">
                    <c:v>700</c:v>
                  </c:pt>
                  <c:pt idx="85">
                    <c:v>703.3</c:v>
                  </c:pt>
                  <c:pt idx="86">
                    <c:v>706.7</c:v>
                  </c:pt>
                  <c:pt idx="87">
                    <c:v>710.8</c:v>
                  </c:pt>
                  <c:pt idx="88">
                    <c:v>714.7</c:v>
                  </c:pt>
                  <c:pt idx="89">
                    <c:v>718.6</c:v>
                  </c:pt>
                  <c:pt idx="90">
                    <c:v>722.6</c:v>
                  </c:pt>
                  <c:pt idx="91">
                    <c:v>726.7</c:v>
                  </c:pt>
                  <c:pt idx="92">
                    <c:v>730.9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140.2</c:v>
                  </c:pt>
                  <c:pt idx="1">
                    <c:v>187.3</c:v>
                  </c:pt>
                  <c:pt idx="2">
                    <c:v>232</c:v>
                  </c:pt>
                  <c:pt idx="3">
                    <c:v>261.4</c:v>
                  </c:pt>
                  <c:pt idx="4">
                    <c:v>285.2</c:v>
                  </c:pt>
                  <c:pt idx="5">
                    <c:v>305.6</c:v>
                  </c:pt>
                  <c:pt idx="6">
                    <c:v>323.2</c:v>
                  </c:pt>
                  <c:pt idx="7">
                    <c:v>338.6</c:v>
                  </c:pt>
                  <c:pt idx="8">
                    <c:v>351.3</c:v>
                  </c:pt>
                  <c:pt idx="9">
                    <c:v>362.4</c:v>
                  </c:pt>
                  <c:pt idx="10">
                    <c:v>374.1</c:v>
                  </c:pt>
                  <c:pt idx="11">
                    <c:v>387.1</c:v>
                  </c:pt>
                  <c:pt idx="12">
                    <c:v>397.2</c:v>
                  </c:pt>
                  <c:pt idx="13">
                    <c:v>406</c:v>
                  </c:pt>
                  <c:pt idx="14">
                    <c:v>414.7</c:v>
                  </c:pt>
                  <c:pt idx="15">
                    <c:v>424.4</c:v>
                  </c:pt>
                  <c:pt idx="16">
                    <c:v>433.3</c:v>
                  </c:pt>
                  <c:pt idx="17">
                    <c:v>441.2</c:v>
                  </c:pt>
                  <c:pt idx="18">
                    <c:v>448.8</c:v>
                  </c:pt>
                  <c:pt idx="19">
                    <c:v>457.3</c:v>
                  </c:pt>
                  <c:pt idx="20">
                    <c:v>465.4</c:v>
                  </c:pt>
                  <c:pt idx="21">
                    <c:v>472.5</c:v>
                  </c:pt>
                  <c:pt idx="22">
                    <c:v>479.5</c:v>
                  </c:pt>
                  <c:pt idx="23">
                    <c:v>486.9</c:v>
                  </c:pt>
                  <c:pt idx="24">
                    <c:v>494.3</c:v>
                  </c:pt>
                  <c:pt idx="25">
                    <c:v>500.6</c:v>
                  </c:pt>
                  <c:pt idx="26">
                    <c:v>506.4</c:v>
                  </c:pt>
                  <c:pt idx="27">
                    <c:v>512.4</c:v>
                  </c:pt>
                  <c:pt idx="28">
                    <c:v>518.7</c:v>
                  </c:pt>
                  <c:pt idx="29">
                    <c:v>524.4</c:v>
                  </c:pt>
                  <c:pt idx="30">
                    <c:v>529.6</c:v>
                  </c:pt>
                  <c:pt idx="31">
                    <c:v>534.6</c:v>
                  </c:pt>
                  <c:pt idx="32">
                    <c:v>539.3</c:v>
                  </c:pt>
                  <c:pt idx="33">
                    <c:v>543.9</c:v>
                  </c:pt>
                  <c:pt idx="34">
                    <c:v>548.6</c:v>
                  </c:pt>
                  <c:pt idx="35">
                    <c:v>553.1</c:v>
                  </c:pt>
                  <c:pt idx="36">
                    <c:v>557.3</c:v>
                  </c:pt>
                  <c:pt idx="37">
                    <c:v>561.1</c:v>
                  </c:pt>
                  <c:pt idx="38">
                    <c:v>564.8</c:v>
                  </c:pt>
                  <c:pt idx="39">
                    <c:v>568.2</c:v>
                  </c:pt>
                  <c:pt idx="40">
                    <c:v>571.4</c:v>
                  </c:pt>
                  <c:pt idx="41">
                    <c:v>574.6</c:v>
                  </c:pt>
                  <c:pt idx="42">
                    <c:v>577.8</c:v>
                  </c:pt>
                  <c:pt idx="43">
                    <c:v>580.9</c:v>
                  </c:pt>
                  <c:pt idx="44">
                    <c:v>584.1</c:v>
                  </c:pt>
                  <c:pt idx="45">
                    <c:v>587</c:v>
                  </c:pt>
                  <c:pt idx="46">
                    <c:v>590</c:v>
                  </c:pt>
                  <c:pt idx="47">
                    <c:v>592.9</c:v>
                  </c:pt>
                  <c:pt idx="48">
                    <c:v>595.7</c:v>
                  </c:pt>
                  <c:pt idx="49">
                    <c:v>598.6</c:v>
                  </c:pt>
                  <c:pt idx="50">
                    <c:v>601.5</c:v>
                  </c:pt>
                  <c:pt idx="51">
                    <c:v>604.4</c:v>
                  </c:pt>
                  <c:pt idx="52">
                    <c:v>607.4</c:v>
                  </c:pt>
                  <c:pt idx="53">
                    <c:v>610.3</c:v>
                  </c:pt>
                  <c:pt idx="54">
                    <c:v>613.3</c:v>
                  </c:pt>
                  <c:pt idx="55">
                    <c:v>616.3</c:v>
                  </c:pt>
                  <c:pt idx="56">
                    <c:v>619.4</c:v>
                  </c:pt>
                  <c:pt idx="57">
                    <c:v>622.6</c:v>
                  </c:pt>
                  <c:pt idx="58">
                    <c:v>625.7</c:v>
                  </c:pt>
                  <c:pt idx="59">
                    <c:v>628.9</c:v>
                  </c:pt>
                  <c:pt idx="60">
                    <c:v>631.9</c:v>
                  </c:pt>
                  <c:pt idx="61">
                    <c:v>635.1</c:v>
                  </c:pt>
                  <c:pt idx="62">
                    <c:v>638.4</c:v>
                  </c:pt>
                  <c:pt idx="63">
                    <c:v>641.8</c:v>
                  </c:pt>
                  <c:pt idx="64">
                    <c:v>645.4</c:v>
                  </c:pt>
                  <c:pt idx="65">
                    <c:v>648.9</c:v>
                  </c:pt>
                  <c:pt idx="66">
                    <c:v>652.4</c:v>
                  </c:pt>
                  <c:pt idx="67">
                    <c:v>655.8</c:v>
                  </c:pt>
                  <c:pt idx="68">
                    <c:v>659.7</c:v>
                  </c:pt>
                  <c:pt idx="69">
                    <c:v>664.3</c:v>
                  </c:pt>
                  <c:pt idx="70">
                    <c:v>669.1</c:v>
                  </c:pt>
                  <c:pt idx="71">
                    <c:v>673.5</c:v>
                  </c:pt>
                  <c:pt idx="72">
                    <c:v>678.6</c:v>
                  </c:pt>
                  <c:pt idx="73">
                    <c:v>683.9</c:v>
                  </c:pt>
                  <c:pt idx="74">
                    <c:v>689.1</c:v>
                  </c:pt>
                  <c:pt idx="75">
                    <c:v>693.9</c:v>
                  </c:pt>
                  <c:pt idx="76">
                    <c:v>699.8</c:v>
                  </c:pt>
                  <c:pt idx="77">
                    <c:v>705.2</c:v>
                  </c:pt>
                  <c:pt idx="78">
                    <c:v>712.1</c:v>
                  </c:pt>
                  <c:pt idx="79">
                    <c:v>720.3</c:v>
                  </c:pt>
                  <c:pt idx="80">
                    <c:v>733.8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142.1</c:v>
                  </c:pt>
                  <c:pt idx="1">
                    <c:v>173.4</c:v>
                  </c:pt>
                  <c:pt idx="2">
                    <c:v>215</c:v>
                  </c:pt>
                  <c:pt idx="3">
                    <c:v>248.3</c:v>
                  </c:pt>
                  <c:pt idx="4">
                    <c:v>270.7</c:v>
                  </c:pt>
                  <c:pt idx="5">
                    <c:v>291.2</c:v>
                  </c:pt>
                  <c:pt idx="6">
                    <c:v>308.6</c:v>
                  </c:pt>
                  <c:pt idx="7">
                    <c:v>324.2</c:v>
                  </c:pt>
                  <c:pt idx="8">
                    <c:v>338.5</c:v>
                  </c:pt>
                  <c:pt idx="9">
                    <c:v>351.6</c:v>
                  </c:pt>
                  <c:pt idx="10">
                    <c:v>363.5</c:v>
                  </c:pt>
                  <c:pt idx="11">
                    <c:v>374.4</c:v>
                  </c:pt>
                  <c:pt idx="12">
                    <c:v>384.5</c:v>
                  </c:pt>
                  <c:pt idx="13">
                    <c:v>394.2</c:v>
                  </c:pt>
                  <c:pt idx="14">
                    <c:v>404</c:v>
                  </c:pt>
                  <c:pt idx="15">
                    <c:v>413.2</c:v>
                  </c:pt>
                  <c:pt idx="16">
                    <c:v>421.9</c:v>
                  </c:pt>
                  <c:pt idx="17">
                    <c:v>430.1</c:v>
                  </c:pt>
                  <c:pt idx="18">
                    <c:v>438.5</c:v>
                  </c:pt>
                  <c:pt idx="19">
                    <c:v>446.5</c:v>
                  </c:pt>
                  <c:pt idx="20">
                    <c:v>454.4</c:v>
                  </c:pt>
                  <c:pt idx="21">
                    <c:v>462</c:v>
                  </c:pt>
                  <c:pt idx="22">
                    <c:v>469.5</c:v>
                  </c:pt>
                  <c:pt idx="23">
                    <c:v>476.7</c:v>
                  </c:pt>
                  <c:pt idx="24">
                    <c:v>483.7</c:v>
                  </c:pt>
                  <c:pt idx="25">
                    <c:v>490.4</c:v>
                  </c:pt>
                  <c:pt idx="26">
                    <c:v>496.8</c:v>
                  </c:pt>
                  <c:pt idx="27">
                    <c:v>502.6</c:v>
                  </c:pt>
                  <c:pt idx="28">
                    <c:v>508.1</c:v>
                  </c:pt>
                  <c:pt idx="29">
                    <c:v>513.7</c:v>
                  </c:pt>
                  <c:pt idx="30">
                    <c:v>519.1</c:v>
                  </c:pt>
                  <c:pt idx="31">
                    <c:v>524.2</c:v>
                  </c:pt>
                  <c:pt idx="32">
                    <c:v>528.8</c:v>
                  </c:pt>
                  <c:pt idx="33">
                    <c:v>533.2</c:v>
                  </c:pt>
                  <c:pt idx="34">
                    <c:v>537.4</c:v>
                  </c:pt>
                  <c:pt idx="35">
                    <c:v>541.5</c:v>
                  </c:pt>
                  <c:pt idx="36">
                    <c:v>545.3</c:v>
                  </c:pt>
                  <c:pt idx="37">
                    <c:v>549.4</c:v>
                  </c:pt>
                  <c:pt idx="38">
                    <c:v>553.2</c:v>
                  </c:pt>
                  <c:pt idx="39">
                    <c:v>556.9</c:v>
                  </c:pt>
                  <c:pt idx="40">
                    <c:v>560.4</c:v>
                  </c:pt>
                  <c:pt idx="41">
                    <c:v>563.8</c:v>
                  </c:pt>
                  <c:pt idx="42">
                    <c:v>567</c:v>
                  </c:pt>
                  <c:pt idx="43">
                    <c:v>570</c:v>
                  </c:pt>
                  <c:pt idx="44">
                    <c:v>573</c:v>
                  </c:pt>
                  <c:pt idx="45">
                    <c:v>576.1</c:v>
                  </c:pt>
                  <c:pt idx="46">
                    <c:v>579.2</c:v>
                  </c:pt>
                  <c:pt idx="47">
                    <c:v>582.4</c:v>
                  </c:pt>
                  <c:pt idx="48">
                    <c:v>585.5</c:v>
                  </c:pt>
                  <c:pt idx="49">
                    <c:v>588.5</c:v>
                  </c:pt>
                  <c:pt idx="50">
                    <c:v>591.6</c:v>
                  </c:pt>
                  <c:pt idx="51">
                    <c:v>594.7</c:v>
                  </c:pt>
                  <c:pt idx="52">
                    <c:v>597.8</c:v>
                  </c:pt>
                  <c:pt idx="53">
                    <c:v>601</c:v>
                  </c:pt>
                  <c:pt idx="54">
                    <c:v>604.3</c:v>
                  </c:pt>
                  <c:pt idx="55">
                    <c:v>607.6</c:v>
                  </c:pt>
                  <c:pt idx="56">
                    <c:v>610.9</c:v>
                  </c:pt>
                  <c:pt idx="57">
                    <c:v>614.3</c:v>
                  </c:pt>
                  <c:pt idx="58">
                    <c:v>617.8</c:v>
                  </c:pt>
                  <c:pt idx="59">
                    <c:v>621.4</c:v>
                  </c:pt>
                  <c:pt idx="60">
                    <c:v>625</c:v>
                  </c:pt>
                  <c:pt idx="61">
                    <c:v>628.6</c:v>
                  </c:pt>
                  <c:pt idx="62">
                    <c:v>632</c:v>
                  </c:pt>
                  <c:pt idx="63">
                    <c:v>635.5</c:v>
                  </c:pt>
                  <c:pt idx="64">
                    <c:v>639.3</c:v>
                  </c:pt>
                  <c:pt idx="65">
                    <c:v>643.3</c:v>
                  </c:pt>
                  <c:pt idx="66">
                    <c:v>647.4</c:v>
                  </c:pt>
                  <c:pt idx="67">
                    <c:v>651.4</c:v>
                  </c:pt>
                  <c:pt idx="68">
                    <c:v>655.2</c:v>
                  </c:pt>
                  <c:pt idx="69">
                    <c:v>659.4</c:v>
                  </c:pt>
                  <c:pt idx="70">
                    <c:v>664.4</c:v>
                  </c:pt>
                  <c:pt idx="71">
                    <c:v>669.7</c:v>
                  </c:pt>
                  <c:pt idx="72">
                    <c:v>674.4</c:v>
                  </c:pt>
                  <c:pt idx="73">
                    <c:v>680</c:v>
                  </c:pt>
                  <c:pt idx="74">
                    <c:v>685.4</c:v>
                  </c:pt>
                  <c:pt idx="75">
                    <c:v>691</c:v>
                  </c:pt>
                  <c:pt idx="76">
                    <c:v>696</c:v>
                  </c:pt>
                  <c:pt idx="77">
                    <c:v>702.3</c:v>
                  </c:pt>
                  <c:pt idx="78">
                    <c:v>708.5</c:v>
                  </c:pt>
                  <c:pt idx="79">
                    <c:v>716.3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436.7</c:v>
                  </c:pt>
                  <c:pt idx="1">
                    <c:v>499.2</c:v>
                  </c:pt>
                  <c:pt idx="2">
                    <c:v>527.2</c:v>
                  </c:pt>
                  <c:pt idx="3">
                    <c:v>538.6</c:v>
                  </c:pt>
                  <c:pt idx="4">
                    <c:v>546.5</c:v>
                  </c:pt>
                  <c:pt idx="5">
                    <c:v>553.1</c:v>
                  </c:pt>
                  <c:pt idx="6">
                    <c:v>558.5</c:v>
                  </c:pt>
                  <c:pt idx="7">
                    <c:v>563.2</c:v>
                  </c:pt>
                  <c:pt idx="8">
                    <c:v>567.4</c:v>
                  </c:pt>
                  <c:pt idx="9">
                    <c:v>571.1</c:v>
                  </c:pt>
                  <c:pt idx="10">
                    <c:v>574.7</c:v>
                  </c:pt>
                  <c:pt idx="11">
                    <c:v>578.2</c:v>
                  </c:pt>
                  <c:pt idx="12">
                    <c:v>581.7</c:v>
                  </c:pt>
                  <c:pt idx="13">
                    <c:v>585.1</c:v>
                  </c:pt>
                  <c:pt idx="14">
                    <c:v>588.4</c:v>
                  </c:pt>
                  <c:pt idx="15">
                    <c:v>591.6</c:v>
                  </c:pt>
                  <c:pt idx="16">
                    <c:v>594.8</c:v>
                  </c:pt>
                  <c:pt idx="17">
                    <c:v>598</c:v>
                  </c:pt>
                  <c:pt idx="18">
                    <c:v>601.2</c:v>
                  </c:pt>
                  <c:pt idx="19">
                    <c:v>604.6</c:v>
                  </c:pt>
                  <c:pt idx="20">
                    <c:v>607.9</c:v>
                  </c:pt>
                  <c:pt idx="21">
                    <c:v>611.2</c:v>
                  </c:pt>
                  <c:pt idx="22">
                    <c:v>614.5</c:v>
                  </c:pt>
                  <c:pt idx="23">
                    <c:v>618</c:v>
                  </c:pt>
                  <c:pt idx="24">
                    <c:v>621.5</c:v>
                  </c:pt>
                  <c:pt idx="25">
                    <c:v>624.9</c:v>
                  </c:pt>
                  <c:pt idx="26">
                    <c:v>628.4</c:v>
                  </c:pt>
                  <c:pt idx="27">
                    <c:v>631.8</c:v>
                  </c:pt>
                  <c:pt idx="28">
                    <c:v>635.2</c:v>
                  </c:pt>
                  <c:pt idx="29">
                    <c:v>638.8</c:v>
                  </c:pt>
                  <c:pt idx="30">
                    <c:v>642.6</c:v>
                  </c:pt>
                  <c:pt idx="31">
                    <c:v>646.5</c:v>
                  </c:pt>
                  <c:pt idx="32">
                    <c:v>650.2</c:v>
                  </c:pt>
                  <c:pt idx="33">
                    <c:v>654</c:v>
                  </c:pt>
                  <c:pt idx="34">
                    <c:v>657.6</c:v>
                  </c:pt>
                  <c:pt idx="35">
                    <c:v>662.3</c:v>
                  </c:pt>
                  <c:pt idx="36">
                    <c:v>667.3</c:v>
                  </c:pt>
                  <c:pt idx="37">
                    <c:v>672.1</c:v>
                  </c:pt>
                  <c:pt idx="38">
                    <c:v>677.2</c:v>
                  </c:pt>
                  <c:pt idx="39">
                    <c:v>683</c:v>
                  </c:pt>
                  <c:pt idx="40">
                    <c:v>688.5</c:v>
                  </c:pt>
                  <c:pt idx="41">
                    <c:v>693.9</c:v>
                  </c:pt>
                  <c:pt idx="42">
                    <c:v>700.7</c:v>
                  </c:pt>
                  <c:pt idx="43">
                    <c:v>708.3</c:v>
                  </c:pt>
                  <c:pt idx="44">
                    <c:v>721.3</c:v>
                  </c:pt>
                  <c:pt idx="45">
                    <c:v>-</c:v>
                  </c:pt>
                  <c:pt idx="46">
                    <c:v>-</c:v>
                  </c:pt>
                  <c:pt idx="47">
                    <c:v>-</c:v>
                  </c:pt>
                  <c:pt idx="48">
                    <c:v>-</c:v>
                  </c:pt>
                  <c:pt idx="49">
                    <c:v>-</c:v>
                  </c:pt>
                  <c:pt idx="50">
                    <c:v>-</c:v>
                  </c:pt>
                  <c:pt idx="51">
                    <c:v>-</c:v>
                  </c:pt>
                  <c:pt idx="52">
                    <c:v>-</c:v>
                  </c:pt>
                  <c:pt idx="53">
                    <c:v>-</c:v>
                  </c:pt>
                  <c:pt idx="54">
                    <c:v>-</c:v>
                  </c:pt>
                  <c:pt idx="55">
                    <c:v>-</c:v>
                  </c:pt>
                  <c:pt idx="56">
                    <c:v>-</c:v>
                  </c:pt>
                  <c:pt idx="57">
                    <c:v>-</c:v>
                  </c:pt>
                  <c:pt idx="58">
                    <c:v>-</c:v>
                  </c:pt>
                  <c:pt idx="59">
                    <c:v>-</c:v>
                  </c:pt>
                  <c:pt idx="60">
                    <c:v>-</c:v>
                  </c:pt>
                  <c:pt idx="61">
                    <c:v>-</c:v>
                  </c:pt>
                  <c:pt idx="62">
                    <c:v>-</c:v>
                  </c:pt>
                  <c:pt idx="63">
                    <c:v>-</c:v>
                  </c:pt>
                  <c:pt idx="64">
                    <c:v>-</c:v>
                  </c:pt>
                  <c:pt idx="65">
                    <c:v>-</c:v>
                  </c:pt>
                  <c:pt idx="66">
                    <c:v>-</c:v>
                  </c:pt>
                  <c:pt idx="67">
                    <c:v>-</c:v>
                  </c:pt>
                  <c:pt idx="68">
                    <c:v>-</c:v>
                  </c:pt>
                  <c:pt idx="69">
                    <c:v>-</c:v>
                  </c:pt>
                  <c:pt idx="70">
                    <c:v>-</c:v>
                  </c:pt>
                  <c:pt idx="71">
                    <c:v>-</c:v>
                  </c:pt>
                  <c:pt idx="72">
                    <c:v>-</c:v>
                  </c:pt>
                  <c:pt idx="73">
                    <c:v>-</c:v>
                  </c:pt>
                  <c:pt idx="74">
                    <c:v>-</c:v>
                  </c:pt>
                  <c:pt idx="75">
                    <c:v>-</c:v>
                  </c:pt>
                  <c:pt idx="76">
                    <c:v>-</c:v>
                  </c:pt>
                  <c:pt idx="77">
                    <c:v>-</c:v>
                  </c:pt>
                  <c:pt idx="78">
                    <c:v>-</c:v>
                  </c:pt>
                  <c:pt idx="79">
                    <c:v>-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462.3</c:v>
                  </c:pt>
                  <c:pt idx="1">
                    <c:v>528.9</c:v>
                  </c:pt>
                  <c:pt idx="2">
                    <c:v>546.9</c:v>
                  </c:pt>
                  <c:pt idx="3">
                    <c:v>555.2</c:v>
                  </c:pt>
                  <c:pt idx="4">
                    <c:v>561</c:v>
                  </c:pt>
                  <c:pt idx="5">
                    <c:v>565.7</c:v>
                  </c:pt>
                  <c:pt idx="6">
                    <c:v>569.7</c:v>
                  </c:pt>
                  <c:pt idx="7">
                    <c:v>573.2</c:v>
                  </c:pt>
                  <c:pt idx="8">
                    <c:v>576.7</c:v>
                  </c:pt>
                  <c:pt idx="9">
                    <c:v>580.1</c:v>
                  </c:pt>
                  <c:pt idx="10">
                    <c:v>583.4</c:v>
                  </c:pt>
                  <c:pt idx="11">
                    <c:v>586.6</c:v>
                  </c:pt>
                  <c:pt idx="12">
                    <c:v>589.6</c:v>
                  </c:pt>
                  <c:pt idx="13">
                    <c:v>592.6</c:v>
                  </c:pt>
                  <c:pt idx="14">
                    <c:v>595.6</c:v>
                  </c:pt>
                  <c:pt idx="15">
                    <c:v>598.5</c:v>
                  </c:pt>
                  <c:pt idx="16">
                    <c:v>601.4</c:v>
                  </c:pt>
                  <c:pt idx="17">
                    <c:v>604.4</c:v>
                  </c:pt>
                  <c:pt idx="18">
                    <c:v>607.3</c:v>
                  </c:pt>
                  <c:pt idx="19">
                    <c:v>610.2</c:v>
                  </c:pt>
                  <c:pt idx="20">
                    <c:v>613.1</c:v>
                  </c:pt>
                  <c:pt idx="21">
                    <c:v>616.1</c:v>
                  </c:pt>
                  <c:pt idx="22">
                    <c:v>619.2</c:v>
                  </c:pt>
                  <c:pt idx="23">
                    <c:v>622.3</c:v>
                  </c:pt>
                  <c:pt idx="24">
                    <c:v>625.3</c:v>
                  </c:pt>
                  <c:pt idx="25">
                    <c:v>628.4</c:v>
                  </c:pt>
                  <c:pt idx="26">
                    <c:v>631.4</c:v>
                  </c:pt>
                  <c:pt idx="27">
                    <c:v>634.4</c:v>
                  </c:pt>
                  <c:pt idx="28">
                    <c:v>637.5</c:v>
                  </c:pt>
                  <c:pt idx="29">
                    <c:v>640.8</c:v>
                  </c:pt>
                  <c:pt idx="30">
                    <c:v>644.2</c:v>
                  </c:pt>
                  <c:pt idx="31">
                    <c:v>647.6</c:v>
                  </c:pt>
                  <c:pt idx="32">
                    <c:v>650.9</c:v>
                  </c:pt>
                  <c:pt idx="33">
                    <c:v>654.2</c:v>
                  </c:pt>
                  <c:pt idx="34">
                    <c:v>657.5</c:v>
                  </c:pt>
                  <c:pt idx="35">
                    <c:v>661.5</c:v>
                  </c:pt>
                  <c:pt idx="36">
                    <c:v>665.8</c:v>
                  </c:pt>
                  <c:pt idx="37">
                    <c:v>670.3</c:v>
                  </c:pt>
                  <c:pt idx="38">
                    <c:v>674.2</c:v>
                  </c:pt>
                  <c:pt idx="39">
                    <c:v>679.2</c:v>
                  </c:pt>
                  <c:pt idx="40">
                    <c:v>683.9</c:v>
                  </c:pt>
                  <c:pt idx="41">
                    <c:v>688.5</c:v>
                  </c:pt>
                  <c:pt idx="42">
                    <c:v>693</c:v>
                  </c:pt>
                  <c:pt idx="43">
                    <c:v>697.8</c:v>
                  </c:pt>
                  <c:pt idx="44">
                    <c:v>702.9</c:v>
                  </c:pt>
                  <c:pt idx="45">
                    <c:v>708.2</c:v>
                  </c:pt>
                  <c:pt idx="46">
                    <c:v>715.3</c:v>
                  </c:pt>
                  <c:pt idx="47">
                    <c:v>724.1</c:v>
                  </c:pt>
                  <c:pt idx="48">
                    <c:v>-</c:v>
                  </c:pt>
                  <c:pt idx="49">
                    <c:v>-</c:v>
                  </c:pt>
                  <c:pt idx="50">
                    <c:v>-</c:v>
                  </c:pt>
                  <c:pt idx="51">
                    <c:v>-</c:v>
                  </c:pt>
                  <c:pt idx="52">
                    <c:v>-</c:v>
                  </c:pt>
                  <c:pt idx="53">
                    <c:v>-</c:v>
                  </c:pt>
                  <c:pt idx="54">
                    <c:v>-</c:v>
                  </c:pt>
                  <c:pt idx="55">
                    <c:v>-</c:v>
                  </c:pt>
                  <c:pt idx="56">
                    <c:v>-</c:v>
                  </c:pt>
                  <c:pt idx="57">
                    <c:v>-</c:v>
                  </c:pt>
                  <c:pt idx="58">
                    <c:v>-</c:v>
                  </c:pt>
                  <c:pt idx="59">
                    <c:v>-</c:v>
                  </c:pt>
                  <c:pt idx="60">
                    <c:v>-</c:v>
                  </c:pt>
                  <c:pt idx="61">
                    <c:v>-</c:v>
                  </c:pt>
                  <c:pt idx="62">
                    <c:v>-</c:v>
                  </c:pt>
                  <c:pt idx="63">
                    <c:v>-</c:v>
                  </c:pt>
                  <c:pt idx="64">
                    <c:v>-</c:v>
                  </c:pt>
                  <c:pt idx="65">
                    <c:v>-</c:v>
                  </c:pt>
                  <c:pt idx="66">
                    <c:v>-</c:v>
                  </c:pt>
                  <c:pt idx="67">
                    <c:v>-</c:v>
                  </c:pt>
                  <c:pt idx="68">
                    <c:v>-</c:v>
                  </c:pt>
                  <c:pt idx="69">
                    <c:v>-</c:v>
                  </c:pt>
                  <c:pt idx="70">
                    <c:v>-</c:v>
                  </c:pt>
                  <c:pt idx="71">
                    <c:v>-</c:v>
                  </c:pt>
                  <c:pt idx="72">
                    <c:v>-</c:v>
                  </c:pt>
                  <c:pt idx="73">
                    <c:v>-</c:v>
                  </c:pt>
                  <c:pt idx="74">
                    <c:v>-</c:v>
                  </c:pt>
                  <c:pt idx="75">
                    <c:v>-</c:v>
                  </c:pt>
                  <c:pt idx="76">
                    <c:v>-</c:v>
                  </c:pt>
                  <c:pt idx="77">
                    <c:v>-</c:v>
                  </c:pt>
                  <c:pt idx="78">
                    <c:v>-</c:v>
                  </c:pt>
                  <c:pt idx="79">
                    <c:v>-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375.98</c:v>
                  </c:pt>
                  <c:pt idx="1">
                    <c:v>402</c:v>
                  </c:pt>
                  <c:pt idx="2">
                    <c:v>422</c:v>
                  </c:pt>
                  <c:pt idx="3">
                    <c:v>462</c:v>
                  </c:pt>
                  <c:pt idx="4">
                    <c:v>489</c:v>
                  </c:pt>
                  <c:pt idx="5">
                    <c:v>510</c:v>
                  </c:pt>
                  <c:pt idx="6">
                    <c:v>518</c:v>
                  </c:pt>
                  <c:pt idx="7">
                    <c:v>525</c:v>
                  </c:pt>
                  <c:pt idx="8">
                    <c:v>533</c:v>
                  </c:pt>
                  <c:pt idx="9">
                    <c:v>538</c:v>
                  </c:pt>
                  <c:pt idx="10">
                    <c:v>543.5</c:v>
                  </c:pt>
                  <c:pt idx="11">
                    <c:v>548</c:v>
                  </c:pt>
                  <c:pt idx="12">
                    <c:v>553</c:v>
                  </c:pt>
                  <c:pt idx="13">
                    <c:v>556</c:v>
                  </c:pt>
                  <c:pt idx="14">
                    <c:v>560</c:v>
                  </c:pt>
                  <c:pt idx="15">
                    <c:v>563</c:v>
                  </c:pt>
                  <c:pt idx="16">
                    <c:v>566</c:v>
                  </c:pt>
                  <c:pt idx="17">
                    <c:v>569</c:v>
                  </c:pt>
                  <c:pt idx="18">
                    <c:v>572</c:v>
                  </c:pt>
                  <c:pt idx="19">
                    <c:v>575</c:v>
                  </c:pt>
                  <c:pt idx="20">
                    <c:v>578</c:v>
                  </c:pt>
                  <c:pt idx="21">
                    <c:v>581</c:v>
                  </c:pt>
                  <c:pt idx="22">
                    <c:v>584</c:v>
                  </c:pt>
                  <c:pt idx="23">
                    <c:v>587</c:v>
                  </c:pt>
                  <c:pt idx="24">
                    <c:v>590</c:v>
                  </c:pt>
                  <c:pt idx="25">
                    <c:v>593</c:v>
                  </c:pt>
                  <c:pt idx="26">
                    <c:v>595</c:v>
                  </c:pt>
                  <c:pt idx="27">
                    <c:v>598</c:v>
                  </c:pt>
                  <c:pt idx="28">
                    <c:v>600</c:v>
                  </c:pt>
                  <c:pt idx="29">
                    <c:v>602</c:v>
                  </c:pt>
                  <c:pt idx="30">
                    <c:v>606</c:v>
                  </c:pt>
                  <c:pt idx="31">
                    <c:v>609</c:v>
                  </c:pt>
                  <c:pt idx="32">
                    <c:v>611</c:v>
                  </c:pt>
                  <c:pt idx="33">
                    <c:v>614</c:v>
                  </c:pt>
                  <c:pt idx="34">
                    <c:v>617</c:v>
                  </c:pt>
                  <c:pt idx="35">
                    <c:v>620</c:v>
                  </c:pt>
                  <c:pt idx="36">
                    <c:v>622</c:v>
                  </c:pt>
                  <c:pt idx="37">
                    <c:v>626</c:v>
                  </c:pt>
                  <c:pt idx="38">
                    <c:v>630</c:v>
                  </c:pt>
                  <c:pt idx="39">
                    <c:v>632</c:v>
                  </c:pt>
                  <c:pt idx="40">
                    <c:v>635</c:v>
                  </c:pt>
                  <c:pt idx="41">
                    <c:v>638</c:v>
                  </c:pt>
                  <c:pt idx="42">
                    <c:v>641</c:v>
                  </c:pt>
                  <c:pt idx="43">
                    <c:v>644</c:v>
                  </c:pt>
                  <c:pt idx="44">
                    <c:v>647</c:v>
                  </c:pt>
                  <c:pt idx="45">
                    <c:v>650</c:v>
                  </c:pt>
                  <c:pt idx="46">
                    <c:v>654</c:v>
                  </c:pt>
                  <c:pt idx="47">
                    <c:v>657</c:v>
                  </c:pt>
                  <c:pt idx="48">
                    <c:v>661</c:v>
                  </c:pt>
                  <c:pt idx="49">
                    <c:v>664</c:v>
                  </c:pt>
                  <c:pt idx="50">
                    <c:v>667</c:v>
                  </c:pt>
                  <c:pt idx="51">
                    <c:v>671</c:v>
                  </c:pt>
                  <c:pt idx="52">
                    <c:v>675</c:v>
                  </c:pt>
                  <c:pt idx="53">
                    <c:v>678</c:v>
                  </c:pt>
                  <c:pt idx="54">
                    <c:v>682</c:v>
                  </c:pt>
                  <c:pt idx="55">
                    <c:v>687</c:v>
                  </c:pt>
                  <c:pt idx="56">
                    <c:v>691</c:v>
                  </c:pt>
                  <c:pt idx="57">
                    <c:v>694</c:v>
                  </c:pt>
                  <c:pt idx="58">
                    <c:v>698</c:v>
                  </c:pt>
                  <c:pt idx="59">
                    <c:v>702</c:v>
                  </c:pt>
                  <c:pt idx="60">
                    <c:v>705</c:v>
                  </c:pt>
                  <c:pt idx="61">
                    <c:v>708</c:v>
                  </c:pt>
                  <c:pt idx="62">
                    <c:v>713</c:v>
                  </c:pt>
                  <c:pt idx="63">
                    <c:v>718</c:v>
                  </c:pt>
                  <c:pt idx="64">
                    <c:v>720</c:v>
                  </c:pt>
                  <c:pt idx="65">
                    <c:v>-</c:v>
                  </c:pt>
                  <c:pt idx="66">
                    <c:v>-</c:v>
                  </c:pt>
                  <c:pt idx="67">
                    <c:v>-</c:v>
                  </c:pt>
                  <c:pt idx="68">
                    <c:v>-</c:v>
                  </c:pt>
                  <c:pt idx="69">
                    <c:v>-</c:v>
                  </c:pt>
                  <c:pt idx="70">
                    <c:v>-</c:v>
                  </c:pt>
                  <c:pt idx="71">
                    <c:v>-</c:v>
                  </c:pt>
                  <c:pt idx="72">
                    <c:v>-</c:v>
                  </c:pt>
                  <c:pt idx="73">
                    <c:v>-</c:v>
                  </c:pt>
                  <c:pt idx="74">
                    <c:v>-</c:v>
                  </c:pt>
                  <c:pt idx="75">
                    <c:v>-</c:v>
                  </c:pt>
                  <c:pt idx="76">
                    <c:v>-</c:v>
                  </c:pt>
                  <c:pt idx="77">
                    <c:v>-</c:v>
                  </c:pt>
                  <c:pt idx="78">
                    <c:v>-</c:v>
                  </c:pt>
                  <c:pt idx="79">
                    <c:v>-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560</c:v>
                  </c:pt>
                  <c:pt idx="1">
                    <c:v>560</c:v>
                  </c:pt>
                  <c:pt idx="2">
                    <c:v>560</c:v>
                  </c:pt>
                  <c:pt idx="3">
                    <c:v>560</c:v>
                  </c:pt>
                  <c:pt idx="4">
                    <c:v>560</c:v>
                  </c:pt>
                  <c:pt idx="5">
                    <c:v>560</c:v>
                  </c:pt>
                  <c:pt idx="6">
                    <c:v>560</c:v>
                  </c:pt>
                  <c:pt idx="7">
                    <c:v>560</c:v>
                  </c:pt>
                  <c:pt idx="8">
                    <c:v>560</c:v>
                  </c:pt>
                  <c:pt idx="9">
                    <c:v>560</c:v>
                  </c:pt>
                  <c:pt idx="10">
                    <c:v>560</c:v>
                  </c:pt>
                  <c:pt idx="11">
                    <c:v>560</c:v>
                  </c:pt>
                  <c:pt idx="12">
                    <c:v>560</c:v>
                  </c:pt>
                  <c:pt idx="13">
                    <c:v>560</c:v>
                  </c:pt>
                  <c:pt idx="14">
                    <c:v>560</c:v>
                  </c:pt>
                  <c:pt idx="15">
                    <c:v>560</c:v>
                  </c:pt>
                  <c:pt idx="16">
                    <c:v>560</c:v>
                  </c:pt>
                  <c:pt idx="17">
                    <c:v>560</c:v>
                  </c:pt>
                  <c:pt idx="18">
                    <c:v>560</c:v>
                  </c:pt>
                  <c:pt idx="19">
                    <c:v>560</c:v>
                  </c:pt>
                  <c:pt idx="20">
                    <c:v>560</c:v>
                  </c:pt>
                  <c:pt idx="21">
                    <c:v>560</c:v>
                  </c:pt>
                  <c:pt idx="22">
                    <c:v>560</c:v>
                  </c:pt>
                  <c:pt idx="23">
                    <c:v>560</c:v>
                  </c:pt>
                  <c:pt idx="24">
                    <c:v>560</c:v>
                  </c:pt>
                  <c:pt idx="25">
                    <c:v>560</c:v>
                  </c:pt>
                  <c:pt idx="26">
                    <c:v>560</c:v>
                  </c:pt>
                  <c:pt idx="27">
                    <c:v>560</c:v>
                  </c:pt>
                  <c:pt idx="28">
                    <c:v>560</c:v>
                  </c:pt>
                  <c:pt idx="29">
                    <c:v>560</c:v>
                  </c:pt>
                  <c:pt idx="30">
                    <c:v>560</c:v>
                  </c:pt>
                  <c:pt idx="31">
                    <c:v>560</c:v>
                  </c:pt>
                  <c:pt idx="32">
                    <c:v>560</c:v>
                  </c:pt>
                  <c:pt idx="33">
                    <c:v>560</c:v>
                  </c:pt>
                  <c:pt idx="34">
                    <c:v>560</c:v>
                  </c:pt>
                  <c:pt idx="35">
                    <c:v>560</c:v>
                  </c:pt>
                  <c:pt idx="36">
                    <c:v>560</c:v>
                  </c:pt>
                  <c:pt idx="37">
                    <c:v>560</c:v>
                  </c:pt>
                  <c:pt idx="38">
                    <c:v>560</c:v>
                  </c:pt>
                  <c:pt idx="39">
                    <c:v>560</c:v>
                  </c:pt>
                  <c:pt idx="40">
                    <c:v>560</c:v>
                  </c:pt>
                  <c:pt idx="41">
                    <c:v>560</c:v>
                  </c:pt>
                  <c:pt idx="42">
                    <c:v>560</c:v>
                  </c:pt>
                  <c:pt idx="43">
                    <c:v>560</c:v>
                  </c:pt>
                  <c:pt idx="44">
                    <c:v>560</c:v>
                  </c:pt>
                  <c:pt idx="45">
                    <c:v>560</c:v>
                  </c:pt>
                  <c:pt idx="46">
                    <c:v>560</c:v>
                  </c:pt>
                  <c:pt idx="47">
                    <c:v>560</c:v>
                  </c:pt>
                  <c:pt idx="48">
                    <c:v>560</c:v>
                  </c:pt>
                  <c:pt idx="49">
                    <c:v>560</c:v>
                  </c:pt>
                  <c:pt idx="50">
                    <c:v>560</c:v>
                  </c:pt>
                  <c:pt idx="51">
                    <c:v>560</c:v>
                  </c:pt>
                  <c:pt idx="52">
                    <c:v>560</c:v>
                  </c:pt>
                  <c:pt idx="53">
                    <c:v>560</c:v>
                  </c:pt>
                  <c:pt idx="54">
                    <c:v>560</c:v>
                  </c:pt>
                  <c:pt idx="55">
                    <c:v>560</c:v>
                  </c:pt>
                  <c:pt idx="56">
                    <c:v>560</c:v>
                  </c:pt>
                  <c:pt idx="57">
                    <c:v>560</c:v>
                  </c:pt>
                  <c:pt idx="58">
                    <c:v>560</c:v>
                  </c:pt>
                  <c:pt idx="59">
                    <c:v>560</c:v>
                  </c:pt>
                  <c:pt idx="60">
                    <c:v>560</c:v>
                  </c:pt>
                  <c:pt idx="61">
                    <c:v>560</c:v>
                  </c:pt>
                  <c:pt idx="62">
                    <c:v>560</c:v>
                  </c:pt>
                  <c:pt idx="63">
                    <c:v>560</c:v>
                  </c:pt>
                  <c:pt idx="64">
                    <c:v>560</c:v>
                  </c:pt>
                  <c:pt idx="65">
                    <c:v>560</c:v>
                  </c:pt>
                  <c:pt idx="66">
                    <c:v>560</c:v>
                  </c:pt>
                  <c:pt idx="67">
                    <c:v>560</c:v>
                  </c:pt>
                  <c:pt idx="68">
                    <c:v>560</c:v>
                  </c:pt>
                  <c:pt idx="69">
                    <c:v>560</c:v>
                  </c:pt>
                  <c:pt idx="70">
                    <c:v>560</c:v>
                  </c:pt>
                  <c:pt idx="71">
                    <c:v>560</c:v>
                  </c:pt>
                  <c:pt idx="72">
                    <c:v>560</c:v>
                  </c:pt>
                  <c:pt idx="73">
                    <c:v>560</c:v>
                  </c:pt>
                  <c:pt idx="74">
                    <c:v>560</c:v>
                  </c:pt>
                  <c:pt idx="75">
                    <c:v>560</c:v>
                  </c:pt>
                  <c:pt idx="76">
                    <c:v>560</c:v>
                  </c:pt>
                  <c:pt idx="77">
                    <c:v>560</c:v>
                  </c:pt>
                  <c:pt idx="78">
                    <c:v>560</c:v>
                  </c:pt>
                  <c:pt idx="79">
                    <c:v>560</c:v>
                  </c:pt>
                  <c:pt idx="80">
                    <c:v>560</c:v>
                  </c:pt>
                  <c:pt idx="81">
                    <c:v>560</c:v>
                  </c:pt>
                  <c:pt idx="82">
                    <c:v>560</c:v>
                  </c:pt>
                  <c:pt idx="83">
                    <c:v>560</c:v>
                  </c:pt>
                  <c:pt idx="84">
                    <c:v>560</c:v>
                  </c:pt>
                  <c:pt idx="85">
                    <c:v>560</c:v>
                  </c:pt>
                  <c:pt idx="86">
                    <c:v>560</c:v>
                  </c:pt>
                  <c:pt idx="87">
                    <c:v>560</c:v>
                  </c:pt>
                  <c:pt idx="88">
                    <c:v>560</c:v>
                  </c:pt>
                  <c:pt idx="89">
                    <c:v>560</c:v>
                  </c:pt>
                  <c:pt idx="90">
                    <c:v>560</c:v>
                  </c:pt>
                  <c:pt idx="91">
                    <c:v>560</c:v>
                  </c:pt>
                  <c:pt idx="92">
                    <c:v>560</c:v>
                  </c:pt>
                  <c:pt idx="93">
                    <c:v>560</c:v>
                  </c:pt>
                  <c:pt idx="94">
                    <c:v>560</c:v>
                  </c:pt>
                  <c:pt idx="95">
                    <c:v>560</c:v>
                  </c:pt>
                  <c:pt idx="96">
                    <c:v>560</c:v>
                  </c:pt>
                  <c:pt idx="97">
                    <c:v>560</c:v>
                  </c:pt>
                  <c:pt idx="98">
                    <c:v>560</c:v>
                  </c:pt>
                  <c:pt idx="99">
                    <c:v>560</c:v>
                  </c:pt>
                  <c:pt idx="100">
                    <c:v>560</c:v>
                  </c:pt>
                </c:lvl>
                <c:lvl>
                  <c:pt idx="0">
                    <c:v>500</c:v>
                  </c:pt>
                  <c:pt idx="1">
                    <c:v>500</c:v>
                  </c:pt>
                  <c:pt idx="2">
                    <c:v>500</c:v>
                  </c:pt>
                  <c:pt idx="3">
                    <c:v>500</c:v>
                  </c:pt>
                  <c:pt idx="4">
                    <c:v>500</c:v>
                  </c:pt>
                  <c:pt idx="5">
                    <c:v>500</c:v>
                  </c:pt>
                  <c:pt idx="6">
                    <c:v>500</c:v>
                  </c:pt>
                  <c:pt idx="7">
                    <c:v>500</c:v>
                  </c:pt>
                  <c:pt idx="8">
                    <c:v>500</c:v>
                  </c:pt>
                  <c:pt idx="9">
                    <c:v>500</c:v>
                  </c:pt>
                  <c:pt idx="10">
                    <c:v>500</c:v>
                  </c:pt>
                  <c:pt idx="11">
                    <c:v>500</c:v>
                  </c:pt>
                  <c:pt idx="12">
                    <c:v>500</c:v>
                  </c:pt>
                  <c:pt idx="13">
                    <c:v>500</c:v>
                  </c:pt>
                  <c:pt idx="14">
                    <c:v>500</c:v>
                  </c:pt>
                  <c:pt idx="15">
                    <c:v>500</c:v>
                  </c:pt>
                  <c:pt idx="16">
                    <c:v>500</c:v>
                  </c:pt>
                  <c:pt idx="17">
                    <c:v>500</c:v>
                  </c:pt>
                  <c:pt idx="18">
                    <c:v>500</c:v>
                  </c:pt>
                  <c:pt idx="19">
                    <c:v>500</c:v>
                  </c:pt>
                  <c:pt idx="20">
                    <c:v>500</c:v>
                  </c:pt>
                  <c:pt idx="21">
                    <c:v>500</c:v>
                  </c:pt>
                  <c:pt idx="22">
                    <c:v>500</c:v>
                  </c:pt>
                  <c:pt idx="23">
                    <c:v>500</c:v>
                  </c:pt>
                  <c:pt idx="24">
                    <c:v>500</c:v>
                  </c:pt>
                  <c:pt idx="25">
                    <c:v>500</c:v>
                  </c:pt>
                  <c:pt idx="26">
                    <c:v>500</c:v>
                  </c:pt>
                  <c:pt idx="27">
                    <c:v>500</c:v>
                  </c:pt>
                  <c:pt idx="28">
                    <c:v>500</c:v>
                  </c:pt>
                  <c:pt idx="29">
                    <c:v>500</c:v>
                  </c:pt>
                  <c:pt idx="30">
                    <c:v>500</c:v>
                  </c:pt>
                  <c:pt idx="31">
                    <c:v>500</c:v>
                  </c:pt>
                  <c:pt idx="32">
                    <c:v>500</c:v>
                  </c:pt>
                  <c:pt idx="33">
                    <c:v>500</c:v>
                  </c:pt>
                  <c:pt idx="34">
                    <c:v>500</c:v>
                  </c:pt>
                  <c:pt idx="35">
                    <c:v>500</c:v>
                  </c:pt>
                  <c:pt idx="36">
                    <c:v>500</c:v>
                  </c:pt>
                  <c:pt idx="37">
                    <c:v>500</c:v>
                  </c:pt>
                  <c:pt idx="38">
                    <c:v>500</c:v>
                  </c:pt>
                  <c:pt idx="39">
                    <c:v>500</c:v>
                  </c:pt>
                  <c:pt idx="40">
                    <c:v>500</c:v>
                  </c:pt>
                  <c:pt idx="41">
                    <c:v>500</c:v>
                  </c:pt>
                  <c:pt idx="42">
                    <c:v>500</c:v>
                  </c:pt>
                  <c:pt idx="43">
                    <c:v>500</c:v>
                  </c:pt>
                  <c:pt idx="44">
                    <c:v>500</c:v>
                  </c:pt>
                  <c:pt idx="45">
                    <c:v>500</c:v>
                  </c:pt>
                  <c:pt idx="46">
                    <c:v>500</c:v>
                  </c:pt>
                  <c:pt idx="47">
                    <c:v>500</c:v>
                  </c:pt>
                  <c:pt idx="48">
                    <c:v>500</c:v>
                  </c:pt>
                  <c:pt idx="49">
                    <c:v>500</c:v>
                  </c:pt>
                  <c:pt idx="50">
                    <c:v>500</c:v>
                  </c:pt>
                  <c:pt idx="51">
                    <c:v>500</c:v>
                  </c:pt>
                  <c:pt idx="52">
                    <c:v>500</c:v>
                  </c:pt>
                  <c:pt idx="53">
                    <c:v>500</c:v>
                  </c:pt>
                  <c:pt idx="54">
                    <c:v>500</c:v>
                  </c:pt>
                  <c:pt idx="55">
                    <c:v>500</c:v>
                  </c:pt>
                  <c:pt idx="56">
                    <c:v>500</c:v>
                  </c:pt>
                  <c:pt idx="57">
                    <c:v>500</c:v>
                  </c:pt>
                  <c:pt idx="58">
                    <c:v>500</c:v>
                  </c:pt>
                  <c:pt idx="59">
                    <c:v>500</c:v>
                  </c:pt>
                  <c:pt idx="60">
                    <c:v>500</c:v>
                  </c:pt>
                  <c:pt idx="61">
                    <c:v>500</c:v>
                  </c:pt>
                  <c:pt idx="62">
                    <c:v>500</c:v>
                  </c:pt>
                  <c:pt idx="63">
                    <c:v>500</c:v>
                  </c:pt>
                  <c:pt idx="64">
                    <c:v>500</c:v>
                  </c:pt>
                  <c:pt idx="65">
                    <c:v>500</c:v>
                  </c:pt>
                  <c:pt idx="66">
                    <c:v>500</c:v>
                  </c:pt>
                  <c:pt idx="67">
                    <c:v>500</c:v>
                  </c:pt>
                  <c:pt idx="68">
                    <c:v>500</c:v>
                  </c:pt>
                  <c:pt idx="69">
                    <c:v>500</c:v>
                  </c:pt>
                  <c:pt idx="70">
                    <c:v>500</c:v>
                  </c:pt>
                  <c:pt idx="71">
                    <c:v>500</c:v>
                  </c:pt>
                  <c:pt idx="72">
                    <c:v>500</c:v>
                  </c:pt>
                  <c:pt idx="73">
                    <c:v>500</c:v>
                  </c:pt>
                  <c:pt idx="74">
                    <c:v>500</c:v>
                  </c:pt>
                  <c:pt idx="75">
                    <c:v>500</c:v>
                  </c:pt>
                  <c:pt idx="76">
                    <c:v>500</c:v>
                  </c:pt>
                  <c:pt idx="77">
                    <c:v>500</c:v>
                  </c:pt>
                  <c:pt idx="78">
                    <c:v>500</c:v>
                  </c:pt>
                  <c:pt idx="79">
                    <c:v>500</c:v>
                  </c:pt>
                  <c:pt idx="80">
                    <c:v>500</c:v>
                  </c:pt>
                  <c:pt idx="81">
                    <c:v>500</c:v>
                  </c:pt>
                  <c:pt idx="82">
                    <c:v>500</c:v>
                  </c:pt>
                  <c:pt idx="83">
                    <c:v>500</c:v>
                  </c:pt>
                  <c:pt idx="84">
                    <c:v>500</c:v>
                  </c:pt>
                  <c:pt idx="85">
                    <c:v>500</c:v>
                  </c:pt>
                  <c:pt idx="86">
                    <c:v>500</c:v>
                  </c:pt>
                  <c:pt idx="87">
                    <c:v>500</c:v>
                  </c:pt>
                  <c:pt idx="88">
                    <c:v>500</c:v>
                  </c:pt>
                  <c:pt idx="89">
                    <c:v>500</c:v>
                  </c:pt>
                  <c:pt idx="90">
                    <c:v>500</c:v>
                  </c:pt>
                  <c:pt idx="91">
                    <c:v>500</c:v>
                  </c:pt>
                  <c:pt idx="92">
                    <c:v>500</c:v>
                  </c:pt>
                  <c:pt idx="93">
                    <c:v>500</c:v>
                  </c:pt>
                  <c:pt idx="94">
                    <c:v>500</c:v>
                  </c:pt>
                  <c:pt idx="95">
                    <c:v>500</c:v>
                  </c:pt>
                  <c:pt idx="96">
                    <c:v>500</c:v>
                  </c:pt>
                  <c:pt idx="97">
                    <c:v>500</c:v>
                  </c:pt>
                  <c:pt idx="98">
                    <c:v>500</c:v>
                  </c:pt>
                  <c:pt idx="99">
                    <c:v>500</c:v>
                  </c:pt>
                  <c:pt idx="100">
                    <c:v>500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  <c:pt idx="56">
                    <c:v>56</c:v>
                  </c:pt>
                  <c:pt idx="57">
                    <c:v>57</c:v>
                  </c:pt>
                  <c:pt idx="58">
                    <c:v>58</c:v>
                  </c:pt>
                  <c:pt idx="59">
                    <c:v>59</c:v>
                  </c:pt>
                  <c:pt idx="60">
                    <c:v>60</c:v>
                  </c:pt>
                  <c:pt idx="61">
                    <c:v>61</c:v>
                  </c:pt>
                  <c:pt idx="62">
                    <c:v>62</c:v>
                  </c:pt>
                  <c:pt idx="63">
                    <c:v>63</c:v>
                  </c:pt>
                  <c:pt idx="64">
                    <c:v>64</c:v>
                  </c:pt>
                  <c:pt idx="65">
                    <c:v>65</c:v>
                  </c:pt>
                  <c:pt idx="66">
                    <c:v>66</c:v>
                  </c:pt>
                  <c:pt idx="67">
                    <c:v>67</c:v>
                  </c:pt>
                  <c:pt idx="68">
                    <c:v>68</c:v>
                  </c:pt>
                  <c:pt idx="69">
                    <c:v>69</c:v>
                  </c:pt>
                  <c:pt idx="70">
                    <c:v>70</c:v>
                  </c:pt>
                  <c:pt idx="71">
                    <c:v>71</c:v>
                  </c:pt>
                  <c:pt idx="72">
                    <c:v>72</c:v>
                  </c:pt>
                  <c:pt idx="73">
                    <c:v>73</c:v>
                  </c:pt>
                  <c:pt idx="74">
                    <c:v>74</c:v>
                  </c:pt>
                  <c:pt idx="75">
                    <c:v>75</c:v>
                  </c:pt>
                  <c:pt idx="76">
                    <c:v>76</c:v>
                  </c:pt>
                  <c:pt idx="77">
                    <c:v>77</c:v>
                  </c:pt>
                  <c:pt idx="78">
                    <c:v>78</c:v>
                  </c:pt>
                  <c:pt idx="79">
                    <c:v>79</c:v>
                  </c:pt>
                  <c:pt idx="80">
                    <c:v>80</c:v>
                  </c:pt>
                  <c:pt idx="81">
                    <c:v>81</c:v>
                  </c:pt>
                  <c:pt idx="82">
                    <c:v>82</c:v>
                  </c:pt>
                  <c:pt idx="83">
                    <c:v>83</c:v>
                  </c:pt>
                  <c:pt idx="84">
                    <c:v>84</c:v>
                  </c:pt>
                  <c:pt idx="85">
                    <c:v>85</c:v>
                  </c:pt>
                  <c:pt idx="86">
                    <c:v>86</c:v>
                  </c:pt>
                  <c:pt idx="87">
                    <c:v>87</c:v>
                  </c:pt>
                  <c:pt idx="88">
                    <c:v>88</c:v>
                  </c:pt>
                  <c:pt idx="89">
                    <c:v>89</c:v>
                  </c:pt>
                  <c:pt idx="90">
                    <c:v>90</c:v>
                  </c:pt>
                  <c:pt idx="91">
                    <c:v>91</c:v>
                  </c:pt>
                  <c:pt idx="92">
                    <c:v>92</c:v>
                  </c:pt>
                  <c:pt idx="93">
                    <c:v>93</c:v>
                  </c:pt>
                  <c:pt idx="94">
                    <c:v>94</c:v>
                  </c:pt>
                  <c:pt idx="95">
                    <c:v>95</c:v>
                  </c:pt>
                  <c:pt idx="96">
                    <c:v>96</c:v>
                  </c:pt>
                  <c:pt idx="97">
                    <c:v>97</c:v>
                  </c:pt>
                  <c:pt idx="98">
                    <c:v>98</c:v>
                  </c:pt>
                  <c:pt idx="99">
                    <c:v>99</c:v>
                  </c:pt>
                  <c:pt idx="100">
                    <c:v>100</c:v>
                  </c:pt>
                </c:lvl>
              </c:multiLvlStrCache>
            </c:multiLvlStrRef>
          </c:xVal>
          <c:yVal>
            <c:numRef>
              <c:f>'HPS Comparing'!$X$10:$X$110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9C-40CC-835F-A10742FCB657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multiLvlStrRef>
              <c:f>'HPS Comparing'!$D$10:$N$110</c:f>
              <c:multiLvlStrCache>
                <c:ptCount val="101"/>
                <c:lvl>
                  <c:pt idx="0">
                    <c:v>95.5</c:v>
                  </c:pt>
                  <c:pt idx="1">
                    <c:v>125.7</c:v>
                  </c:pt>
                  <c:pt idx="2">
                    <c:v>155.6</c:v>
                  </c:pt>
                  <c:pt idx="3">
                    <c:v>174.7</c:v>
                  </c:pt>
                  <c:pt idx="4">
                    <c:v>190.5</c:v>
                  </c:pt>
                  <c:pt idx="5">
                    <c:v>203.2</c:v>
                  </c:pt>
                  <c:pt idx="6">
                    <c:v>216</c:v>
                  </c:pt>
                  <c:pt idx="7">
                    <c:v>226</c:v>
                  </c:pt>
                  <c:pt idx="8">
                    <c:v>235.1</c:v>
                  </c:pt>
                  <c:pt idx="9">
                    <c:v>245.2</c:v>
                  </c:pt>
                  <c:pt idx="10">
                    <c:v>253.3</c:v>
                  </c:pt>
                  <c:pt idx="11">
                    <c:v>262.5</c:v>
                  </c:pt>
                  <c:pt idx="12">
                    <c:v>270.2</c:v>
                  </c:pt>
                  <c:pt idx="13">
                    <c:v>278.8</c:v>
                  </c:pt>
                  <c:pt idx="14">
                    <c:v>286.4</c:v>
                  </c:pt>
                  <c:pt idx="15">
                    <c:v>294.1</c:v>
                  </c:pt>
                  <c:pt idx="16">
                    <c:v>301</c:v>
                  </c:pt>
                  <c:pt idx="17">
                    <c:v>308</c:v>
                  </c:pt>
                  <c:pt idx="18">
                    <c:v>314.9</c:v>
                  </c:pt>
                  <c:pt idx="19">
                    <c:v>321.3</c:v>
                  </c:pt>
                  <c:pt idx="20">
                    <c:v>328.2</c:v>
                  </c:pt>
                  <c:pt idx="21">
                    <c:v>334.2</c:v>
                  </c:pt>
                  <c:pt idx="22">
                    <c:v>340.8</c:v>
                  </c:pt>
                  <c:pt idx="23">
                    <c:v>346.4</c:v>
                  </c:pt>
                  <c:pt idx="24">
                    <c:v>352.3</c:v>
                  </c:pt>
                  <c:pt idx="25">
                    <c:v>357.5</c:v>
                  </c:pt>
                  <c:pt idx="26">
                    <c:v>363.2</c:v>
                  </c:pt>
                  <c:pt idx="27">
                    <c:v>368.5</c:v>
                  </c:pt>
                  <c:pt idx="28">
                    <c:v>375.1</c:v>
                  </c:pt>
                  <c:pt idx="29">
                    <c:v>381.5</c:v>
                  </c:pt>
                  <c:pt idx="30">
                    <c:v>388.2</c:v>
                  </c:pt>
                  <c:pt idx="31">
                    <c:v>393.9</c:v>
                  </c:pt>
                  <c:pt idx="32">
                    <c:v>399.4</c:v>
                  </c:pt>
                  <c:pt idx="33">
                    <c:v>404.7</c:v>
                  </c:pt>
                  <c:pt idx="34">
                    <c:v>410</c:v>
                  </c:pt>
                  <c:pt idx="35">
                    <c:v>415.6</c:v>
                  </c:pt>
                  <c:pt idx="36">
                    <c:v>421</c:v>
                  </c:pt>
                  <c:pt idx="37">
                    <c:v>427</c:v>
                  </c:pt>
                  <c:pt idx="38">
                    <c:v>432.5</c:v>
                  </c:pt>
                  <c:pt idx="39">
                    <c:v>438.1</c:v>
                  </c:pt>
                  <c:pt idx="40">
                    <c:v>443.3</c:v>
                  </c:pt>
                  <c:pt idx="41">
                    <c:v>448.5</c:v>
                  </c:pt>
                  <c:pt idx="42">
                    <c:v>454.3</c:v>
                  </c:pt>
                  <c:pt idx="43">
                    <c:v>459.9</c:v>
                  </c:pt>
                  <c:pt idx="44">
                    <c:v>465.4</c:v>
                  </c:pt>
                  <c:pt idx="45">
                    <c:v>471</c:v>
                  </c:pt>
                  <c:pt idx="46">
                    <c:v>476.4</c:v>
                  </c:pt>
                  <c:pt idx="47">
                    <c:v>481.9</c:v>
                  </c:pt>
                  <c:pt idx="48">
                    <c:v>487.5</c:v>
                  </c:pt>
                  <c:pt idx="49">
                    <c:v>493.2</c:v>
                  </c:pt>
                  <c:pt idx="50">
                    <c:v>498.4</c:v>
                  </c:pt>
                  <c:pt idx="51">
                    <c:v>503.4</c:v>
                  </c:pt>
                  <c:pt idx="52">
                    <c:v>508.3</c:v>
                  </c:pt>
                  <c:pt idx="53">
                    <c:v>513.7</c:v>
                  </c:pt>
                  <c:pt idx="54">
                    <c:v>519.1</c:v>
                  </c:pt>
                  <c:pt idx="55">
                    <c:v>524.2</c:v>
                  </c:pt>
                  <c:pt idx="56">
                    <c:v>529.1</c:v>
                  </c:pt>
                  <c:pt idx="57">
                    <c:v>533.9</c:v>
                  </c:pt>
                  <c:pt idx="58">
                    <c:v>538.7</c:v>
                  </c:pt>
                  <c:pt idx="59">
                    <c:v>543.3</c:v>
                  </c:pt>
                  <c:pt idx="60">
                    <c:v>548.1</c:v>
                  </c:pt>
                  <c:pt idx="61">
                    <c:v>552.8</c:v>
                  </c:pt>
                  <c:pt idx="62">
                    <c:v>557.4</c:v>
                  </c:pt>
                  <c:pt idx="63">
                    <c:v>561.8</c:v>
                  </c:pt>
                  <c:pt idx="64">
                    <c:v>566.1</c:v>
                  </c:pt>
                  <c:pt idx="65">
                    <c:v>570.2</c:v>
                  </c:pt>
                  <c:pt idx="66">
                    <c:v>574.2</c:v>
                  </c:pt>
                  <c:pt idx="67">
                    <c:v>578.5</c:v>
                  </c:pt>
                  <c:pt idx="68">
                    <c:v>582.9</c:v>
                  </c:pt>
                  <c:pt idx="69">
                    <c:v>587.2</c:v>
                  </c:pt>
                  <c:pt idx="70">
                    <c:v>591.6</c:v>
                  </c:pt>
                  <c:pt idx="71">
                    <c:v>596</c:v>
                  </c:pt>
                  <c:pt idx="72">
                    <c:v>600.5</c:v>
                  </c:pt>
                  <c:pt idx="73">
                    <c:v>605.3</c:v>
                  </c:pt>
                  <c:pt idx="74">
                    <c:v>610.3</c:v>
                  </c:pt>
                  <c:pt idx="75">
                    <c:v>615.3</c:v>
                  </c:pt>
                  <c:pt idx="76">
                    <c:v>620.9</c:v>
                  </c:pt>
                  <c:pt idx="77">
                    <c:v>626.4</c:v>
                  </c:pt>
                  <c:pt idx="78">
                    <c:v>632.1</c:v>
                  </c:pt>
                  <c:pt idx="79">
                    <c:v>638</c:v>
                  </c:pt>
                  <c:pt idx="80">
                    <c:v>644.6</c:v>
                  </c:pt>
                  <c:pt idx="81">
                    <c:v>651.6</c:v>
                  </c:pt>
                  <c:pt idx="82">
                    <c:v>658.6</c:v>
                  </c:pt>
                  <c:pt idx="83">
                    <c:v>667.9</c:v>
                  </c:pt>
                  <c:pt idx="84">
                    <c:v>677.4</c:v>
                  </c:pt>
                  <c:pt idx="85">
                    <c:v>688.1</c:v>
                  </c:pt>
                  <c:pt idx="86">
                    <c:v>698.6</c:v>
                  </c:pt>
                  <c:pt idx="87">
                    <c:v>709.6</c:v>
                  </c:pt>
                  <c:pt idx="88">
                    <c:v>722.6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133.6</c:v>
                  </c:pt>
                  <c:pt idx="1">
                    <c:v>179.1</c:v>
                  </c:pt>
                  <c:pt idx="2">
                    <c:v>224.9</c:v>
                  </c:pt>
                  <c:pt idx="3">
                    <c:v>255.3</c:v>
                  </c:pt>
                  <c:pt idx="4">
                    <c:v>279.7</c:v>
                  </c:pt>
                  <c:pt idx="5">
                    <c:v>300.9</c:v>
                  </c:pt>
                  <c:pt idx="6">
                    <c:v>317.7</c:v>
                  </c:pt>
                  <c:pt idx="7">
                    <c:v>332.7</c:v>
                  </c:pt>
                  <c:pt idx="8">
                    <c:v>345.9</c:v>
                  </c:pt>
                  <c:pt idx="9">
                    <c:v>357.3</c:v>
                  </c:pt>
                  <c:pt idx="10">
                    <c:v>367.8</c:v>
                  </c:pt>
                  <c:pt idx="11">
                    <c:v>379.7</c:v>
                  </c:pt>
                  <c:pt idx="12">
                    <c:v>391.3</c:v>
                  </c:pt>
                  <c:pt idx="13">
                    <c:v>400</c:v>
                  </c:pt>
                  <c:pt idx="14">
                    <c:v>408.3</c:v>
                  </c:pt>
                  <c:pt idx="15">
                    <c:v>417</c:v>
                  </c:pt>
                  <c:pt idx="16">
                    <c:v>426.3</c:v>
                  </c:pt>
                  <c:pt idx="17">
                    <c:v>434.6</c:v>
                  </c:pt>
                  <c:pt idx="18">
                    <c:v>442.1</c:v>
                  </c:pt>
                  <c:pt idx="19">
                    <c:v>449.4</c:v>
                  </c:pt>
                  <c:pt idx="20">
                    <c:v>457.4</c:v>
                  </c:pt>
                  <c:pt idx="21">
                    <c:v>465.2</c:v>
                  </c:pt>
                  <c:pt idx="22">
                    <c:v>472.3</c:v>
                  </c:pt>
                  <c:pt idx="23">
                    <c:v>479</c:v>
                  </c:pt>
                  <c:pt idx="24">
                    <c:v>486.1</c:v>
                  </c:pt>
                  <c:pt idx="25">
                    <c:v>493.1</c:v>
                  </c:pt>
                  <c:pt idx="26">
                    <c:v>499.3</c:v>
                  </c:pt>
                  <c:pt idx="27">
                    <c:v>505</c:v>
                  </c:pt>
                  <c:pt idx="28">
                    <c:v>510.6</c:v>
                  </c:pt>
                  <c:pt idx="29">
                    <c:v>516.6</c:v>
                  </c:pt>
                  <c:pt idx="30">
                    <c:v>522.4</c:v>
                  </c:pt>
                  <c:pt idx="31">
                    <c:v>527.4</c:v>
                  </c:pt>
                  <c:pt idx="32">
                    <c:v>532.2</c:v>
                  </c:pt>
                  <c:pt idx="33">
                    <c:v>536.7</c:v>
                  </c:pt>
                  <c:pt idx="34">
                    <c:v>541.2</c:v>
                  </c:pt>
                  <c:pt idx="35">
                    <c:v>545.5</c:v>
                  </c:pt>
                  <c:pt idx="36">
                    <c:v>549.8</c:v>
                  </c:pt>
                  <c:pt idx="37">
                    <c:v>554</c:v>
                  </c:pt>
                  <c:pt idx="38">
                    <c:v>557.9</c:v>
                  </c:pt>
                  <c:pt idx="39">
                    <c:v>561.4</c:v>
                  </c:pt>
                  <c:pt idx="40">
                    <c:v>564.9</c:v>
                  </c:pt>
                  <c:pt idx="41">
                    <c:v>568.1</c:v>
                  </c:pt>
                  <c:pt idx="42">
                    <c:v>571.2</c:v>
                  </c:pt>
                  <c:pt idx="43">
                    <c:v>574.2</c:v>
                  </c:pt>
                  <c:pt idx="44">
                    <c:v>577.2</c:v>
                  </c:pt>
                  <c:pt idx="45">
                    <c:v>580.2</c:v>
                  </c:pt>
                  <c:pt idx="46">
                    <c:v>583.1</c:v>
                  </c:pt>
                  <c:pt idx="47">
                    <c:v>586</c:v>
                  </c:pt>
                  <c:pt idx="48">
                    <c:v>588.8</c:v>
                  </c:pt>
                  <c:pt idx="49">
                    <c:v>591.6</c:v>
                  </c:pt>
                  <c:pt idx="50">
                    <c:v>594.3</c:v>
                  </c:pt>
                  <c:pt idx="51">
                    <c:v>597</c:v>
                  </c:pt>
                  <c:pt idx="52">
                    <c:v>599.8</c:v>
                  </c:pt>
                  <c:pt idx="53">
                    <c:v>602.6</c:v>
                  </c:pt>
                  <c:pt idx="54">
                    <c:v>605.4</c:v>
                  </c:pt>
                  <c:pt idx="55">
                    <c:v>608.2</c:v>
                  </c:pt>
                  <c:pt idx="56">
                    <c:v>611</c:v>
                  </c:pt>
                  <c:pt idx="57">
                    <c:v>613.9</c:v>
                  </c:pt>
                  <c:pt idx="58">
                    <c:v>616.8</c:v>
                  </c:pt>
                  <c:pt idx="59">
                    <c:v>619.7</c:v>
                  </c:pt>
                  <c:pt idx="60">
                    <c:v>622.7</c:v>
                  </c:pt>
                  <c:pt idx="61">
                    <c:v>625.7</c:v>
                  </c:pt>
                  <c:pt idx="62">
                    <c:v>628.7</c:v>
                  </c:pt>
                  <c:pt idx="63">
                    <c:v>631.6</c:v>
                  </c:pt>
                  <c:pt idx="64">
                    <c:v>634.5</c:v>
                  </c:pt>
                  <c:pt idx="65">
                    <c:v>637.6</c:v>
                  </c:pt>
                  <c:pt idx="66">
                    <c:v>640.7</c:v>
                  </c:pt>
                  <c:pt idx="67">
                    <c:v>644</c:v>
                  </c:pt>
                  <c:pt idx="68">
                    <c:v>647.4</c:v>
                  </c:pt>
                  <c:pt idx="69">
                    <c:v>650.5</c:v>
                  </c:pt>
                  <c:pt idx="70">
                    <c:v>653.7</c:v>
                  </c:pt>
                  <c:pt idx="71">
                    <c:v>656.8</c:v>
                  </c:pt>
                  <c:pt idx="72">
                    <c:v>660.6</c:v>
                  </c:pt>
                  <c:pt idx="73">
                    <c:v>664.8</c:v>
                  </c:pt>
                  <c:pt idx="74">
                    <c:v>669.2</c:v>
                  </c:pt>
                  <c:pt idx="75">
                    <c:v>673.1</c:v>
                  </c:pt>
                  <c:pt idx="76">
                    <c:v>677.4</c:v>
                  </c:pt>
                  <c:pt idx="77">
                    <c:v>682.2</c:v>
                  </c:pt>
                  <c:pt idx="78">
                    <c:v>686.5</c:v>
                  </c:pt>
                  <c:pt idx="79">
                    <c:v>691.2</c:v>
                  </c:pt>
                  <c:pt idx="80">
                    <c:v>694.8</c:v>
                  </c:pt>
                  <c:pt idx="81">
                    <c:v>699.9</c:v>
                  </c:pt>
                  <c:pt idx="82">
                    <c:v>704</c:v>
                  </c:pt>
                  <c:pt idx="83">
                    <c:v>708.8</c:v>
                  </c:pt>
                  <c:pt idx="84">
                    <c:v>714.2</c:v>
                  </c:pt>
                  <c:pt idx="85">
                    <c:v>719.8</c:v>
                  </c:pt>
                  <c:pt idx="86">
                    <c:v>726.2</c:v>
                  </c:pt>
                  <c:pt idx="87">
                    <c:v>733.5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152.5</c:v>
                  </c:pt>
                  <c:pt idx="1">
                    <c:v>185.3</c:v>
                  </c:pt>
                  <c:pt idx="2">
                    <c:v>226.6</c:v>
                  </c:pt>
                  <c:pt idx="3">
                    <c:v>255</c:v>
                  </c:pt>
                  <c:pt idx="4">
                    <c:v>279.1</c:v>
                  </c:pt>
                  <c:pt idx="5">
                    <c:v>299.2</c:v>
                  </c:pt>
                  <c:pt idx="6">
                    <c:v>317.3</c:v>
                  </c:pt>
                  <c:pt idx="7">
                    <c:v>332.5</c:v>
                  </c:pt>
                  <c:pt idx="8">
                    <c:v>345.5</c:v>
                  </c:pt>
                  <c:pt idx="9">
                    <c:v>356.3</c:v>
                  </c:pt>
                  <c:pt idx="10">
                    <c:v>366.7</c:v>
                  </c:pt>
                  <c:pt idx="11">
                    <c:v>378.3</c:v>
                  </c:pt>
                  <c:pt idx="12">
                    <c:v>390.2</c:v>
                  </c:pt>
                  <c:pt idx="13">
                    <c:v>398.9</c:v>
                  </c:pt>
                  <c:pt idx="14">
                    <c:v>407.3</c:v>
                  </c:pt>
                  <c:pt idx="15">
                    <c:v>415.7</c:v>
                  </c:pt>
                  <c:pt idx="16">
                    <c:v>424.9</c:v>
                  </c:pt>
                  <c:pt idx="17">
                    <c:v>433.3</c:v>
                  </c:pt>
                  <c:pt idx="18">
                    <c:v>440.7</c:v>
                  </c:pt>
                  <c:pt idx="19">
                    <c:v>448</c:v>
                  </c:pt>
                  <c:pt idx="20">
                    <c:v>455.9</c:v>
                  </c:pt>
                  <c:pt idx="21">
                    <c:v>463.6</c:v>
                  </c:pt>
                  <c:pt idx="22">
                    <c:v>470.6</c:v>
                  </c:pt>
                  <c:pt idx="23">
                    <c:v>477.3</c:v>
                  </c:pt>
                  <c:pt idx="24">
                    <c:v>484.2</c:v>
                  </c:pt>
                  <c:pt idx="25">
                    <c:v>491.3</c:v>
                  </c:pt>
                  <c:pt idx="26">
                    <c:v>497.8</c:v>
                  </c:pt>
                  <c:pt idx="27">
                    <c:v>503.3</c:v>
                  </c:pt>
                  <c:pt idx="28">
                    <c:v>508.7</c:v>
                  </c:pt>
                  <c:pt idx="29">
                    <c:v>514.7</c:v>
                  </c:pt>
                  <c:pt idx="30">
                    <c:v>520.6</c:v>
                  </c:pt>
                  <c:pt idx="31">
                    <c:v>525.7</c:v>
                  </c:pt>
                  <c:pt idx="32">
                    <c:v>530.5</c:v>
                  </c:pt>
                  <c:pt idx="33">
                    <c:v>535.2</c:v>
                  </c:pt>
                  <c:pt idx="34">
                    <c:v>539.6</c:v>
                  </c:pt>
                  <c:pt idx="35">
                    <c:v>543.9</c:v>
                  </c:pt>
                  <c:pt idx="36">
                    <c:v>548.2</c:v>
                  </c:pt>
                  <c:pt idx="37">
                    <c:v>552.4</c:v>
                  </c:pt>
                  <c:pt idx="38">
                    <c:v>556.4</c:v>
                  </c:pt>
                  <c:pt idx="39">
                    <c:v>560</c:v>
                  </c:pt>
                  <c:pt idx="40">
                    <c:v>563.5</c:v>
                  </c:pt>
                  <c:pt idx="41">
                    <c:v>566.8</c:v>
                  </c:pt>
                  <c:pt idx="42">
                    <c:v>569.9</c:v>
                  </c:pt>
                  <c:pt idx="43">
                    <c:v>572.9</c:v>
                  </c:pt>
                  <c:pt idx="44">
                    <c:v>575.8</c:v>
                  </c:pt>
                  <c:pt idx="45">
                    <c:v>578.8</c:v>
                  </c:pt>
                  <c:pt idx="46">
                    <c:v>581.7</c:v>
                  </c:pt>
                  <c:pt idx="47">
                    <c:v>584.6</c:v>
                  </c:pt>
                  <c:pt idx="48">
                    <c:v>587.4</c:v>
                  </c:pt>
                  <c:pt idx="49">
                    <c:v>590.1</c:v>
                  </c:pt>
                  <c:pt idx="50">
                    <c:v>592.8</c:v>
                  </c:pt>
                  <c:pt idx="51">
                    <c:v>595.5</c:v>
                  </c:pt>
                  <c:pt idx="52">
                    <c:v>598.1</c:v>
                  </c:pt>
                  <c:pt idx="53">
                    <c:v>600.8</c:v>
                  </c:pt>
                  <c:pt idx="54">
                    <c:v>603.6</c:v>
                  </c:pt>
                  <c:pt idx="55">
                    <c:v>606.3</c:v>
                  </c:pt>
                  <c:pt idx="56">
                    <c:v>609</c:v>
                  </c:pt>
                  <c:pt idx="57">
                    <c:v>611.7</c:v>
                  </c:pt>
                  <c:pt idx="58">
                    <c:v>614.5</c:v>
                  </c:pt>
                  <c:pt idx="59">
                    <c:v>617.3</c:v>
                  </c:pt>
                  <c:pt idx="60">
                    <c:v>620.1</c:v>
                  </c:pt>
                  <c:pt idx="61">
                    <c:v>623</c:v>
                  </c:pt>
                  <c:pt idx="62">
                    <c:v>625.8</c:v>
                  </c:pt>
                  <c:pt idx="63">
                    <c:v>628.6</c:v>
                  </c:pt>
                  <c:pt idx="64">
                    <c:v>631.4</c:v>
                  </c:pt>
                  <c:pt idx="65">
                    <c:v>634.2</c:v>
                  </c:pt>
                  <c:pt idx="66">
                    <c:v>637.1</c:v>
                  </c:pt>
                  <c:pt idx="67">
                    <c:v>640</c:v>
                  </c:pt>
                  <c:pt idx="68">
                    <c:v>643.1</c:v>
                  </c:pt>
                  <c:pt idx="69">
                    <c:v>646.2</c:v>
                  </c:pt>
                  <c:pt idx="70">
                    <c:v>649.2</c:v>
                  </c:pt>
                  <c:pt idx="71">
                    <c:v>652.2</c:v>
                  </c:pt>
                  <c:pt idx="72">
                    <c:v>655.1</c:v>
                  </c:pt>
                  <c:pt idx="73">
                    <c:v>658.1</c:v>
                  </c:pt>
                  <c:pt idx="74">
                    <c:v>661.9</c:v>
                  </c:pt>
                  <c:pt idx="75">
                    <c:v>665.7</c:v>
                  </c:pt>
                  <c:pt idx="76">
                    <c:v>669.7</c:v>
                  </c:pt>
                  <c:pt idx="77">
                    <c:v>673.1</c:v>
                  </c:pt>
                  <c:pt idx="78">
                    <c:v>676.9</c:v>
                  </c:pt>
                  <c:pt idx="79">
                    <c:v>681.3</c:v>
                  </c:pt>
                  <c:pt idx="80">
                    <c:v>685</c:v>
                  </c:pt>
                  <c:pt idx="81">
                    <c:v>688.9</c:v>
                  </c:pt>
                  <c:pt idx="82">
                    <c:v>692.4</c:v>
                  </c:pt>
                  <c:pt idx="83">
                    <c:v>695.7</c:v>
                  </c:pt>
                  <c:pt idx="84">
                    <c:v>700</c:v>
                  </c:pt>
                  <c:pt idx="85">
                    <c:v>703.3</c:v>
                  </c:pt>
                  <c:pt idx="86">
                    <c:v>706.7</c:v>
                  </c:pt>
                  <c:pt idx="87">
                    <c:v>710.8</c:v>
                  </c:pt>
                  <c:pt idx="88">
                    <c:v>714.7</c:v>
                  </c:pt>
                  <c:pt idx="89">
                    <c:v>718.6</c:v>
                  </c:pt>
                  <c:pt idx="90">
                    <c:v>722.6</c:v>
                  </c:pt>
                  <c:pt idx="91">
                    <c:v>726.7</c:v>
                  </c:pt>
                  <c:pt idx="92">
                    <c:v>730.9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140.2</c:v>
                  </c:pt>
                  <c:pt idx="1">
                    <c:v>187.3</c:v>
                  </c:pt>
                  <c:pt idx="2">
                    <c:v>232</c:v>
                  </c:pt>
                  <c:pt idx="3">
                    <c:v>261.4</c:v>
                  </c:pt>
                  <c:pt idx="4">
                    <c:v>285.2</c:v>
                  </c:pt>
                  <c:pt idx="5">
                    <c:v>305.6</c:v>
                  </c:pt>
                  <c:pt idx="6">
                    <c:v>323.2</c:v>
                  </c:pt>
                  <c:pt idx="7">
                    <c:v>338.6</c:v>
                  </c:pt>
                  <c:pt idx="8">
                    <c:v>351.3</c:v>
                  </c:pt>
                  <c:pt idx="9">
                    <c:v>362.4</c:v>
                  </c:pt>
                  <c:pt idx="10">
                    <c:v>374.1</c:v>
                  </c:pt>
                  <c:pt idx="11">
                    <c:v>387.1</c:v>
                  </c:pt>
                  <c:pt idx="12">
                    <c:v>397.2</c:v>
                  </c:pt>
                  <c:pt idx="13">
                    <c:v>406</c:v>
                  </c:pt>
                  <c:pt idx="14">
                    <c:v>414.7</c:v>
                  </c:pt>
                  <c:pt idx="15">
                    <c:v>424.4</c:v>
                  </c:pt>
                  <c:pt idx="16">
                    <c:v>433.3</c:v>
                  </c:pt>
                  <c:pt idx="17">
                    <c:v>441.2</c:v>
                  </c:pt>
                  <c:pt idx="18">
                    <c:v>448.8</c:v>
                  </c:pt>
                  <c:pt idx="19">
                    <c:v>457.3</c:v>
                  </c:pt>
                  <c:pt idx="20">
                    <c:v>465.4</c:v>
                  </c:pt>
                  <c:pt idx="21">
                    <c:v>472.5</c:v>
                  </c:pt>
                  <c:pt idx="22">
                    <c:v>479.5</c:v>
                  </c:pt>
                  <c:pt idx="23">
                    <c:v>486.9</c:v>
                  </c:pt>
                  <c:pt idx="24">
                    <c:v>494.3</c:v>
                  </c:pt>
                  <c:pt idx="25">
                    <c:v>500.6</c:v>
                  </c:pt>
                  <c:pt idx="26">
                    <c:v>506.4</c:v>
                  </c:pt>
                  <c:pt idx="27">
                    <c:v>512.4</c:v>
                  </c:pt>
                  <c:pt idx="28">
                    <c:v>518.7</c:v>
                  </c:pt>
                  <c:pt idx="29">
                    <c:v>524.4</c:v>
                  </c:pt>
                  <c:pt idx="30">
                    <c:v>529.6</c:v>
                  </c:pt>
                  <c:pt idx="31">
                    <c:v>534.6</c:v>
                  </c:pt>
                  <c:pt idx="32">
                    <c:v>539.3</c:v>
                  </c:pt>
                  <c:pt idx="33">
                    <c:v>543.9</c:v>
                  </c:pt>
                  <c:pt idx="34">
                    <c:v>548.6</c:v>
                  </c:pt>
                  <c:pt idx="35">
                    <c:v>553.1</c:v>
                  </c:pt>
                  <c:pt idx="36">
                    <c:v>557.3</c:v>
                  </c:pt>
                  <c:pt idx="37">
                    <c:v>561.1</c:v>
                  </c:pt>
                  <c:pt idx="38">
                    <c:v>564.8</c:v>
                  </c:pt>
                  <c:pt idx="39">
                    <c:v>568.2</c:v>
                  </c:pt>
                  <c:pt idx="40">
                    <c:v>571.4</c:v>
                  </c:pt>
                  <c:pt idx="41">
                    <c:v>574.6</c:v>
                  </c:pt>
                  <c:pt idx="42">
                    <c:v>577.8</c:v>
                  </c:pt>
                  <c:pt idx="43">
                    <c:v>580.9</c:v>
                  </c:pt>
                  <c:pt idx="44">
                    <c:v>584.1</c:v>
                  </c:pt>
                  <c:pt idx="45">
                    <c:v>587</c:v>
                  </c:pt>
                  <c:pt idx="46">
                    <c:v>590</c:v>
                  </c:pt>
                  <c:pt idx="47">
                    <c:v>592.9</c:v>
                  </c:pt>
                  <c:pt idx="48">
                    <c:v>595.7</c:v>
                  </c:pt>
                  <c:pt idx="49">
                    <c:v>598.6</c:v>
                  </c:pt>
                  <c:pt idx="50">
                    <c:v>601.5</c:v>
                  </c:pt>
                  <c:pt idx="51">
                    <c:v>604.4</c:v>
                  </c:pt>
                  <c:pt idx="52">
                    <c:v>607.4</c:v>
                  </c:pt>
                  <c:pt idx="53">
                    <c:v>610.3</c:v>
                  </c:pt>
                  <c:pt idx="54">
                    <c:v>613.3</c:v>
                  </c:pt>
                  <c:pt idx="55">
                    <c:v>616.3</c:v>
                  </c:pt>
                  <c:pt idx="56">
                    <c:v>619.4</c:v>
                  </c:pt>
                  <c:pt idx="57">
                    <c:v>622.6</c:v>
                  </c:pt>
                  <c:pt idx="58">
                    <c:v>625.7</c:v>
                  </c:pt>
                  <c:pt idx="59">
                    <c:v>628.9</c:v>
                  </c:pt>
                  <c:pt idx="60">
                    <c:v>631.9</c:v>
                  </c:pt>
                  <c:pt idx="61">
                    <c:v>635.1</c:v>
                  </c:pt>
                  <c:pt idx="62">
                    <c:v>638.4</c:v>
                  </c:pt>
                  <c:pt idx="63">
                    <c:v>641.8</c:v>
                  </c:pt>
                  <c:pt idx="64">
                    <c:v>645.4</c:v>
                  </c:pt>
                  <c:pt idx="65">
                    <c:v>648.9</c:v>
                  </c:pt>
                  <c:pt idx="66">
                    <c:v>652.4</c:v>
                  </c:pt>
                  <c:pt idx="67">
                    <c:v>655.8</c:v>
                  </c:pt>
                  <c:pt idx="68">
                    <c:v>659.7</c:v>
                  </c:pt>
                  <c:pt idx="69">
                    <c:v>664.3</c:v>
                  </c:pt>
                  <c:pt idx="70">
                    <c:v>669.1</c:v>
                  </c:pt>
                  <c:pt idx="71">
                    <c:v>673.5</c:v>
                  </c:pt>
                  <c:pt idx="72">
                    <c:v>678.6</c:v>
                  </c:pt>
                  <c:pt idx="73">
                    <c:v>683.9</c:v>
                  </c:pt>
                  <c:pt idx="74">
                    <c:v>689.1</c:v>
                  </c:pt>
                  <c:pt idx="75">
                    <c:v>693.9</c:v>
                  </c:pt>
                  <c:pt idx="76">
                    <c:v>699.8</c:v>
                  </c:pt>
                  <c:pt idx="77">
                    <c:v>705.2</c:v>
                  </c:pt>
                  <c:pt idx="78">
                    <c:v>712.1</c:v>
                  </c:pt>
                  <c:pt idx="79">
                    <c:v>720.3</c:v>
                  </c:pt>
                  <c:pt idx="80">
                    <c:v>733.8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142.1</c:v>
                  </c:pt>
                  <c:pt idx="1">
                    <c:v>173.4</c:v>
                  </c:pt>
                  <c:pt idx="2">
                    <c:v>215</c:v>
                  </c:pt>
                  <c:pt idx="3">
                    <c:v>248.3</c:v>
                  </c:pt>
                  <c:pt idx="4">
                    <c:v>270.7</c:v>
                  </c:pt>
                  <c:pt idx="5">
                    <c:v>291.2</c:v>
                  </c:pt>
                  <c:pt idx="6">
                    <c:v>308.6</c:v>
                  </c:pt>
                  <c:pt idx="7">
                    <c:v>324.2</c:v>
                  </c:pt>
                  <c:pt idx="8">
                    <c:v>338.5</c:v>
                  </c:pt>
                  <c:pt idx="9">
                    <c:v>351.6</c:v>
                  </c:pt>
                  <c:pt idx="10">
                    <c:v>363.5</c:v>
                  </c:pt>
                  <c:pt idx="11">
                    <c:v>374.4</c:v>
                  </c:pt>
                  <c:pt idx="12">
                    <c:v>384.5</c:v>
                  </c:pt>
                  <c:pt idx="13">
                    <c:v>394.2</c:v>
                  </c:pt>
                  <c:pt idx="14">
                    <c:v>404</c:v>
                  </c:pt>
                  <c:pt idx="15">
                    <c:v>413.2</c:v>
                  </c:pt>
                  <c:pt idx="16">
                    <c:v>421.9</c:v>
                  </c:pt>
                  <c:pt idx="17">
                    <c:v>430.1</c:v>
                  </c:pt>
                  <c:pt idx="18">
                    <c:v>438.5</c:v>
                  </c:pt>
                  <c:pt idx="19">
                    <c:v>446.5</c:v>
                  </c:pt>
                  <c:pt idx="20">
                    <c:v>454.4</c:v>
                  </c:pt>
                  <c:pt idx="21">
                    <c:v>462</c:v>
                  </c:pt>
                  <c:pt idx="22">
                    <c:v>469.5</c:v>
                  </c:pt>
                  <c:pt idx="23">
                    <c:v>476.7</c:v>
                  </c:pt>
                  <c:pt idx="24">
                    <c:v>483.7</c:v>
                  </c:pt>
                  <c:pt idx="25">
                    <c:v>490.4</c:v>
                  </c:pt>
                  <c:pt idx="26">
                    <c:v>496.8</c:v>
                  </c:pt>
                  <c:pt idx="27">
                    <c:v>502.6</c:v>
                  </c:pt>
                  <c:pt idx="28">
                    <c:v>508.1</c:v>
                  </c:pt>
                  <c:pt idx="29">
                    <c:v>513.7</c:v>
                  </c:pt>
                  <c:pt idx="30">
                    <c:v>519.1</c:v>
                  </c:pt>
                  <c:pt idx="31">
                    <c:v>524.2</c:v>
                  </c:pt>
                  <c:pt idx="32">
                    <c:v>528.8</c:v>
                  </c:pt>
                  <c:pt idx="33">
                    <c:v>533.2</c:v>
                  </c:pt>
                  <c:pt idx="34">
                    <c:v>537.4</c:v>
                  </c:pt>
                  <c:pt idx="35">
                    <c:v>541.5</c:v>
                  </c:pt>
                  <c:pt idx="36">
                    <c:v>545.3</c:v>
                  </c:pt>
                  <c:pt idx="37">
                    <c:v>549.4</c:v>
                  </c:pt>
                  <c:pt idx="38">
                    <c:v>553.2</c:v>
                  </c:pt>
                  <c:pt idx="39">
                    <c:v>556.9</c:v>
                  </c:pt>
                  <c:pt idx="40">
                    <c:v>560.4</c:v>
                  </c:pt>
                  <c:pt idx="41">
                    <c:v>563.8</c:v>
                  </c:pt>
                  <c:pt idx="42">
                    <c:v>567</c:v>
                  </c:pt>
                  <c:pt idx="43">
                    <c:v>570</c:v>
                  </c:pt>
                  <c:pt idx="44">
                    <c:v>573</c:v>
                  </c:pt>
                  <c:pt idx="45">
                    <c:v>576.1</c:v>
                  </c:pt>
                  <c:pt idx="46">
                    <c:v>579.2</c:v>
                  </c:pt>
                  <c:pt idx="47">
                    <c:v>582.4</c:v>
                  </c:pt>
                  <c:pt idx="48">
                    <c:v>585.5</c:v>
                  </c:pt>
                  <c:pt idx="49">
                    <c:v>588.5</c:v>
                  </c:pt>
                  <c:pt idx="50">
                    <c:v>591.6</c:v>
                  </c:pt>
                  <c:pt idx="51">
                    <c:v>594.7</c:v>
                  </c:pt>
                  <c:pt idx="52">
                    <c:v>597.8</c:v>
                  </c:pt>
                  <c:pt idx="53">
                    <c:v>601</c:v>
                  </c:pt>
                  <c:pt idx="54">
                    <c:v>604.3</c:v>
                  </c:pt>
                  <c:pt idx="55">
                    <c:v>607.6</c:v>
                  </c:pt>
                  <c:pt idx="56">
                    <c:v>610.9</c:v>
                  </c:pt>
                  <c:pt idx="57">
                    <c:v>614.3</c:v>
                  </c:pt>
                  <c:pt idx="58">
                    <c:v>617.8</c:v>
                  </c:pt>
                  <c:pt idx="59">
                    <c:v>621.4</c:v>
                  </c:pt>
                  <c:pt idx="60">
                    <c:v>625</c:v>
                  </c:pt>
                  <c:pt idx="61">
                    <c:v>628.6</c:v>
                  </c:pt>
                  <c:pt idx="62">
                    <c:v>632</c:v>
                  </c:pt>
                  <c:pt idx="63">
                    <c:v>635.5</c:v>
                  </c:pt>
                  <c:pt idx="64">
                    <c:v>639.3</c:v>
                  </c:pt>
                  <c:pt idx="65">
                    <c:v>643.3</c:v>
                  </c:pt>
                  <c:pt idx="66">
                    <c:v>647.4</c:v>
                  </c:pt>
                  <c:pt idx="67">
                    <c:v>651.4</c:v>
                  </c:pt>
                  <c:pt idx="68">
                    <c:v>655.2</c:v>
                  </c:pt>
                  <c:pt idx="69">
                    <c:v>659.4</c:v>
                  </c:pt>
                  <c:pt idx="70">
                    <c:v>664.4</c:v>
                  </c:pt>
                  <c:pt idx="71">
                    <c:v>669.7</c:v>
                  </c:pt>
                  <c:pt idx="72">
                    <c:v>674.4</c:v>
                  </c:pt>
                  <c:pt idx="73">
                    <c:v>680</c:v>
                  </c:pt>
                  <c:pt idx="74">
                    <c:v>685.4</c:v>
                  </c:pt>
                  <c:pt idx="75">
                    <c:v>691</c:v>
                  </c:pt>
                  <c:pt idx="76">
                    <c:v>696</c:v>
                  </c:pt>
                  <c:pt idx="77">
                    <c:v>702.3</c:v>
                  </c:pt>
                  <c:pt idx="78">
                    <c:v>708.5</c:v>
                  </c:pt>
                  <c:pt idx="79">
                    <c:v>716.3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436.7</c:v>
                  </c:pt>
                  <c:pt idx="1">
                    <c:v>499.2</c:v>
                  </c:pt>
                  <c:pt idx="2">
                    <c:v>527.2</c:v>
                  </c:pt>
                  <c:pt idx="3">
                    <c:v>538.6</c:v>
                  </c:pt>
                  <c:pt idx="4">
                    <c:v>546.5</c:v>
                  </c:pt>
                  <c:pt idx="5">
                    <c:v>553.1</c:v>
                  </c:pt>
                  <c:pt idx="6">
                    <c:v>558.5</c:v>
                  </c:pt>
                  <c:pt idx="7">
                    <c:v>563.2</c:v>
                  </c:pt>
                  <c:pt idx="8">
                    <c:v>567.4</c:v>
                  </c:pt>
                  <c:pt idx="9">
                    <c:v>571.1</c:v>
                  </c:pt>
                  <c:pt idx="10">
                    <c:v>574.7</c:v>
                  </c:pt>
                  <c:pt idx="11">
                    <c:v>578.2</c:v>
                  </c:pt>
                  <c:pt idx="12">
                    <c:v>581.7</c:v>
                  </c:pt>
                  <c:pt idx="13">
                    <c:v>585.1</c:v>
                  </c:pt>
                  <c:pt idx="14">
                    <c:v>588.4</c:v>
                  </c:pt>
                  <c:pt idx="15">
                    <c:v>591.6</c:v>
                  </c:pt>
                  <c:pt idx="16">
                    <c:v>594.8</c:v>
                  </c:pt>
                  <c:pt idx="17">
                    <c:v>598</c:v>
                  </c:pt>
                  <c:pt idx="18">
                    <c:v>601.2</c:v>
                  </c:pt>
                  <c:pt idx="19">
                    <c:v>604.6</c:v>
                  </c:pt>
                  <c:pt idx="20">
                    <c:v>607.9</c:v>
                  </c:pt>
                  <c:pt idx="21">
                    <c:v>611.2</c:v>
                  </c:pt>
                  <c:pt idx="22">
                    <c:v>614.5</c:v>
                  </c:pt>
                  <c:pt idx="23">
                    <c:v>618</c:v>
                  </c:pt>
                  <c:pt idx="24">
                    <c:v>621.5</c:v>
                  </c:pt>
                  <c:pt idx="25">
                    <c:v>624.9</c:v>
                  </c:pt>
                  <c:pt idx="26">
                    <c:v>628.4</c:v>
                  </c:pt>
                  <c:pt idx="27">
                    <c:v>631.8</c:v>
                  </c:pt>
                  <c:pt idx="28">
                    <c:v>635.2</c:v>
                  </c:pt>
                  <c:pt idx="29">
                    <c:v>638.8</c:v>
                  </c:pt>
                  <c:pt idx="30">
                    <c:v>642.6</c:v>
                  </c:pt>
                  <c:pt idx="31">
                    <c:v>646.5</c:v>
                  </c:pt>
                  <c:pt idx="32">
                    <c:v>650.2</c:v>
                  </c:pt>
                  <c:pt idx="33">
                    <c:v>654</c:v>
                  </c:pt>
                  <c:pt idx="34">
                    <c:v>657.6</c:v>
                  </c:pt>
                  <c:pt idx="35">
                    <c:v>662.3</c:v>
                  </c:pt>
                  <c:pt idx="36">
                    <c:v>667.3</c:v>
                  </c:pt>
                  <c:pt idx="37">
                    <c:v>672.1</c:v>
                  </c:pt>
                  <c:pt idx="38">
                    <c:v>677.2</c:v>
                  </c:pt>
                  <c:pt idx="39">
                    <c:v>683</c:v>
                  </c:pt>
                  <c:pt idx="40">
                    <c:v>688.5</c:v>
                  </c:pt>
                  <c:pt idx="41">
                    <c:v>693.9</c:v>
                  </c:pt>
                  <c:pt idx="42">
                    <c:v>700.7</c:v>
                  </c:pt>
                  <c:pt idx="43">
                    <c:v>708.3</c:v>
                  </c:pt>
                  <c:pt idx="44">
                    <c:v>721.3</c:v>
                  </c:pt>
                  <c:pt idx="45">
                    <c:v>-</c:v>
                  </c:pt>
                  <c:pt idx="46">
                    <c:v>-</c:v>
                  </c:pt>
                  <c:pt idx="47">
                    <c:v>-</c:v>
                  </c:pt>
                  <c:pt idx="48">
                    <c:v>-</c:v>
                  </c:pt>
                  <c:pt idx="49">
                    <c:v>-</c:v>
                  </c:pt>
                  <c:pt idx="50">
                    <c:v>-</c:v>
                  </c:pt>
                  <c:pt idx="51">
                    <c:v>-</c:v>
                  </c:pt>
                  <c:pt idx="52">
                    <c:v>-</c:v>
                  </c:pt>
                  <c:pt idx="53">
                    <c:v>-</c:v>
                  </c:pt>
                  <c:pt idx="54">
                    <c:v>-</c:v>
                  </c:pt>
                  <c:pt idx="55">
                    <c:v>-</c:v>
                  </c:pt>
                  <c:pt idx="56">
                    <c:v>-</c:v>
                  </c:pt>
                  <c:pt idx="57">
                    <c:v>-</c:v>
                  </c:pt>
                  <c:pt idx="58">
                    <c:v>-</c:v>
                  </c:pt>
                  <c:pt idx="59">
                    <c:v>-</c:v>
                  </c:pt>
                  <c:pt idx="60">
                    <c:v>-</c:v>
                  </c:pt>
                  <c:pt idx="61">
                    <c:v>-</c:v>
                  </c:pt>
                  <c:pt idx="62">
                    <c:v>-</c:v>
                  </c:pt>
                  <c:pt idx="63">
                    <c:v>-</c:v>
                  </c:pt>
                  <c:pt idx="64">
                    <c:v>-</c:v>
                  </c:pt>
                  <c:pt idx="65">
                    <c:v>-</c:v>
                  </c:pt>
                  <c:pt idx="66">
                    <c:v>-</c:v>
                  </c:pt>
                  <c:pt idx="67">
                    <c:v>-</c:v>
                  </c:pt>
                  <c:pt idx="68">
                    <c:v>-</c:v>
                  </c:pt>
                  <c:pt idx="69">
                    <c:v>-</c:v>
                  </c:pt>
                  <c:pt idx="70">
                    <c:v>-</c:v>
                  </c:pt>
                  <c:pt idx="71">
                    <c:v>-</c:v>
                  </c:pt>
                  <c:pt idx="72">
                    <c:v>-</c:v>
                  </c:pt>
                  <c:pt idx="73">
                    <c:v>-</c:v>
                  </c:pt>
                  <c:pt idx="74">
                    <c:v>-</c:v>
                  </c:pt>
                  <c:pt idx="75">
                    <c:v>-</c:v>
                  </c:pt>
                  <c:pt idx="76">
                    <c:v>-</c:v>
                  </c:pt>
                  <c:pt idx="77">
                    <c:v>-</c:v>
                  </c:pt>
                  <c:pt idx="78">
                    <c:v>-</c:v>
                  </c:pt>
                  <c:pt idx="79">
                    <c:v>-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462.3</c:v>
                  </c:pt>
                  <c:pt idx="1">
                    <c:v>528.9</c:v>
                  </c:pt>
                  <c:pt idx="2">
                    <c:v>546.9</c:v>
                  </c:pt>
                  <c:pt idx="3">
                    <c:v>555.2</c:v>
                  </c:pt>
                  <c:pt idx="4">
                    <c:v>561</c:v>
                  </c:pt>
                  <c:pt idx="5">
                    <c:v>565.7</c:v>
                  </c:pt>
                  <c:pt idx="6">
                    <c:v>569.7</c:v>
                  </c:pt>
                  <c:pt idx="7">
                    <c:v>573.2</c:v>
                  </c:pt>
                  <c:pt idx="8">
                    <c:v>576.7</c:v>
                  </c:pt>
                  <c:pt idx="9">
                    <c:v>580.1</c:v>
                  </c:pt>
                  <c:pt idx="10">
                    <c:v>583.4</c:v>
                  </c:pt>
                  <c:pt idx="11">
                    <c:v>586.6</c:v>
                  </c:pt>
                  <c:pt idx="12">
                    <c:v>589.6</c:v>
                  </c:pt>
                  <c:pt idx="13">
                    <c:v>592.6</c:v>
                  </c:pt>
                  <c:pt idx="14">
                    <c:v>595.6</c:v>
                  </c:pt>
                  <c:pt idx="15">
                    <c:v>598.5</c:v>
                  </c:pt>
                  <c:pt idx="16">
                    <c:v>601.4</c:v>
                  </c:pt>
                  <c:pt idx="17">
                    <c:v>604.4</c:v>
                  </c:pt>
                  <c:pt idx="18">
                    <c:v>607.3</c:v>
                  </c:pt>
                  <c:pt idx="19">
                    <c:v>610.2</c:v>
                  </c:pt>
                  <c:pt idx="20">
                    <c:v>613.1</c:v>
                  </c:pt>
                  <c:pt idx="21">
                    <c:v>616.1</c:v>
                  </c:pt>
                  <c:pt idx="22">
                    <c:v>619.2</c:v>
                  </c:pt>
                  <c:pt idx="23">
                    <c:v>622.3</c:v>
                  </c:pt>
                  <c:pt idx="24">
                    <c:v>625.3</c:v>
                  </c:pt>
                  <c:pt idx="25">
                    <c:v>628.4</c:v>
                  </c:pt>
                  <c:pt idx="26">
                    <c:v>631.4</c:v>
                  </c:pt>
                  <c:pt idx="27">
                    <c:v>634.4</c:v>
                  </c:pt>
                  <c:pt idx="28">
                    <c:v>637.5</c:v>
                  </c:pt>
                  <c:pt idx="29">
                    <c:v>640.8</c:v>
                  </c:pt>
                  <c:pt idx="30">
                    <c:v>644.2</c:v>
                  </c:pt>
                  <c:pt idx="31">
                    <c:v>647.6</c:v>
                  </c:pt>
                  <c:pt idx="32">
                    <c:v>650.9</c:v>
                  </c:pt>
                  <c:pt idx="33">
                    <c:v>654.2</c:v>
                  </c:pt>
                  <c:pt idx="34">
                    <c:v>657.5</c:v>
                  </c:pt>
                  <c:pt idx="35">
                    <c:v>661.5</c:v>
                  </c:pt>
                  <c:pt idx="36">
                    <c:v>665.8</c:v>
                  </c:pt>
                  <c:pt idx="37">
                    <c:v>670.3</c:v>
                  </c:pt>
                  <c:pt idx="38">
                    <c:v>674.2</c:v>
                  </c:pt>
                  <c:pt idx="39">
                    <c:v>679.2</c:v>
                  </c:pt>
                  <c:pt idx="40">
                    <c:v>683.9</c:v>
                  </c:pt>
                  <c:pt idx="41">
                    <c:v>688.5</c:v>
                  </c:pt>
                  <c:pt idx="42">
                    <c:v>693</c:v>
                  </c:pt>
                  <c:pt idx="43">
                    <c:v>697.8</c:v>
                  </c:pt>
                  <c:pt idx="44">
                    <c:v>702.9</c:v>
                  </c:pt>
                  <c:pt idx="45">
                    <c:v>708.2</c:v>
                  </c:pt>
                  <c:pt idx="46">
                    <c:v>715.3</c:v>
                  </c:pt>
                  <c:pt idx="47">
                    <c:v>724.1</c:v>
                  </c:pt>
                  <c:pt idx="48">
                    <c:v>-</c:v>
                  </c:pt>
                  <c:pt idx="49">
                    <c:v>-</c:v>
                  </c:pt>
                  <c:pt idx="50">
                    <c:v>-</c:v>
                  </c:pt>
                  <c:pt idx="51">
                    <c:v>-</c:v>
                  </c:pt>
                  <c:pt idx="52">
                    <c:v>-</c:v>
                  </c:pt>
                  <c:pt idx="53">
                    <c:v>-</c:v>
                  </c:pt>
                  <c:pt idx="54">
                    <c:v>-</c:v>
                  </c:pt>
                  <c:pt idx="55">
                    <c:v>-</c:v>
                  </c:pt>
                  <c:pt idx="56">
                    <c:v>-</c:v>
                  </c:pt>
                  <c:pt idx="57">
                    <c:v>-</c:v>
                  </c:pt>
                  <c:pt idx="58">
                    <c:v>-</c:v>
                  </c:pt>
                  <c:pt idx="59">
                    <c:v>-</c:v>
                  </c:pt>
                  <c:pt idx="60">
                    <c:v>-</c:v>
                  </c:pt>
                  <c:pt idx="61">
                    <c:v>-</c:v>
                  </c:pt>
                  <c:pt idx="62">
                    <c:v>-</c:v>
                  </c:pt>
                  <c:pt idx="63">
                    <c:v>-</c:v>
                  </c:pt>
                  <c:pt idx="64">
                    <c:v>-</c:v>
                  </c:pt>
                  <c:pt idx="65">
                    <c:v>-</c:v>
                  </c:pt>
                  <c:pt idx="66">
                    <c:v>-</c:v>
                  </c:pt>
                  <c:pt idx="67">
                    <c:v>-</c:v>
                  </c:pt>
                  <c:pt idx="68">
                    <c:v>-</c:v>
                  </c:pt>
                  <c:pt idx="69">
                    <c:v>-</c:v>
                  </c:pt>
                  <c:pt idx="70">
                    <c:v>-</c:v>
                  </c:pt>
                  <c:pt idx="71">
                    <c:v>-</c:v>
                  </c:pt>
                  <c:pt idx="72">
                    <c:v>-</c:v>
                  </c:pt>
                  <c:pt idx="73">
                    <c:v>-</c:v>
                  </c:pt>
                  <c:pt idx="74">
                    <c:v>-</c:v>
                  </c:pt>
                  <c:pt idx="75">
                    <c:v>-</c:v>
                  </c:pt>
                  <c:pt idx="76">
                    <c:v>-</c:v>
                  </c:pt>
                  <c:pt idx="77">
                    <c:v>-</c:v>
                  </c:pt>
                  <c:pt idx="78">
                    <c:v>-</c:v>
                  </c:pt>
                  <c:pt idx="79">
                    <c:v>-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375.98</c:v>
                  </c:pt>
                  <c:pt idx="1">
                    <c:v>402</c:v>
                  </c:pt>
                  <c:pt idx="2">
                    <c:v>422</c:v>
                  </c:pt>
                  <c:pt idx="3">
                    <c:v>462</c:v>
                  </c:pt>
                  <c:pt idx="4">
                    <c:v>489</c:v>
                  </c:pt>
                  <c:pt idx="5">
                    <c:v>510</c:v>
                  </c:pt>
                  <c:pt idx="6">
                    <c:v>518</c:v>
                  </c:pt>
                  <c:pt idx="7">
                    <c:v>525</c:v>
                  </c:pt>
                  <c:pt idx="8">
                    <c:v>533</c:v>
                  </c:pt>
                  <c:pt idx="9">
                    <c:v>538</c:v>
                  </c:pt>
                  <c:pt idx="10">
                    <c:v>543.5</c:v>
                  </c:pt>
                  <c:pt idx="11">
                    <c:v>548</c:v>
                  </c:pt>
                  <c:pt idx="12">
                    <c:v>553</c:v>
                  </c:pt>
                  <c:pt idx="13">
                    <c:v>556</c:v>
                  </c:pt>
                  <c:pt idx="14">
                    <c:v>560</c:v>
                  </c:pt>
                  <c:pt idx="15">
                    <c:v>563</c:v>
                  </c:pt>
                  <c:pt idx="16">
                    <c:v>566</c:v>
                  </c:pt>
                  <c:pt idx="17">
                    <c:v>569</c:v>
                  </c:pt>
                  <c:pt idx="18">
                    <c:v>572</c:v>
                  </c:pt>
                  <c:pt idx="19">
                    <c:v>575</c:v>
                  </c:pt>
                  <c:pt idx="20">
                    <c:v>578</c:v>
                  </c:pt>
                  <c:pt idx="21">
                    <c:v>581</c:v>
                  </c:pt>
                  <c:pt idx="22">
                    <c:v>584</c:v>
                  </c:pt>
                  <c:pt idx="23">
                    <c:v>587</c:v>
                  </c:pt>
                  <c:pt idx="24">
                    <c:v>590</c:v>
                  </c:pt>
                  <c:pt idx="25">
                    <c:v>593</c:v>
                  </c:pt>
                  <c:pt idx="26">
                    <c:v>595</c:v>
                  </c:pt>
                  <c:pt idx="27">
                    <c:v>598</c:v>
                  </c:pt>
                  <c:pt idx="28">
                    <c:v>600</c:v>
                  </c:pt>
                  <c:pt idx="29">
                    <c:v>602</c:v>
                  </c:pt>
                  <c:pt idx="30">
                    <c:v>606</c:v>
                  </c:pt>
                  <c:pt idx="31">
                    <c:v>609</c:v>
                  </c:pt>
                  <c:pt idx="32">
                    <c:v>611</c:v>
                  </c:pt>
                  <c:pt idx="33">
                    <c:v>614</c:v>
                  </c:pt>
                  <c:pt idx="34">
                    <c:v>617</c:v>
                  </c:pt>
                  <c:pt idx="35">
                    <c:v>620</c:v>
                  </c:pt>
                  <c:pt idx="36">
                    <c:v>622</c:v>
                  </c:pt>
                  <c:pt idx="37">
                    <c:v>626</c:v>
                  </c:pt>
                  <c:pt idx="38">
                    <c:v>630</c:v>
                  </c:pt>
                  <c:pt idx="39">
                    <c:v>632</c:v>
                  </c:pt>
                  <c:pt idx="40">
                    <c:v>635</c:v>
                  </c:pt>
                  <c:pt idx="41">
                    <c:v>638</c:v>
                  </c:pt>
                  <c:pt idx="42">
                    <c:v>641</c:v>
                  </c:pt>
                  <c:pt idx="43">
                    <c:v>644</c:v>
                  </c:pt>
                  <c:pt idx="44">
                    <c:v>647</c:v>
                  </c:pt>
                  <c:pt idx="45">
                    <c:v>650</c:v>
                  </c:pt>
                  <c:pt idx="46">
                    <c:v>654</c:v>
                  </c:pt>
                  <c:pt idx="47">
                    <c:v>657</c:v>
                  </c:pt>
                  <c:pt idx="48">
                    <c:v>661</c:v>
                  </c:pt>
                  <c:pt idx="49">
                    <c:v>664</c:v>
                  </c:pt>
                  <c:pt idx="50">
                    <c:v>667</c:v>
                  </c:pt>
                  <c:pt idx="51">
                    <c:v>671</c:v>
                  </c:pt>
                  <c:pt idx="52">
                    <c:v>675</c:v>
                  </c:pt>
                  <c:pt idx="53">
                    <c:v>678</c:v>
                  </c:pt>
                  <c:pt idx="54">
                    <c:v>682</c:v>
                  </c:pt>
                  <c:pt idx="55">
                    <c:v>687</c:v>
                  </c:pt>
                  <c:pt idx="56">
                    <c:v>691</c:v>
                  </c:pt>
                  <c:pt idx="57">
                    <c:v>694</c:v>
                  </c:pt>
                  <c:pt idx="58">
                    <c:v>698</c:v>
                  </c:pt>
                  <c:pt idx="59">
                    <c:v>702</c:v>
                  </c:pt>
                  <c:pt idx="60">
                    <c:v>705</c:v>
                  </c:pt>
                  <c:pt idx="61">
                    <c:v>708</c:v>
                  </c:pt>
                  <c:pt idx="62">
                    <c:v>713</c:v>
                  </c:pt>
                  <c:pt idx="63">
                    <c:v>718</c:v>
                  </c:pt>
                  <c:pt idx="64">
                    <c:v>720</c:v>
                  </c:pt>
                  <c:pt idx="65">
                    <c:v>-</c:v>
                  </c:pt>
                  <c:pt idx="66">
                    <c:v>-</c:v>
                  </c:pt>
                  <c:pt idx="67">
                    <c:v>-</c:v>
                  </c:pt>
                  <c:pt idx="68">
                    <c:v>-</c:v>
                  </c:pt>
                  <c:pt idx="69">
                    <c:v>-</c:v>
                  </c:pt>
                  <c:pt idx="70">
                    <c:v>-</c:v>
                  </c:pt>
                  <c:pt idx="71">
                    <c:v>-</c:v>
                  </c:pt>
                  <c:pt idx="72">
                    <c:v>-</c:v>
                  </c:pt>
                  <c:pt idx="73">
                    <c:v>-</c:v>
                  </c:pt>
                  <c:pt idx="74">
                    <c:v>-</c:v>
                  </c:pt>
                  <c:pt idx="75">
                    <c:v>-</c:v>
                  </c:pt>
                  <c:pt idx="76">
                    <c:v>-</c:v>
                  </c:pt>
                  <c:pt idx="77">
                    <c:v>-</c:v>
                  </c:pt>
                  <c:pt idx="78">
                    <c:v>-</c:v>
                  </c:pt>
                  <c:pt idx="79">
                    <c:v>-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560</c:v>
                  </c:pt>
                  <c:pt idx="1">
                    <c:v>560</c:v>
                  </c:pt>
                  <c:pt idx="2">
                    <c:v>560</c:v>
                  </c:pt>
                  <c:pt idx="3">
                    <c:v>560</c:v>
                  </c:pt>
                  <c:pt idx="4">
                    <c:v>560</c:v>
                  </c:pt>
                  <c:pt idx="5">
                    <c:v>560</c:v>
                  </c:pt>
                  <c:pt idx="6">
                    <c:v>560</c:v>
                  </c:pt>
                  <c:pt idx="7">
                    <c:v>560</c:v>
                  </c:pt>
                  <c:pt idx="8">
                    <c:v>560</c:v>
                  </c:pt>
                  <c:pt idx="9">
                    <c:v>560</c:v>
                  </c:pt>
                  <c:pt idx="10">
                    <c:v>560</c:v>
                  </c:pt>
                  <c:pt idx="11">
                    <c:v>560</c:v>
                  </c:pt>
                  <c:pt idx="12">
                    <c:v>560</c:v>
                  </c:pt>
                  <c:pt idx="13">
                    <c:v>560</c:v>
                  </c:pt>
                  <c:pt idx="14">
                    <c:v>560</c:v>
                  </c:pt>
                  <c:pt idx="15">
                    <c:v>560</c:v>
                  </c:pt>
                  <c:pt idx="16">
                    <c:v>560</c:v>
                  </c:pt>
                  <c:pt idx="17">
                    <c:v>560</c:v>
                  </c:pt>
                  <c:pt idx="18">
                    <c:v>560</c:v>
                  </c:pt>
                  <c:pt idx="19">
                    <c:v>560</c:v>
                  </c:pt>
                  <c:pt idx="20">
                    <c:v>560</c:v>
                  </c:pt>
                  <c:pt idx="21">
                    <c:v>560</c:v>
                  </c:pt>
                  <c:pt idx="22">
                    <c:v>560</c:v>
                  </c:pt>
                  <c:pt idx="23">
                    <c:v>560</c:v>
                  </c:pt>
                  <c:pt idx="24">
                    <c:v>560</c:v>
                  </c:pt>
                  <c:pt idx="25">
                    <c:v>560</c:v>
                  </c:pt>
                  <c:pt idx="26">
                    <c:v>560</c:v>
                  </c:pt>
                  <c:pt idx="27">
                    <c:v>560</c:v>
                  </c:pt>
                  <c:pt idx="28">
                    <c:v>560</c:v>
                  </c:pt>
                  <c:pt idx="29">
                    <c:v>560</c:v>
                  </c:pt>
                  <c:pt idx="30">
                    <c:v>560</c:v>
                  </c:pt>
                  <c:pt idx="31">
                    <c:v>560</c:v>
                  </c:pt>
                  <c:pt idx="32">
                    <c:v>560</c:v>
                  </c:pt>
                  <c:pt idx="33">
                    <c:v>560</c:v>
                  </c:pt>
                  <c:pt idx="34">
                    <c:v>560</c:v>
                  </c:pt>
                  <c:pt idx="35">
                    <c:v>560</c:v>
                  </c:pt>
                  <c:pt idx="36">
                    <c:v>560</c:v>
                  </c:pt>
                  <c:pt idx="37">
                    <c:v>560</c:v>
                  </c:pt>
                  <c:pt idx="38">
                    <c:v>560</c:v>
                  </c:pt>
                  <c:pt idx="39">
                    <c:v>560</c:v>
                  </c:pt>
                  <c:pt idx="40">
                    <c:v>560</c:v>
                  </c:pt>
                  <c:pt idx="41">
                    <c:v>560</c:v>
                  </c:pt>
                  <c:pt idx="42">
                    <c:v>560</c:v>
                  </c:pt>
                  <c:pt idx="43">
                    <c:v>560</c:v>
                  </c:pt>
                  <c:pt idx="44">
                    <c:v>560</c:v>
                  </c:pt>
                  <c:pt idx="45">
                    <c:v>560</c:v>
                  </c:pt>
                  <c:pt idx="46">
                    <c:v>560</c:v>
                  </c:pt>
                  <c:pt idx="47">
                    <c:v>560</c:v>
                  </c:pt>
                  <c:pt idx="48">
                    <c:v>560</c:v>
                  </c:pt>
                  <c:pt idx="49">
                    <c:v>560</c:v>
                  </c:pt>
                  <c:pt idx="50">
                    <c:v>560</c:v>
                  </c:pt>
                  <c:pt idx="51">
                    <c:v>560</c:v>
                  </c:pt>
                  <c:pt idx="52">
                    <c:v>560</c:v>
                  </c:pt>
                  <c:pt idx="53">
                    <c:v>560</c:v>
                  </c:pt>
                  <c:pt idx="54">
                    <c:v>560</c:v>
                  </c:pt>
                  <c:pt idx="55">
                    <c:v>560</c:v>
                  </c:pt>
                  <c:pt idx="56">
                    <c:v>560</c:v>
                  </c:pt>
                  <c:pt idx="57">
                    <c:v>560</c:v>
                  </c:pt>
                  <c:pt idx="58">
                    <c:v>560</c:v>
                  </c:pt>
                  <c:pt idx="59">
                    <c:v>560</c:v>
                  </c:pt>
                  <c:pt idx="60">
                    <c:v>560</c:v>
                  </c:pt>
                  <c:pt idx="61">
                    <c:v>560</c:v>
                  </c:pt>
                  <c:pt idx="62">
                    <c:v>560</c:v>
                  </c:pt>
                  <c:pt idx="63">
                    <c:v>560</c:v>
                  </c:pt>
                  <c:pt idx="64">
                    <c:v>560</c:v>
                  </c:pt>
                  <c:pt idx="65">
                    <c:v>560</c:v>
                  </c:pt>
                  <c:pt idx="66">
                    <c:v>560</c:v>
                  </c:pt>
                  <c:pt idx="67">
                    <c:v>560</c:v>
                  </c:pt>
                  <c:pt idx="68">
                    <c:v>560</c:v>
                  </c:pt>
                  <c:pt idx="69">
                    <c:v>560</c:v>
                  </c:pt>
                  <c:pt idx="70">
                    <c:v>560</c:v>
                  </c:pt>
                  <c:pt idx="71">
                    <c:v>560</c:v>
                  </c:pt>
                  <c:pt idx="72">
                    <c:v>560</c:v>
                  </c:pt>
                  <c:pt idx="73">
                    <c:v>560</c:v>
                  </c:pt>
                  <c:pt idx="74">
                    <c:v>560</c:v>
                  </c:pt>
                  <c:pt idx="75">
                    <c:v>560</c:v>
                  </c:pt>
                  <c:pt idx="76">
                    <c:v>560</c:v>
                  </c:pt>
                  <c:pt idx="77">
                    <c:v>560</c:v>
                  </c:pt>
                  <c:pt idx="78">
                    <c:v>560</c:v>
                  </c:pt>
                  <c:pt idx="79">
                    <c:v>560</c:v>
                  </c:pt>
                  <c:pt idx="80">
                    <c:v>560</c:v>
                  </c:pt>
                  <c:pt idx="81">
                    <c:v>560</c:v>
                  </c:pt>
                  <c:pt idx="82">
                    <c:v>560</c:v>
                  </c:pt>
                  <c:pt idx="83">
                    <c:v>560</c:v>
                  </c:pt>
                  <c:pt idx="84">
                    <c:v>560</c:v>
                  </c:pt>
                  <c:pt idx="85">
                    <c:v>560</c:v>
                  </c:pt>
                  <c:pt idx="86">
                    <c:v>560</c:v>
                  </c:pt>
                  <c:pt idx="87">
                    <c:v>560</c:v>
                  </c:pt>
                  <c:pt idx="88">
                    <c:v>560</c:v>
                  </c:pt>
                  <c:pt idx="89">
                    <c:v>560</c:v>
                  </c:pt>
                  <c:pt idx="90">
                    <c:v>560</c:v>
                  </c:pt>
                  <c:pt idx="91">
                    <c:v>560</c:v>
                  </c:pt>
                  <c:pt idx="92">
                    <c:v>560</c:v>
                  </c:pt>
                  <c:pt idx="93">
                    <c:v>560</c:v>
                  </c:pt>
                  <c:pt idx="94">
                    <c:v>560</c:v>
                  </c:pt>
                  <c:pt idx="95">
                    <c:v>560</c:v>
                  </c:pt>
                  <c:pt idx="96">
                    <c:v>560</c:v>
                  </c:pt>
                  <c:pt idx="97">
                    <c:v>560</c:v>
                  </c:pt>
                  <c:pt idx="98">
                    <c:v>560</c:v>
                  </c:pt>
                  <c:pt idx="99">
                    <c:v>560</c:v>
                  </c:pt>
                  <c:pt idx="100">
                    <c:v>560</c:v>
                  </c:pt>
                </c:lvl>
                <c:lvl>
                  <c:pt idx="0">
                    <c:v>500</c:v>
                  </c:pt>
                  <c:pt idx="1">
                    <c:v>500</c:v>
                  </c:pt>
                  <c:pt idx="2">
                    <c:v>500</c:v>
                  </c:pt>
                  <c:pt idx="3">
                    <c:v>500</c:v>
                  </c:pt>
                  <c:pt idx="4">
                    <c:v>500</c:v>
                  </c:pt>
                  <c:pt idx="5">
                    <c:v>500</c:v>
                  </c:pt>
                  <c:pt idx="6">
                    <c:v>500</c:v>
                  </c:pt>
                  <c:pt idx="7">
                    <c:v>500</c:v>
                  </c:pt>
                  <c:pt idx="8">
                    <c:v>500</c:v>
                  </c:pt>
                  <c:pt idx="9">
                    <c:v>500</c:v>
                  </c:pt>
                  <c:pt idx="10">
                    <c:v>500</c:v>
                  </c:pt>
                  <c:pt idx="11">
                    <c:v>500</c:v>
                  </c:pt>
                  <c:pt idx="12">
                    <c:v>500</c:v>
                  </c:pt>
                  <c:pt idx="13">
                    <c:v>500</c:v>
                  </c:pt>
                  <c:pt idx="14">
                    <c:v>500</c:v>
                  </c:pt>
                  <c:pt idx="15">
                    <c:v>500</c:v>
                  </c:pt>
                  <c:pt idx="16">
                    <c:v>500</c:v>
                  </c:pt>
                  <c:pt idx="17">
                    <c:v>500</c:v>
                  </c:pt>
                  <c:pt idx="18">
                    <c:v>500</c:v>
                  </c:pt>
                  <c:pt idx="19">
                    <c:v>500</c:v>
                  </c:pt>
                  <c:pt idx="20">
                    <c:v>500</c:v>
                  </c:pt>
                  <c:pt idx="21">
                    <c:v>500</c:v>
                  </c:pt>
                  <c:pt idx="22">
                    <c:v>500</c:v>
                  </c:pt>
                  <c:pt idx="23">
                    <c:v>500</c:v>
                  </c:pt>
                  <c:pt idx="24">
                    <c:v>500</c:v>
                  </c:pt>
                  <c:pt idx="25">
                    <c:v>500</c:v>
                  </c:pt>
                  <c:pt idx="26">
                    <c:v>500</c:v>
                  </c:pt>
                  <c:pt idx="27">
                    <c:v>500</c:v>
                  </c:pt>
                  <c:pt idx="28">
                    <c:v>500</c:v>
                  </c:pt>
                  <c:pt idx="29">
                    <c:v>500</c:v>
                  </c:pt>
                  <c:pt idx="30">
                    <c:v>500</c:v>
                  </c:pt>
                  <c:pt idx="31">
                    <c:v>500</c:v>
                  </c:pt>
                  <c:pt idx="32">
                    <c:v>500</c:v>
                  </c:pt>
                  <c:pt idx="33">
                    <c:v>500</c:v>
                  </c:pt>
                  <c:pt idx="34">
                    <c:v>500</c:v>
                  </c:pt>
                  <c:pt idx="35">
                    <c:v>500</c:v>
                  </c:pt>
                  <c:pt idx="36">
                    <c:v>500</c:v>
                  </c:pt>
                  <c:pt idx="37">
                    <c:v>500</c:v>
                  </c:pt>
                  <c:pt idx="38">
                    <c:v>500</c:v>
                  </c:pt>
                  <c:pt idx="39">
                    <c:v>500</c:v>
                  </c:pt>
                  <c:pt idx="40">
                    <c:v>500</c:v>
                  </c:pt>
                  <c:pt idx="41">
                    <c:v>500</c:v>
                  </c:pt>
                  <c:pt idx="42">
                    <c:v>500</c:v>
                  </c:pt>
                  <c:pt idx="43">
                    <c:v>500</c:v>
                  </c:pt>
                  <c:pt idx="44">
                    <c:v>500</c:v>
                  </c:pt>
                  <c:pt idx="45">
                    <c:v>500</c:v>
                  </c:pt>
                  <c:pt idx="46">
                    <c:v>500</c:v>
                  </c:pt>
                  <c:pt idx="47">
                    <c:v>500</c:v>
                  </c:pt>
                  <c:pt idx="48">
                    <c:v>500</c:v>
                  </c:pt>
                  <c:pt idx="49">
                    <c:v>500</c:v>
                  </c:pt>
                  <c:pt idx="50">
                    <c:v>500</c:v>
                  </c:pt>
                  <c:pt idx="51">
                    <c:v>500</c:v>
                  </c:pt>
                  <c:pt idx="52">
                    <c:v>500</c:v>
                  </c:pt>
                  <c:pt idx="53">
                    <c:v>500</c:v>
                  </c:pt>
                  <c:pt idx="54">
                    <c:v>500</c:v>
                  </c:pt>
                  <c:pt idx="55">
                    <c:v>500</c:v>
                  </c:pt>
                  <c:pt idx="56">
                    <c:v>500</c:v>
                  </c:pt>
                  <c:pt idx="57">
                    <c:v>500</c:v>
                  </c:pt>
                  <c:pt idx="58">
                    <c:v>500</c:v>
                  </c:pt>
                  <c:pt idx="59">
                    <c:v>500</c:v>
                  </c:pt>
                  <c:pt idx="60">
                    <c:v>500</c:v>
                  </c:pt>
                  <c:pt idx="61">
                    <c:v>500</c:v>
                  </c:pt>
                  <c:pt idx="62">
                    <c:v>500</c:v>
                  </c:pt>
                  <c:pt idx="63">
                    <c:v>500</c:v>
                  </c:pt>
                  <c:pt idx="64">
                    <c:v>500</c:v>
                  </c:pt>
                  <c:pt idx="65">
                    <c:v>500</c:v>
                  </c:pt>
                  <c:pt idx="66">
                    <c:v>500</c:v>
                  </c:pt>
                  <c:pt idx="67">
                    <c:v>500</c:v>
                  </c:pt>
                  <c:pt idx="68">
                    <c:v>500</c:v>
                  </c:pt>
                  <c:pt idx="69">
                    <c:v>500</c:v>
                  </c:pt>
                  <c:pt idx="70">
                    <c:v>500</c:v>
                  </c:pt>
                  <c:pt idx="71">
                    <c:v>500</c:v>
                  </c:pt>
                  <c:pt idx="72">
                    <c:v>500</c:v>
                  </c:pt>
                  <c:pt idx="73">
                    <c:v>500</c:v>
                  </c:pt>
                  <c:pt idx="74">
                    <c:v>500</c:v>
                  </c:pt>
                  <c:pt idx="75">
                    <c:v>500</c:v>
                  </c:pt>
                  <c:pt idx="76">
                    <c:v>500</c:v>
                  </c:pt>
                  <c:pt idx="77">
                    <c:v>500</c:v>
                  </c:pt>
                  <c:pt idx="78">
                    <c:v>500</c:v>
                  </c:pt>
                  <c:pt idx="79">
                    <c:v>500</c:v>
                  </c:pt>
                  <c:pt idx="80">
                    <c:v>500</c:v>
                  </c:pt>
                  <c:pt idx="81">
                    <c:v>500</c:v>
                  </c:pt>
                  <c:pt idx="82">
                    <c:v>500</c:v>
                  </c:pt>
                  <c:pt idx="83">
                    <c:v>500</c:v>
                  </c:pt>
                  <c:pt idx="84">
                    <c:v>500</c:v>
                  </c:pt>
                  <c:pt idx="85">
                    <c:v>500</c:v>
                  </c:pt>
                  <c:pt idx="86">
                    <c:v>500</c:v>
                  </c:pt>
                  <c:pt idx="87">
                    <c:v>500</c:v>
                  </c:pt>
                  <c:pt idx="88">
                    <c:v>500</c:v>
                  </c:pt>
                  <c:pt idx="89">
                    <c:v>500</c:v>
                  </c:pt>
                  <c:pt idx="90">
                    <c:v>500</c:v>
                  </c:pt>
                  <c:pt idx="91">
                    <c:v>500</c:v>
                  </c:pt>
                  <c:pt idx="92">
                    <c:v>500</c:v>
                  </c:pt>
                  <c:pt idx="93">
                    <c:v>500</c:v>
                  </c:pt>
                  <c:pt idx="94">
                    <c:v>500</c:v>
                  </c:pt>
                  <c:pt idx="95">
                    <c:v>500</c:v>
                  </c:pt>
                  <c:pt idx="96">
                    <c:v>500</c:v>
                  </c:pt>
                  <c:pt idx="97">
                    <c:v>500</c:v>
                  </c:pt>
                  <c:pt idx="98">
                    <c:v>500</c:v>
                  </c:pt>
                  <c:pt idx="99">
                    <c:v>500</c:v>
                  </c:pt>
                  <c:pt idx="100">
                    <c:v>500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  <c:pt idx="56">
                    <c:v>56</c:v>
                  </c:pt>
                  <c:pt idx="57">
                    <c:v>57</c:v>
                  </c:pt>
                  <c:pt idx="58">
                    <c:v>58</c:v>
                  </c:pt>
                  <c:pt idx="59">
                    <c:v>59</c:v>
                  </c:pt>
                  <c:pt idx="60">
                    <c:v>60</c:v>
                  </c:pt>
                  <c:pt idx="61">
                    <c:v>61</c:v>
                  </c:pt>
                  <c:pt idx="62">
                    <c:v>62</c:v>
                  </c:pt>
                  <c:pt idx="63">
                    <c:v>63</c:v>
                  </c:pt>
                  <c:pt idx="64">
                    <c:v>64</c:v>
                  </c:pt>
                  <c:pt idx="65">
                    <c:v>65</c:v>
                  </c:pt>
                  <c:pt idx="66">
                    <c:v>66</c:v>
                  </c:pt>
                  <c:pt idx="67">
                    <c:v>67</c:v>
                  </c:pt>
                  <c:pt idx="68">
                    <c:v>68</c:v>
                  </c:pt>
                  <c:pt idx="69">
                    <c:v>69</c:v>
                  </c:pt>
                  <c:pt idx="70">
                    <c:v>70</c:v>
                  </c:pt>
                  <c:pt idx="71">
                    <c:v>71</c:v>
                  </c:pt>
                  <c:pt idx="72">
                    <c:v>72</c:v>
                  </c:pt>
                  <c:pt idx="73">
                    <c:v>73</c:v>
                  </c:pt>
                  <c:pt idx="74">
                    <c:v>74</c:v>
                  </c:pt>
                  <c:pt idx="75">
                    <c:v>75</c:v>
                  </c:pt>
                  <c:pt idx="76">
                    <c:v>76</c:v>
                  </c:pt>
                  <c:pt idx="77">
                    <c:v>77</c:v>
                  </c:pt>
                  <c:pt idx="78">
                    <c:v>78</c:v>
                  </c:pt>
                  <c:pt idx="79">
                    <c:v>79</c:v>
                  </c:pt>
                  <c:pt idx="80">
                    <c:v>80</c:v>
                  </c:pt>
                  <c:pt idx="81">
                    <c:v>81</c:v>
                  </c:pt>
                  <c:pt idx="82">
                    <c:v>82</c:v>
                  </c:pt>
                  <c:pt idx="83">
                    <c:v>83</c:v>
                  </c:pt>
                  <c:pt idx="84">
                    <c:v>84</c:v>
                  </c:pt>
                  <c:pt idx="85">
                    <c:v>85</c:v>
                  </c:pt>
                  <c:pt idx="86">
                    <c:v>86</c:v>
                  </c:pt>
                  <c:pt idx="87">
                    <c:v>87</c:v>
                  </c:pt>
                  <c:pt idx="88">
                    <c:v>88</c:v>
                  </c:pt>
                  <c:pt idx="89">
                    <c:v>89</c:v>
                  </c:pt>
                  <c:pt idx="90">
                    <c:v>90</c:v>
                  </c:pt>
                  <c:pt idx="91">
                    <c:v>91</c:v>
                  </c:pt>
                  <c:pt idx="92">
                    <c:v>92</c:v>
                  </c:pt>
                  <c:pt idx="93">
                    <c:v>93</c:v>
                  </c:pt>
                  <c:pt idx="94">
                    <c:v>94</c:v>
                  </c:pt>
                  <c:pt idx="95">
                    <c:v>95</c:v>
                  </c:pt>
                  <c:pt idx="96">
                    <c:v>96</c:v>
                  </c:pt>
                  <c:pt idx="97">
                    <c:v>97</c:v>
                  </c:pt>
                  <c:pt idx="98">
                    <c:v>98</c:v>
                  </c:pt>
                  <c:pt idx="99">
                    <c:v>99</c:v>
                  </c:pt>
                  <c:pt idx="100">
                    <c:v>100</c:v>
                  </c:pt>
                </c:lvl>
              </c:multiLvlStrCache>
            </c:multiLvlStrRef>
          </c:xVal>
          <c:yVal>
            <c:numRef>
              <c:f>'HPS Comparing'!$Z$10:$Z$110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9C-40CC-835F-A10742FCB657}"/>
            </c:ext>
          </c:extLst>
        </c:ser>
        <c:ser>
          <c:idx val="13"/>
          <c:order val="13"/>
          <c:tx>
            <c:v>560</c:v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Comparing'!$AN$10:$AN$11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Ref>
              <c:f>'HPS Comparing'!$AO$10:$AO$11</c:f>
              <c:numCache>
                <c:formatCode>General</c:formatCode>
                <c:ptCount val="2"/>
                <c:pt idx="0">
                  <c:v>560</c:v>
                </c:pt>
                <c:pt idx="1">
                  <c:v>560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09C-40CC-835F-A10742FCB657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Comparing'!$AN$14:$AN$15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Ref>
              <c:f>'HPS Comparing'!$AO$14:$AO$15</c:f>
              <c:numCache>
                <c:formatCode>General</c:formatCode>
                <c:ptCount val="2"/>
                <c:pt idx="0">
                  <c:v>160</c:v>
                </c:pt>
                <c:pt idx="1">
                  <c:v>160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09C-40CC-835F-A10742FCB657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Comparing'!$AN$17:$AN$18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Ref>
              <c:f>'HPS Comparing'!$AO$17:$AO$18</c:f>
              <c:numCache>
                <c:formatCode>General</c:formatCode>
                <c:ptCount val="2"/>
                <c:pt idx="0">
                  <c:v>360</c:v>
                </c:pt>
                <c:pt idx="1">
                  <c:v>360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09C-40CC-835F-A10742FCB657}"/>
            </c:ext>
          </c:extLst>
        </c:ser>
        <c:ser>
          <c:idx val="17"/>
          <c:order val="18"/>
          <c:tx>
            <c:v>Light end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'HPS Comparing'!$AN$23:$AN$24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xVal>
          <c:yVal>
            <c:numRef>
              <c:f>'HPS Comparing'!$AO$23:$AO$24</c:f>
              <c:numCache>
                <c:formatCode>General</c:formatCode>
                <c:ptCount val="2"/>
                <c:pt idx="0">
                  <c:v>-2</c:v>
                </c:pt>
                <c:pt idx="1">
                  <c:v>160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09C-40CC-835F-A10742FCB657}"/>
            </c:ext>
          </c:extLst>
        </c:ser>
        <c:ser>
          <c:idx val="20"/>
          <c:order val="20"/>
          <c:tx>
            <c:v>HPS-D5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Comparing'!$N$10:$N$98</c:f>
              <c:numCache>
                <c:formatCode>General</c:formatCode>
                <c:ptCount val="89"/>
                <c:pt idx="0">
                  <c:v>95.5</c:v>
                </c:pt>
                <c:pt idx="1">
                  <c:v>125.7</c:v>
                </c:pt>
                <c:pt idx="2">
                  <c:v>155.6</c:v>
                </c:pt>
                <c:pt idx="3">
                  <c:v>174.7</c:v>
                </c:pt>
                <c:pt idx="4">
                  <c:v>190.5</c:v>
                </c:pt>
                <c:pt idx="5">
                  <c:v>203.2</c:v>
                </c:pt>
                <c:pt idx="6">
                  <c:v>216</c:v>
                </c:pt>
                <c:pt idx="7">
                  <c:v>226</c:v>
                </c:pt>
                <c:pt idx="8">
                  <c:v>235.1</c:v>
                </c:pt>
                <c:pt idx="9">
                  <c:v>245.2</c:v>
                </c:pt>
                <c:pt idx="10">
                  <c:v>253.3</c:v>
                </c:pt>
                <c:pt idx="11">
                  <c:v>262.5</c:v>
                </c:pt>
                <c:pt idx="12">
                  <c:v>270.2</c:v>
                </c:pt>
                <c:pt idx="13">
                  <c:v>278.8</c:v>
                </c:pt>
                <c:pt idx="14">
                  <c:v>286.39999999999998</c:v>
                </c:pt>
                <c:pt idx="15">
                  <c:v>294.10000000000002</c:v>
                </c:pt>
                <c:pt idx="16">
                  <c:v>301</c:v>
                </c:pt>
                <c:pt idx="17">
                  <c:v>308</c:v>
                </c:pt>
                <c:pt idx="18">
                  <c:v>314.89999999999998</c:v>
                </c:pt>
                <c:pt idx="19">
                  <c:v>321.3</c:v>
                </c:pt>
                <c:pt idx="20">
                  <c:v>328.2</c:v>
                </c:pt>
                <c:pt idx="21">
                  <c:v>334.2</c:v>
                </c:pt>
                <c:pt idx="22">
                  <c:v>340.8</c:v>
                </c:pt>
                <c:pt idx="23">
                  <c:v>346.4</c:v>
                </c:pt>
                <c:pt idx="24">
                  <c:v>352.3</c:v>
                </c:pt>
                <c:pt idx="25">
                  <c:v>357.5</c:v>
                </c:pt>
                <c:pt idx="26">
                  <c:v>363.2</c:v>
                </c:pt>
                <c:pt idx="27">
                  <c:v>368.5</c:v>
                </c:pt>
                <c:pt idx="28">
                  <c:v>375.1</c:v>
                </c:pt>
                <c:pt idx="29">
                  <c:v>381.5</c:v>
                </c:pt>
                <c:pt idx="30">
                  <c:v>388.2</c:v>
                </c:pt>
                <c:pt idx="31">
                  <c:v>393.9</c:v>
                </c:pt>
                <c:pt idx="32">
                  <c:v>399.4</c:v>
                </c:pt>
                <c:pt idx="33">
                  <c:v>404.7</c:v>
                </c:pt>
                <c:pt idx="34">
                  <c:v>410</c:v>
                </c:pt>
                <c:pt idx="35">
                  <c:v>415.6</c:v>
                </c:pt>
                <c:pt idx="36">
                  <c:v>421</c:v>
                </c:pt>
                <c:pt idx="37">
                  <c:v>427</c:v>
                </c:pt>
                <c:pt idx="38">
                  <c:v>432.5</c:v>
                </c:pt>
                <c:pt idx="39">
                  <c:v>438.1</c:v>
                </c:pt>
                <c:pt idx="40">
                  <c:v>443.3</c:v>
                </c:pt>
                <c:pt idx="41">
                  <c:v>448.5</c:v>
                </c:pt>
                <c:pt idx="42">
                  <c:v>454.3</c:v>
                </c:pt>
                <c:pt idx="43">
                  <c:v>459.9</c:v>
                </c:pt>
                <c:pt idx="44">
                  <c:v>465.4</c:v>
                </c:pt>
                <c:pt idx="45">
                  <c:v>471</c:v>
                </c:pt>
                <c:pt idx="46">
                  <c:v>476.4</c:v>
                </c:pt>
                <c:pt idx="47">
                  <c:v>481.9</c:v>
                </c:pt>
                <c:pt idx="48">
                  <c:v>487.5</c:v>
                </c:pt>
                <c:pt idx="49">
                  <c:v>493.2</c:v>
                </c:pt>
                <c:pt idx="50">
                  <c:v>498.4</c:v>
                </c:pt>
                <c:pt idx="51">
                  <c:v>503.4</c:v>
                </c:pt>
                <c:pt idx="52">
                  <c:v>508.3</c:v>
                </c:pt>
                <c:pt idx="53">
                  <c:v>513.70000000000005</c:v>
                </c:pt>
                <c:pt idx="54">
                  <c:v>519.1</c:v>
                </c:pt>
                <c:pt idx="55">
                  <c:v>524.20000000000005</c:v>
                </c:pt>
                <c:pt idx="56">
                  <c:v>529.1</c:v>
                </c:pt>
                <c:pt idx="57">
                  <c:v>533.9</c:v>
                </c:pt>
                <c:pt idx="58">
                  <c:v>538.70000000000005</c:v>
                </c:pt>
                <c:pt idx="59">
                  <c:v>543.29999999999995</c:v>
                </c:pt>
                <c:pt idx="60">
                  <c:v>548.1</c:v>
                </c:pt>
                <c:pt idx="61">
                  <c:v>552.79999999999995</c:v>
                </c:pt>
                <c:pt idx="62">
                  <c:v>557.4</c:v>
                </c:pt>
                <c:pt idx="63">
                  <c:v>561.79999999999995</c:v>
                </c:pt>
                <c:pt idx="64">
                  <c:v>566.1</c:v>
                </c:pt>
                <c:pt idx="65">
                  <c:v>570.20000000000005</c:v>
                </c:pt>
                <c:pt idx="66">
                  <c:v>574.20000000000005</c:v>
                </c:pt>
                <c:pt idx="67">
                  <c:v>578.5</c:v>
                </c:pt>
                <c:pt idx="68">
                  <c:v>582.9</c:v>
                </c:pt>
                <c:pt idx="69">
                  <c:v>587.20000000000005</c:v>
                </c:pt>
                <c:pt idx="70">
                  <c:v>591.6</c:v>
                </c:pt>
                <c:pt idx="71">
                  <c:v>596</c:v>
                </c:pt>
                <c:pt idx="72">
                  <c:v>600.5</c:v>
                </c:pt>
                <c:pt idx="73">
                  <c:v>605.29999999999995</c:v>
                </c:pt>
                <c:pt idx="74">
                  <c:v>610.29999999999995</c:v>
                </c:pt>
                <c:pt idx="75">
                  <c:v>615.29999999999995</c:v>
                </c:pt>
                <c:pt idx="76">
                  <c:v>620.9</c:v>
                </c:pt>
                <c:pt idx="77">
                  <c:v>626.4</c:v>
                </c:pt>
                <c:pt idx="78">
                  <c:v>632.1</c:v>
                </c:pt>
                <c:pt idx="79">
                  <c:v>638</c:v>
                </c:pt>
                <c:pt idx="80">
                  <c:v>644.6</c:v>
                </c:pt>
                <c:pt idx="81">
                  <c:v>651.6</c:v>
                </c:pt>
                <c:pt idx="82">
                  <c:v>658.6</c:v>
                </c:pt>
                <c:pt idx="83">
                  <c:v>667.9</c:v>
                </c:pt>
                <c:pt idx="84">
                  <c:v>677.4</c:v>
                </c:pt>
                <c:pt idx="85">
                  <c:v>688.1</c:v>
                </c:pt>
                <c:pt idx="86">
                  <c:v>698.6</c:v>
                </c:pt>
                <c:pt idx="87">
                  <c:v>709.6</c:v>
                </c:pt>
                <c:pt idx="88">
                  <c:v>722.6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09C-40CC-835F-A10742FCB657}"/>
            </c:ext>
          </c:extLst>
        </c:ser>
        <c:ser>
          <c:idx val="21"/>
          <c:order val="21"/>
          <c:tx>
            <c:v>HPS_Aging_D3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Comparing'!$L$10:$L$102</c:f>
              <c:numCache>
                <c:formatCode>General</c:formatCode>
                <c:ptCount val="93"/>
                <c:pt idx="0">
                  <c:v>152.5</c:v>
                </c:pt>
                <c:pt idx="1">
                  <c:v>185.3</c:v>
                </c:pt>
                <c:pt idx="2">
                  <c:v>226.6</c:v>
                </c:pt>
                <c:pt idx="3">
                  <c:v>255</c:v>
                </c:pt>
                <c:pt idx="4">
                  <c:v>279.10000000000002</c:v>
                </c:pt>
                <c:pt idx="5">
                  <c:v>299.2</c:v>
                </c:pt>
                <c:pt idx="6">
                  <c:v>317.3</c:v>
                </c:pt>
                <c:pt idx="7">
                  <c:v>332.5</c:v>
                </c:pt>
                <c:pt idx="8">
                  <c:v>345.5</c:v>
                </c:pt>
                <c:pt idx="9">
                  <c:v>356.3</c:v>
                </c:pt>
                <c:pt idx="10">
                  <c:v>366.7</c:v>
                </c:pt>
                <c:pt idx="11">
                  <c:v>378.3</c:v>
                </c:pt>
                <c:pt idx="12">
                  <c:v>390.2</c:v>
                </c:pt>
                <c:pt idx="13">
                  <c:v>398.9</c:v>
                </c:pt>
                <c:pt idx="14">
                  <c:v>407.3</c:v>
                </c:pt>
                <c:pt idx="15">
                  <c:v>415.7</c:v>
                </c:pt>
                <c:pt idx="16">
                  <c:v>424.9</c:v>
                </c:pt>
                <c:pt idx="17">
                  <c:v>433.3</c:v>
                </c:pt>
                <c:pt idx="18">
                  <c:v>440.7</c:v>
                </c:pt>
                <c:pt idx="19">
                  <c:v>448</c:v>
                </c:pt>
                <c:pt idx="20">
                  <c:v>455.9</c:v>
                </c:pt>
                <c:pt idx="21">
                  <c:v>463.6</c:v>
                </c:pt>
                <c:pt idx="22">
                  <c:v>470.6</c:v>
                </c:pt>
                <c:pt idx="23">
                  <c:v>477.3</c:v>
                </c:pt>
                <c:pt idx="24">
                  <c:v>484.2</c:v>
                </c:pt>
                <c:pt idx="25">
                  <c:v>491.3</c:v>
                </c:pt>
                <c:pt idx="26">
                  <c:v>497.8</c:v>
                </c:pt>
                <c:pt idx="27">
                  <c:v>503.3</c:v>
                </c:pt>
                <c:pt idx="28">
                  <c:v>508.7</c:v>
                </c:pt>
                <c:pt idx="29">
                  <c:v>514.70000000000005</c:v>
                </c:pt>
                <c:pt idx="30">
                  <c:v>520.6</c:v>
                </c:pt>
                <c:pt idx="31">
                  <c:v>525.70000000000005</c:v>
                </c:pt>
                <c:pt idx="32">
                  <c:v>530.5</c:v>
                </c:pt>
                <c:pt idx="33">
                  <c:v>535.20000000000005</c:v>
                </c:pt>
                <c:pt idx="34">
                  <c:v>539.6</c:v>
                </c:pt>
                <c:pt idx="35">
                  <c:v>543.9</c:v>
                </c:pt>
                <c:pt idx="36">
                  <c:v>548.20000000000005</c:v>
                </c:pt>
                <c:pt idx="37">
                  <c:v>552.4</c:v>
                </c:pt>
                <c:pt idx="38">
                  <c:v>556.4</c:v>
                </c:pt>
                <c:pt idx="39">
                  <c:v>560</c:v>
                </c:pt>
                <c:pt idx="40">
                  <c:v>563.5</c:v>
                </c:pt>
                <c:pt idx="41">
                  <c:v>566.79999999999995</c:v>
                </c:pt>
                <c:pt idx="42">
                  <c:v>569.9</c:v>
                </c:pt>
                <c:pt idx="43">
                  <c:v>572.9</c:v>
                </c:pt>
                <c:pt idx="44">
                  <c:v>575.79999999999995</c:v>
                </c:pt>
                <c:pt idx="45">
                  <c:v>578.79999999999995</c:v>
                </c:pt>
                <c:pt idx="46">
                  <c:v>581.70000000000005</c:v>
                </c:pt>
                <c:pt idx="47">
                  <c:v>584.6</c:v>
                </c:pt>
                <c:pt idx="48">
                  <c:v>587.4</c:v>
                </c:pt>
                <c:pt idx="49">
                  <c:v>590.1</c:v>
                </c:pt>
                <c:pt idx="50">
                  <c:v>592.79999999999995</c:v>
                </c:pt>
                <c:pt idx="51">
                  <c:v>595.5</c:v>
                </c:pt>
                <c:pt idx="52">
                  <c:v>598.1</c:v>
                </c:pt>
                <c:pt idx="53">
                  <c:v>600.79999999999995</c:v>
                </c:pt>
                <c:pt idx="54">
                  <c:v>603.6</c:v>
                </c:pt>
                <c:pt idx="55">
                  <c:v>606.29999999999995</c:v>
                </c:pt>
                <c:pt idx="56">
                  <c:v>609</c:v>
                </c:pt>
                <c:pt idx="57">
                  <c:v>611.70000000000005</c:v>
                </c:pt>
                <c:pt idx="58">
                  <c:v>614.5</c:v>
                </c:pt>
                <c:pt idx="59">
                  <c:v>617.29999999999995</c:v>
                </c:pt>
                <c:pt idx="60">
                  <c:v>620.1</c:v>
                </c:pt>
                <c:pt idx="61">
                  <c:v>623</c:v>
                </c:pt>
                <c:pt idx="62">
                  <c:v>625.79999999999995</c:v>
                </c:pt>
                <c:pt idx="63">
                  <c:v>628.6</c:v>
                </c:pt>
                <c:pt idx="64">
                  <c:v>631.4</c:v>
                </c:pt>
                <c:pt idx="65">
                  <c:v>634.20000000000005</c:v>
                </c:pt>
                <c:pt idx="66">
                  <c:v>637.1</c:v>
                </c:pt>
                <c:pt idx="67">
                  <c:v>640</c:v>
                </c:pt>
                <c:pt idx="68">
                  <c:v>643.1</c:v>
                </c:pt>
                <c:pt idx="69">
                  <c:v>646.20000000000005</c:v>
                </c:pt>
                <c:pt idx="70">
                  <c:v>649.20000000000005</c:v>
                </c:pt>
                <c:pt idx="71">
                  <c:v>652.20000000000005</c:v>
                </c:pt>
                <c:pt idx="72">
                  <c:v>655.1</c:v>
                </c:pt>
                <c:pt idx="73">
                  <c:v>658.1</c:v>
                </c:pt>
                <c:pt idx="74">
                  <c:v>661.9</c:v>
                </c:pt>
                <c:pt idx="75">
                  <c:v>665.7</c:v>
                </c:pt>
                <c:pt idx="76">
                  <c:v>669.7</c:v>
                </c:pt>
                <c:pt idx="77">
                  <c:v>673.1</c:v>
                </c:pt>
                <c:pt idx="78">
                  <c:v>676.9</c:v>
                </c:pt>
                <c:pt idx="79">
                  <c:v>681.3</c:v>
                </c:pt>
                <c:pt idx="80">
                  <c:v>685</c:v>
                </c:pt>
                <c:pt idx="81">
                  <c:v>688.9</c:v>
                </c:pt>
                <c:pt idx="82">
                  <c:v>692.4</c:v>
                </c:pt>
                <c:pt idx="83">
                  <c:v>695.7</c:v>
                </c:pt>
                <c:pt idx="84">
                  <c:v>700</c:v>
                </c:pt>
                <c:pt idx="85">
                  <c:v>703.3</c:v>
                </c:pt>
                <c:pt idx="86">
                  <c:v>706.7</c:v>
                </c:pt>
                <c:pt idx="87">
                  <c:v>710.8</c:v>
                </c:pt>
                <c:pt idx="88">
                  <c:v>714.7</c:v>
                </c:pt>
                <c:pt idx="89">
                  <c:v>718.6</c:v>
                </c:pt>
                <c:pt idx="90">
                  <c:v>722.6</c:v>
                </c:pt>
                <c:pt idx="91">
                  <c:v>726.7</c:v>
                </c:pt>
                <c:pt idx="92">
                  <c:v>730.9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009C-40CC-835F-A10742FCB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1948943"/>
        <c:axId val="161193406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'HPS Comparing'!$J$7</c15:sqref>
                        </c15:formulaRef>
                      </c:ext>
                    </c:extLst>
                    <c:strCache>
                      <c:ptCount val="1"/>
                      <c:pt idx="0">
                        <c:v>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'HPS Comparing'!$J$10:$J$89</c15:sqref>
                        </c15:formulaRef>
                      </c:ext>
                    </c:extLst>
                    <c:numCache>
                      <c:formatCode>General</c:formatCode>
                      <c:ptCount val="80"/>
                      <c:pt idx="0">
                        <c:v>142.1</c:v>
                      </c:pt>
                      <c:pt idx="1">
                        <c:v>173.4</c:v>
                      </c:pt>
                      <c:pt idx="2">
                        <c:v>215</c:v>
                      </c:pt>
                      <c:pt idx="3">
                        <c:v>248.3</c:v>
                      </c:pt>
                      <c:pt idx="4">
                        <c:v>270.7</c:v>
                      </c:pt>
                      <c:pt idx="5">
                        <c:v>291.2</c:v>
                      </c:pt>
                      <c:pt idx="6">
                        <c:v>308.60000000000002</c:v>
                      </c:pt>
                      <c:pt idx="7">
                        <c:v>324.2</c:v>
                      </c:pt>
                      <c:pt idx="8">
                        <c:v>338.5</c:v>
                      </c:pt>
                      <c:pt idx="9">
                        <c:v>351.6</c:v>
                      </c:pt>
                      <c:pt idx="10">
                        <c:v>363.5</c:v>
                      </c:pt>
                      <c:pt idx="11">
                        <c:v>374.4</c:v>
                      </c:pt>
                      <c:pt idx="12">
                        <c:v>384.5</c:v>
                      </c:pt>
                      <c:pt idx="13">
                        <c:v>394.2</c:v>
                      </c:pt>
                      <c:pt idx="14">
                        <c:v>404</c:v>
                      </c:pt>
                      <c:pt idx="15">
                        <c:v>413.2</c:v>
                      </c:pt>
                      <c:pt idx="16">
                        <c:v>421.9</c:v>
                      </c:pt>
                      <c:pt idx="17">
                        <c:v>430.1</c:v>
                      </c:pt>
                      <c:pt idx="18">
                        <c:v>438.5</c:v>
                      </c:pt>
                      <c:pt idx="19">
                        <c:v>446.5</c:v>
                      </c:pt>
                      <c:pt idx="20">
                        <c:v>454.4</c:v>
                      </c:pt>
                      <c:pt idx="21">
                        <c:v>462</c:v>
                      </c:pt>
                      <c:pt idx="22">
                        <c:v>469.5</c:v>
                      </c:pt>
                      <c:pt idx="23">
                        <c:v>476.7</c:v>
                      </c:pt>
                      <c:pt idx="24">
                        <c:v>483.7</c:v>
                      </c:pt>
                      <c:pt idx="25">
                        <c:v>490.4</c:v>
                      </c:pt>
                      <c:pt idx="26">
                        <c:v>496.8</c:v>
                      </c:pt>
                      <c:pt idx="27">
                        <c:v>502.6</c:v>
                      </c:pt>
                      <c:pt idx="28">
                        <c:v>508.1</c:v>
                      </c:pt>
                      <c:pt idx="29">
                        <c:v>513.70000000000005</c:v>
                      </c:pt>
                      <c:pt idx="30">
                        <c:v>519.1</c:v>
                      </c:pt>
                      <c:pt idx="31">
                        <c:v>524.20000000000005</c:v>
                      </c:pt>
                      <c:pt idx="32">
                        <c:v>528.79999999999995</c:v>
                      </c:pt>
                      <c:pt idx="33">
                        <c:v>533.20000000000005</c:v>
                      </c:pt>
                      <c:pt idx="34">
                        <c:v>537.4</c:v>
                      </c:pt>
                      <c:pt idx="35">
                        <c:v>541.5</c:v>
                      </c:pt>
                      <c:pt idx="36">
                        <c:v>545.29999999999995</c:v>
                      </c:pt>
                      <c:pt idx="37">
                        <c:v>549.4</c:v>
                      </c:pt>
                      <c:pt idx="38">
                        <c:v>553.20000000000005</c:v>
                      </c:pt>
                      <c:pt idx="39">
                        <c:v>556.9</c:v>
                      </c:pt>
                      <c:pt idx="40">
                        <c:v>560.4</c:v>
                      </c:pt>
                      <c:pt idx="41">
                        <c:v>563.79999999999995</c:v>
                      </c:pt>
                      <c:pt idx="42">
                        <c:v>567</c:v>
                      </c:pt>
                      <c:pt idx="43">
                        <c:v>570</c:v>
                      </c:pt>
                      <c:pt idx="44">
                        <c:v>573</c:v>
                      </c:pt>
                      <c:pt idx="45">
                        <c:v>576.1</c:v>
                      </c:pt>
                      <c:pt idx="46">
                        <c:v>579.20000000000005</c:v>
                      </c:pt>
                      <c:pt idx="47">
                        <c:v>582.4</c:v>
                      </c:pt>
                      <c:pt idx="48">
                        <c:v>585.5</c:v>
                      </c:pt>
                      <c:pt idx="49">
                        <c:v>588.5</c:v>
                      </c:pt>
                      <c:pt idx="50">
                        <c:v>591.6</c:v>
                      </c:pt>
                      <c:pt idx="51">
                        <c:v>594.70000000000005</c:v>
                      </c:pt>
                      <c:pt idx="52">
                        <c:v>597.79999999999995</c:v>
                      </c:pt>
                      <c:pt idx="53">
                        <c:v>601</c:v>
                      </c:pt>
                      <c:pt idx="54">
                        <c:v>604.29999999999995</c:v>
                      </c:pt>
                      <c:pt idx="55">
                        <c:v>607.6</c:v>
                      </c:pt>
                      <c:pt idx="56">
                        <c:v>610.9</c:v>
                      </c:pt>
                      <c:pt idx="57">
                        <c:v>614.29999999999995</c:v>
                      </c:pt>
                      <c:pt idx="58">
                        <c:v>617.79999999999995</c:v>
                      </c:pt>
                      <c:pt idx="59">
                        <c:v>621.4</c:v>
                      </c:pt>
                      <c:pt idx="60">
                        <c:v>625</c:v>
                      </c:pt>
                      <c:pt idx="61">
                        <c:v>628.6</c:v>
                      </c:pt>
                      <c:pt idx="62">
                        <c:v>632</c:v>
                      </c:pt>
                      <c:pt idx="63">
                        <c:v>635.5</c:v>
                      </c:pt>
                      <c:pt idx="64">
                        <c:v>639.29999999999995</c:v>
                      </c:pt>
                      <c:pt idx="65">
                        <c:v>643.29999999999995</c:v>
                      </c:pt>
                      <c:pt idx="66">
                        <c:v>647.4</c:v>
                      </c:pt>
                      <c:pt idx="67">
                        <c:v>651.4</c:v>
                      </c:pt>
                      <c:pt idx="68">
                        <c:v>655.20000000000005</c:v>
                      </c:pt>
                      <c:pt idx="69">
                        <c:v>659.4</c:v>
                      </c:pt>
                      <c:pt idx="70">
                        <c:v>664.4</c:v>
                      </c:pt>
                      <c:pt idx="71">
                        <c:v>669.7</c:v>
                      </c:pt>
                      <c:pt idx="72">
                        <c:v>674.4</c:v>
                      </c:pt>
                      <c:pt idx="73">
                        <c:v>680</c:v>
                      </c:pt>
                      <c:pt idx="74">
                        <c:v>685.4</c:v>
                      </c:pt>
                      <c:pt idx="75">
                        <c:v>691</c:v>
                      </c:pt>
                      <c:pt idx="76">
                        <c:v>696</c:v>
                      </c:pt>
                      <c:pt idx="77">
                        <c:v>702.3</c:v>
                      </c:pt>
                      <c:pt idx="78">
                        <c:v>708.5</c:v>
                      </c:pt>
                      <c:pt idx="79">
                        <c:v>716.3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C-009C-40CC-835F-A10742FCB657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Comparing'!$K$7</c15:sqref>
                        </c15:formulaRef>
                      </c:ext>
                    </c:extLst>
                    <c:strCache>
                      <c:ptCount val="1"/>
                      <c:pt idx="0">
                        <c:v>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Comparing'!$K$10:$K$90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140.19999999999999</c:v>
                      </c:pt>
                      <c:pt idx="1">
                        <c:v>187.3</c:v>
                      </c:pt>
                      <c:pt idx="2">
                        <c:v>232</c:v>
                      </c:pt>
                      <c:pt idx="3">
                        <c:v>261.39999999999998</c:v>
                      </c:pt>
                      <c:pt idx="4">
                        <c:v>285.2</c:v>
                      </c:pt>
                      <c:pt idx="5">
                        <c:v>305.60000000000002</c:v>
                      </c:pt>
                      <c:pt idx="6">
                        <c:v>323.2</c:v>
                      </c:pt>
                      <c:pt idx="7">
                        <c:v>338.6</c:v>
                      </c:pt>
                      <c:pt idx="8">
                        <c:v>351.3</c:v>
                      </c:pt>
                      <c:pt idx="9">
                        <c:v>362.4</c:v>
                      </c:pt>
                      <c:pt idx="10">
                        <c:v>374.1</c:v>
                      </c:pt>
                      <c:pt idx="11">
                        <c:v>387.1</c:v>
                      </c:pt>
                      <c:pt idx="12">
                        <c:v>397.2</c:v>
                      </c:pt>
                      <c:pt idx="13">
                        <c:v>406</c:v>
                      </c:pt>
                      <c:pt idx="14">
                        <c:v>414.7</c:v>
                      </c:pt>
                      <c:pt idx="15">
                        <c:v>424.4</c:v>
                      </c:pt>
                      <c:pt idx="16">
                        <c:v>433.3</c:v>
                      </c:pt>
                      <c:pt idx="17">
                        <c:v>441.2</c:v>
                      </c:pt>
                      <c:pt idx="18">
                        <c:v>448.8</c:v>
                      </c:pt>
                      <c:pt idx="19">
                        <c:v>457.3</c:v>
                      </c:pt>
                      <c:pt idx="20">
                        <c:v>465.4</c:v>
                      </c:pt>
                      <c:pt idx="21">
                        <c:v>472.5</c:v>
                      </c:pt>
                      <c:pt idx="22">
                        <c:v>479.5</c:v>
                      </c:pt>
                      <c:pt idx="23">
                        <c:v>486.9</c:v>
                      </c:pt>
                      <c:pt idx="24">
                        <c:v>494.3</c:v>
                      </c:pt>
                      <c:pt idx="25">
                        <c:v>500.6</c:v>
                      </c:pt>
                      <c:pt idx="26">
                        <c:v>506.4</c:v>
                      </c:pt>
                      <c:pt idx="27">
                        <c:v>512.4</c:v>
                      </c:pt>
                      <c:pt idx="28">
                        <c:v>518.70000000000005</c:v>
                      </c:pt>
                      <c:pt idx="29">
                        <c:v>524.4</c:v>
                      </c:pt>
                      <c:pt idx="30">
                        <c:v>529.6</c:v>
                      </c:pt>
                      <c:pt idx="31">
                        <c:v>534.6</c:v>
                      </c:pt>
                      <c:pt idx="32">
                        <c:v>539.29999999999995</c:v>
                      </c:pt>
                      <c:pt idx="33">
                        <c:v>543.9</c:v>
                      </c:pt>
                      <c:pt idx="34">
                        <c:v>548.6</c:v>
                      </c:pt>
                      <c:pt idx="35">
                        <c:v>553.1</c:v>
                      </c:pt>
                      <c:pt idx="36">
                        <c:v>557.29999999999995</c:v>
                      </c:pt>
                      <c:pt idx="37">
                        <c:v>561.1</c:v>
                      </c:pt>
                      <c:pt idx="38">
                        <c:v>564.79999999999995</c:v>
                      </c:pt>
                      <c:pt idx="39">
                        <c:v>568.20000000000005</c:v>
                      </c:pt>
                      <c:pt idx="40">
                        <c:v>571.4</c:v>
                      </c:pt>
                      <c:pt idx="41">
                        <c:v>574.6</c:v>
                      </c:pt>
                      <c:pt idx="42">
                        <c:v>577.79999999999995</c:v>
                      </c:pt>
                      <c:pt idx="43">
                        <c:v>580.9</c:v>
                      </c:pt>
                      <c:pt idx="44">
                        <c:v>584.1</c:v>
                      </c:pt>
                      <c:pt idx="45">
                        <c:v>587</c:v>
                      </c:pt>
                      <c:pt idx="46">
                        <c:v>590</c:v>
                      </c:pt>
                      <c:pt idx="47">
                        <c:v>592.9</c:v>
                      </c:pt>
                      <c:pt idx="48">
                        <c:v>595.70000000000005</c:v>
                      </c:pt>
                      <c:pt idx="49">
                        <c:v>598.6</c:v>
                      </c:pt>
                      <c:pt idx="50">
                        <c:v>601.5</c:v>
                      </c:pt>
                      <c:pt idx="51">
                        <c:v>604.4</c:v>
                      </c:pt>
                      <c:pt idx="52">
                        <c:v>607.4</c:v>
                      </c:pt>
                      <c:pt idx="53">
                        <c:v>610.29999999999995</c:v>
                      </c:pt>
                      <c:pt idx="54">
                        <c:v>613.29999999999995</c:v>
                      </c:pt>
                      <c:pt idx="55">
                        <c:v>616.29999999999995</c:v>
                      </c:pt>
                      <c:pt idx="56">
                        <c:v>619.4</c:v>
                      </c:pt>
                      <c:pt idx="57">
                        <c:v>622.6</c:v>
                      </c:pt>
                      <c:pt idx="58">
                        <c:v>625.70000000000005</c:v>
                      </c:pt>
                      <c:pt idx="59">
                        <c:v>628.9</c:v>
                      </c:pt>
                      <c:pt idx="60">
                        <c:v>631.9</c:v>
                      </c:pt>
                      <c:pt idx="61">
                        <c:v>635.1</c:v>
                      </c:pt>
                      <c:pt idx="62">
                        <c:v>638.4</c:v>
                      </c:pt>
                      <c:pt idx="63">
                        <c:v>641.79999999999995</c:v>
                      </c:pt>
                      <c:pt idx="64">
                        <c:v>645.4</c:v>
                      </c:pt>
                      <c:pt idx="65">
                        <c:v>648.9</c:v>
                      </c:pt>
                      <c:pt idx="66">
                        <c:v>652.4</c:v>
                      </c:pt>
                      <c:pt idx="67">
                        <c:v>655.8</c:v>
                      </c:pt>
                      <c:pt idx="68">
                        <c:v>659.7</c:v>
                      </c:pt>
                      <c:pt idx="69">
                        <c:v>664.3</c:v>
                      </c:pt>
                      <c:pt idx="70">
                        <c:v>669.1</c:v>
                      </c:pt>
                      <c:pt idx="71">
                        <c:v>673.5</c:v>
                      </c:pt>
                      <c:pt idx="72">
                        <c:v>678.6</c:v>
                      </c:pt>
                      <c:pt idx="73">
                        <c:v>683.9</c:v>
                      </c:pt>
                      <c:pt idx="74">
                        <c:v>689.1</c:v>
                      </c:pt>
                      <c:pt idx="75">
                        <c:v>693.9</c:v>
                      </c:pt>
                      <c:pt idx="76">
                        <c:v>699.8</c:v>
                      </c:pt>
                      <c:pt idx="77">
                        <c:v>705.2</c:v>
                      </c:pt>
                      <c:pt idx="78">
                        <c:v>712.1</c:v>
                      </c:pt>
                      <c:pt idx="79">
                        <c:v>720.3</c:v>
                      </c:pt>
                      <c:pt idx="80">
                        <c:v>733.8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009C-40CC-835F-A10742FCB657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Comparing'!$L$7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Comparing'!$L$10:$L$102</c15:sqref>
                        </c15:formulaRef>
                      </c:ext>
                    </c:extLst>
                    <c:numCache>
                      <c:formatCode>General</c:formatCode>
                      <c:ptCount val="93"/>
                      <c:pt idx="0">
                        <c:v>152.5</c:v>
                      </c:pt>
                      <c:pt idx="1">
                        <c:v>185.3</c:v>
                      </c:pt>
                      <c:pt idx="2">
                        <c:v>226.6</c:v>
                      </c:pt>
                      <c:pt idx="3">
                        <c:v>255</c:v>
                      </c:pt>
                      <c:pt idx="4">
                        <c:v>279.10000000000002</c:v>
                      </c:pt>
                      <c:pt idx="5">
                        <c:v>299.2</c:v>
                      </c:pt>
                      <c:pt idx="6">
                        <c:v>317.3</c:v>
                      </c:pt>
                      <c:pt idx="7">
                        <c:v>332.5</c:v>
                      </c:pt>
                      <c:pt idx="8">
                        <c:v>345.5</c:v>
                      </c:pt>
                      <c:pt idx="9">
                        <c:v>356.3</c:v>
                      </c:pt>
                      <c:pt idx="10">
                        <c:v>366.7</c:v>
                      </c:pt>
                      <c:pt idx="11">
                        <c:v>378.3</c:v>
                      </c:pt>
                      <c:pt idx="12">
                        <c:v>390.2</c:v>
                      </c:pt>
                      <c:pt idx="13">
                        <c:v>398.9</c:v>
                      </c:pt>
                      <c:pt idx="14">
                        <c:v>407.3</c:v>
                      </c:pt>
                      <c:pt idx="15">
                        <c:v>415.7</c:v>
                      </c:pt>
                      <c:pt idx="16">
                        <c:v>424.9</c:v>
                      </c:pt>
                      <c:pt idx="17">
                        <c:v>433.3</c:v>
                      </c:pt>
                      <c:pt idx="18">
                        <c:v>440.7</c:v>
                      </c:pt>
                      <c:pt idx="19">
                        <c:v>448</c:v>
                      </c:pt>
                      <c:pt idx="20">
                        <c:v>455.9</c:v>
                      </c:pt>
                      <c:pt idx="21">
                        <c:v>463.6</c:v>
                      </c:pt>
                      <c:pt idx="22">
                        <c:v>470.6</c:v>
                      </c:pt>
                      <c:pt idx="23">
                        <c:v>477.3</c:v>
                      </c:pt>
                      <c:pt idx="24">
                        <c:v>484.2</c:v>
                      </c:pt>
                      <c:pt idx="25">
                        <c:v>491.3</c:v>
                      </c:pt>
                      <c:pt idx="26">
                        <c:v>497.8</c:v>
                      </c:pt>
                      <c:pt idx="27">
                        <c:v>503.3</c:v>
                      </c:pt>
                      <c:pt idx="28">
                        <c:v>508.7</c:v>
                      </c:pt>
                      <c:pt idx="29">
                        <c:v>514.70000000000005</c:v>
                      </c:pt>
                      <c:pt idx="30">
                        <c:v>520.6</c:v>
                      </c:pt>
                      <c:pt idx="31">
                        <c:v>525.70000000000005</c:v>
                      </c:pt>
                      <c:pt idx="32">
                        <c:v>530.5</c:v>
                      </c:pt>
                      <c:pt idx="33">
                        <c:v>535.20000000000005</c:v>
                      </c:pt>
                      <c:pt idx="34">
                        <c:v>539.6</c:v>
                      </c:pt>
                      <c:pt idx="35">
                        <c:v>543.9</c:v>
                      </c:pt>
                      <c:pt idx="36">
                        <c:v>548.20000000000005</c:v>
                      </c:pt>
                      <c:pt idx="37">
                        <c:v>552.4</c:v>
                      </c:pt>
                      <c:pt idx="38">
                        <c:v>556.4</c:v>
                      </c:pt>
                      <c:pt idx="39">
                        <c:v>560</c:v>
                      </c:pt>
                      <c:pt idx="40">
                        <c:v>563.5</c:v>
                      </c:pt>
                      <c:pt idx="41">
                        <c:v>566.79999999999995</c:v>
                      </c:pt>
                      <c:pt idx="42">
                        <c:v>569.9</c:v>
                      </c:pt>
                      <c:pt idx="43">
                        <c:v>572.9</c:v>
                      </c:pt>
                      <c:pt idx="44">
                        <c:v>575.79999999999995</c:v>
                      </c:pt>
                      <c:pt idx="45">
                        <c:v>578.79999999999995</c:v>
                      </c:pt>
                      <c:pt idx="46">
                        <c:v>581.70000000000005</c:v>
                      </c:pt>
                      <c:pt idx="47">
                        <c:v>584.6</c:v>
                      </c:pt>
                      <c:pt idx="48">
                        <c:v>587.4</c:v>
                      </c:pt>
                      <c:pt idx="49">
                        <c:v>590.1</c:v>
                      </c:pt>
                      <c:pt idx="50">
                        <c:v>592.79999999999995</c:v>
                      </c:pt>
                      <c:pt idx="51">
                        <c:v>595.5</c:v>
                      </c:pt>
                      <c:pt idx="52">
                        <c:v>598.1</c:v>
                      </c:pt>
                      <c:pt idx="53">
                        <c:v>600.79999999999995</c:v>
                      </c:pt>
                      <c:pt idx="54">
                        <c:v>603.6</c:v>
                      </c:pt>
                      <c:pt idx="55">
                        <c:v>606.29999999999995</c:v>
                      </c:pt>
                      <c:pt idx="56">
                        <c:v>609</c:v>
                      </c:pt>
                      <c:pt idx="57">
                        <c:v>611.70000000000005</c:v>
                      </c:pt>
                      <c:pt idx="58">
                        <c:v>614.5</c:v>
                      </c:pt>
                      <c:pt idx="59">
                        <c:v>617.29999999999995</c:v>
                      </c:pt>
                      <c:pt idx="60">
                        <c:v>620.1</c:v>
                      </c:pt>
                      <c:pt idx="61">
                        <c:v>623</c:v>
                      </c:pt>
                      <c:pt idx="62">
                        <c:v>625.79999999999995</c:v>
                      </c:pt>
                      <c:pt idx="63">
                        <c:v>628.6</c:v>
                      </c:pt>
                      <c:pt idx="64">
                        <c:v>631.4</c:v>
                      </c:pt>
                      <c:pt idx="65">
                        <c:v>634.20000000000005</c:v>
                      </c:pt>
                      <c:pt idx="66">
                        <c:v>637.1</c:v>
                      </c:pt>
                      <c:pt idx="67">
                        <c:v>640</c:v>
                      </c:pt>
                      <c:pt idx="68">
                        <c:v>643.1</c:v>
                      </c:pt>
                      <c:pt idx="69">
                        <c:v>646.20000000000005</c:v>
                      </c:pt>
                      <c:pt idx="70">
                        <c:v>649.20000000000005</c:v>
                      </c:pt>
                      <c:pt idx="71">
                        <c:v>652.20000000000005</c:v>
                      </c:pt>
                      <c:pt idx="72">
                        <c:v>655.1</c:v>
                      </c:pt>
                      <c:pt idx="73">
                        <c:v>658.1</c:v>
                      </c:pt>
                      <c:pt idx="74">
                        <c:v>661.9</c:v>
                      </c:pt>
                      <c:pt idx="75">
                        <c:v>665.7</c:v>
                      </c:pt>
                      <c:pt idx="76">
                        <c:v>669.7</c:v>
                      </c:pt>
                      <c:pt idx="77">
                        <c:v>673.1</c:v>
                      </c:pt>
                      <c:pt idx="78">
                        <c:v>676.9</c:v>
                      </c:pt>
                      <c:pt idx="79">
                        <c:v>681.3</c:v>
                      </c:pt>
                      <c:pt idx="80">
                        <c:v>685</c:v>
                      </c:pt>
                      <c:pt idx="81">
                        <c:v>688.9</c:v>
                      </c:pt>
                      <c:pt idx="82">
                        <c:v>692.4</c:v>
                      </c:pt>
                      <c:pt idx="83">
                        <c:v>695.7</c:v>
                      </c:pt>
                      <c:pt idx="84">
                        <c:v>700</c:v>
                      </c:pt>
                      <c:pt idx="85">
                        <c:v>703.3</c:v>
                      </c:pt>
                      <c:pt idx="86">
                        <c:v>706.7</c:v>
                      </c:pt>
                      <c:pt idx="87">
                        <c:v>710.8</c:v>
                      </c:pt>
                      <c:pt idx="88">
                        <c:v>714.7</c:v>
                      </c:pt>
                      <c:pt idx="89">
                        <c:v>718.6</c:v>
                      </c:pt>
                      <c:pt idx="90">
                        <c:v>722.6</c:v>
                      </c:pt>
                      <c:pt idx="91">
                        <c:v>726.7</c:v>
                      </c:pt>
                      <c:pt idx="92">
                        <c:v>730.9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009C-40CC-835F-A10742FCB65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Comparing'!$M$7</c15:sqref>
                        </c15:formulaRef>
                      </c:ext>
                    </c:extLst>
                    <c:strCache>
                      <c:ptCount val="1"/>
                      <c:pt idx="0">
                        <c:v>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Comparing'!$M$10:$M$97</c15:sqref>
                        </c15:formulaRef>
                      </c:ext>
                    </c:extLst>
                    <c:numCache>
                      <c:formatCode>General</c:formatCode>
                      <c:ptCount val="88"/>
                      <c:pt idx="0">
                        <c:v>133.6</c:v>
                      </c:pt>
                      <c:pt idx="1">
                        <c:v>179.1</c:v>
                      </c:pt>
                      <c:pt idx="2">
                        <c:v>224.9</c:v>
                      </c:pt>
                      <c:pt idx="3">
                        <c:v>255.3</c:v>
                      </c:pt>
                      <c:pt idx="4">
                        <c:v>279.7</c:v>
                      </c:pt>
                      <c:pt idx="5">
                        <c:v>300.89999999999998</c:v>
                      </c:pt>
                      <c:pt idx="6">
                        <c:v>317.7</c:v>
                      </c:pt>
                      <c:pt idx="7">
                        <c:v>332.7</c:v>
                      </c:pt>
                      <c:pt idx="8">
                        <c:v>345.9</c:v>
                      </c:pt>
                      <c:pt idx="9">
                        <c:v>357.3</c:v>
                      </c:pt>
                      <c:pt idx="10">
                        <c:v>367.8</c:v>
                      </c:pt>
                      <c:pt idx="11">
                        <c:v>379.7</c:v>
                      </c:pt>
                      <c:pt idx="12">
                        <c:v>391.3</c:v>
                      </c:pt>
                      <c:pt idx="13">
                        <c:v>400</c:v>
                      </c:pt>
                      <c:pt idx="14">
                        <c:v>408.3</c:v>
                      </c:pt>
                      <c:pt idx="15">
                        <c:v>417</c:v>
                      </c:pt>
                      <c:pt idx="16">
                        <c:v>426.3</c:v>
                      </c:pt>
                      <c:pt idx="17">
                        <c:v>434.6</c:v>
                      </c:pt>
                      <c:pt idx="18">
                        <c:v>442.1</c:v>
                      </c:pt>
                      <c:pt idx="19">
                        <c:v>449.4</c:v>
                      </c:pt>
                      <c:pt idx="20">
                        <c:v>457.4</c:v>
                      </c:pt>
                      <c:pt idx="21">
                        <c:v>465.2</c:v>
                      </c:pt>
                      <c:pt idx="22">
                        <c:v>472.3</c:v>
                      </c:pt>
                      <c:pt idx="23">
                        <c:v>479</c:v>
                      </c:pt>
                      <c:pt idx="24">
                        <c:v>486.1</c:v>
                      </c:pt>
                      <c:pt idx="25">
                        <c:v>493.1</c:v>
                      </c:pt>
                      <c:pt idx="26">
                        <c:v>499.3</c:v>
                      </c:pt>
                      <c:pt idx="27">
                        <c:v>505</c:v>
                      </c:pt>
                      <c:pt idx="28">
                        <c:v>510.6</c:v>
                      </c:pt>
                      <c:pt idx="29">
                        <c:v>516.6</c:v>
                      </c:pt>
                      <c:pt idx="30">
                        <c:v>522.4</c:v>
                      </c:pt>
                      <c:pt idx="31">
                        <c:v>527.4</c:v>
                      </c:pt>
                      <c:pt idx="32">
                        <c:v>532.20000000000005</c:v>
                      </c:pt>
                      <c:pt idx="33">
                        <c:v>536.70000000000005</c:v>
                      </c:pt>
                      <c:pt idx="34">
                        <c:v>541.20000000000005</c:v>
                      </c:pt>
                      <c:pt idx="35">
                        <c:v>545.5</c:v>
                      </c:pt>
                      <c:pt idx="36">
                        <c:v>549.79999999999995</c:v>
                      </c:pt>
                      <c:pt idx="37">
                        <c:v>554</c:v>
                      </c:pt>
                      <c:pt idx="38">
                        <c:v>557.9</c:v>
                      </c:pt>
                      <c:pt idx="39">
                        <c:v>561.4</c:v>
                      </c:pt>
                      <c:pt idx="40">
                        <c:v>564.9</c:v>
                      </c:pt>
                      <c:pt idx="41">
                        <c:v>568.1</c:v>
                      </c:pt>
                      <c:pt idx="42">
                        <c:v>571.20000000000005</c:v>
                      </c:pt>
                      <c:pt idx="43">
                        <c:v>574.20000000000005</c:v>
                      </c:pt>
                      <c:pt idx="44">
                        <c:v>577.20000000000005</c:v>
                      </c:pt>
                      <c:pt idx="45">
                        <c:v>580.20000000000005</c:v>
                      </c:pt>
                      <c:pt idx="46">
                        <c:v>583.1</c:v>
                      </c:pt>
                      <c:pt idx="47">
                        <c:v>586</c:v>
                      </c:pt>
                      <c:pt idx="48">
                        <c:v>588.79999999999995</c:v>
                      </c:pt>
                      <c:pt idx="49">
                        <c:v>591.6</c:v>
                      </c:pt>
                      <c:pt idx="50">
                        <c:v>594.29999999999995</c:v>
                      </c:pt>
                      <c:pt idx="51">
                        <c:v>597</c:v>
                      </c:pt>
                      <c:pt idx="52">
                        <c:v>599.79999999999995</c:v>
                      </c:pt>
                      <c:pt idx="53">
                        <c:v>602.6</c:v>
                      </c:pt>
                      <c:pt idx="54">
                        <c:v>605.4</c:v>
                      </c:pt>
                      <c:pt idx="55">
                        <c:v>608.20000000000005</c:v>
                      </c:pt>
                      <c:pt idx="56">
                        <c:v>611</c:v>
                      </c:pt>
                      <c:pt idx="57">
                        <c:v>613.9</c:v>
                      </c:pt>
                      <c:pt idx="58">
                        <c:v>616.79999999999995</c:v>
                      </c:pt>
                      <c:pt idx="59">
                        <c:v>619.70000000000005</c:v>
                      </c:pt>
                      <c:pt idx="60">
                        <c:v>622.70000000000005</c:v>
                      </c:pt>
                      <c:pt idx="61">
                        <c:v>625.70000000000005</c:v>
                      </c:pt>
                      <c:pt idx="62">
                        <c:v>628.70000000000005</c:v>
                      </c:pt>
                      <c:pt idx="63">
                        <c:v>631.6</c:v>
                      </c:pt>
                      <c:pt idx="64">
                        <c:v>634.5</c:v>
                      </c:pt>
                      <c:pt idx="65">
                        <c:v>637.6</c:v>
                      </c:pt>
                      <c:pt idx="66">
                        <c:v>640.70000000000005</c:v>
                      </c:pt>
                      <c:pt idx="67">
                        <c:v>644</c:v>
                      </c:pt>
                      <c:pt idx="68">
                        <c:v>647.4</c:v>
                      </c:pt>
                      <c:pt idx="69">
                        <c:v>650.5</c:v>
                      </c:pt>
                      <c:pt idx="70">
                        <c:v>653.70000000000005</c:v>
                      </c:pt>
                      <c:pt idx="71">
                        <c:v>656.8</c:v>
                      </c:pt>
                      <c:pt idx="72">
                        <c:v>660.6</c:v>
                      </c:pt>
                      <c:pt idx="73">
                        <c:v>664.8</c:v>
                      </c:pt>
                      <c:pt idx="74">
                        <c:v>669.2</c:v>
                      </c:pt>
                      <c:pt idx="75">
                        <c:v>673.1</c:v>
                      </c:pt>
                      <c:pt idx="76">
                        <c:v>677.4</c:v>
                      </c:pt>
                      <c:pt idx="77">
                        <c:v>682.2</c:v>
                      </c:pt>
                      <c:pt idx="78">
                        <c:v>686.5</c:v>
                      </c:pt>
                      <c:pt idx="79">
                        <c:v>691.2</c:v>
                      </c:pt>
                      <c:pt idx="80">
                        <c:v>694.8</c:v>
                      </c:pt>
                      <c:pt idx="81">
                        <c:v>699.9</c:v>
                      </c:pt>
                      <c:pt idx="82">
                        <c:v>704</c:v>
                      </c:pt>
                      <c:pt idx="83">
                        <c:v>708.8</c:v>
                      </c:pt>
                      <c:pt idx="84">
                        <c:v>714.2</c:v>
                      </c:pt>
                      <c:pt idx="85">
                        <c:v>719.8</c:v>
                      </c:pt>
                      <c:pt idx="86">
                        <c:v>726.2</c:v>
                      </c:pt>
                      <c:pt idx="87">
                        <c:v>733.5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009C-40CC-835F-A10742FCB657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Comparing'!$N$7</c15:sqref>
                        </c15:formulaRef>
                      </c:ext>
                    </c:extLst>
                    <c:strCache>
                      <c:ptCount val="1"/>
                      <c:pt idx="0">
                        <c:v>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Comparing'!$N$10:$N$107</c15:sqref>
                        </c15:formulaRef>
                      </c:ext>
                    </c:extLst>
                    <c:numCache>
                      <c:formatCode>General</c:formatCode>
                      <c:ptCount val="98"/>
                      <c:pt idx="0">
                        <c:v>95.5</c:v>
                      </c:pt>
                      <c:pt idx="1">
                        <c:v>125.7</c:v>
                      </c:pt>
                      <c:pt idx="2">
                        <c:v>155.6</c:v>
                      </c:pt>
                      <c:pt idx="3">
                        <c:v>174.7</c:v>
                      </c:pt>
                      <c:pt idx="4">
                        <c:v>190.5</c:v>
                      </c:pt>
                      <c:pt idx="5">
                        <c:v>203.2</c:v>
                      </c:pt>
                      <c:pt idx="6">
                        <c:v>216</c:v>
                      </c:pt>
                      <c:pt idx="7">
                        <c:v>226</c:v>
                      </c:pt>
                      <c:pt idx="8">
                        <c:v>235.1</c:v>
                      </c:pt>
                      <c:pt idx="9">
                        <c:v>245.2</c:v>
                      </c:pt>
                      <c:pt idx="10">
                        <c:v>253.3</c:v>
                      </c:pt>
                      <c:pt idx="11">
                        <c:v>262.5</c:v>
                      </c:pt>
                      <c:pt idx="12">
                        <c:v>270.2</c:v>
                      </c:pt>
                      <c:pt idx="13">
                        <c:v>278.8</c:v>
                      </c:pt>
                      <c:pt idx="14">
                        <c:v>286.39999999999998</c:v>
                      </c:pt>
                      <c:pt idx="15">
                        <c:v>294.10000000000002</c:v>
                      </c:pt>
                      <c:pt idx="16">
                        <c:v>301</c:v>
                      </c:pt>
                      <c:pt idx="17">
                        <c:v>308</c:v>
                      </c:pt>
                      <c:pt idx="18">
                        <c:v>314.89999999999998</c:v>
                      </c:pt>
                      <c:pt idx="19">
                        <c:v>321.3</c:v>
                      </c:pt>
                      <c:pt idx="20">
                        <c:v>328.2</c:v>
                      </c:pt>
                      <c:pt idx="21">
                        <c:v>334.2</c:v>
                      </c:pt>
                      <c:pt idx="22">
                        <c:v>340.8</c:v>
                      </c:pt>
                      <c:pt idx="23">
                        <c:v>346.4</c:v>
                      </c:pt>
                      <c:pt idx="24">
                        <c:v>352.3</c:v>
                      </c:pt>
                      <c:pt idx="25">
                        <c:v>357.5</c:v>
                      </c:pt>
                      <c:pt idx="26">
                        <c:v>363.2</c:v>
                      </c:pt>
                      <c:pt idx="27">
                        <c:v>368.5</c:v>
                      </c:pt>
                      <c:pt idx="28">
                        <c:v>375.1</c:v>
                      </c:pt>
                      <c:pt idx="29">
                        <c:v>381.5</c:v>
                      </c:pt>
                      <c:pt idx="30">
                        <c:v>388.2</c:v>
                      </c:pt>
                      <c:pt idx="31">
                        <c:v>393.9</c:v>
                      </c:pt>
                      <c:pt idx="32">
                        <c:v>399.4</c:v>
                      </c:pt>
                      <c:pt idx="33">
                        <c:v>404.7</c:v>
                      </c:pt>
                      <c:pt idx="34">
                        <c:v>410</c:v>
                      </c:pt>
                      <c:pt idx="35">
                        <c:v>415.6</c:v>
                      </c:pt>
                      <c:pt idx="36">
                        <c:v>421</c:v>
                      </c:pt>
                      <c:pt idx="37">
                        <c:v>427</c:v>
                      </c:pt>
                      <c:pt idx="38">
                        <c:v>432.5</c:v>
                      </c:pt>
                      <c:pt idx="39">
                        <c:v>438.1</c:v>
                      </c:pt>
                      <c:pt idx="40">
                        <c:v>443.3</c:v>
                      </c:pt>
                      <c:pt idx="41">
                        <c:v>448.5</c:v>
                      </c:pt>
                      <c:pt idx="42">
                        <c:v>454.3</c:v>
                      </c:pt>
                      <c:pt idx="43">
                        <c:v>459.9</c:v>
                      </c:pt>
                      <c:pt idx="44">
                        <c:v>465.4</c:v>
                      </c:pt>
                      <c:pt idx="45">
                        <c:v>471</c:v>
                      </c:pt>
                      <c:pt idx="46">
                        <c:v>476.4</c:v>
                      </c:pt>
                      <c:pt idx="47">
                        <c:v>481.9</c:v>
                      </c:pt>
                      <c:pt idx="48">
                        <c:v>487.5</c:v>
                      </c:pt>
                      <c:pt idx="49">
                        <c:v>493.2</c:v>
                      </c:pt>
                      <c:pt idx="50">
                        <c:v>498.4</c:v>
                      </c:pt>
                      <c:pt idx="51">
                        <c:v>503.4</c:v>
                      </c:pt>
                      <c:pt idx="52">
                        <c:v>508.3</c:v>
                      </c:pt>
                      <c:pt idx="53">
                        <c:v>513.70000000000005</c:v>
                      </c:pt>
                      <c:pt idx="54">
                        <c:v>519.1</c:v>
                      </c:pt>
                      <c:pt idx="55">
                        <c:v>524.20000000000005</c:v>
                      </c:pt>
                      <c:pt idx="56">
                        <c:v>529.1</c:v>
                      </c:pt>
                      <c:pt idx="57">
                        <c:v>533.9</c:v>
                      </c:pt>
                      <c:pt idx="58">
                        <c:v>538.70000000000005</c:v>
                      </c:pt>
                      <c:pt idx="59">
                        <c:v>543.29999999999995</c:v>
                      </c:pt>
                      <c:pt idx="60">
                        <c:v>548.1</c:v>
                      </c:pt>
                      <c:pt idx="61">
                        <c:v>552.79999999999995</c:v>
                      </c:pt>
                      <c:pt idx="62">
                        <c:v>557.4</c:v>
                      </c:pt>
                      <c:pt idx="63">
                        <c:v>561.79999999999995</c:v>
                      </c:pt>
                      <c:pt idx="64">
                        <c:v>566.1</c:v>
                      </c:pt>
                      <c:pt idx="65">
                        <c:v>570.20000000000005</c:v>
                      </c:pt>
                      <c:pt idx="66">
                        <c:v>574.20000000000005</c:v>
                      </c:pt>
                      <c:pt idx="67">
                        <c:v>578.5</c:v>
                      </c:pt>
                      <c:pt idx="68">
                        <c:v>582.9</c:v>
                      </c:pt>
                      <c:pt idx="69">
                        <c:v>587.20000000000005</c:v>
                      </c:pt>
                      <c:pt idx="70">
                        <c:v>591.6</c:v>
                      </c:pt>
                      <c:pt idx="71">
                        <c:v>596</c:v>
                      </c:pt>
                      <c:pt idx="72">
                        <c:v>600.5</c:v>
                      </c:pt>
                      <c:pt idx="73">
                        <c:v>605.29999999999995</c:v>
                      </c:pt>
                      <c:pt idx="74">
                        <c:v>610.29999999999995</c:v>
                      </c:pt>
                      <c:pt idx="75">
                        <c:v>615.29999999999995</c:v>
                      </c:pt>
                      <c:pt idx="76">
                        <c:v>620.9</c:v>
                      </c:pt>
                      <c:pt idx="77">
                        <c:v>626.4</c:v>
                      </c:pt>
                      <c:pt idx="78">
                        <c:v>632.1</c:v>
                      </c:pt>
                      <c:pt idx="79">
                        <c:v>638</c:v>
                      </c:pt>
                      <c:pt idx="80">
                        <c:v>644.6</c:v>
                      </c:pt>
                      <c:pt idx="81">
                        <c:v>651.6</c:v>
                      </c:pt>
                      <c:pt idx="82">
                        <c:v>658.6</c:v>
                      </c:pt>
                      <c:pt idx="83">
                        <c:v>667.9</c:v>
                      </c:pt>
                      <c:pt idx="84">
                        <c:v>677.4</c:v>
                      </c:pt>
                      <c:pt idx="85">
                        <c:v>688.1</c:v>
                      </c:pt>
                      <c:pt idx="86">
                        <c:v>698.6</c:v>
                      </c:pt>
                      <c:pt idx="87">
                        <c:v>709.6</c:v>
                      </c:pt>
                      <c:pt idx="88">
                        <c:v>722.6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009C-40CC-835F-A10742FCB657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Comparing'!$O$7</c15:sqref>
                        </c15:formulaRef>
                      </c:ext>
                    </c:extLst>
                    <c:strCache>
                      <c:ptCount val="1"/>
                      <c:pt idx="0">
                        <c:v>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Comparing'!$O$10:$O$102</c15:sqref>
                        </c15:formulaRef>
                      </c:ext>
                    </c:extLst>
                    <c:numCache>
                      <c:formatCode>General</c:formatCode>
                      <c:ptCount val="93"/>
                      <c:pt idx="0">
                        <c:v>110.4</c:v>
                      </c:pt>
                      <c:pt idx="1">
                        <c:v>133.4</c:v>
                      </c:pt>
                      <c:pt idx="2">
                        <c:v>162.30000000000001</c:v>
                      </c:pt>
                      <c:pt idx="3">
                        <c:v>180.8</c:v>
                      </c:pt>
                      <c:pt idx="4">
                        <c:v>196.7</c:v>
                      </c:pt>
                      <c:pt idx="5">
                        <c:v>211.2</c:v>
                      </c:pt>
                      <c:pt idx="6">
                        <c:v>222.6</c:v>
                      </c:pt>
                      <c:pt idx="7">
                        <c:v>234</c:v>
                      </c:pt>
                      <c:pt idx="8">
                        <c:v>244.8</c:v>
                      </c:pt>
                      <c:pt idx="9">
                        <c:v>253.6</c:v>
                      </c:pt>
                      <c:pt idx="10">
                        <c:v>264</c:v>
                      </c:pt>
                      <c:pt idx="11">
                        <c:v>273.10000000000002</c:v>
                      </c:pt>
                      <c:pt idx="12">
                        <c:v>283</c:v>
                      </c:pt>
                      <c:pt idx="13">
                        <c:v>291.5</c:v>
                      </c:pt>
                      <c:pt idx="14">
                        <c:v>299.39999999999998</c:v>
                      </c:pt>
                      <c:pt idx="15">
                        <c:v>306.89999999999998</c:v>
                      </c:pt>
                      <c:pt idx="16">
                        <c:v>314.2</c:v>
                      </c:pt>
                      <c:pt idx="17">
                        <c:v>321.7</c:v>
                      </c:pt>
                      <c:pt idx="18">
                        <c:v>328.5</c:v>
                      </c:pt>
                      <c:pt idx="19">
                        <c:v>336.2</c:v>
                      </c:pt>
                      <c:pt idx="20">
                        <c:v>342.6</c:v>
                      </c:pt>
                      <c:pt idx="21">
                        <c:v>349.8</c:v>
                      </c:pt>
                      <c:pt idx="22">
                        <c:v>355.6</c:v>
                      </c:pt>
                      <c:pt idx="23">
                        <c:v>362.1</c:v>
                      </c:pt>
                      <c:pt idx="24">
                        <c:v>368</c:v>
                      </c:pt>
                      <c:pt idx="25">
                        <c:v>375.3</c:v>
                      </c:pt>
                      <c:pt idx="26">
                        <c:v>382.2</c:v>
                      </c:pt>
                      <c:pt idx="27">
                        <c:v>389</c:v>
                      </c:pt>
                      <c:pt idx="28">
                        <c:v>395.6</c:v>
                      </c:pt>
                      <c:pt idx="29">
                        <c:v>401.3</c:v>
                      </c:pt>
                      <c:pt idx="30">
                        <c:v>407.5</c:v>
                      </c:pt>
                      <c:pt idx="31">
                        <c:v>413.1</c:v>
                      </c:pt>
                      <c:pt idx="32">
                        <c:v>419</c:v>
                      </c:pt>
                      <c:pt idx="33">
                        <c:v>425.4</c:v>
                      </c:pt>
                      <c:pt idx="34">
                        <c:v>431.3</c:v>
                      </c:pt>
                      <c:pt idx="35">
                        <c:v>437.2</c:v>
                      </c:pt>
                      <c:pt idx="36">
                        <c:v>442.9</c:v>
                      </c:pt>
                      <c:pt idx="37">
                        <c:v>448.4</c:v>
                      </c:pt>
                      <c:pt idx="38">
                        <c:v>454.4</c:v>
                      </c:pt>
                      <c:pt idx="39">
                        <c:v>460.3</c:v>
                      </c:pt>
                      <c:pt idx="40">
                        <c:v>466.1</c:v>
                      </c:pt>
                      <c:pt idx="41">
                        <c:v>471.7</c:v>
                      </c:pt>
                      <c:pt idx="42">
                        <c:v>477.5</c:v>
                      </c:pt>
                      <c:pt idx="43">
                        <c:v>483.1</c:v>
                      </c:pt>
                      <c:pt idx="44">
                        <c:v>488.8</c:v>
                      </c:pt>
                      <c:pt idx="45">
                        <c:v>494.6</c:v>
                      </c:pt>
                      <c:pt idx="46">
                        <c:v>499.9</c:v>
                      </c:pt>
                      <c:pt idx="47">
                        <c:v>504.9</c:v>
                      </c:pt>
                      <c:pt idx="48">
                        <c:v>510</c:v>
                      </c:pt>
                      <c:pt idx="49">
                        <c:v>515.4</c:v>
                      </c:pt>
                      <c:pt idx="50">
                        <c:v>520.79999999999995</c:v>
                      </c:pt>
                      <c:pt idx="51">
                        <c:v>525.79999999999995</c:v>
                      </c:pt>
                      <c:pt idx="52">
                        <c:v>530.6</c:v>
                      </c:pt>
                      <c:pt idx="53">
                        <c:v>535.29999999999995</c:v>
                      </c:pt>
                      <c:pt idx="54">
                        <c:v>539.9</c:v>
                      </c:pt>
                      <c:pt idx="55">
                        <c:v>544.4</c:v>
                      </c:pt>
                      <c:pt idx="56">
                        <c:v>549</c:v>
                      </c:pt>
                      <c:pt idx="57">
                        <c:v>553.5</c:v>
                      </c:pt>
                      <c:pt idx="58">
                        <c:v>557.79999999999995</c:v>
                      </c:pt>
                      <c:pt idx="59">
                        <c:v>561.79999999999995</c:v>
                      </c:pt>
                      <c:pt idx="60">
                        <c:v>565.79999999999995</c:v>
                      </c:pt>
                      <c:pt idx="61">
                        <c:v>569.5</c:v>
                      </c:pt>
                      <c:pt idx="62">
                        <c:v>573.20000000000005</c:v>
                      </c:pt>
                      <c:pt idx="63">
                        <c:v>577.1</c:v>
                      </c:pt>
                      <c:pt idx="64">
                        <c:v>581</c:v>
                      </c:pt>
                      <c:pt idx="65">
                        <c:v>584.9</c:v>
                      </c:pt>
                      <c:pt idx="66">
                        <c:v>588.79999999999995</c:v>
                      </c:pt>
                      <c:pt idx="67">
                        <c:v>592.79999999999995</c:v>
                      </c:pt>
                      <c:pt idx="68">
                        <c:v>596.70000000000005</c:v>
                      </c:pt>
                      <c:pt idx="69">
                        <c:v>600.79999999999995</c:v>
                      </c:pt>
                      <c:pt idx="70">
                        <c:v>605.1</c:v>
                      </c:pt>
                      <c:pt idx="71">
                        <c:v>609.5</c:v>
                      </c:pt>
                      <c:pt idx="72">
                        <c:v>614</c:v>
                      </c:pt>
                      <c:pt idx="73">
                        <c:v>618.9</c:v>
                      </c:pt>
                      <c:pt idx="74">
                        <c:v>623.9</c:v>
                      </c:pt>
                      <c:pt idx="75">
                        <c:v>628.9</c:v>
                      </c:pt>
                      <c:pt idx="76">
                        <c:v>634.1</c:v>
                      </c:pt>
                      <c:pt idx="77">
                        <c:v>639.6</c:v>
                      </c:pt>
                      <c:pt idx="78">
                        <c:v>645.70000000000005</c:v>
                      </c:pt>
                      <c:pt idx="79">
                        <c:v>651.9</c:v>
                      </c:pt>
                      <c:pt idx="80">
                        <c:v>658</c:v>
                      </c:pt>
                      <c:pt idx="81">
                        <c:v>666.2</c:v>
                      </c:pt>
                      <c:pt idx="82">
                        <c:v>674.4</c:v>
                      </c:pt>
                      <c:pt idx="83">
                        <c:v>684</c:v>
                      </c:pt>
                      <c:pt idx="84">
                        <c:v>693</c:v>
                      </c:pt>
                      <c:pt idx="85">
                        <c:v>702.7</c:v>
                      </c:pt>
                      <c:pt idx="86">
                        <c:v>713.1</c:v>
                      </c:pt>
                      <c:pt idx="87">
                        <c:v>724.8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009C-40CC-835F-A10742FCB657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Comparing'!$P$7</c15:sqref>
                        </c15:formulaRef>
                      </c:ext>
                    </c:extLst>
                    <c:strCache>
                      <c:ptCount val="1"/>
                      <c:pt idx="0">
                        <c:v>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Comparing'!$P$10:$P$102</c15:sqref>
                        </c15:formulaRef>
                      </c:ext>
                    </c:extLst>
                    <c:numCache>
                      <c:formatCode>General</c:formatCode>
                      <c:ptCount val="93"/>
                      <c:pt idx="0">
                        <c:v>111.6</c:v>
                      </c:pt>
                      <c:pt idx="1">
                        <c:v>136.19999999999999</c:v>
                      </c:pt>
                      <c:pt idx="2">
                        <c:v>162.80000000000001</c:v>
                      </c:pt>
                      <c:pt idx="3">
                        <c:v>181.4</c:v>
                      </c:pt>
                      <c:pt idx="4">
                        <c:v>196.4</c:v>
                      </c:pt>
                      <c:pt idx="5">
                        <c:v>209.9</c:v>
                      </c:pt>
                      <c:pt idx="6">
                        <c:v>220.8</c:v>
                      </c:pt>
                      <c:pt idx="7">
                        <c:v>231.5</c:v>
                      </c:pt>
                      <c:pt idx="8">
                        <c:v>241.8</c:v>
                      </c:pt>
                      <c:pt idx="9">
                        <c:v>250.5</c:v>
                      </c:pt>
                      <c:pt idx="10">
                        <c:v>260.3</c:v>
                      </c:pt>
                      <c:pt idx="11">
                        <c:v>268.3</c:v>
                      </c:pt>
                      <c:pt idx="12">
                        <c:v>278.10000000000002</c:v>
                      </c:pt>
                      <c:pt idx="13">
                        <c:v>286.39999999999998</c:v>
                      </c:pt>
                      <c:pt idx="14">
                        <c:v>294.60000000000002</c:v>
                      </c:pt>
                      <c:pt idx="15">
                        <c:v>301.60000000000002</c:v>
                      </c:pt>
                      <c:pt idx="16">
                        <c:v>309.5</c:v>
                      </c:pt>
                      <c:pt idx="17">
                        <c:v>316</c:v>
                      </c:pt>
                      <c:pt idx="18">
                        <c:v>323.7</c:v>
                      </c:pt>
                      <c:pt idx="19">
                        <c:v>330.2</c:v>
                      </c:pt>
                      <c:pt idx="20">
                        <c:v>337.5</c:v>
                      </c:pt>
                      <c:pt idx="21">
                        <c:v>343.9</c:v>
                      </c:pt>
                      <c:pt idx="22">
                        <c:v>350.3</c:v>
                      </c:pt>
                      <c:pt idx="23">
                        <c:v>355.9</c:v>
                      </c:pt>
                      <c:pt idx="24">
                        <c:v>361.9</c:v>
                      </c:pt>
                      <c:pt idx="25">
                        <c:v>367.7</c:v>
                      </c:pt>
                      <c:pt idx="26">
                        <c:v>374.1</c:v>
                      </c:pt>
                      <c:pt idx="27">
                        <c:v>381.5</c:v>
                      </c:pt>
                      <c:pt idx="28">
                        <c:v>388.1</c:v>
                      </c:pt>
                      <c:pt idx="29">
                        <c:v>394.7</c:v>
                      </c:pt>
                      <c:pt idx="30">
                        <c:v>400.2</c:v>
                      </c:pt>
                      <c:pt idx="31">
                        <c:v>406.1</c:v>
                      </c:pt>
                      <c:pt idx="32">
                        <c:v>411.5</c:v>
                      </c:pt>
                      <c:pt idx="33">
                        <c:v>417.2</c:v>
                      </c:pt>
                      <c:pt idx="34">
                        <c:v>423.4</c:v>
                      </c:pt>
                      <c:pt idx="35">
                        <c:v>429.2</c:v>
                      </c:pt>
                      <c:pt idx="36">
                        <c:v>435</c:v>
                      </c:pt>
                      <c:pt idx="37">
                        <c:v>440.4</c:v>
                      </c:pt>
                      <c:pt idx="38">
                        <c:v>445.8</c:v>
                      </c:pt>
                      <c:pt idx="39">
                        <c:v>451.6</c:v>
                      </c:pt>
                      <c:pt idx="40">
                        <c:v>457.2</c:v>
                      </c:pt>
                      <c:pt idx="41">
                        <c:v>462.8</c:v>
                      </c:pt>
                      <c:pt idx="42">
                        <c:v>468.5</c:v>
                      </c:pt>
                      <c:pt idx="43">
                        <c:v>473.8</c:v>
                      </c:pt>
                      <c:pt idx="44">
                        <c:v>479.2</c:v>
                      </c:pt>
                      <c:pt idx="45">
                        <c:v>484.6</c:v>
                      </c:pt>
                      <c:pt idx="46">
                        <c:v>490.2</c:v>
                      </c:pt>
                      <c:pt idx="47">
                        <c:v>495.6</c:v>
                      </c:pt>
                      <c:pt idx="48">
                        <c:v>500.4</c:v>
                      </c:pt>
                      <c:pt idx="49">
                        <c:v>505.2</c:v>
                      </c:pt>
                      <c:pt idx="50">
                        <c:v>510</c:v>
                      </c:pt>
                      <c:pt idx="51">
                        <c:v>515.1</c:v>
                      </c:pt>
                      <c:pt idx="52">
                        <c:v>520.1</c:v>
                      </c:pt>
                      <c:pt idx="53">
                        <c:v>524.79999999999995</c:v>
                      </c:pt>
                      <c:pt idx="54">
                        <c:v>529.29999999999995</c:v>
                      </c:pt>
                      <c:pt idx="55">
                        <c:v>533.70000000000005</c:v>
                      </c:pt>
                      <c:pt idx="56">
                        <c:v>538</c:v>
                      </c:pt>
                      <c:pt idx="57">
                        <c:v>542.20000000000005</c:v>
                      </c:pt>
                      <c:pt idx="58">
                        <c:v>546.4</c:v>
                      </c:pt>
                      <c:pt idx="59">
                        <c:v>550.5</c:v>
                      </c:pt>
                      <c:pt idx="60">
                        <c:v>554.6</c:v>
                      </c:pt>
                      <c:pt idx="61">
                        <c:v>558.5</c:v>
                      </c:pt>
                      <c:pt idx="62">
                        <c:v>562.20000000000005</c:v>
                      </c:pt>
                      <c:pt idx="63">
                        <c:v>565.9</c:v>
                      </c:pt>
                      <c:pt idx="64">
                        <c:v>569.29999999999995</c:v>
                      </c:pt>
                      <c:pt idx="65">
                        <c:v>572.70000000000005</c:v>
                      </c:pt>
                      <c:pt idx="66">
                        <c:v>576.20000000000005</c:v>
                      </c:pt>
                      <c:pt idx="67">
                        <c:v>579.79999999999995</c:v>
                      </c:pt>
                      <c:pt idx="68">
                        <c:v>583.5</c:v>
                      </c:pt>
                      <c:pt idx="69">
                        <c:v>587</c:v>
                      </c:pt>
                      <c:pt idx="70">
                        <c:v>590.6</c:v>
                      </c:pt>
                      <c:pt idx="71">
                        <c:v>594.29999999999995</c:v>
                      </c:pt>
                      <c:pt idx="72">
                        <c:v>598</c:v>
                      </c:pt>
                      <c:pt idx="73">
                        <c:v>601.79999999999995</c:v>
                      </c:pt>
                      <c:pt idx="74">
                        <c:v>605.79999999999995</c:v>
                      </c:pt>
                      <c:pt idx="75">
                        <c:v>609.9</c:v>
                      </c:pt>
                      <c:pt idx="76">
                        <c:v>614.1</c:v>
                      </c:pt>
                      <c:pt idx="77">
                        <c:v>618.6</c:v>
                      </c:pt>
                      <c:pt idx="78">
                        <c:v>623.20000000000005</c:v>
                      </c:pt>
                      <c:pt idx="79">
                        <c:v>628</c:v>
                      </c:pt>
                      <c:pt idx="80">
                        <c:v>632.79999999999995</c:v>
                      </c:pt>
                      <c:pt idx="81">
                        <c:v>638</c:v>
                      </c:pt>
                      <c:pt idx="82">
                        <c:v>643.70000000000005</c:v>
                      </c:pt>
                      <c:pt idx="83">
                        <c:v>649.70000000000005</c:v>
                      </c:pt>
                      <c:pt idx="84">
                        <c:v>655.7</c:v>
                      </c:pt>
                      <c:pt idx="85">
                        <c:v>662.9</c:v>
                      </c:pt>
                      <c:pt idx="86">
                        <c:v>671.4</c:v>
                      </c:pt>
                      <c:pt idx="87">
                        <c:v>680.7</c:v>
                      </c:pt>
                      <c:pt idx="88">
                        <c:v>690.4</c:v>
                      </c:pt>
                      <c:pt idx="89">
                        <c:v>700.8</c:v>
                      </c:pt>
                      <c:pt idx="90">
                        <c:v>712.8</c:v>
                      </c:pt>
                      <c:pt idx="91">
                        <c:v>729.3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009C-40CC-835F-A10742FCB657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Comparing'!$Q$7</c15:sqref>
                        </c15:formulaRef>
                      </c:ext>
                    </c:extLst>
                    <c:strCache>
                      <c:ptCount val="1"/>
                      <c:pt idx="0">
                        <c:v>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Pt>
                  <c:idx val="6"/>
                  <c:marker>
                    <c:symbol val="none"/>
                  </c:marker>
                  <c:bubble3D val="0"/>
                  <c:spPr>
                    <a:ln w="19050" cap="rnd">
                      <a:solidFill>
                        <a:schemeClr val="accent2">
                          <a:lumMod val="60000"/>
                        </a:schemeClr>
                      </a:solidFill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4-009C-40CC-835F-A10742FCB657}"/>
                    </c:ext>
                  </c:extLst>
                </c:dPt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Comparing'!$Q$10:$Q$98</c15:sqref>
                        </c15:formulaRef>
                      </c:ext>
                    </c:extLst>
                    <c:numCache>
                      <c:formatCode>General</c:formatCode>
                      <c:ptCount val="89"/>
                      <c:pt idx="0">
                        <c:v>109.6</c:v>
                      </c:pt>
                      <c:pt idx="1">
                        <c:v>135.4</c:v>
                      </c:pt>
                      <c:pt idx="2">
                        <c:v>164.5</c:v>
                      </c:pt>
                      <c:pt idx="3">
                        <c:v>184.4</c:v>
                      </c:pt>
                      <c:pt idx="4">
                        <c:v>200.6</c:v>
                      </c:pt>
                      <c:pt idx="5">
                        <c:v>215.6</c:v>
                      </c:pt>
                      <c:pt idx="6">
                        <c:v>227.3</c:v>
                      </c:pt>
                      <c:pt idx="7">
                        <c:v>238.1</c:v>
                      </c:pt>
                      <c:pt idx="8">
                        <c:v>249.9</c:v>
                      </c:pt>
                      <c:pt idx="9">
                        <c:v>260</c:v>
                      </c:pt>
                      <c:pt idx="10">
                        <c:v>270</c:v>
                      </c:pt>
                      <c:pt idx="11">
                        <c:v>280.2</c:v>
                      </c:pt>
                      <c:pt idx="12">
                        <c:v>289.60000000000002</c:v>
                      </c:pt>
                      <c:pt idx="13">
                        <c:v>298.89999999999998</c:v>
                      </c:pt>
                      <c:pt idx="14">
                        <c:v>307.10000000000002</c:v>
                      </c:pt>
                      <c:pt idx="15">
                        <c:v>315.2</c:v>
                      </c:pt>
                      <c:pt idx="16">
                        <c:v>323.3</c:v>
                      </c:pt>
                      <c:pt idx="17">
                        <c:v>330.6</c:v>
                      </c:pt>
                      <c:pt idx="18">
                        <c:v>339.1</c:v>
                      </c:pt>
                      <c:pt idx="19">
                        <c:v>346.3</c:v>
                      </c:pt>
                      <c:pt idx="20">
                        <c:v>353.6</c:v>
                      </c:pt>
                      <c:pt idx="21">
                        <c:v>359.8</c:v>
                      </c:pt>
                      <c:pt idx="22">
                        <c:v>366.1</c:v>
                      </c:pt>
                      <c:pt idx="23">
                        <c:v>374</c:v>
                      </c:pt>
                      <c:pt idx="24">
                        <c:v>381.7</c:v>
                      </c:pt>
                      <c:pt idx="25">
                        <c:v>389.7</c:v>
                      </c:pt>
                      <c:pt idx="26">
                        <c:v>396.3</c:v>
                      </c:pt>
                      <c:pt idx="27">
                        <c:v>402.4</c:v>
                      </c:pt>
                      <c:pt idx="28">
                        <c:v>409.2</c:v>
                      </c:pt>
                      <c:pt idx="29">
                        <c:v>415.4</c:v>
                      </c:pt>
                      <c:pt idx="30">
                        <c:v>421.8</c:v>
                      </c:pt>
                      <c:pt idx="31">
                        <c:v>428.8</c:v>
                      </c:pt>
                      <c:pt idx="32">
                        <c:v>434.9</c:v>
                      </c:pt>
                      <c:pt idx="33">
                        <c:v>440.9</c:v>
                      </c:pt>
                      <c:pt idx="34">
                        <c:v>447.2</c:v>
                      </c:pt>
                      <c:pt idx="35">
                        <c:v>453.5</c:v>
                      </c:pt>
                      <c:pt idx="36">
                        <c:v>459.8</c:v>
                      </c:pt>
                      <c:pt idx="37">
                        <c:v>466</c:v>
                      </c:pt>
                      <c:pt idx="38">
                        <c:v>472.2</c:v>
                      </c:pt>
                      <c:pt idx="39">
                        <c:v>478.2</c:v>
                      </c:pt>
                      <c:pt idx="40">
                        <c:v>484.3</c:v>
                      </c:pt>
                      <c:pt idx="41">
                        <c:v>490.5</c:v>
                      </c:pt>
                      <c:pt idx="42">
                        <c:v>496.6</c:v>
                      </c:pt>
                      <c:pt idx="43">
                        <c:v>502</c:v>
                      </c:pt>
                      <c:pt idx="44">
                        <c:v>507.4</c:v>
                      </c:pt>
                      <c:pt idx="45">
                        <c:v>513</c:v>
                      </c:pt>
                      <c:pt idx="46">
                        <c:v>518.79999999999995</c:v>
                      </c:pt>
                      <c:pt idx="47">
                        <c:v>524.20000000000005</c:v>
                      </c:pt>
                      <c:pt idx="48">
                        <c:v>529.4</c:v>
                      </c:pt>
                      <c:pt idx="49">
                        <c:v>534.4</c:v>
                      </c:pt>
                      <c:pt idx="50">
                        <c:v>539.29999999999995</c:v>
                      </c:pt>
                      <c:pt idx="51">
                        <c:v>544.20000000000005</c:v>
                      </c:pt>
                      <c:pt idx="52">
                        <c:v>549</c:v>
                      </c:pt>
                      <c:pt idx="53">
                        <c:v>553.70000000000005</c:v>
                      </c:pt>
                      <c:pt idx="54">
                        <c:v>558.20000000000005</c:v>
                      </c:pt>
                      <c:pt idx="55">
                        <c:v>562.5</c:v>
                      </c:pt>
                      <c:pt idx="56">
                        <c:v>566.70000000000005</c:v>
                      </c:pt>
                      <c:pt idx="57">
                        <c:v>570.6</c:v>
                      </c:pt>
                      <c:pt idx="58">
                        <c:v>574.5</c:v>
                      </c:pt>
                      <c:pt idx="59">
                        <c:v>578.5</c:v>
                      </c:pt>
                      <c:pt idx="60">
                        <c:v>582.6</c:v>
                      </c:pt>
                      <c:pt idx="61">
                        <c:v>586.6</c:v>
                      </c:pt>
                      <c:pt idx="62">
                        <c:v>590.70000000000005</c:v>
                      </c:pt>
                      <c:pt idx="63">
                        <c:v>594.70000000000005</c:v>
                      </c:pt>
                      <c:pt idx="64">
                        <c:v>598.79999999999995</c:v>
                      </c:pt>
                      <c:pt idx="65">
                        <c:v>603.1</c:v>
                      </c:pt>
                      <c:pt idx="66">
                        <c:v>607.6</c:v>
                      </c:pt>
                      <c:pt idx="67">
                        <c:v>612.1</c:v>
                      </c:pt>
                      <c:pt idx="68">
                        <c:v>616.79999999999995</c:v>
                      </c:pt>
                      <c:pt idx="69">
                        <c:v>621.9</c:v>
                      </c:pt>
                      <c:pt idx="70">
                        <c:v>626.9</c:v>
                      </c:pt>
                      <c:pt idx="71">
                        <c:v>632.1</c:v>
                      </c:pt>
                      <c:pt idx="72">
                        <c:v>637.6</c:v>
                      </c:pt>
                      <c:pt idx="73">
                        <c:v>643.6</c:v>
                      </c:pt>
                      <c:pt idx="74">
                        <c:v>650</c:v>
                      </c:pt>
                      <c:pt idx="75">
                        <c:v>656.4</c:v>
                      </c:pt>
                      <c:pt idx="76">
                        <c:v>664.5</c:v>
                      </c:pt>
                      <c:pt idx="77">
                        <c:v>673.5</c:v>
                      </c:pt>
                      <c:pt idx="78">
                        <c:v>684</c:v>
                      </c:pt>
                      <c:pt idx="79">
                        <c:v>694.5</c:v>
                      </c:pt>
                      <c:pt idx="80">
                        <c:v>706.9</c:v>
                      </c:pt>
                      <c:pt idx="81">
                        <c:v>724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009C-40CC-835F-A10742FCB657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Comparing'!$R$7</c15:sqref>
                        </c15:formulaRef>
                      </c:ext>
                    </c:extLst>
                    <c:strCache>
                      <c:ptCount val="1"/>
                      <c:pt idx="0">
                        <c:v>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Comparing'!$R$10:$R$89</c15:sqref>
                        </c15:formulaRef>
                      </c:ext>
                    </c:extLst>
                    <c:numCache>
                      <c:formatCode>General</c:formatCode>
                      <c:ptCount val="80"/>
                      <c:pt idx="0">
                        <c:v>113.9</c:v>
                      </c:pt>
                      <c:pt idx="1">
                        <c:v>137.80000000000001</c:v>
                      </c:pt>
                      <c:pt idx="2">
                        <c:v>163.19999999999999</c:v>
                      </c:pt>
                      <c:pt idx="3">
                        <c:v>181.5</c:v>
                      </c:pt>
                      <c:pt idx="4">
                        <c:v>196.9</c:v>
                      </c:pt>
                      <c:pt idx="5">
                        <c:v>211</c:v>
                      </c:pt>
                      <c:pt idx="6">
                        <c:v>222.2</c:v>
                      </c:pt>
                      <c:pt idx="7">
                        <c:v>232.1</c:v>
                      </c:pt>
                      <c:pt idx="8">
                        <c:v>244.3</c:v>
                      </c:pt>
                      <c:pt idx="9">
                        <c:v>253.8</c:v>
                      </c:pt>
                      <c:pt idx="10">
                        <c:v>264.8</c:v>
                      </c:pt>
                      <c:pt idx="11">
                        <c:v>274.10000000000002</c:v>
                      </c:pt>
                      <c:pt idx="12">
                        <c:v>283.10000000000002</c:v>
                      </c:pt>
                      <c:pt idx="13">
                        <c:v>292.8</c:v>
                      </c:pt>
                      <c:pt idx="14">
                        <c:v>301</c:v>
                      </c:pt>
                      <c:pt idx="15">
                        <c:v>310</c:v>
                      </c:pt>
                      <c:pt idx="16">
                        <c:v>317.3</c:v>
                      </c:pt>
                      <c:pt idx="17">
                        <c:v>325.10000000000002</c:v>
                      </c:pt>
                      <c:pt idx="18">
                        <c:v>333.3</c:v>
                      </c:pt>
                      <c:pt idx="19">
                        <c:v>340.7</c:v>
                      </c:pt>
                      <c:pt idx="20">
                        <c:v>349</c:v>
                      </c:pt>
                      <c:pt idx="21">
                        <c:v>356</c:v>
                      </c:pt>
                      <c:pt idx="22">
                        <c:v>363.3</c:v>
                      </c:pt>
                      <c:pt idx="23">
                        <c:v>370.6</c:v>
                      </c:pt>
                      <c:pt idx="24">
                        <c:v>377.3</c:v>
                      </c:pt>
                      <c:pt idx="25">
                        <c:v>384.7</c:v>
                      </c:pt>
                      <c:pt idx="26">
                        <c:v>391.2</c:v>
                      </c:pt>
                      <c:pt idx="27">
                        <c:v>397.6</c:v>
                      </c:pt>
                      <c:pt idx="28">
                        <c:v>404.9</c:v>
                      </c:pt>
                      <c:pt idx="29">
                        <c:v>411.4</c:v>
                      </c:pt>
                      <c:pt idx="30">
                        <c:v>417.5</c:v>
                      </c:pt>
                      <c:pt idx="31">
                        <c:v>424.1</c:v>
                      </c:pt>
                      <c:pt idx="32">
                        <c:v>430.2</c:v>
                      </c:pt>
                      <c:pt idx="33">
                        <c:v>436.4</c:v>
                      </c:pt>
                      <c:pt idx="34">
                        <c:v>442.9</c:v>
                      </c:pt>
                      <c:pt idx="35">
                        <c:v>449.2</c:v>
                      </c:pt>
                      <c:pt idx="36">
                        <c:v>455.3</c:v>
                      </c:pt>
                      <c:pt idx="37">
                        <c:v>461.4</c:v>
                      </c:pt>
                      <c:pt idx="38">
                        <c:v>467.8</c:v>
                      </c:pt>
                      <c:pt idx="39">
                        <c:v>474</c:v>
                      </c:pt>
                      <c:pt idx="40">
                        <c:v>480</c:v>
                      </c:pt>
                      <c:pt idx="41">
                        <c:v>486.2</c:v>
                      </c:pt>
                      <c:pt idx="42">
                        <c:v>492.3</c:v>
                      </c:pt>
                      <c:pt idx="43">
                        <c:v>498.2</c:v>
                      </c:pt>
                      <c:pt idx="44">
                        <c:v>503.6</c:v>
                      </c:pt>
                      <c:pt idx="45">
                        <c:v>509.1</c:v>
                      </c:pt>
                      <c:pt idx="46">
                        <c:v>514.9</c:v>
                      </c:pt>
                      <c:pt idx="47">
                        <c:v>520.6</c:v>
                      </c:pt>
                      <c:pt idx="48">
                        <c:v>525.9</c:v>
                      </c:pt>
                      <c:pt idx="49">
                        <c:v>531.1</c:v>
                      </c:pt>
                      <c:pt idx="50">
                        <c:v>536.1</c:v>
                      </c:pt>
                      <c:pt idx="51">
                        <c:v>540.79999999999995</c:v>
                      </c:pt>
                      <c:pt idx="52">
                        <c:v>545.6</c:v>
                      </c:pt>
                      <c:pt idx="53">
                        <c:v>550.4</c:v>
                      </c:pt>
                      <c:pt idx="54">
                        <c:v>555.20000000000005</c:v>
                      </c:pt>
                      <c:pt idx="55">
                        <c:v>559.6</c:v>
                      </c:pt>
                      <c:pt idx="56">
                        <c:v>563.9</c:v>
                      </c:pt>
                      <c:pt idx="57">
                        <c:v>567.9</c:v>
                      </c:pt>
                      <c:pt idx="58">
                        <c:v>571.9</c:v>
                      </c:pt>
                      <c:pt idx="59">
                        <c:v>575.79999999999995</c:v>
                      </c:pt>
                      <c:pt idx="60">
                        <c:v>580</c:v>
                      </c:pt>
                      <c:pt idx="61">
                        <c:v>584.20000000000005</c:v>
                      </c:pt>
                      <c:pt idx="62">
                        <c:v>588.4</c:v>
                      </c:pt>
                      <c:pt idx="63">
                        <c:v>592.70000000000005</c:v>
                      </c:pt>
                      <c:pt idx="64">
                        <c:v>596.9</c:v>
                      </c:pt>
                      <c:pt idx="65">
                        <c:v>601.29999999999995</c:v>
                      </c:pt>
                      <c:pt idx="66">
                        <c:v>606.1</c:v>
                      </c:pt>
                      <c:pt idx="67">
                        <c:v>610.79999999999995</c:v>
                      </c:pt>
                      <c:pt idx="68">
                        <c:v>615.70000000000005</c:v>
                      </c:pt>
                      <c:pt idx="69">
                        <c:v>621.1</c:v>
                      </c:pt>
                      <c:pt idx="70">
                        <c:v>626.6</c:v>
                      </c:pt>
                      <c:pt idx="71">
                        <c:v>632.20000000000005</c:v>
                      </c:pt>
                      <c:pt idx="72">
                        <c:v>638.1</c:v>
                      </c:pt>
                      <c:pt idx="73">
                        <c:v>644.79999999999995</c:v>
                      </c:pt>
                      <c:pt idx="74">
                        <c:v>651.79999999999995</c:v>
                      </c:pt>
                      <c:pt idx="75">
                        <c:v>659</c:v>
                      </c:pt>
                      <c:pt idx="76">
                        <c:v>668.8</c:v>
                      </c:pt>
                      <c:pt idx="77">
                        <c:v>679.5</c:v>
                      </c:pt>
                      <c:pt idx="78">
                        <c:v>691.9</c:v>
                      </c:pt>
                      <c:pt idx="79">
                        <c:v>707.8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009C-40CC-835F-A10742FCB657}"/>
                  </c:ext>
                </c:extLst>
              </c15:ser>
            </c15:filteredScatterSeries>
            <c15:filteredScatterSeries>
              <c15:ser>
                <c:idx val="10"/>
                <c:order val="10"/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Comparing'!$D$10:$N$110</c15:sqref>
                        </c15:formulaRef>
                      </c:ext>
                    </c:extLst>
                    <c:multiLvlStrCache>
                      <c:ptCount val="101"/>
                      <c:lvl>
                        <c:pt idx="0">
                          <c:v>95.5</c:v>
                        </c:pt>
                        <c:pt idx="1">
                          <c:v>125.7</c:v>
                        </c:pt>
                        <c:pt idx="2">
                          <c:v>155.6</c:v>
                        </c:pt>
                        <c:pt idx="3">
                          <c:v>174.7</c:v>
                        </c:pt>
                        <c:pt idx="4">
                          <c:v>190.5</c:v>
                        </c:pt>
                        <c:pt idx="5">
                          <c:v>203.2</c:v>
                        </c:pt>
                        <c:pt idx="6">
                          <c:v>216</c:v>
                        </c:pt>
                        <c:pt idx="7">
                          <c:v>226</c:v>
                        </c:pt>
                        <c:pt idx="8">
                          <c:v>235.1</c:v>
                        </c:pt>
                        <c:pt idx="9">
                          <c:v>245.2</c:v>
                        </c:pt>
                        <c:pt idx="10">
                          <c:v>253.3</c:v>
                        </c:pt>
                        <c:pt idx="11">
                          <c:v>262.5</c:v>
                        </c:pt>
                        <c:pt idx="12">
                          <c:v>270.2</c:v>
                        </c:pt>
                        <c:pt idx="13">
                          <c:v>278.8</c:v>
                        </c:pt>
                        <c:pt idx="14">
                          <c:v>286.4</c:v>
                        </c:pt>
                        <c:pt idx="15">
                          <c:v>294.1</c:v>
                        </c:pt>
                        <c:pt idx="16">
                          <c:v>301</c:v>
                        </c:pt>
                        <c:pt idx="17">
                          <c:v>308</c:v>
                        </c:pt>
                        <c:pt idx="18">
                          <c:v>314.9</c:v>
                        </c:pt>
                        <c:pt idx="19">
                          <c:v>321.3</c:v>
                        </c:pt>
                        <c:pt idx="20">
                          <c:v>328.2</c:v>
                        </c:pt>
                        <c:pt idx="21">
                          <c:v>334.2</c:v>
                        </c:pt>
                        <c:pt idx="22">
                          <c:v>340.8</c:v>
                        </c:pt>
                        <c:pt idx="23">
                          <c:v>346.4</c:v>
                        </c:pt>
                        <c:pt idx="24">
                          <c:v>352.3</c:v>
                        </c:pt>
                        <c:pt idx="25">
                          <c:v>357.5</c:v>
                        </c:pt>
                        <c:pt idx="26">
                          <c:v>363.2</c:v>
                        </c:pt>
                        <c:pt idx="27">
                          <c:v>368.5</c:v>
                        </c:pt>
                        <c:pt idx="28">
                          <c:v>375.1</c:v>
                        </c:pt>
                        <c:pt idx="29">
                          <c:v>381.5</c:v>
                        </c:pt>
                        <c:pt idx="30">
                          <c:v>388.2</c:v>
                        </c:pt>
                        <c:pt idx="31">
                          <c:v>393.9</c:v>
                        </c:pt>
                        <c:pt idx="32">
                          <c:v>399.4</c:v>
                        </c:pt>
                        <c:pt idx="33">
                          <c:v>404.7</c:v>
                        </c:pt>
                        <c:pt idx="34">
                          <c:v>410</c:v>
                        </c:pt>
                        <c:pt idx="35">
                          <c:v>415.6</c:v>
                        </c:pt>
                        <c:pt idx="36">
                          <c:v>421</c:v>
                        </c:pt>
                        <c:pt idx="37">
                          <c:v>427</c:v>
                        </c:pt>
                        <c:pt idx="38">
                          <c:v>432.5</c:v>
                        </c:pt>
                        <c:pt idx="39">
                          <c:v>438.1</c:v>
                        </c:pt>
                        <c:pt idx="40">
                          <c:v>443.3</c:v>
                        </c:pt>
                        <c:pt idx="41">
                          <c:v>448.5</c:v>
                        </c:pt>
                        <c:pt idx="42">
                          <c:v>454.3</c:v>
                        </c:pt>
                        <c:pt idx="43">
                          <c:v>459.9</c:v>
                        </c:pt>
                        <c:pt idx="44">
                          <c:v>465.4</c:v>
                        </c:pt>
                        <c:pt idx="45">
                          <c:v>471</c:v>
                        </c:pt>
                        <c:pt idx="46">
                          <c:v>476.4</c:v>
                        </c:pt>
                        <c:pt idx="47">
                          <c:v>481.9</c:v>
                        </c:pt>
                        <c:pt idx="48">
                          <c:v>487.5</c:v>
                        </c:pt>
                        <c:pt idx="49">
                          <c:v>493.2</c:v>
                        </c:pt>
                        <c:pt idx="50">
                          <c:v>498.4</c:v>
                        </c:pt>
                        <c:pt idx="51">
                          <c:v>503.4</c:v>
                        </c:pt>
                        <c:pt idx="52">
                          <c:v>508.3</c:v>
                        </c:pt>
                        <c:pt idx="53">
                          <c:v>513.7</c:v>
                        </c:pt>
                        <c:pt idx="54">
                          <c:v>519.1</c:v>
                        </c:pt>
                        <c:pt idx="55">
                          <c:v>524.2</c:v>
                        </c:pt>
                        <c:pt idx="56">
                          <c:v>529.1</c:v>
                        </c:pt>
                        <c:pt idx="57">
                          <c:v>533.9</c:v>
                        </c:pt>
                        <c:pt idx="58">
                          <c:v>538.7</c:v>
                        </c:pt>
                        <c:pt idx="59">
                          <c:v>543.3</c:v>
                        </c:pt>
                        <c:pt idx="60">
                          <c:v>548.1</c:v>
                        </c:pt>
                        <c:pt idx="61">
                          <c:v>552.8</c:v>
                        </c:pt>
                        <c:pt idx="62">
                          <c:v>557.4</c:v>
                        </c:pt>
                        <c:pt idx="63">
                          <c:v>561.8</c:v>
                        </c:pt>
                        <c:pt idx="64">
                          <c:v>566.1</c:v>
                        </c:pt>
                        <c:pt idx="65">
                          <c:v>570.2</c:v>
                        </c:pt>
                        <c:pt idx="66">
                          <c:v>574.2</c:v>
                        </c:pt>
                        <c:pt idx="67">
                          <c:v>578.5</c:v>
                        </c:pt>
                        <c:pt idx="68">
                          <c:v>582.9</c:v>
                        </c:pt>
                        <c:pt idx="69">
                          <c:v>587.2</c:v>
                        </c:pt>
                        <c:pt idx="70">
                          <c:v>591.6</c:v>
                        </c:pt>
                        <c:pt idx="71">
                          <c:v>596</c:v>
                        </c:pt>
                        <c:pt idx="72">
                          <c:v>600.5</c:v>
                        </c:pt>
                        <c:pt idx="73">
                          <c:v>605.3</c:v>
                        </c:pt>
                        <c:pt idx="74">
                          <c:v>610.3</c:v>
                        </c:pt>
                        <c:pt idx="75">
                          <c:v>615.3</c:v>
                        </c:pt>
                        <c:pt idx="76">
                          <c:v>620.9</c:v>
                        </c:pt>
                        <c:pt idx="77">
                          <c:v>626.4</c:v>
                        </c:pt>
                        <c:pt idx="78">
                          <c:v>632.1</c:v>
                        </c:pt>
                        <c:pt idx="79">
                          <c:v>638</c:v>
                        </c:pt>
                        <c:pt idx="80">
                          <c:v>644.6</c:v>
                        </c:pt>
                        <c:pt idx="81">
                          <c:v>651.6</c:v>
                        </c:pt>
                        <c:pt idx="82">
                          <c:v>658.6</c:v>
                        </c:pt>
                        <c:pt idx="83">
                          <c:v>667.9</c:v>
                        </c:pt>
                        <c:pt idx="84">
                          <c:v>677.4</c:v>
                        </c:pt>
                        <c:pt idx="85">
                          <c:v>688.1</c:v>
                        </c:pt>
                        <c:pt idx="86">
                          <c:v>698.6</c:v>
                        </c:pt>
                        <c:pt idx="87">
                          <c:v>709.6</c:v>
                        </c:pt>
                        <c:pt idx="88">
                          <c:v>722.6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133.6</c:v>
                        </c:pt>
                        <c:pt idx="1">
                          <c:v>179.1</c:v>
                        </c:pt>
                        <c:pt idx="2">
                          <c:v>224.9</c:v>
                        </c:pt>
                        <c:pt idx="3">
                          <c:v>255.3</c:v>
                        </c:pt>
                        <c:pt idx="4">
                          <c:v>279.7</c:v>
                        </c:pt>
                        <c:pt idx="5">
                          <c:v>300.9</c:v>
                        </c:pt>
                        <c:pt idx="6">
                          <c:v>317.7</c:v>
                        </c:pt>
                        <c:pt idx="7">
                          <c:v>332.7</c:v>
                        </c:pt>
                        <c:pt idx="8">
                          <c:v>345.9</c:v>
                        </c:pt>
                        <c:pt idx="9">
                          <c:v>357.3</c:v>
                        </c:pt>
                        <c:pt idx="10">
                          <c:v>367.8</c:v>
                        </c:pt>
                        <c:pt idx="11">
                          <c:v>379.7</c:v>
                        </c:pt>
                        <c:pt idx="12">
                          <c:v>391.3</c:v>
                        </c:pt>
                        <c:pt idx="13">
                          <c:v>400</c:v>
                        </c:pt>
                        <c:pt idx="14">
                          <c:v>408.3</c:v>
                        </c:pt>
                        <c:pt idx="15">
                          <c:v>417</c:v>
                        </c:pt>
                        <c:pt idx="16">
                          <c:v>426.3</c:v>
                        </c:pt>
                        <c:pt idx="17">
                          <c:v>434.6</c:v>
                        </c:pt>
                        <c:pt idx="18">
                          <c:v>442.1</c:v>
                        </c:pt>
                        <c:pt idx="19">
                          <c:v>449.4</c:v>
                        </c:pt>
                        <c:pt idx="20">
                          <c:v>457.4</c:v>
                        </c:pt>
                        <c:pt idx="21">
                          <c:v>465.2</c:v>
                        </c:pt>
                        <c:pt idx="22">
                          <c:v>472.3</c:v>
                        </c:pt>
                        <c:pt idx="23">
                          <c:v>479</c:v>
                        </c:pt>
                        <c:pt idx="24">
                          <c:v>486.1</c:v>
                        </c:pt>
                        <c:pt idx="25">
                          <c:v>493.1</c:v>
                        </c:pt>
                        <c:pt idx="26">
                          <c:v>499.3</c:v>
                        </c:pt>
                        <c:pt idx="27">
                          <c:v>505</c:v>
                        </c:pt>
                        <c:pt idx="28">
                          <c:v>510.6</c:v>
                        </c:pt>
                        <c:pt idx="29">
                          <c:v>516.6</c:v>
                        </c:pt>
                        <c:pt idx="30">
                          <c:v>522.4</c:v>
                        </c:pt>
                        <c:pt idx="31">
                          <c:v>527.4</c:v>
                        </c:pt>
                        <c:pt idx="32">
                          <c:v>532.2</c:v>
                        </c:pt>
                        <c:pt idx="33">
                          <c:v>536.7</c:v>
                        </c:pt>
                        <c:pt idx="34">
                          <c:v>541.2</c:v>
                        </c:pt>
                        <c:pt idx="35">
                          <c:v>545.5</c:v>
                        </c:pt>
                        <c:pt idx="36">
                          <c:v>549.8</c:v>
                        </c:pt>
                        <c:pt idx="37">
                          <c:v>554</c:v>
                        </c:pt>
                        <c:pt idx="38">
                          <c:v>557.9</c:v>
                        </c:pt>
                        <c:pt idx="39">
                          <c:v>561.4</c:v>
                        </c:pt>
                        <c:pt idx="40">
                          <c:v>564.9</c:v>
                        </c:pt>
                        <c:pt idx="41">
                          <c:v>568.1</c:v>
                        </c:pt>
                        <c:pt idx="42">
                          <c:v>571.2</c:v>
                        </c:pt>
                        <c:pt idx="43">
                          <c:v>574.2</c:v>
                        </c:pt>
                        <c:pt idx="44">
                          <c:v>577.2</c:v>
                        </c:pt>
                        <c:pt idx="45">
                          <c:v>580.2</c:v>
                        </c:pt>
                        <c:pt idx="46">
                          <c:v>583.1</c:v>
                        </c:pt>
                        <c:pt idx="47">
                          <c:v>586</c:v>
                        </c:pt>
                        <c:pt idx="48">
                          <c:v>588.8</c:v>
                        </c:pt>
                        <c:pt idx="49">
                          <c:v>591.6</c:v>
                        </c:pt>
                        <c:pt idx="50">
                          <c:v>594.3</c:v>
                        </c:pt>
                        <c:pt idx="51">
                          <c:v>597</c:v>
                        </c:pt>
                        <c:pt idx="52">
                          <c:v>599.8</c:v>
                        </c:pt>
                        <c:pt idx="53">
                          <c:v>602.6</c:v>
                        </c:pt>
                        <c:pt idx="54">
                          <c:v>605.4</c:v>
                        </c:pt>
                        <c:pt idx="55">
                          <c:v>608.2</c:v>
                        </c:pt>
                        <c:pt idx="56">
                          <c:v>611</c:v>
                        </c:pt>
                        <c:pt idx="57">
                          <c:v>613.9</c:v>
                        </c:pt>
                        <c:pt idx="58">
                          <c:v>616.8</c:v>
                        </c:pt>
                        <c:pt idx="59">
                          <c:v>619.7</c:v>
                        </c:pt>
                        <c:pt idx="60">
                          <c:v>622.7</c:v>
                        </c:pt>
                        <c:pt idx="61">
                          <c:v>625.7</c:v>
                        </c:pt>
                        <c:pt idx="62">
                          <c:v>628.7</c:v>
                        </c:pt>
                        <c:pt idx="63">
                          <c:v>631.6</c:v>
                        </c:pt>
                        <c:pt idx="64">
                          <c:v>634.5</c:v>
                        </c:pt>
                        <c:pt idx="65">
                          <c:v>637.6</c:v>
                        </c:pt>
                        <c:pt idx="66">
                          <c:v>640.7</c:v>
                        </c:pt>
                        <c:pt idx="67">
                          <c:v>644</c:v>
                        </c:pt>
                        <c:pt idx="68">
                          <c:v>647.4</c:v>
                        </c:pt>
                        <c:pt idx="69">
                          <c:v>650.5</c:v>
                        </c:pt>
                        <c:pt idx="70">
                          <c:v>653.7</c:v>
                        </c:pt>
                        <c:pt idx="71">
                          <c:v>656.8</c:v>
                        </c:pt>
                        <c:pt idx="72">
                          <c:v>660.6</c:v>
                        </c:pt>
                        <c:pt idx="73">
                          <c:v>664.8</c:v>
                        </c:pt>
                        <c:pt idx="74">
                          <c:v>669.2</c:v>
                        </c:pt>
                        <c:pt idx="75">
                          <c:v>673.1</c:v>
                        </c:pt>
                        <c:pt idx="76">
                          <c:v>677.4</c:v>
                        </c:pt>
                        <c:pt idx="77">
                          <c:v>682.2</c:v>
                        </c:pt>
                        <c:pt idx="78">
                          <c:v>686.5</c:v>
                        </c:pt>
                        <c:pt idx="79">
                          <c:v>691.2</c:v>
                        </c:pt>
                        <c:pt idx="80">
                          <c:v>694.8</c:v>
                        </c:pt>
                        <c:pt idx="81">
                          <c:v>699.9</c:v>
                        </c:pt>
                        <c:pt idx="82">
                          <c:v>704</c:v>
                        </c:pt>
                        <c:pt idx="83">
                          <c:v>708.8</c:v>
                        </c:pt>
                        <c:pt idx="84">
                          <c:v>714.2</c:v>
                        </c:pt>
                        <c:pt idx="85">
                          <c:v>719.8</c:v>
                        </c:pt>
                        <c:pt idx="86">
                          <c:v>726.2</c:v>
                        </c:pt>
                        <c:pt idx="87">
                          <c:v>733.5</c:v>
                        </c:pt>
                        <c:pt idx="88">
                          <c:v>-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152.5</c:v>
                        </c:pt>
                        <c:pt idx="1">
                          <c:v>185.3</c:v>
                        </c:pt>
                        <c:pt idx="2">
                          <c:v>226.6</c:v>
                        </c:pt>
                        <c:pt idx="3">
                          <c:v>255</c:v>
                        </c:pt>
                        <c:pt idx="4">
                          <c:v>279.1</c:v>
                        </c:pt>
                        <c:pt idx="5">
                          <c:v>299.2</c:v>
                        </c:pt>
                        <c:pt idx="6">
                          <c:v>317.3</c:v>
                        </c:pt>
                        <c:pt idx="7">
                          <c:v>332.5</c:v>
                        </c:pt>
                        <c:pt idx="8">
                          <c:v>345.5</c:v>
                        </c:pt>
                        <c:pt idx="9">
                          <c:v>356.3</c:v>
                        </c:pt>
                        <c:pt idx="10">
                          <c:v>366.7</c:v>
                        </c:pt>
                        <c:pt idx="11">
                          <c:v>378.3</c:v>
                        </c:pt>
                        <c:pt idx="12">
                          <c:v>390.2</c:v>
                        </c:pt>
                        <c:pt idx="13">
                          <c:v>398.9</c:v>
                        </c:pt>
                        <c:pt idx="14">
                          <c:v>407.3</c:v>
                        </c:pt>
                        <c:pt idx="15">
                          <c:v>415.7</c:v>
                        </c:pt>
                        <c:pt idx="16">
                          <c:v>424.9</c:v>
                        </c:pt>
                        <c:pt idx="17">
                          <c:v>433.3</c:v>
                        </c:pt>
                        <c:pt idx="18">
                          <c:v>440.7</c:v>
                        </c:pt>
                        <c:pt idx="19">
                          <c:v>448</c:v>
                        </c:pt>
                        <c:pt idx="20">
                          <c:v>455.9</c:v>
                        </c:pt>
                        <c:pt idx="21">
                          <c:v>463.6</c:v>
                        </c:pt>
                        <c:pt idx="22">
                          <c:v>470.6</c:v>
                        </c:pt>
                        <c:pt idx="23">
                          <c:v>477.3</c:v>
                        </c:pt>
                        <c:pt idx="24">
                          <c:v>484.2</c:v>
                        </c:pt>
                        <c:pt idx="25">
                          <c:v>491.3</c:v>
                        </c:pt>
                        <c:pt idx="26">
                          <c:v>497.8</c:v>
                        </c:pt>
                        <c:pt idx="27">
                          <c:v>503.3</c:v>
                        </c:pt>
                        <c:pt idx="28">
                          <c:v>508.7</c:v>
                        </c:pt>
                        <c:pt idx="29">
                          <c:v>514.7</c:v>
                        </c:pt>
                        <c:pt idx="30">
                          <c:v>520.6</c:v>
                        </c:pt>
                        <c:pt idx="31">
                          <c:v>525.7</c:v>
                        </c:pt>
                        <c:pt idx="32">
                          <c:v>530.5</c:v>
                        </c:pt>
                        <c:pt idx="33">
                          <c:v>535.2</c:v>
                        </c:pt>
                        <c:pt idx="34">
                          <c:v>539.6</c:v>
                        </c:pt>
                        <c:pt idx="35">
                          <c:v>543.9</c:v>
                        </c:pt>
                        <c:pt idx="36">
                          <c:v>548.2</c:v>
                        </c:pt>
                        <c:pt idx="37">
                          <c:v>552.4</c:v>
                        </c:pt>
                        <c:pt idx="38">
                          <c:v>556.4</c:v>
                        </c:pt>
                        <c:pt idx="39">
                          <c:v>560</c:v>
                        </c:pt>
                        <c:pt idx="40">
                          <c:v>563.5</c:v>
                        </c:pt>
                        <c:pt idx="41">
                          <c:v>566.8</c:v>
                        </c:pt>
                        <c:pt idx="42">
                          <c:v>569.9</c:v>
                        </c:pt>
                        <c:pt idx="43">
                          <c:v>572.9</c:v>
                        </c:pt>
                        <c:pt idx="44">
                          <c:v>575.8</c:v>
                        </c:pt>
                        <c:pt idx="45">
                          <c:v>578.8</c:v>
                        </c:pt>
                        <c:pt idx="46">
                          <c:v>581.7</c:v>
                        </c:pt>
                        <c:pt idx="47">
                          <c:v>584.6</c:v>
                        </c:pt>
                        <c:pt idx="48">
                          <c:v>587.4</c:v>
                        </c:pt>
                        <c:pt idx="49">
                          <c:v>590.1</c:v>
                        </c:pt>
                        <c:pt idx="50">
                          <c:v>592.8</c:v>
                        </c:pt>
                        <c:pt idx="51">
                          <c:v>595.5</c:v>
                        </c:pt>
                        <c:pt idx="52">
                          <c:v>598.1</c:v>
                        </c:pt>
                        <c:pt idx="53">
                          <c:v>600.8</c:v>
                        </c:pt>
                        <c:pt idx="54">
                          <c:v>603.6</c:v>
                        </c:pt>
                        <c:pt idx="55">
                          <c:v>606.3</c:v>
                        </c:pt>
                        <c:pt idx="56">
                          <c:v>609</c:v>
                        </c:pt>
                        <c:pt idx="57">
                          <c:v>611.7</c:v>
                        </c:pt>
                        <c:pt idx="58">
                          <c:v>614.5</c:v>
                        </c:pt>
                        <c:pt idx="59">
                          <c:v>617.3</c:v>
                        </c:pt>
                        <c:pt idx="60">
                          <c:v>620.1</c:v>
                        </c:pt>
                        <c:pt idx="61">
                          <c:v>623</c:v>
                        </c:pt>
                        <c:pt idx="62">
                          <c:v>625.8</c:v>
                        </c:pt>
                        <c:pt idx="63">
                          <c:v>628.6</c:v>
                        </c:pt>
                        <c:pt idx="64">
                          <c:v>631.4</c:v>
                        </c:pt>
                        <c:pt idx="65">
                          <c:v>634.2</c:v>
                        </c:pt>
                        <c:pt idx="66">
                          <c:v>637.1</c:v>
                        </c:pt>
                        <c:pt idx="67">
                          <c:v>640</c:v>
                        </c:pt>
                        <c:pt idx="68">
                          <c:v>643.1</c:v>
                        </c:pt>
                        <c:pt idx="69">
                          <c:v>646.2</c:v>
                        </c:pt>
                        <c:pt idx="70">
                          <c:v>649.2</c:v>
                        </c:pt>
                        <c:pt idx="71">
                          <c:v>652.2</c:v>
                        </c:pt>
                        <c:pt idx="72">
                          <c:v>655.1</c:v>
                        </c:pt>
                        <c:pt idx="73">
                          <c:v>658.1</c:v>
                        </c:pt>
                        <c:pt idx="74">
                          <c:v>661.9</c:v>
                        </c:pt>
                        <c:pt idx="75">
                          <c:v>665.7</c:v>
                        </c:pt>
                        <c:pt idx="76">
                          <c:v>669.7</c:v>
                        </c:pt>
                        <c:pt idx="77">
                          <c:v>673.1</c:v>
                        </c:pt>
                        <c:pt idx="78">
                          <c:v>676.9</c:v>
                        </c:pt>
                        <c:pt idx="79">
                          <c:v>681.3</c:v>
                        </c:pt>
                        <c:pt idx="80">
                          <c:v>685</c:v>
                        </c:pt>
                        <c:pt idx="81">
                          <c:v>688.9</c:v>
                        </c:pt>
                        <c:pt idx="82">
                          <c:v>692.4</c:v>
                        </c:pt>
                        <c:pt idx="83">
                          <c:v>695.7</c:v>
                        </c:pt>
                        <c:pt idx="84">
                          <c:v>700</c:v>
                        </c:pt>
                        <c:pt idx="85">
                          <c:v>703.3</c:v>
                        </c:pt>
                        <c:pt idx="86">
                          <c:v>706.7</c:v>
                        </c:pt>
                        <c:pt idx="87">
                          <c:v>710.8</c:v>
                        </c:pt>
                        <c:pt idx="88">
                          <c:v>714.7</c:v>
                        </c:pt>
                        <c:pt idx="89">
                          <c:v>718.6</c:v>
                        </c:pt>
                        <c:pt idx="90">
                          <c:v>722.6</c:v>
                        </c:pt>
                        <c:pt idx="91">
                          <c:v>726.7</c:v>
                        </c:pt>
                        <c:pt idx="92">
                          <c:v>730.9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140.2</c:v>
                        </c:pt>
                        <c:pt idx="1">
                          <c:v>187.3</c:v>
                        </c:pt>
                        <c:pt idx="2">
                          <c:v>232</c:v>
                        </c:pt>
                        <c:pt idx="3">
                          <c:v>261.4</c:v>
                        </c:pt>
                        <c:pt idx="4">
                          <c:v>285.2</c:v>
                        </c:pt>
                        <c:pt idx="5">
                          <c:v>305.6</c:v>
                        </c:pt>
                        <c:pt idx="6">
                          <c:v>323.2</c:v>
                        </c:pt>
                        <c:pt idx="7">
                          <c:v>338.6</c:v>
                        </c:pt>
                        <c:pt idx="8">
                          <c:v>351.3</c:v>
                        </c:pt>
                        <c:pt idx="9">
                          <c:v>362.4</c:v>
                        </c:pt>
                        <c:pt idx="10">
                          <c:v>374.1</c:v>
                        </c:pt>
                        <c:pt idx="11">
                          <c:v>387.1</c:v>
                        </c:pt>
                        <c:pt idx="12">
                          <c:v>397.2</c:v>
                        </c:pt>
                        <c:pt idx="13">
                          <c:v>406</c:v>
                        </c:pt>
                        <c:pt idx="14">
                          <c:v>414.7</c:v>
                        </c:pt>
                        <c:pt idx="15">
                          <c:v>424.4</c:v>
                        </c:pt>
                        <c:pt idx="16">
                          <c:v>433.3</c:v>
                        </c:pt>
                        <c:pt idx="17">
                          <c:v>441.2</c:v>
                        </c:pt>
                        <c:pt idx="18">
                          <c:v>448.8</c:v>
                        </c:pt>
                        <c:pt idx="19">
                          <c:v>457.3</c:v>
                        </c:pt>
                        <c:pt idx="20">
                          <c:v>465.4</c:v>
                        </c:pt>
                        <c:pt idx="21">
                          <c:v>472.5</c:v>
                        </c:pt>
                        <c:pt idx="22">
                          <c:v>479.5</c:v>
                        </c:pt>
                        <c:pt idx="23">
                          <c:v>486.9</c:v>
                        </c:pt>
                        <c:pt idx="24">
                          <c:v>494.3</c:v>
                        </c:pt>
                        <c:pt idx="25">
                          <c:v>500.6</c:v>
                        </c:pt>
                        <c:pt idx="26">
                          <c:v>506.4</c:v>
                        </c:pt>
                        <c:pt idx="27">
                          <c:v>512.4</c:v>
                        </c:pt>
                        <c:pt idx="28">
                          <c:v>518.7</c:v>
                        </c:pt>
                        <c:pt idx="29">
                          <c:v>524.4</c:v>
                        </c:pt>
                        <c:pt idx="30">
                          <c:v>529.6</c:v>
                        </c:pt>
                        <c:pt idx="31">
                          <c:v>534.6</c:v>
                        </c:pt>
                        <c:pt idx="32">
                          <c:v>539.3</c:v>
                        </c:pt>
                        <c:pt idx="33">
                          <c:v>543.9</c:v>
                        </c:pt>
                        <c:pt idx="34">
                          <c:v>548.6</c:v>
                        </c:pt>
                        <c:pt idx="35">
                          <c:v>553.1</c:v>
                        </c:pt>
                        <c:pt idx="36">
                          <c:v>557.3</c:v>
                        </c:pt>
                        <c:pt idx="37">
                          <c:v>561.1</c:v>
                        </c:pt>
                        <c:pt idx="38">
                          <c:v>564.8</c:v>
                        </c:pt>
                        <c:pt idx="39">
                          <c:v>568.2</c:v>
                        </c:pt>
                        <c:pt idx="40">
                          <c:v>571.4</c:v>
                        </c:pt>
                        <c:pt idx="41">
                          <c:v>574.6</c:v>
                        </c:pt>
                        <c:pt idx="42">
                          <c:v>577.8</c:v>
                        </c:pt>
                        <c:pt idx="43">
                          <c:v>580.9</c:v>
                        </c:pt>
                        <c:pt idx="44">
                          <c:v>584.1</c:v>
                        </c:pt>
                        <c:pt idx="45">
                          <c:v>587</c:v>
                        </c:pt>
                        <c:pt idx="46">
                          <c:v>590</c:v>
                        </c:pt>
                        <c:pt idx="47">
                          <c:v>592.9</c:v>
                        </c:pt>
                        <c:pt idx="48">
                          <c:v>595.7</c:v>
                        </c:pt>
                        <c:pt idx="49">
                          <c:v>598.6</c:v>
                        </c:pt>
                        <c:pt idx="50">
                          <c:v>601.5</c:v>
                        </c:pt>
                        <c:pt idx="51">
                          <c:v>604.4</c:v>
                        </c:pt>
                        <c:pt idx="52">
                          <c:v>607.4</c:v>
                        </c:pt>
                        <c:pt idx="53">
                          <c:v>610.3</c:v>
                        </c:pt>
                        <c:pt idx="54">
                          <c:v>613.3</c:v>
                        </c:pt>
                        <c:pt idx="55">
                          <c:v>616.3</c:v>
                        </c:pt>
                        <c:pt idx="56">
                          <c:v>619.4</c:v>
                        </c:pt>
                        <c:pt idx="57">
                          <c:v>622.6</c:v>
                        </c:pt>
                        <c:pt idx="58">
                          <c:v>625.7</c:v>
                        </c:pt>
                        <c:pt idx="59">
                          <c:v>628.9</c:v>
                        </c:pt>
                        <c:pt idx="60">
                          <c:v>631.9</c:v>
                        </c:pt>
                        <c:pt idx="61">
                          <c:v>635.1</c:v>
                        </c:pt>
                        <c:pt idx="62">
                          <c:v>638.4</c:v>
                        </c:pt>
                        <c:pt idx="63">
                          <c:v>641.8</c:v>
                        </c:pt>
                        <c:pt idx="64">
                          <c:v>645.4</c:v>
                        </c:pt>
                        <c:pt idx="65">
                          <c:v>648.9</c:v>
                        </c:pt>
                        <c:pt idx="66">
                          <c:v>652.4</c:v>
                        </c:pt>
                        <c:pt idx="67">
                          <c:v>655.8</c:v>
                        </c:pt>
                        <c:pt idx="68">
                          <c:v>659.7</c:v>
                        </c:pt>
                        <c:pt idx="69">
                          <c:v>664.3</c:v>
                        </c:pt>
                        <c:pt idx="70">
                          <c:v>669.1</c:v>
                        </c:pt>
                        <c:pt idx="71">
                          <c:v>673.5</c:v>
                        </c:pt>
                        <c:pt idx="72">
                          <c:v>678.6</c:v>
                        </c:pt>
                        <c:pt idx="73">
                          <c:v>683.9</c:v>
                        </c:pt>
                        <c:pt idx="74">
                          <c:v>689.1</c:v>
                        </c:pt>
                        <c:pt idx="75">
                          <c:v>693.9</c:v>
                        </c:pt>
                        <c:pt idx="76">
                          <c:v>699.8</c:v>
                        </c:pt>
                        <c:pt idx="77">
                          <c:v>705.2</c:v>
                        </c:pt>
                        <c:pt idx="78">
                          <c:v>712.1</c:v>
                        </c:pt>
                        <c:pt idx="79">
                          <c:v>720.3</c:v>
                        </c:pt>
                        <c:pt idx="80">
                          <c:v>733.8</c:v>
                        </c:pt>
                        <c:pt idx="81">
                          <c:v>-</c:v>
                        </c:pt>
                        <c:pt idx="82">
                          <c:v>-</c:v>
                        </c:pt>
                        <c:pt idx="83">
                          <c:v>-</c:v>
                        </c:pt>
                        <c:pt idx="84">
                          <c:v>-</c:v>
                        </c:pt>
                        <c:pt idx="85">
                          <c:v>-</c:v>
                        </c:pt>
                        <c:pt idx="86">
                          <c:v>-</c:v>
                        </c:pt>
                        <c:pt idx="87">
                          <c:v>-</c:v>
                        </c:pt>
                        <c:pt idx="88">
                          <c:v>-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142.1</c:v>
                        </c:pt>
                        <c:pt idx="1">
                          <c:v>173.4</c:v>
                        </c:pt>
                        <c:pt idx="2">
                          <c:v>215</c:v>
                        </c:pt>
                        <c:pt idx="3">
                          <c:v>248.3</c:v>
                        </c:pt>
                        <c:pt idx="4">
                          <c:v>270.7</c:v>
                        </c:pt>
                        <c:pt idx="5">
                          <c:v>291.2</c:v>
                        </c:pt>
                        <c:pt idx="6">
                          <c:v>308.6</c:v>
                        </c:pt>
                        <c:pt idx="7">
                          <c:v>324.2</c:v>
                        </c:pt>
                        <c:pt idx="8">
                          <c:v>338.5</c:v>
                        </c:pt>
                        <c:pt idx="9">
                          <c:v>351.6</c:v>
                        </c:pt>
                        <c:pt idx="10">
                          <c:v>363.5</c:v>
                        </c:pt>
                        <c:pt idx="11">
                          <c:v>374.4</c:v>
                        </c:pt>
                        <c:pt idx="12">
                          <c:v>384.5</c:v>
                        </c:pt>
                        <c:pt idx="13">
                          <c:v>394.2</c:v>
                        </c:pt>
                        <c:pt idx="14">
                          <c:v>404</c:v>
                        </c:pt>
                        <c:pt idx="15">
                          <c:v>413.2</c:v>
                        </c:pt>
                        <c:pt idx="16">
                          <c:v>421.9</c:v>
                        </c:pt>
                        <c:pt idx="17">
                          <c:v>430.1</c:v>
                        </c:pt>
                        <c:pt idx="18">
                          <c:v>438.5</c:v>
                        </c:pt>
                        <c:pt idx="19">
                          <c:v>446.5</c:v>
                        </c:pt>
                        <c:pt idx="20">
                          <c:v>454.4</c:v>
                        </c:pt>
                        <c:pt idx="21">
                          <c:v>462</c:v>
                        </c:pt>
                        <c:pt idx="22">
                          <c:v>469.5</c:v>
                        </c:pt>
                        <c:pt idx="23">
                          <c:v>476.7</c:v>
                        </c:pt>
                        <c:pt idx="24">
                          <c:v>483.7</c:v>
                        </c:pt>
                        <c:pt idx="25">
                          <c:v>490.4</c:v>
                        </c:pt>
                        <c:pt idx="26">
                          <c:v>496.8</c:v>
                        </c:pt>
                        <c:pt idx="27">
                          <c:v>502.6</c:v>
                        </c:pt>
                        <c:pt idx="28">
                          <c:v>508.1</c:v>
                        </c:pt>
                        <c:pt idx="29">
                          <c:v>513.7</c:v>
                        </c:pt>
                        <c:pt idx="30">
                          <c:v>519.1</c:v>
                        </c:pt>
                        <c:pt idx="31">
                          <c:v>524.2</c:v>
                        </c:pt>
                        <c:pt idx="32">
                          <c:v>528.8</c:v>
                        </c:pt>
                        <c:pt idx="33">
                          <c:v>533.2</c:v>
                        </c:pt>
                        <c:pt idx="34">
                          <c:v>537.4</c:v>
                        </c:pt>
                        <c:pt idx="35">
                          <c:v>541.5</c:v>
                        </c:pt>
                        <c:pt idx="36">
                          <c:v>545.3</c:v>
                        </c:pt>
                        <c:pt idx="37">
                          <c:v>549.4</c:v>
                        </c:pt>
                        <c:pt idx="38">
                          <c:v>553.2</c:v>
                        </c:pt>
                        <c:pt idx="39">
                          <c:v>556.9</c:v>
                        </c:pt>
                        <c:pt idx="40">
                          <c:v>560.4</c:v>
                        </c:pt>
                        <c:pt idx="41">
                          <c:v>563.8</c:v>
                        </c:pt>
                        <c:pt idx="42">
                          <c:v>567</c:v>
                        </c:pt>
                        <c:pt idx="43">
                          <c:v>570</c:v>
                        </c:pt>
                        <c:pt idx="44">
                          <c:v>573</c:v>
                        </c:pt>
                        <c:pt idx="45">
                          <c:v>576.1</c:v>
                        </c:pt>
                        <c:pt idx="46">
                          <c:v>579.2</c:v>
                        </c:pt>
                        <c:pt idx="47">
                          <c:v>582.4</c:v>
                        </c:pt>
                        <c:pt idx="48">
                          <c:v>585.5</c:v>
                        </c:pt>
                        <c:pt idx="49">
                          <c:v>588.5</c:v>
                        </c:pt>
                        <c:pt idx="50">
                          <c:v>591.6</c:v>
                        </c:pt>
                        <c:pt idx="51">
                          <c:v>594.7</c:v>
                        </c:pt>
                        <c:pt idx="52">
                          <c:v>597.8</c:v>
                        </c:pt>
                        <c:pt idx="53">
                          <c:v>601</c:v>
                        </c:pt>
                        <c:pt idx="54">
                          <c:v>604.3</c:v>
                        </c:pt>
                        <c:pt idx="55">
                          <c:v>607.6</c:v>
                        </c:pt>
                        <c:pt idx="56">
                          <c:v>610.9</c:v>
                        </c:pt>
                        <c:pt idx="57">
                          <c:v>614.3</c:v>
                        </c:pt>
                        <c:pt idx="58">
                          <c:v>617.8</c:v>
                        </c:pt>
                        <c:pt idx="59">
                          <c:v>621.4</c:v>
                        </c:pt>
                        <c:pt idx="60">
                          <c:v>625</c:v>
                        </c:pt>
                        <c:pt idx="61">
                          <c:v>628.6</c:v>
                        </c:pt>
                        <c:pt idx="62">
                          <c:v>632</c:v>
                        </c:pt>
                        <c:pt idx="63">
                          <c:v>635.5</c:v>
                        </c:pt>
                        <c:pt idx="64">
                          <c:v>639.3</c:v>
                        </c:pt>
                        <c:pt idx="65">
                          <c:v>643.3</c:v>
                        </c:pt>
                        <c:pt idx="66">
                          <c:v>647.4</c:v>
                        </c:pt>
                        <c:pt idx="67">
                          <c:v>651.4</c:v>
                        </c:pt>
                        <c:pt idx="68">
                          <c:v>655.2</c:v>
                        </c:pt>
                        <c:pt idx="69">
                          <c:v>659.4</c:v>
                        </c:pt>
                        <c:pt idx="70">
                          <c:v>664.4</c:v>
                        </c:pt>
                        <c:pt idx="71">
                          <c:v>669.7</c:v>
                        </c:pt>
                        <c:pt idx="72">
                          <c:v>674.4</c:v>
                        </c:pt>
                        <c:pt idx="73">
                          <c:v>680</c:v>
                        </c:pt>
                        <c:pt idx="74">
                          <c:v>685.4</c:v>
                        </c:pt>
                        <c:pt idx="75">
                          <c:v>691</c:v>
                        </c:pt>
                        <c:pt idx="76">
                          <c:v>696</c:v>
                        </c:pt>
                        <c:pt idx="77">
                          <c:v>702.3</c:v>
                        </c:pt>
                        <c:pt idx="78">
                          <c:v>708.5</c:v>
                        </c:pt>
                        <c:pt idx="79">
                          <c:v>716.3</c:v>
                        </c:pt>
                        <c:pt idx="80">
                          <c:v>-</c:v>
                        </c:pt>
                        <c:pt idx="81">
                          <c:v>-</c:v>
                        </c:pt>
                        <c:pt idx="82">
                          <c:v>-</c:v>
                        </c:pt>
                        <c:pt idx="83">
                          <c:v>-</c:v>
                        </c:pt>
                        <c:pt idx="84">
                          <c:v>-</c:v>
                        </c:pt>
                        <c:pt idx="85">
                          <c:v>-</c:v>
                        </c:pt>
                        <c:pt idx="86">
                          <c:v>-</c:v>
                        </c:pt>
                        <c:pt idx="87">
                          <c:v>-</c:v>
                        </c:pt>
                        <c:pt idx="88">
                          <c:v>-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436.7</c:v>
                        </c:pt>
                        <c:pt idx="1">
                          <c:v>499.2</c:v>
                        </c:pt>
                        <c:pt idx="2">
                          <c:v>527.2</c:v>
                        </c:pt>
                        <c:pt idx="3">
                          <c:v>538.6</c:v>
                        </c:pt>
                        <c:pt idx="4">
                          <c:v>546.5</c:v>
                        </c:pt>
                        <c:pt idx="5">
                          <c:v>553.1</c:v>
                        </c:pt>
                        <c:pt idx="6">
                          <c:v>558.5</c:v>
                        </c:pt>
                        <c:pt idx="7">
                          <c:v>563.2</c:v>
                        </c:pt>
                        <c:pt idx="8">
                          <c:v>567.4</c:v>
                        </c:pt>
                        <c:pt idx="9">
                          <c:v>571.1</c:v>
                        </c:pt>
                        <c:pt idx="10">
                          <c:v>574.7</c:v>
                        </c:pt>
                        <c:pt idx="11">
                          <c:v>578.2</c:v>
                        </c:pt>
                        <c:pt idx="12">
                          <c:v>581.7</c:v>
                        </c:pt>
                        <c:pt idx="13">
                          <c:v>585.1</c:v>
                        </c:pt>
                        <c:pt idx="14">
                          <c:v>588.4</c:v>
                        </c:pt>
                        <c:pt idx="15">
                          <c:v>591.6</c:v>
                        </c:pt>
                        <c:pt idx="16">
                          <c:v>594.8</c:v>
                        </c:pt>
                        <c:pt idx="17">
                          <c:v>598</c:v>
                        </c:pt>
                        <c:pt idx="18">
                          <c:v>601.2</c:v>
                        </c:pt>
                        <c:pt idx="19">
                          <c:v>604.6</c:v>
                        </c:pt>
                        <c:pt idx="20">
                          <c:v>607.9</c:v>
                        </c:pt>
                        <c:pt idx="21">
                          <c:v>611.2</c:v>
                        </c:pt>
                        <c:pt idx="22">
                          <c:v>614.5</c:v>
                        </c:pt>
                        <c:pt idx="23">
                          <c:v>618</c:v>
                        </c:pt>
                        <c:pt idx="24">
                          <c:v>621.5</c:v>
                        </c:pt>
                        <c:pt idx="25">
                          <c:v>624.9</c:v>
                        </c:pt>
                        <c:pt idx="26">
                          <c:v>628.4</c:v>
                        </c:pt>
                        <c:pt idx="27">
                          <c:v>631.8</c:v>
                        </c:pt>
                        <c:pt idx="28">
                          <c:v>635.2</c:v>
                        </c:pt>
                        <c:pt idx="29">
                          <c:v>638.8</c:v>
                        </c:pt>
                        <c:pt idx="30">
                          <c:v>642.6</c:v>
                        </c:pt>
                        <c:pt idx="31">
                          <c:v>646.5</c:v>
                        </c:pt>
                        <c:pt idx="32">
                          <c:v>650.2</c:v>
                        </c:pt>
                        <c:pt idx="33">
                          <c:v>654</c:v>
                        </c:pt>
                        <c:pt idx="34">
                          <c:v>657.6</c:v>
                        </c:pt>
                        <c:pt idx="35">
                          <c:v>662.3</c:v>
                        </c:pt>
                        <c:pt idx="36">
                          <c:v>667.3</c:v>
                        </c:pt>
                        <c:pt idx="37">
                          <c:v>672.1</c:v>
                        </c:pt>
                        <c:pt idx="38">
                          <c:v>677.2</c:v>
                        </c:pt>
                        <c:pt idx="39">
                          <c:v>683</c:v>
                        </c:pt>
                        <c:pt idx="40">
                          <c:v>688.5</c:v>
                        </c:pt>
                        <c:pt idx="41">
                          <c:v>693.9</c:v>
                        </c:pt>
                        <c:pt idx="42">
                          <c:v>700.7</c:v>
                        </c:pt>
                        <c:pt idx="43">
                          <c:v>708.3</c:v>
                        </c:pt>
                        <c:pt idx="44">
                          <c:v>721.3</c:v>
                        </c:pt>
                        <c:pt idx="45">
                          <c:v>-</c:v>
                        </c:pt>
                        <c:pt idx="46">
                          <c:v>-</c:v>
                        </c:pt>
                        <c:pt idx="47">
                          <c:v>-</c:v>
                        </c:pt>
                        <c:pt idx="48">
                          <c:v>-</c:v>
                        </c:pt>
                        <c:pt idx="49">
                          <c:v>-</c:v>
                        </c:pt>
                        <c:pt idx="50">
                          <c:v>-</c:v>
                        </c:pt>
                        <c:pt idx="51">
                          <c:v>-</c:v>
                        </c:pt>
                        <c:pt idx="52">
                          <c:v>-</c:v>
                        </c:pt>
                        <c:pt idx="53">
                          <c:v>-</c:v>
                        </c:pt>
                        <c:pt idx="54">
                          <c:v>-</c:v>
                        </c:pt>
                        <c:pt idx="55">
                          <c:v>-</c:v>
                        </c:pt>
                        <c:pt idx="56">
                          <c:v>-</c:v>
                        </c:pt>
                        <c:pt idx="57">
                          <c:v>-</c:v>
                        </c:pt>
                        <c:pt idx="58">
                          <c:v>-</c:v>
                        </c:pt>
                        <c:pt idx="59">
                          <c:v>-</c:v>
                        </c:pt>
                        <c:pt idx="60">
                          <c:v>-</c:v>
                        </c:pt>
                        <c:pt idx="61">
                          <c:v>-</c:v>
                        </c:pt>
                        <c:pt idx="62">
                          <c:v>-</c:v>
                        </c:pt>
                        <c:pt idx="63">
                          <c:v>-</c:v>
                        </c:pt>
                        <c:pt idx="64">
                          <c:v>-</c:v>
                        </c:pt>
                        <c:pt idx="65">
                          <c:v>-</c:v>
                        </c:pt>
                        <c:pt idx="66">
                          <c:v>-</c:v>
                        </c:pt>
                        <c:pt idx="67">
                          <c:v>-</c:v>
                        </c:pt>
                        <c:pt idx="68">
                          <c:v>-</c:v>
                        </c:pt>
                        <c:pt idx="69">
                          <c:v>-</c:v>
                        </c:pt>
                        <c:pt idx="70">
                          <c:v>-</c:v>
                        </c:pt>
                        <c:pt idx="71">
                          <c:v>-</c:v>
                        </c:pt>
                        <c:pt idx="72">
                          <c:v>-</c:v>
                        </c:pt>
                        <c:pt idx="73">
                          <c:v>-</c:v>
                        </c:pt>
                        <c:pt idx="74">
                          <c:v>-</c:v>
                        </c:pt>
                        <c:pt idx="75">
                          <c:v>-</c:v>
                        </c:pt>
                        <c:pt idx="76">
                          <c:v>-</c:v>
                        </c:pt>
                        <c:pt idx="77">
                          <c:v>-</c:v>
                        </c:pt>
                        <c:pt idx="78">
                          <c:v>-</c:v>
                        </c:pt>
                        <c:pt idx="79">
                          <c:v>-</c:v>
                        </c:pt>
                        <c:pt idx="80">
                          <c:v>-</c:v>
                        </c:pt>
                        <c:pt idx="81">
                          <c:v>-</c:v>
                        </c:pt>
                        <c:pt idx="82">
                          <c:v>-</c:v>
                        </c:pt>
                        <c:pt idx="83">
                          <c:v>-</c:v>
                        </c:pt>
                        <c:pt idx="84">
                          <c:v>-</c:v>
                        </c:pt>
                        <c:pt idx="85">
                          <c:v>-</c:v>
                        </c:pt>
                        <c:pt idx="86">
                          <c:v>-</c:v>
                        </c:pt>
                        <c:pt idx="87">
                          <c:v>-</c:v>
                        </c:pt>
                        <c:pt idx="88">
                          <c:v>-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462.3</c:v>
                        </c:pt>
                        <c:pt idx="1">
                          <c:v>528.9</c:v>
                        </c:pt>
                        <c:pt idx="2">
                          <c:v>546.9</c:v>
                        </c:pt>
                        <c:pt idx="3">
                          <c:v>555.2</c:v>
                        </c:pt>
                        <c:pt idx="4">
                          <c:v>561</c:v>
                        </c:pt>
                        <c:pt idx="5">
                          <c:v>565.7</c:v>
                        </c:pt>
                        <c:pt idx="6">
                          <c:v>569.7</c:v>
                        </c:pt>
                        <c:pt idx="7">
                          <c:v>573.2</c:v>
                        </c:pt>
                        <c:pt idx="8">
                          <c:v>576.7</c:v>
                        </c:pt>
                        <c:pt idx="9">
                          <c:v>580.1</c:v>
                        </c:pt>
                        <c:pt idx="10">
                          <c:v>583.4</c:v>
                        </c:pt>
                        <c:pt idx="11">
                          <c:v>586.6</c:v>
                        </c:pt>
                        <c:pt idx="12">
                          <c:v>589.6</c:v>
                        </c:pt>
                        <c:pt idx="13">
                          <c:v>592.6</c:v>
                        </c:pt>
                        <c:pt idx="14">
                          <c:v>595.6</c:v>
                        </c:pt>
                        <c:pt idx="15">
                          <c:v>598.5</c:v>
                        </c:pt>
                        <c:pt idx="16">
                          <c:v>601.4</c:v>
                        </c:pt>
                        <c:pt idx="17">
                          <c:v>604.4</c:v>
                        </c:pt>
                        <c:pt idx="18">
                          <c:v>607.3</c:v>
                        </c:pt>
                        <c:pt idx="19">
                          <c:v>610.2</c:v>
                        </c:pt>
                        <c:pt idx="20">
                          <c:v>613.1</c:v>
                        </c:pt>
                        <c:pt idx="21">
                          <c:v>616.1</c:v>
                        </c:pt>
                        <c:pt idx="22">
                          <c:v>619.2</c:v>
                        </c:pt>
                        <c:pt idx="23">
                          <c:v>622.3</c:v>
                        </c:pt>
                        <c:pt idx="24">
                          <c:v>625.3</c:v>
                        </c:pt>
                        <c:pt idx="25">
                          <c:v>628.4</c:v>
                        </c:pt>
                        <c:pt idx="26">
                          <c:v>631.4</c:v>
                        </c:pt>
                        <c:pt idx="27">
                          <c:v>634.4</c:v>
                        </c:pt>
                        <c:pt idx="28">
                          <c:v>637.5</c:v>
                        </c:pt>
                        <c:pt idx="29">
                          <c:v>640.8</c:v>
                        </c:pt>
                        <c:pt idx="30">
                          <c:v>644.2</c:v>
                        </c:pt>
                        <c:pt idx="31">
                          <c:v>647.6</c:v>
                        </c:pt>
                        <c:pt idx="32">
                          <c:v>650.9</c:v>
                        </c:pt>
                        <c:pt idx="33">
                          <c:v>654.2</c:v>
                        </c:pt>
                        <c:pt idx="34">
                          <c:v>657.5</c:v>
                        </c:pt>
                        <c:pt idx="35">
                          <c:v>661.5</c:v>
                        </c:pt>
                        <c:pt idx="36">
                          <c:v>665.8</c:v>
                        </c:pt>
                        <c:pt idx="37">
                          <c:v>670.3</c:v>
                        </c:pt>
                        <c:pt idx="38">
                          <c:v>674.2</c:v>
                        </c:pt>
                        <c:pt idx="39">
                          <c:v>679.2</c:v>
                        </c:pt>
                        <c:pt idx="40">
                          <c:v>683.9</c:v>
                        </c:pt>
                        <c:pt idx="41">
                          <c:v>688.5</c:v>
                        </c:pt>
                        <c:pt idx="42">
                          <c:v>693</c:v>
                        </c:pt>
                        <c:pt idx="43">
                          <c:v>697.8</c:v>
                        </c:pt>
                        <c:pt idx="44">
                          <c:v>702.9</c:v>
                        </c:pt>
                        <c:pt idx="45">
                          <c:v>708.2</c:v>
                        </c:pt>
                        <c:pt idx="46">
                          <c:v>715.3</c:v>
                        </c:pt>
                        <c:pt idx="47">
                          <c:v>724.1</c:v>
                        </c:pt>
                        <c:pt idx="48">
                          <c:v>-</c:v>
                        </c:pt>
                        <c:pt idx="49">
                          <c:v>-</c:v>
                        </c:pt>
                        <c:pt idx="50">
                          <c:v>-</c:v>
                        </c:pt>
                        <c:pt idx="51">
                          <c:v>-</c:v>
                        </c:pt>
                        <c:pt idx="52">
                          <c:v>-</c:v>
                        </c:pt>
                        <c:pt idx="53">
                          <c:v>-</c:v>
                        </c:pt>
                        <c:pt idx="54">
                          <c:v>-</c:v>
                        </c:pt>
                        <c:pt idx="55">
                          <c:v>-</c:v>
                        </c:pt>
                        <c:pt idx="56">
                          <c:v>-</c:v>
                        </c:pt>
                        <c:pt idx="57">
                          <c:v>-</c:v>
                        </c:pt>
                        <c:pt idx="58">
                          <c:v>-</c:v>
                        </c:pt>
                        <c:pt idx="59">
                          <c:v>-</c:v>
                        </c:pt>
                        <c:pt idx="60">
                          <c:v>-</c:v>
                        </c:pt>
                        <c:pt idx="61">
                          <c:v>-</c:v>
                        </c:pt>
                        <c:pt idx="62">
                          <c:v>-</c:v>
                        </c:pt>
                        <c:pt idx="63">
                          <c:v>-</c:v>
                        </c:pt>
                        <c:pt idx="64">
                          <c:v>-</c:v>
                        </c:pt>
                        <c:pt idx="65">
                          <c:v>-</c:v>
                        </c:pt>
                        <c:pt idx="66">
                          <c:v>-</c:v>
                        </c:pt>
                        <c:pt idx="67">
                          <c:v>-</c:v>
                        </c:pt>
                        <c:pt idx="68">
                          <c:v>-</c:v>
                        </c:pt>
                        <c:pt idx="69">
                          <c:v>-</c:v>
                        </c:pt>
                        <c:pt idx="70">
                          <c:v>-</c:v>
                        </c:pt>
                        <c:pt idx="71">
                          <c:v>-</c:v>
                        </c:pt>
                        <c:pt idx="72">
                          <c:v>-</c:v>
                        </c:pt>
                        <c:pt idx="73">
                          <c:v>-</c:v>
                        </c:pt>
                        <c:pt idx="74">
                          <c:v>-</c:v>
                        </c:pt>
                        <c:pt idx="75">
                          <c:v>-</c:v>
                        </c:pt>
                        <c:pt idx="76">
                          <c:v>-</c:v>
                        </c:pt>
                        <c:pt idx="77">
                          <c:v>-</c:v>
                        </c:pt>
                        <c:pt idx="78">
                          <c:v>-</c:v>
                        </c:pt>
                        <c:pt idx="79">
                          <c:v>-</c:v>
                        </c:pt>
                        <c:pt idx="80">
                          <c:v>-</c:v>
                        </c:pt>
                        <c:pt idx="81">
                          <c:v>-</c:v>
                        </c:pt>
                        <c:pt idx="82">
                          <c:v>-</c:v>
                        </c:pt>
                        <c:pt idx="83">
                          <c:v>-</c:v>
                        </c:pt>
                        <c:pt idx="84">
                          <c:v>-</c:v>
                        </c:pt>
                        <c:pt idx="85">
                          <c:v>-</c:v>
                        </c:pt>
                        <c:pt idx="86">
                          <c:v>-</c:v>
                        </c:pt>
                        <c:pt idx="87">
                          <c:v>-</c:v>
                        </c:pt>
                        <c:pt idx="88">
                          <c:v>-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375.98</c:v>
                        </c:pt>
                        <c:pt idx="1">
                          <c:v>402</c:v>
                        </c:pt>
                        <c:pt idx="2">
                          <c:v>422</c:v>
                        </c:pt>
                        <c:pt idx="3">
                          <c:v>462</c:v>
                        </c:pt>
                        <c:pt idx="4">
                          <c:v>489</c:v>
                        </c:pt>
                        <c:pt idx="5">
                          <c:v>510</c:v>
                        </c:pt>
                        <c:pt idx="6">
                          <c:v>518</c:v>
                        </c:pt>
                        <c:pt idx="7">
                          <c:v>525</c:v>
                        </c:pt>
                        <c:pt idx="8">
                          <c:v>533</c:v>
                        </c:pt>
                        <c:pt idx="9">
                          <c:v>538</c:v>
                        </c:pt>
                        <c:pt idx="10">
                          <c:v>543.5</c:v>
                        </c:pt>
                        <c:pt idx="11">
                          <c:v>548</c:v>
                        </c:pt>
                        <c:pt idx="12">
                          <c:v>553</c:v>
                        </c:pt>
                        <c:pt idx="13">
                          <c:v>556</c:v>
                        </c:pt>
                        <c:pt idx="14">
                          <c:v>560</c:v>
                        </c:pt>
                        <c:pt idx="15">
                          <c:v>563</c:v>
                        </c:pt>
                        <c:pt idx="16">
                          <c:v>566</c:v>
                        </c:pt>
                        <c:pt idx="17">
                          <c:v>569</c:v>
                        </c:pt>
                        <c:pt idx="18">
                          <c:v>572</c:v>
                        </c:pt>
                        <c:pt idx="19">
                          <c:v>575</c:v>
                        </c:pt>
                        <c:pt idx="20">
                          <c:v>578</c:v>
                        </c:pt>
                        <c:pt idx="21">
                          <c:v>581</c:v>
                        </c:pt>
                        <c:pt idx="22">
                          <c:v>584</c:v>
                        </c:pt>
                        <c:pt idx="23">
                          <c:v>587</c:v>
                        </c:pt>
                        <c:pt idx="24">
                          <c:v>590</c:v>
                        </c:pt>
                        <c:pt idx="25">
                          <c:v>593</c:v>
                        </c:pt>
                        <c:pt idx="26">
                          <c:v>595</c:v>
                        </c:pt>
                        <c:pt idx="27">
                          <c:v>598</c:v>
                        </c:pt>
                        <c:pt idx="28">
                          <c:v>600</c:v>
                        </c:pt>
                        <c:pt idx="29">
                          <c:v>602</c:v>
                        </c:pt>
                        <c:pt idx="30">
                          <c:v>606</c:v>
                        </c:pt>
                        <c:pt idx="31">
                          <c:v>609</c:v>
                        </c:pt>
                        <c:pt idx="32">
                          <c:v>611</c:v>
                        </c:pt>
                        <c:pt idx="33">
                          <c:v>614</c:v>
                        </c:pt>
                        <c:pt idx="34">
                          <c:v>617</c:v>
                        </c:pt>
                        <c:pt idx="35">
                          <c:v>620</c:v>
                        </c:pt>
                        <c:pt idx="36">
                          <c:v>622</c:v>
                        </c:pt>
                        <c:pt idx="37">
                          <c:v>626</c:v>
                        </c:pt>
                        <c:pt idx="38">
                          <c:v>630</c:v>
                        </c:pt>
                        <c:pt idx="39">
                          <c:v>632</c:v>
                        </c:pt>
                        <c:pt idx="40">
                          <c:v>635</c:v>
                        </c:pt>
                        <c:pt idx="41">
                          <c:v>638</c:v>
                        </c:pt>
                        <c:pt idx="42">
                          <c:v>641</c:v>
                        </c:pt>
                        <c:pt idx="43">
                          <c:v>644</c:v>
                        </c:pt>
                        <c:pt idx="44">
                          <c:v>647</c:v>
                        </c:pt>
                        <c:pt idx="45">
                          <c:v>650</c:v>
                        </c:pt>
                        <c:pt idx="46">
                          <c:v>654</c:v>
                        </c:pt>
                        <c:pt idx="47">
                          <c:v>657</c:v>
                        </c:pt>
                        <c:pt idx="48">
                          <c:v>661</c:v>
                        </c:pt>
                        <c:pt idx="49">
                          <c:v>664</c:v>
                        </c:pt>
                        <c:pt idx="50">
                          <c:v>667</c:v>
                        </c:pt>
                        <c:pt idx="51">
                          <c:v>671</c:v>
                        </c:pt>
                        <c:pt idx="52">
                          <c:v>675</c:v>
                        </c:pt>
                        <c:pt idx="53">
                          <c:v>678</c:v>
                        </c:pt>
                        <c:pt idx="54">
                          <c:v>682</c:v>
                        </c:pt>
                        <c:pt idx="55">
                          <c:v>687</c:v>
                        </c:pt>
                        <c:pt idx="56">
                          <c:v>691</c:v>
                        </c:pt>
                        <c:pt idx="57">
                          <c:v>694</c:v>
                        </c:pt>
                        <c:pt idx="58">
                          <c:v>698</c:v>
                        </c:pt>
                        <c:pt idx="59">
                          <c:v>702</c:v>
                        </c:pt>
                        <c:pt idx="60">
                          <c:v>705</c:v>
                        </c:pt>
                        <c:pt idx="61">
                          <c:v>708</c:v>
                        </c:pt>
                        <c:pt idx="62">
                          <c:v>713</c:v>
                        </c:pt>
                        <c:pt idx="63">
                          <c:v>718</c:v>
                        </c:pt>
                        <c:pt idx="64">
                          <c:v>720</c:v>
                        </c:pt>
                        <c:pt idx="65">
                          <c:v>-</c:v>
                        </c:pt>
                        <c:pt idx="66">
                          <c:v>-</c:v>
                        </c:pt>
                        <c:pt idx="67">
                          <c:v>-</c:v>
                        </c:pt>
                        <c:pt idx="68">
                          <c:v>-</c:v>
                        </c:pt>
                        <c:pt idx="69">
                          <c:v>-</c:v>
                        </c:pt>
                        <c:pt idx="70">
                          <c:v>-</c:v>
                        </c:pt>
                        <c:pt idx="71">
                          <c:v>-</c:v>
                        </c:pt>
                        <c:pt idx="72">
                          <c:v>-</c:v>
                        </c:pt>
                        <c:pt idx="73">
                          <c:v>-</c:v>
                        </c:pt>
                        <c:pt idx="74">
                          <c:v>-</c:v>
                        </c:pt>
                        <c:pt idx="75">
                          <c:v>-</c:v>
                        </c:pt>
                        <c:pt idx="76">
                          <c:v>-</c:v>
                        </c:pt>
                        <c:pt idx="77">
                          <c:v>-</c:v>
                        </c:pt>
                        <c:pt idx="78">
                          <c:v>-</c:v>
                        </c:pt>
                        <c:pt idx="79">
                          <c:v>-</c:v>
                        </c:pt>
                        <c:pt idx="80">
                          <c:v>-</c:v>
                        </c:pt>
                        <c:pt idx="81">
                          <c:v>-</c:v>
                        </c:pt>
                        <c:pt idx="82">
                          <c:v>-</c:v>
                        </c:pt>
                        <c:pt idx="83">
                          <c:v>-</c:v>
                        </c:pt>
                        <c:pt idx="84">
                          <c:v>-</c:v>
                        </c:pt>
                        <c:pt idx="85">
                          <c:v>-</c:v>
                        </c:pt>
                        <c:pt idx="86">
                          <c:v>-</c:v>
                        </c:pt>
                        <c:pt idx="87">
                          <c:v>-</c:v>
                        </c:pt>
                        <c:pt idx="88">
                          <c:v>-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560</c:v>
                        </c:pt>
                        <c:pt idx="1">
                          <c:v>560</c:v>
                        </c:pt>
                        <c:pt idx="2">
                          <c:v>560</c:v>
                        </c:pt>
                        <c:pt idx="3">
                          <c:v>560</c:v>
                        </c:pt>
                        <c:pt idx="4">
                          <c:v>560</c:v>
                        </c:pt>
                        <c:pt idx="5">
                          <c:v>560</c:v>
                        </c:pt>
                        <c:pt idx="6">
                          <c:v>560</c:v>
                        </c:pt>
                        <c:pt idx="7">
                          <c:v>560</c:v>
                        </c:pt>
                        <c:pt idx="8">
                          <c:v>560</c:v>
                        </c:pt>
                        <c:pt idx="9">
                          <c:v>560</c:v>
                        </c:pt>
                        <c:pt idx="10">
                          <c:v>560</c:v>
                        </c:pt>
                        <c:pt idx="11">
                          <c:v>560</c:v>
                        </c:pt>
                        <c:pt idx="12">
                          <c:v>560</c:v>
                        </c:pt>
                        <c:pt idx="13">
                          <c:v>560</c:v>
                        </c:pt>
                        <c:pt idx="14">
                          <c:v>560</c:v>
                        </c:pt>
                        <c:pt idx="15">
                          <c:v>560</c:v>
                        </c:pt>
                        <c:pt idx="16">
                          <c:v>560</c:v>
                        </c:pt>
                        <c:pt idx="17">
                          <c:v>560</c:v>
                        </c:pt>
                        <c:pt idx="18">
                          <c:v>560</c:v>
                        </c:pt>
                        <c:pt idx="19">
                          <c:v>560</c:v>
                        </c:pt>
                        <c:pt idx="20">
                          <c:v>560</c:v>
                        </c:pt>
                        <c:pt idx="21">
                          <c:v>560</c:v>
                        </c:pt>
                        <c:pt idx="22">
                          <c:v>560</c:v>
                        </c:pt>
                        <c:pt idx="23">
                          <c:v>560</c:v>
                        </c:pt>
                        <c:pt idx="24">
                          <c:v>560</c:v>
                        </c:pt>
                        <c:pt idx="25">
                          <c:v>560</c:v>
                        </c:pt>
                        <c:pt idx="26">
                          <c:v>560</c:v>
                        </c:pt>
                        <c:pt idx="27">
                          <c:v>560</c:v>
                        </c:pt>
                        <c:pt idx="28">
                          <c:v>560</c:v>
                        </c:pt>
                        <c:pt idx="29">
                          <c:v>560</c:v>
                        </c:pt>
                        <c:pt idx="30">
                          <c:v>560</c:v>
                        </c:pt>
                        <c:pt idx="31">
                          <c:v>560</c:v>
                        </c:pt>
                        <c:pt idx="32">
                          <c:v>560</c:v>
                        </c:pt>
                        <c:pt idx="33">
                          <c:v>560</c:v>
                        </c:pt>
                        <c:pt idx="34">
                          <c:v>560</c:v>
                        </c:pt>
                        <c:pt idx="35">
                          <c:v>560</c:v>
                        </c:pt>
                        <c:pt idx="36">
                          <c:v>560</c:v>
                        </c:pt>
                        <c:pt idx="37">
                          <c:v>560</c:v>
                        </c:pt>
                        <c:pt idx="38">
                          <c:v>560</c:v>
                        </c:pt>
                        <c:pt idx="39">
                          <c:v>560</c:v>
                        </c:pt>
                        <c:pt idx="40">
                          <c:v>560</c:v>
                        </c:pt>
                        <c:pt idx="41">
                          <c:v>560</c:v>
                        </c:pt>
                        <c:pt idx="42">
                          <c:v>560</c:v>
                        </c:pt>
                        <c:pt idx="43">
                          <c:v>560</c:v>
                        </c:pt>
                        <c:pt idx="44">
                          <c:v>560</c:v>
                        </c:pt>
                        <c:pt idx="45">
                          <c:v>560</c:v>
                        </c:pt>
                        <c:pt idx="46">
                          <c:v>560</c:v>
                        </c:pt>
                        <c:pt idx="47">
                          <c:v>560</c:v>
                        </c:pt>
                        <c:pt idx="48">
                          <c:v>560</c:v>
                        </c:pt>
                        <c:pt idx="49">
                          <c:v>560</c:v>
                        </c:pt>
                        <c:pt idx="50">
                          <c:v>560</c:v>
                        </c:pt>
                        <c:pt idx="51">
                          <c:v>560</c:v>
                        </c:pt>
                        <c:pt idx="52">
                          <c:v>560</c:v>
                        </c:pt>
                        <c:pt idx="53">
                          <c:v>560</c:v>
                        </c:pt>
                        <c:pt idx="54">
                          <c:v>560</c:v>
                        </c:pt>
                        <c:pt idx="55">
                          <c:v>560</c:v>
                        </c:pt>
                        <c:pt idx="56">
                          <c:v>560</c:v>
                        </c:pt>
                        <c:pt idx="57">
                          <c:v>560</c:v>
                        </c:pt>
                        <c:pt idx="58">
                          <c:v>560</c:v>
                        </c:pt>
                        <c:pt idx="59">
                          <c:v>560</c:v>
                        </c:pt>
                        <c:pt idx="60">
                          <c:v>560</c:v>
                        </c:pt>
                        <c:pt idx="61">
                          <c:v>560</c:v>
                        </c:pt>
                        <c:pt idx="62">
                          <c:v>560</c:v>
                        </c:pt>
                        <c:pt idx="63">
                          <c:v>560</c:v>
                        </c:pt>
                        <c:pt idx="64">
                          <c:v>560</c:v>
                        </c:pt>
                        <c:pt idx="65">
                          <c:v>560</c:v>
                        </c:pt>
                        <c:pt idx="66">
                          <c:v>560</c:v>
                        </c:pt>
                        <c:pt idx="67">
                          <c:v>560</c:v>
                        </c:pt>
                        <c:pt idx="68">
                          <c:v>560</c:v>
                        </c:pt>
                        <c:pt idx="69">
                          <c:v>560</c:v>
                        </c:pt>
                        <c:pt idx="70">
                          <c:v>560</c:v>
                        </c:pt>
                        <c:pt idx="71">
                          <c:v>560</c:v>
                        </c:pt>
                        <c:pt idx="72">
                          <c:v>560</c:v>
                        </c:pt>
                        <c:pt idx="73">
                          <c:v>560</c:v>
                        </c:pt>
                        <c:pt idx="74">
                          <c:v>560</c:v>
                        </c:pt>
                        <c:pt idx="75">
                          <c:v>560</c:v>
                        </c:pt>
                        <c:pt idx="76">
                          <c:v>560</c:v>
                        </c:pt>
                        <c:pt idx="77">
                          <c:v>560</c:v>
                        </c:pt>
                        <c:pt idx="78">
                          <c:v>560</c:v>
                        </c:pt>
                        <c:pt idx="79">
                          <c:v>560</c:v>
                        </c:pt>
                        <c:pt idx="80">
                          <c:v>560</c:v>
                        </c:pt>
                        <c:pt idx="81">
                          <c:v>560</c:v>
                        </c:pt>
                        <c:pt idx="82">
                          <c:v>560</c:v>
                        </c:pt>
                        <c:pt idx="83">
                          <c:v>560</c:v>
                        </c:pt>
                        <c:pt idx="84">
                          <c:v>560</c:v>
                        </c:pt>
                        <c:pt idx="85">
                          <c:v>560</c:v>
                        </c:pt>
                        <c:pt idx="86">
                          <c:v>560</c:v>
                        </c:pt>
                        <c:pt idx="87">
                          <c:v>560</c:v>
                        </c:pt>
                        <c:pt idx="88">
                          <c:v>560</c:v>
                        </c:pt>
                        <c:pt idx="89">
                          <c:v>560</c:v>
                        </c:pt>
                        <c:pt idx="90">
                          <c:v>560</c:v>
                        </c:pt>
                        <c:pt idx="91">
                          <c:v>560</c:v>
                        </c:pt>
                        <c:pt idx="92">
                          <c:v>560</c:v>
                        </c:pt>
                        <c:pt idx="93">
                          <c:v>560</c:v>
                        </c:pt>
                        <c:pt idx="94">
                          <c:v>560</c:v>
                        </c:pt>
                        <c:pt idx="95">
                          <c:v>560</c:v>
                        </c:pt>
                        <c:pt idx="96">
                          <c:v>560</c:v>
                        </c:pt>
                        <c:pt idx="97">
                          <c:v>560</c:v>
                        </c:pt>
                        <c:pt idx="98">
                          <c:v>560</c:v>
                        </c:pt>
                        <c:pt idx="99">
                          <c:v>560</c:v>
                        </c:pt>
                        <c:pt idx="100">
                          <c:v>560</c:v>
                        </c:pt>
                      </c:lvl>
                      <c:lvl>
                        <c:pt idx="0">
                          <c:v>500</c:v>
                        </c:pt>
                        <c:pt idx="1">
                          <c:v>500</c:v>
                        </c:pt>
                        <c:pt idx="2">
                          <c:v>500</c:v>
                        </c:pt>
                        <c:pt idx="3">
                          <c:v>500</c:v>
                        </c:pt>
                        <c:pt idx="4">
                          <c:v>500</c:v>
                        </c:pt>
                        <c:pt idx="5">
                          <c:v>500</c:v>
                        </c:pt>
                        <c:pt idx="6">
                          <c:v>500</c:v>
                        </c:pt>
                        <c:pt idx="7">
                          <c:v>500</c:v>
                        </c:pt>
                        <c:pt idx="8">
                          <c:v>500</c:v>
                        </c:pt>
                        <c:pt idx="9">
                          <c:v>500</c:v>
                        </c:pt>
                        <c:pt idx="10">
                          <c:v>500</c:v>
                        </c:pt>
                        <c:pt idx="11">
                          <c:v>500</c:v>
                        </c:pt>
                        <c:pt idx="12">
                          <c:v>500</c:v>
                        </c:pt>
                        <c:pt idx="13">
                          <c:v>500</c:v>
                        </c:pt>
                        <c:pt idx="14">
                          <c:v>500</c:v>
                        </c:pt>
                        <c:pt idx="15">
                          <c:v>500</c:v>
                        </c:pt>
                        <c:pt idx="16">
                          <c:v>500</c:v>
                        </c:pt>
                        <c:pt idx="17">
                          <c:v>500</c:v>
                        </c:pt>
                        <c:pt idx="18">
                          <c:v>500</c:v>
                        </c:pt>
                        <c:pt idx="19">
                          <c:v>500</c:v>
                        </c:pt>
                        <c:pt idx="20">
                          <c:v>500</c:v>
                        </c:pt>
                        <c:pt idx="21">
                          <c:v>500</c:v>
                        </c:pt>
                        <c:pt idx="22">
                          <c:v>500</c:v>
                        </c:pt>
                        <c:pt idx="23">
                          <c:v>500</c:v>
                        </c:pt>
                        <c:pt idx="24">
                          <c:v>500</c:v>
                        </c:pt>
                        <c:pt idx="25">
                          <c:v>500</c:v>
                        </c:pt>
                        <c:pt idx="26">
                          <c:v>500</c:v>
                        </c:pt>
                        <c:pt idx="27">
                          <c:v>500</c:v>
                        </c:pt>
                        <c:pt idx="28">
                          <c:v>500</c:v>
                        </c:pt>
                        <c:pt idx="29">
                          <c:v>500</c:v>
                        </c:pt>
                        <c:pt idx="30">
                          <c:v>500</c:v>
                        </c:pt>
                        <c:pt idx="31">
                          <c:v>500</c:v>
                        </c:pt>
                        <c:pt idx="32">
                          <c:v>500</c:v>
                        </c:pt>
                        <c:pt idx="33">
                          <c:v>500</c:v>
                        </c:pt>
                        <c:pt idx="34">
                          <c:v>500</c:v>
                        </c:pt>
                        <c:pt idx="35">
                          <c:v>500</c:v>
                        </c:pt>
                        <c:pt idx="36">
                          <c:v>500</c:v>
                        </c:pt>
                        <c:pt idx="37">
                          <c:v>500</c:v>
                        </c:pt>
                        <c:pt idx="38">
                          <c:v>500</c:v>
                        </c:pt>
                        <c:pt idx="39">
                          <c:v>500</c:v>
                        </c:pt>
                        <c:pt idx="40">
                          <c:v>500</c:v>
                        </c:pt>
                        <c:pt idx="41">
                          <c:v>500</c:v>
                        </c:pt>
                        <c:pt idx="42">
                          <c:v>500</c:v>
                        </c:pt>
                        <c:pt idx="43">
                          <c:v>500</c:v>
                        </c:pt>
                        <c:pt idx="44">
                          <c:v>500</c:v>
                        </c:pt>
                        <c:pt idx="45">
                          <c:v>500</c:v>
                        </c:pt>
                        <c:pt idx="46">
                          <c:v>500</c:v>
                        </c:pt>
                        <c:pt idx="47">
                          <c:v>500</c:v>
                        </c:pt>
                        <c:pt idx="48">
                          <c:v>500</c:v>
                        </c:pt>
                        <c:pt idx="49">
                          <c:v>500</c:v>
                        </c:pt>
                        <c:pt idx="50">
                          <c:v>500</c:v>
                        </c:pt>
                        <c:pt idx="51">
                          <c:v>500</c:v>
                        </c:pt>
                        <c:pt idx="52">
                          <c:v>500</c:v>
                        </c:pt>
                        <c:pt idx="53">
                          <c:v>500</c:v>
                        </c:pt>
                        <c:pt idx="54">
                          <c:v>500</c:v>
                        </c:pt>
                        <c:pt idx="55">
                          <c:v>500</c:v>
                        </c:pt>
                        <c:pt idx="56">
                          <c:v>500</c:v>
                        </c:pt>
                        <c:pt idx="57">
                          <c:v>500</c:v>
                        </c:pt>
                        <c:pt idx="58">
                          <c:v>500</c:v>
                        </c:pt>
                        <c:pt idx="59">
                          <c:v>500</c:v>
                        </c:pt>
                        <c:pt idx="60">
                          <c:v>500</c:v>
                        </c:pt>
                        <c:pt idx="61">
                          <c:v>500</c:v>
                        </c:pt>
                        <c:pt idx="62">
                          <c:v>500</c:v>
                        </c:pt>
                        <c:pt idx="63">
                          <c:v>500</c:v>
                        </c:pt>
                        <c:pt idx="64">
                          <c:v>500</c:v>
                        </c:pt>
                        <c:pt idx="65">
                          <c:v>500</c:v>
                        </c:pt>
                        <c:pt idx="66">
                          <c:v>500</c:v>
                        </c:pt>
                        <c:pt idx="67">
                          <c:v>500</c:v>
                        </c:pt>
                        <c:pt idx="68">
                          <c:v>500</c:v>
                        </c:pt>
                        <c:pt idx="69">
                          <c:v>500</c:v>
                        </c:pt>
                        <c:pt idx="70">
                          <c:v>500</c:v>
                        </c:pt>
                        <c:pt idx="71">
                          <c:v>500</c:v>
                        </c:pt>
                        <c:pt idx="72">
                          <c:v>500</c:v>
                        </c:pt>
                        <c:pt idx="73">
                          <c:v>500</c:v>
                        </c:pt>
                        <c:pt idx="74">
                          <c:v>500</c:v>
                        </c:pt>
                        <c:pt idx="75">
                          <c:v>500</c:v>
                        </c:pt>
                        <c:pt idx="76">
                          <c:v>500</c:v>
                        </c:pt>
                        <c:pt idx="77">
                          <c:v>500</c:v>
                        </c:pt>
                        <c:pt idx="78">
                          <c:v>500</c:v>
                        </c:pt>
                        <c:pt idx="79">
                          <c:v>500</c:v>
                        </c:pt>
                        <c:pt idx="80">
                          <c:v>500</c:v>
                        </c:pt>
                        <c:pt idx="81">
                          <c:v>500</c:v>
                        </c:pt>
                        <c:pt idx="82">
                          <c:v>500</c:v>
                        </c:pt>
                        <c:pt idx="83">
                          <c:v>500</c:v>
                        </c:pt>
                        <c:pt idx="84">
                          <c:v>500</c:v>
                        </c:pt>
                        <c:pt idx="85">
                          <c:v>500</c:v>
                        </c:pt>
                        <c:pt idx="86">
                          <c:v>500</c:v>
                        </c:pt>
                        <c:pt idx="87">
                          <c:v>500</c:v>
                        </c:pt>
                        <c:pt idx="88">
                          <c:v>500</c:v>
                        </c:pt>
                        <c:pt idx="89">
                          <c:v>500</c:v>
                        </c:pt>
                        <c:pt idx="90">
                          <c:v>500</c:v>
                        </c:pt>
                        <c:pt idx="91">
                          <c:v>500</c:v>
                        </c:pt>
                        <c:pt idx="92">
                          <c:v>500</c:v>
                        </c:pt>
                        <c:pt idx="93">
                          <c:v>500</c:v>
                        </c:pt>
                        <c:pt idx="94">
                          <c:v>500</c:v>
                        </c:pt>
                        <c:pt idx="95">
                          <c:v>500</c:v>
                        </c:pt>
                        <c:pt idx="96">
                          <c:v>500</c:v>
                        </c:pt>
                        <c:pt idx="97">
                          <c:v>500</c:v>
                        </c:pt>
                        <c:pt idx="98">
                          <c:v>500</c:v>
                        </c:pt>
                        <c:pt idx="99">
                          <c:v>500</c:v>
                        </c:pt>
                        <c:pt idx="100">
                          <c:v>500</c:v>
                        </c:pt>
                      </c:lvl>
                      <c:lvl>
                        <c:pt idx="0">
                          <c:v>0</c:v>
                        </c:pt>
                        <c:pt idx="1">
                          <c:v>1</c:v>
                        </c:pt>
                        <c:pt idx="2">
                          <c:v>2</c:v>
                        </c:pt>
                        <c:pt idx="3">
                          <c:v>3</c:v>
                        </c:pt>
                        <c:pt idx="4">
                          <c:v>4</c:v>
                        </c:pt>
                        <c:pt idx="5">
                          <c:v>5</c:v>
                        </c:pt>
                        <c:pt idx="6">
                          <c:v>6</c:v>
                        </c:pt>
                        <c:pt idx="7">
                          <c:v>7</c:v>
                        </c:pt>
                        <c:pt idx="8">
                          <c:v>8</c:v>
                        </c:pt>
                        <c:pt idx="9">
                          <c:v>9</c:v>
                        </c:pt>
                        <c:pt idx="10">
                          <c:v>10</c:v>
                        </c:pt>
                        <c:pt idx="11">
                          <c:v>11</c:v>
                        </c:pt>
                        <c:pt idx="12">
                          <c:v>12</c:v>
                        </c:pt>
                        <c:pt idx="13">
                          <c:v>13</c:v>
                        </c:pt>
                        <c:pt idx="14">
                          <c:v>14</c:v>
                        </c:pt>
                        <c:pt idx="15">
                          <c:v>15</c:v>
                        </c:pt>
                        <c:pt idx="16">
                          <c:v>16</c:v>
                        </c:pt>
                        <c:pt idx="17">
                          <c:v>17</c:v>
                        </c:pt>
                        <c:pt idx="18">
                          <c:v>18</c:v>
                        </c:pt>
                        <c:pt idx="19">
                          <c:v>19</c:v>
                        </c:pt>
                        <c:pt idx="20">
                          <c:v>20</c:v>
                        </c:pt>
                        <c:pt idx="21">
                          <c:v>21</c:v>
                        </c:pt>
                        <c:pt idx="22">
                          <c:v>22</c:v>
                        </c:pt>
                        <c:pt idx="23">
                          <c:v>23</c:v>
                        </c:pt>
                        <c:pt idx="24">
                          <c:v>24</c:v>
                        </c:pt>
                        <c:pt idx="25">
                          <c:v>25</c:v>
                        </c:pt>
                        <c:pt idx="26">
                          <c:v>26</c:v>
                        </c:pt>
                        <c:pt idx="27">
                          <c:v>27</c:v>
                        </c:pt>
                        <c:pt idx="28">
                          <c:v>28</c:v>
                        </c:pt>
                        <c:pt idx="29">
                          <c:v>29</c:v>
                        </c:pt>
                        <c:pt idx="30">
                          <c:v>30</c:v>
                        </c:pt>
                        <c:pt idx="31">
                          <c:v>31</c:v>
                        </c:pt>
                        <c:pt idx="32">
                          <c:v>32</c:v>
                        </c:pt>
                        <c:pt idx="33">
                          <c:v>33</c:v>
                        </c:pt>
                        <c:pt idx="34">
                          <c:v>34</c:v>
                        </c:pt>
                        <c:pt idx="35">
                          <c:v>35</c:v>
                        </c:pt>
                        <c:pt idx="36">
                          <c:v>36</c:v>
                        </c:pt>
                        <c:pt idx="37">
                          <c:v>37</c:v>
                        </c:pt>
                        <c:pt idx="38">
                          <c:v>38</c:v>
                        </c:pt>
                        <c:pt idx="39">
                          <c:v>39</c:v>
                        </c:pt>
                        <c:pt idx="40">
                          <c:v>40</c:v>
                        </c:pt>
                        <c:pt idx="41">
                          <c:v>41</c:v>
                        </c:pt>
                        <c:pt idx="42">
                          <c:v>42</c:v>
                        </c:pt>
                        <c:pt idx="43">
                          <c:v>43</c:v>
                        </c:pt>
                        <c:pt idx="44">
                          <c:v>44</c:v>
                        </c:pt>
                        <c:pt idx="45">
                          <c:v>45</c:v>
                        </c:pt>
                        <c:pt idx="46">
                          <c:v>46</c:v>
                        </c:pt>
                        <c:pt idx="47">
                          <c:v>47</c:v>
                        </c:pt>
                        <c:pt idx="48">
                          <c:v>48</c:v>
                        </c:pt>
                        <c:pt idx="49">
                          <c:v>49</c:v>
                        </c:pt>
                        <c:pt idx="50">
                          <c:v>50</c:v>
                        </c:pt>
                        <c:pt idx="51">
                          <c:v>51</c:v>
                        </c:pt>
                        <c:pt idx="52">
                          <c:v>52</c:v>
                        </c:pt>
                        <c:pt idx="53">
                          <c:v>53</c:v>
                        </c:pt>
                        <c:pt idx="54">
                          <c:v>54</c:v>
                        </c:pt>
                        <c:pt idx="55">
                          <c:v>55</c:v>
                        </c:pt>
                        <c:pt idx="56">
                          <c:v>56</c:v>
                        </c:pt>
                        <c:pt idx="57">
                          <c:v>57</c:v>
                        </c:pt>
                        <c:pt idx="58">
                          <c:v>58</c:v>
                        </c:pt>
                        <c:pt idx="59">
                          <c:v>59</c:v>
                        </c:pt>
                        <c:pt idx="60">
                          <c:v>60</c:v>
                        </c:pt>
                        <c:pt idx="61">
                          <c:v>61</c:v>
                        </c:pt>
                        <c:pt idx="62">
                          <c:v>62</c:v>
                        </c:pt>
                        <c:pt idx="63">
                          <c:v>63</c:v>
                        </c:pt>
                        <c:pt idx="64">
                          <c:v>64</c:v>
                        </c:pt>
                        <c:pt idx="65">
                          <c:v>65</c:v>
                        </c:pt>
                        <c:pt idx="66">
                          <c:v>66</c:v>
                        </c:pt>
                        <c:pt idx="67">
                          <c:v>67</c:v>
                        </c:pt>
                        <c:pt idx="68">
                          <c:v>68</c:v>
                        </c:pt>
                        <c:pt idx="69">
                          <c:v>69</c:v>
                        </c:pt>
                        <c:pt idx="70">
                          <c:v>70</c:v>
                        </c:pt>
                        <c:pt idx="71">
                          <c:v>71</c:v>
                        </c:pt>
                        <c:pt idx="72">
                          <c:v>72</c:v>
                        </c:pt>
                        <c:pt idx="73">
                          <c:v>73</c:v>
                        </c:pt>
                        <c:pt idx="74">
                          <c:v>74</c:v>
                        </c:pt>
                        <c:pt idx="75">
                          <c:v>75</c:v>
                        </c:pt>
                        <c:pt idx="76">
                          <c:v>76</c:v>
                        </c:pt>
                        <c:pt idx="77">
                          <c:v>77</c:v>
                        </c:pt>
                        <c:pt idx="78">
                          <c:v>78</c:v>
                        </c:pt>
                        <c:pt idx="79">
                          <c:v>79</c:v>
                        </c:pt>
                        <c:pt idx="80">
                          <c:v>80</c:v>
                        </c:pt>
                        <c:pt idx="81">
                          <c:v>81</c:v>
                        </c:pt>
                        <c:pt idx="82">
                          <c:v>82</c:v>
                        </c:pt>
                        <c:pt idx="83">
                          <c:v>83</c:v>
                        </c:pt>
                        <c:pt idx="84">
                          <c:v>84</c:v>
                        </c:pt>
                        <c:pt idx="85">
                          <c:v>85</c:v>
                        </c:pt>
                        <c:pt idx="86">
                          <c:v>86</c:v>
                        </c:pt>
                        <c:pt idx="87">
                          <c:v>87</c:v>
                        </c:pt>
                        <c:pt idx="88">
                          <c:v>88</c:v>
                        </c:pt>
                        <c:pt idx="89">
                          <c:v>89</c:v>
                        </c:pt>
                        <c:pt idx="90">
                          <c:v>90</c:v>
                        </c:pt>
                        <c:pt idx="91">
                          <c:v>91</c:v>
                        </c:pt>
                        <c:pt idx="92">
                          <c:v>92</c:v>
                        </c:pt>
                        <c:pt idx="93">
                          <c:v>93</c:v>
                        </c:pt>
                        <c:pt idx="94">
                          <c:v>94</c:v>
                        </c:pt>
                        <c:pt idx="95">
                          <c:v>95</c:v>
                        </c:pt>
                        <c:pt idx="96">
                          <c:v>96</c:v>
                        </c:pt>
                        <c:pt idx="97">
                          <c:v>97</c:v>
                        </c:pt>
                        <c:pt idx="98">
                          <c:v>98</c:v>
                        </c:pt>
                        <c:pt idx="99">
                          <c:v>99</c:v>
                        </c:pt>
                        <c:pt idx="100">
                          <c:v>100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Comparing'!$Y$10:$Y$110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009C-40CC-835F-A10742FCB657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v>D3 ART LS</c:v>
                </c:tx>
                <c:spPr>
                  <a:ln w="19050" cap="rnd">
                    <a:solidFill>
                      <a:srgbClr val="FFC00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Comparing'!$AR$6:$AR$104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Comparing'!$AS$6:$AS$104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170.44444444444446</c:v>
                      </c:pt>
                      <c:pt idx="1">
                        <c:v>197.11111111111111</c:v>
                      </c:pt>
                      <c:pt idx="2">
                        <c:v>216.05555555555554</c:v>
                      </c:pt>
                      <c:pt idx="3">
                        <c:v>230.11111111111111</c:v>
                      </c:pt>
                      <c:pt idx="4">
                        <c:v>243.72222222222223</c:v>
                      </c:pt>
                      <c:pt idx="5">
                        <c:v>254.66666666666666</c:v>
                      </c:pt>
                      <c:pt idx="6">
                        <c:v>265.83333333333331</c:v>
                      </c:pt>
                      <c:pt idx="7">
                        <c:v>275.55555555555554</c:v>
                      </c:pt>
                      <c:pt idx="8">
                        <c:v>285.94444444444446</c:v>
                      </c:pt>
                      <c:pt idx="9">
                        <c:v>293.94444444444446</c:v>
                      </c:pt>
                      <c:pt idx="10">
                        <c:v>301.94444444444446</c:v>
                      </c:pt>
                      <c:pt idx="11">
                        <c:v>309.33333333333331</c:v>
                      </c:pt>
                      <c:pt idx="12">
                        <c:v>316.44444444444446</c:v>
                      </c:pt>
                      <c:pt idx="13">
                        <c:v>323.94444444444446</c:v>
                      </c:pt>
                      <c:pt idx="14">
                        <c:v>330.77777777777777</c:v>
                      </c:pt>
                      <c:pt idx="15">
                        <c:v>338.05555555555554</c:v>
                      </c:pt>
                      <c:pt idx="16">
                        <c:v>344.66666666666669</c:v>
                      </c:pt>
                      <c:pt idx="17">
                        <c:v>351.44444444444446</c:v>
                      </c:pt>
                      <c:pt idx="18">
                        <c:v>357.22222222222223</c:v>
                      </c:pt>
                      <c:pt idx="19">
                        <c:v>363.72222222222223</c:v>
                      </c:pt>
                      <c:pt idx="20">
                        <c:v>369.5</c:v>
                      </c:pt>
                      <c:pt idx="21">
                        <c:v>375.66666666666669</c:v>
                      </c:pt>
                      <c:pt idx="22">
                        <c:v>381.33333333333331</c:v>
                      </c:pt>
                      <c:pt idx="23">
                        <c:v>387.44444444444446</c:v>
                      </c:pt>
                      <c:pt idx="24">
                        <c:v>392.88888888888891</c:v>
                      </c:pt>
                      <c:pt idx="25">
                        <c:v>398.72222222222223</c:v>
                      </c:pt>
                      <c:pt idx="26">
                        <c:v>403.88888888888891</c:v>
                      </c:pt>
                      <c:pt idx="27">
                        <c:v>409.44444444444446</c:v>
                      </c:pt>
                      <c:pt idx="28">
                        <c:v>414.61111111111109</c:v>
                      </c:pt>
                      <c:pt idx="29">
                        <c:v>420</c:v>
                      </c:pt>
                      <c:pt idx="30">
                        <c:v>424.94444444444446</c:v>
                      </c:pt>
                      <c:pt idx="31">
                        <c:v>430.27777777777777</c:v>
                      </c:pt>
                      <c:pt idx="32">
                        <c:v>435.33333333333331</c:v>
                      </c:pt>
                      <c:pt idx="33">
                        <c:v>440.5</c:v>
                      </c:pt>
                      <c:pt idx="34">
                        <c:v>445.77777777777777</c:v>
                      </c:pt>
                      <c:pt idx="35">
                        <c:v>450.83333333333331</c:v>
                      </c:pt>
                      <c:pt idx="36">
                        <c:v>456.16666666666669</c:v>
                      </c:pt>
                      <c:pt idx="37">
                        <c:v>461.22222222222223</c:v>
                      </c:pt>
                      <c:pt idx="38">
                        <c:v>466.33333333333331</c:v>
                      </c:pt>
                      <c:pt idx="39">
                        <c:v>471.27777777777777</c:v>
                      </c:pt>
                      <c:pt idx="40">
                        <c:v>476.05555555555554</c:v>
                      </c:pt>
                      <c:pt idx="41">
                        <c:v>480.88888888888891</c:v>
                      </c:pt>
                      <c:pt idx="42">
                        <c:v>485.66666666666669</c:v>
                      </c:pt>
                      <c:pt idx="43">
                        <c:v>490.38888888888891</c:v>
                      </c:pt>
                      <c:pt idx="44">
                        <c:v>495.16666666666669</c:v>
                      </c:pt>
                      <c:pt idx="45">
                        <c:v>499.66666666666669</c:v>
                      </c:pt>
                      <c:pt idx="46">
                        <c:v>504.16666666666669</c:v>
                      </c:pt>
                      <c:pt idx="47">
                        <c:v>508.66666666666669</c:v>
                      </c:pt>
                      <c:pt idx="48">
                        <c:v>513.11111111111109</c:v>
                      </c:pt>
                      <c:pt idx="49">
                        <c:v>517.5</c:v>
                      </c:pt>
                      <c:pt idx="50">
                        <c:v>521.83333333333337</c:v>
                      </c:pt>
                      <c:pt idx="51">
                        <c:v>526.16666666666663</c:v>
                      </c:pt>
                      <c:pt idx="52">
                        <c:v>530.44444444444446</c:v>
                      </c:pt>
                      <c:pt idx="53">
                        <c:v>534.61111111111109</c:v>
                      </c:pt>
                      <c:pt idx="54">
                        <c:v>538.66666666666663</c:v>
                      </c:pt>
                      <c:pt idx="55">
                        <c:v>542.72222222222217</c:v>
                      </c:pt>
                      <c:pt idx="56">
                        <c:v>546.72222222222217</c:v>
                      </c:pt>
                      <c:pt idx="57">
                        <c:v>550.88888888888891</c:v>
                      </c:pt>
                      <c:pt idx="58">
                        <c:v>554.94444444444446</c:v>
                      </c:pt>
                      <c:pt idx="59">
                        <c:v>558.83333333333337</c:v>
                      </c:pt>
                      <c:pt idx="60">
                        <c:v>562.55555555555554</c:v>
                      </c:pt>
                      <c:pt idx="61">
                        <c:v>566.27777777777783</c:v>
                      </c:pt>
                      <c:pt idx="62">
                        <c:v>569.77777777777783</c:v>
                      </c:pt>
                      <c:pt idx="63">
                        <c:v>573.22222222222217</c:v>
                      </c:pt>
                      <c:pt idx="64">
                        <c:v>576.77777777777783</c:v>
                      </c:pt>
                      <c:pt idx="65">
                        <c:v>580.33333333333337</c:v>
                      </c:pt>
                      <c:pt idx="66">
                        <c:v>583.94444444444446</c:v>
                      </c:pt>
                      <c:pt idx="67">
                        <c:v>587.33333333333337</c:v>
                      </c:pt>
                      <c:pt idx="68">
                        <c:v>590.66666666666663</c:v>
                      </c:pt>
                      <c:pt idx="69">
                        <c:v>594.16666666666663</c:v>
                      </c:pt>
                      <c:pt idx="70">
                        <c:v>597.77777777777783</c:v>
                      </c:pt>
                      <c:pt idx="71">
                        <c:v>601.5</c:v>
                      </c:pt>
                      <c:pt idx="72">
                        <c:v>605.33333333333337</c:v>
                      </c:pt>
                      <c:pt idx="73">
                        <c:v>609.22222222222217</c:v>
                      </c:pt>
                      <c:pt idx="74">
                        <c:v>612.88888888888891</c:v>
                      </c:pt>
                      <c:pt idx="75">
                        <c:v>616.77777777777783</c:v>
                      </c:pt>
                      <c:pt idx="76">
                        <c:v>620.83333333333337</c:v>
                      </c:pt>
                      <c:pt idx="77">
                        <c:v>625.16666666666663</c:v>
                      </c:pt>
                      <c:pt idx="78">
                        <c:v>629.61111111111109</c:v>
                      </c:pt>
                      <c:pt idx="79">
                        <c:v>633.88888888888891</c:v>
                      </c:pt>
                      <c:pt idx="80">
                        <c:v>638.44444444444446</c:v>
                      </c:pt>
                      <c:pt idx="81">
                        <c:v>643.33333333333337</c:v>
                      </c:pt>
                      <c:pt idx="82">
                        <c:v>648.66666666666663</c:v>
                      </c:pt>
                      <c:pt idx="83">
                        <c:v>654.22222222222217</c:v>
                      </c:pt>
                      <c:pt idx="84">
                        <c:v>659.88888888888891</c:v>
                      </c:pt>
                      <c:pt idx="85">
                        <c:v>667.05555555555554</c:v>
                      </c:pt>
                      <c:pt idx="86">
                        <c:v>674.27777777777783</c:v>
                      </c:pt>
                      <c:pt idx="87">
                        <c:v>683.27777777777783</c:v>
                      </c:pt>
                      <c:pt idx="88">
                        <c:v>692.83333333333337</c:v>
                      </c:pt>
                      <c:pt idx="89">
                        <c:v>705.27777777777783</c:v>
                      </c:pt>
                      <c:pt idx="90">
                        <c:v>726.05555555555554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09C-40CC-835F-A10742FCB657}"/>
                  </c:ext>
                </c:extLst>
              </c15:ser>
            </c15:filteredScatterSeries>
            <c15:filteredScatterSeries>
              <c15:ser>
                <c:idx val="19"/>
                <c:order val="16"/>
                <c:tx>
                  <c:v>D3_ART HS</c:v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Comparing'!$AR$6:$AR$104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Comparing'!$AV$6:$AV$104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163.72222222222223</c:v>
                      </c:pt>
                      <c:pt idx="1">
                        <c:v>193.22222222222223</c:v>
                      </c:pt>
                      <c:pt idx="2">
                        <c:v>212.44444444444446</c:v>
                      </c:pt>
                      <c:pt idx="3">
                        <c:v>226.94444444444446</c:v>
                      </c:pt>
                      <c:pt idx="4">
                        <c:v>239.66666666666666</c:v>
                      </c:pt>
                      <c:pt idx="5">
                        <c:v>252.72222222222223</c:v>
                      </c:pt>
                      <c:pt idx="6">
                        <c:v>263.22222222222223</c:v>
                      </c:pt>
                      <c:pt idx="7">
                        <c:v>272.5</c:v>
                      </c:pt>
                      <c:pt idx="8">
                        <c:v>283.33333333333331</c:v>
                      </c:pt>
                      <c:pt idx="9">
                        <c:v>291.72222222222223</c:v>
                      </c:pt>
                      <c:pt idx="10">
                        <c:v>300.44444444444446</c:v>
                      </c:pt>
                      <c:pt idx="11">
                        <c:v>307.5</c:v>
                      </c:pt>
                      <c:pt idx="12">
                        <c:v>315.33333333333331</c:v>
                      </c:pt>
                      <c:pt idx="13">
                        <c:v>322.11111111111109</c:v>
                      </c:pt>
                      <c:pt idx="14">
                        <c:v>329.72222222222223</c:v>
                      </c:pt>
                      <c:pt idx="15">
                        <c:v>336.44444444444446</c:v>
                      </c:pt>
                      <c:pt idx="16">
                        <c:v>343.66666666666669</c:v>
                      </c:pt>
                      <c:pt idx="17">
                        <c:v>350.11111111111109</c:v>
                      </c:pt>
                      <c:pt idx="18">
                        <c:v>356.33333333333331</c:v>
                      </c:pt>
                      <c:pt idx="19">
                        <c:v>362.61111111111109</c:v>
                      </c:pt>
                      <c:pt idx="20">
                        <c:v>368.61111111111109</c:v>
                      </c:pt>
                      <c:pt idx="21">
                        <c:v>374.72222222222223</c:v>
                      </c:pt>
                      <c:pt idx="22">
                        <c:v>380.44444444444446</c:v>
                      </c:pt>
                      <c:pt idx="23">
                        <c:v>386.61111111111109</c:v>
                      </c:pt>
                      <c:pt idx="24">
                        <c:v>392.05555555555554</c:v>
                      </c:pt>
                      <c:pt idx="25">
                        <c:v>398.05555555555554</c:v>
                      </c:pt>
                      <c:pt idx="26">
                        <c:v>403.22222222222223</c:v>
                      </c:pt>
                      <c:pt idx="27">
                        <c:v>408.94444444444446</c:v>
                      </c:pt>
                      <c:pt idx="28">
                        <c:v>414.11111111111109</c:v>
                      </c:pt>
                      <c:pt idx="29">
                        <c:v>419.66666666666669</c:v>
                      </c:pt>
                      <c:pt idx="30">
                        <c:v>424.72222222222223</c:v>
                      </c:pt>
                      <c:pt idx="31">
                        <c:v>430.16666666666669</c:v>
                      </c:pt>
                      <c:pt idx="32">
                        <c:v>435.27777777777777</c:v>
                      </c:pt>
                      <c:pt idx="33">
                        <c:v>440.5</c:v>
                      </c:pt>
                      <c:pt idx="34">
                        <c:v>445.94444444444446</c:v>
                      </c:pt>
                      <c:pt idx="35">
                        <c:v>451.11111111111109</c:v>
                      </c:pt>
                      <c:pt idx="36">
                        <c:v>456.5</c:v>
                      </c:pt>
                      <c:pt idx="37">
                        <c:v>461.72222222222223</c:v>
                      </c:pt>
                      <c:pt idx="38">
                        <c:v>466.83333333333331</c:v>
                      </c:pt>
                      <c:pt idx="39">
                        <c:v>471.88888888888891</c:v>
                      </c:pt>
                      <c:pt idx="40">
                        <c:v>476.77777777777777</c:v>
                      </c:pt>
                      <c:pt idx="41">
                        <c:v>481.66666666666669</c:v>
                      </c:pt>
                      <c:pt idx="42">
                        <c:v>486.55555555555554</c:v>
                      </c:pt>
                      <c:pt idx="43">
                        <c:v>491.33333333333331</c:v>
                      </c:pt>
                      <c:pt idx="44">
                        <c:v>496.11111111111109</c:v>
                      </c:pt>
                      <c:pt idx="45">
                        <c:v>500.72222222222223</c:v>
                      </c:pt>
                      <c:pt idx="46">
                        <c:v>505.22222222222223</c:v>
                      </c:pt>
                      <c:pt idx="47">
                        <c:v>509.66666666666669</c:v>
                      </c:pt>
                      <c:pt idx="48">
                        <c:v>514.16666666666663</c:v>
                      </c:pt>
                      <c:pt idx="49">
                        <c:v>518.61111111111109</c:v>
                      </c:pt>
                      <c:pt idx="50">
                        <c:v>522.94444444444446</c:v>
                      </c:pt>
                      <c:pt idx="51">
                        <c:v>527.27777777777783</c:v>
                      </c:pt>
                      <c:pt idx="52">
                        <c:v>531.55555555555554</c:v>
                      </c:pt>
                      <c:pt idx="53">
                        <c:v>535.66666666666663</c:v>
                      </c:pt>
                      <c:pt idx="54">
                        <c:v>539.61111111111109</c:v>
                      </c:pt>
                      <c:pt idx="55">
                        <c:v>543.55555555555554</c:v>
                      </c:pt>
                      <c:pt idx="56">
                        <c:v>547.5</c:v>
                      </c:pt>
                      <c:pt idx="57">
                        <c:v>551.44444444444446</c:v>
                      </c:pt>
                      <c:pt idx="58">
                        <c:v>555.33333333333337</c:v>
                      </c:pt>
                      <c:pt idx="59">
                        <c:v>559.11111111111109</c:v>
                      </c:pt>
                      <c:pt idx="60">
                        <c:v>562.72222222222217</c:v>
                      </c:pt>
                      <c:pt idx="61">
                        <c:v>566.33333333333337</c:v>
                      </c:pt>
                      <c:pt idx="62">
                        <c:v>569.77777777777783</c:v>
                      </c:pt>
                      <c:pt idx="63">
                        <c:v>573.16666666666663</c:v>
                      </c:pt>
                      <c:pt idx="64">
                        <c:v>576.61111111111109</c:v>
                      </c:pt>
                      <c:pt idx="65">
                        <c:v>580.16666666666663</c:v>
                      </c:pt>
                      <c:pt idx="66">
                        <c:v>583.77777777777783</c:v>
                      </c:pt>
                      <c:pt idx="67">
                        <c:v>587.22222222222217</c:v>
                      </c:pt>
                      <c:pt idx="68">
                        <c:v>590.66666666666663</c:v>
                      </c:pt>
                      <c:pt idx="69">
                        <c:v>594.22222222222217</c:v>
                      </c:pt>
                      <c:pt idx="70">
                        <c:v>597.94444444444446</c:v>
                      </c:pt>
                      <c:pt idx="71">
                        <c:v>601.83333333333337</c:v>
                      </c:pt>
                      <c:pt idx="72">
                        <c:v>605.83333333333337</c:v>
                      </c:pt>
                      <c:pt idx="73">
                        <c:v>609.77777777777783</c:v>
                      </c:pt>
                      <c:pt idx="74">
                        <c:v>613.72222222222217</c:v>
                      </c:pt>
                      <c:pt idx="75">
                        <c:v>617.83333333333337</c:v>
                      </c:pt>
                      <c:pt idx="76">
                        <c:v>622.11111111111109</c:v>
                      </c:pt>
                      <c:pt idx="77">
                        <c:v>626.77777777777783</c:v>
                      </c:pt>
                      <c:pt idx="78">
                        <c:v>631.33333333333337</c:v>
                      </c:pt>
                      <c:pt idx="79">
                        <c:v>635.83333333333337</c:v>
                      </c:pt>
                      <c:pt idx="80">
                        <c:v>640.66666666666663</c:v>
                      </c:pt>
                      <c:pt idx="81">
                        <c:v>645.94444444444446</c:v>
                      </c:pt>
                      <c:pt idx="82">
                        <c:v>651.66666666666663</c:v>
                      </c:pt>
                      <c:pt idx="83">
                        <c:v>657.11111111111109</c:v>
                      </c:pt>
                      <c:pt idx="84">
                        <c:v>663.88888888888891</c:v>
                      </c:pt>
                      <c:pt idx="85">
                        <c:v>671.55555555555554</c:v>
                      </c:pt>
                      <c:pt idx="86">
                        <c:v>680.22222222222217</c:v>
                      </c:pt>
                      <c:pt idx="87">
                        <c:v>690.05555555555554</c:v>
                      </c:pt>
                      <c:pt idx="88">
                        <c:v>702.16666666666663</c:v>
                      </c:pt>
                      <c:pt idx="89">
                        <c:v>722.88888888888891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09C-40CC-835F-A10742FCB657}"/>
                  </c:ext>
                </c:extLst>
              </c15:ser>
            </c15:filteredScatterSeries>
            <c15:filteredScatterSeries>
              <c15:ser>
                <c:idx val="18"/>
                <c:order val="17"/>
                <c:tx>
                  <c:v>HS_D3</c:v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Comparing'!$V$10:$V$98</c15:sqref>
                        </c15:formulaRef>
                      </c:ext>
                    </c:extLst>
                    <c:numCache>
                      <c:formatCode>General</c:formatCode>
                      <c:ptCount val="89"/>
                      <c:pt idx="0">
                        <c:v>121.9</c:v>
                      </c:pt>
                      <c:pt idx="1">
                        <c:v>144.19999999999999</c:v>
                      </c:pt>
                      <c:pt idx="2">
                        <c:v>169.7</c:v>
                      </c:pt>
                      <c:pt idx="3">
                        <c:v>185.8</c:v>
                      </c:pt>
                      <c:pt idx="4">
                        <c:v>200.3</c:v>
                      </c:pt>
                      <c:pt idx="5">
                        <c:v>212.1</c:v>
                      </c:pt>
                      <c:pt idx="6">
                        <c:v>221.4</c:v>
                      </c:pt>
                      <c:pt idx="7">
                        <c:v>231.3</c:v>
                      </c:pt>
                      <c:pt idx="8">
                        <c:v>239.7</c:v>
                      </c:pt>
                      <c:pt idx="9">
                        <c:v>249.7</c:v>
                      </c:pt>
                      <c:pt idx="10">
                        <c:v>257</c:v>
                      </c:pt>
                      <c:pt idx="11">
                        <c:v>266.5</c:v>
                      </c:pt>
                      <c:pt idx="12">
                        <c:v>274</c:v>
                      </c:pt>
                      <c:pt idx="13">
                        <c:v>283.3</c:v>
                      </c:pt>
                      <c:pt idx="14">
                        <c:v>290.89999999999998</c:v>
                      </c:pt>
                      <c:pt idx="15">
                        <c:v>298.7</c:v>
                      </c:pt>
                      <c:pt idx="16">
                        <c:v>305.2</c:v>
                      </c:pt>
                      <c:pt idx="17">
                        <c:v>313</c:v>
                      </c:pt>
                      <c:pt idx="18">
                        <c:v>319.2</c:v>
                      </c:pt>
                      <c:pt idx="19">
                        <c:v>326.5</c:v>
                      </c:pt>
                      <c:pt idx="20">
                        <c:v>332.5</c:v>
                      </c:pt>
                      <c:pt idx="21">
                        <c:v>339.7</c:v>
                      </c:pt>
                      <c:pt idx="22">
                        <c:v>345.6</c:v>
                      </c:pt>
                      <c:pt idx="23">
                        <c:v>352.5</c:v>
                      </c:pt>
                      <c:pt idx="24">
                        <c:v>358.2</c:v>
                      </c:pt>
                      <c:pt idx="25">
                        <c:v>364.6</c:v>
                      </c:pt>
                      <c:pt idx="26">
                        <c:v>370.5</c:v>
                      </c:pt>
                      <c:pt idx="27">
                        <c:v>377.3</c:v>
                      </c:pt>
                      <c:pt idx="28">
                        <c:v>383.6</c:v>
                      </c:pt>
                      <c:pt idx="29">
                        <c:v>390.3</c:v>
                      </c:pt>
                      <c:pt idx="30">
                        <c:v>395.2</c:v>
                      </c:pt>
                      <c:pt idx="31">
                        <c:v>399.6</c:v>
                      </c:pt>
                      <c:pt idx="32">
                        <c:v>404.7</c:v>
                      </c:pt>
                      <c:pt idx="33">
                        <c:v>409</c:v>
                      </c:pt>
                      <c:pt idx="34">
                        <c:v>415.2</c:v>
                      </c:pt>
                      <c:pt idx="35">
                        <c:v>422.4</c:v>
                      </c:pt>
                      <c:pt idx="36">
                        <c:v>430</c:v>
                      </c:pt>
                      <c:pt idx="37">
                        <c:v>435.4</c:v>
                      </c:pt>
                      <c:pt idx="38">
                        <c:v>440.2</c:v>
                      </c:pt>
                      <c:pt idx="39">
                        <c:v>445.5</c:v>
                      </c:pt>
                      <c:pt idx="40">
                        <c:v>450.9</c:v>
                      </c:pt>
                      <c:pt idx="41">
                        <c:v>457.1</c:v>
                      </c:pt>
                      <c:pt idx="42">
                        <c:v>464</c:v>
                      </c:pt>
                      <c:pt idx="43">
                        <c:v>469.5</c:v>
                      </c:pt>
                      <c:pt idx="44">
                        <c:v>474.7</c:v>
                      </c:pt>
                      <c:pt idx="45">
                        <c:v>480.1</c:v>
                      </c:pt>
                      <c:pt idx="46">
                        <c:v>486</c:v>
                      </c:pt>
                      <c:pt idx="47">
                        <c:v>492</c:v>
                      </c:pt>
                      <c:pt idx="48">
                        <c:v>497.6</c:v>
                      </c:pt>
                      <c:pt idx="49">
                        <c:v>502.5</c:v>
                      </c:pt>
                      <c:pt idx="50">
                        <c:v>507.4</c:v>
                      </c:pt>
                      <c:pt idx="51">
                        <c:v>512.70000000000005</c:v>
                      </c:pt>
                      <c:pt idx="52">
                        <c:v>518.20000000000005</c:v>
                      </c:pt>
                      <c:pt idx="53">
                        <c:v>523.5</c:v>
                      </c:pt>
                      <c:pt idx="54">
                        <c:v>528.29999999999995</c:v>
                      </c:pt>
                      <c:pt idx="55">
                        <c:v>533</c:v>
                      </c:pt>
                      <c:pt idx="56">
                        <c:v>537.6</c:v>
                      </c:pt>
                      <c:pt idx="57">
                        <c:v>542.1</c:v>
                      </c:pt>
                      <c:pt idx="58">
                        <c:v>546.70000000000005</c:v>
                      </c:pt>
                      <c:pt idx="59">
                        <c:v>551.29999999999995</c:v>
                      </c:pt>
                      <c:pt idx="60">
                        <c:v>556</c:v>
                      </c:pt>
                      <c:pt idx="61">
                        <c:v>560.29999999999995</c:v>
                      </c:pt>
                      <c:pt idx="62">
                        <c:v>564.4</c:v>
                      </c:pt>
                      <c:pt idx="63">
                        <c:v>568.4</c:v>
                      </c:pt>
                      <c:pt idx="64">
                        <c:v>572.20000000000005</c:v>
                      </c:pt>
                      <c:pt idx="65">
                        <c:v>576.20000000000005</c:v>
                      </c:pt>
                      <c:pt idx="66">
                        <c:v>580.20000000000005</c:v>
                      </c:pt>
                      <c:pt idx="67">
                        <c:v>584.4</c:v>
                      </c:pt>
                      <c:pt idx="68">
                        <c:v>588.5</c:v>
                      </c:pt>
                      <c:pt idx="69">
                        <c:v>592.6</c:v>
                      </c:pt>
                      <c:pt idx="70">
                        <c:v>596.79999999999995</c:v>
                      </c:pt>
                      <c:pt idx="71">
                        <c:v>601.1</c:v>
                      </c:pt>
                      <c:pt idx="72">
                        <c:v>605.6</c:v>
                      </c:pt>
                      <c:pt idx="73">
                        <c:v>610.20000000000005</c:v>
                      </c:pt>
                      <c:pt idx="74">
                        <c:v>615</c:v>
                      </c:pt>
                      <c:pt idx="75">
                        <c:v>620</c:v>
                      </c:pt>
                      <c:pt idx="76">
                        <c:v>625.20000000000005</c:v>
                      </c:pt>
                      <c:pt idx="77">
                        <c:v>630.5</c:v>
                      </c:pt>
                      <c:pt idx="78">
                        <c:v>635.9</c:v>
                      </c:pt>
                      <c:pt idx="79">
                        <c:v>641.9</c:v>
                      </c:pt>
                      <c:pt idx="80">
                        <c:v>648.29999999999995</c:v>
                      </c:pt>
                      <c:pt idx="81">
                        <c:v>654.70000000000005</c:v>
                      </c:pt>
                      <c:pt idx="82">
                        <c:v>662.1</c:v>
                      </c:pt>
                      <c:pt idx="83">
                        <c:v>670.9</c:v>
                      </c:pt>
                      <c:pt idx="84">
                        <c:v>680.3</c:v>
                      </c:pt>
                      <c:pt idx="85">
                        <c:v>690.2</c:v>
                      </c:pt>
                      <c:pt idx="86">
                        <c:v>700.4</c:v>
                      </c:pt>
                      <c:pt idx="87">
                        <c:v>712.3</c:v>
                      </c:pt>
                      <c:pt idx="88">
                        <c:v>726.7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09C-40CC-835F-A10742FCB657}"/>
                  </c:ext>
                </c:extLst>
              </c15:ser>
            </c15:filteredScatterSeries>
            <c15:filteredScatterSeries>
              <c15:ser>
                <c:idx val="16"/>
                <c:order val="19"/>
                <c:tx>
                  <c:v>D3 LS</c:v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Comparing'!$P$10:$P$110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111.6</c:v>
                      </c:pt>
                      <c:pt idx="1">
                        <c:v>136.19999999999999</c:v>
                      </c:pt>
                      <c:pt idx="2">
                        <c:v>162.80000000000001</c:v>
                      </c:pt>
                      <c:pt idx="3">
                        <c:v>181.4</c:v>
                      </c:pt>
                      <c:pt idx="4">
                        <c:v>196.4</c:v>
                      </c:pt>
                      <c:pt idx="5">
                        <c:v>209.9</c:v>
                      </c:pt>
                      <c:pt idx="6">
                        <c:v>220.8</c:v>
                      </c:pt>
                      <c:pt idx="7">
                        <c:v>231.5</c:v>
                      </c:pt>
                      <c:pt idx="8">
                        <c:v>241.8</c:v>
                      </c:pt>
                      <c:pt idx="9">
                        <c:v>250.5</c:v>
                      </c:pt>
                      <c:pt idx="10">
                        <c:v>260.3</c:v>
                      </c:pt>
                      <c:pt idx="11">
                        <c:v>268.3</c:v>
                      </c:pt>
                      <c:pt idx="12">
                        <c:v>278.10000000000002</c:v>
                      </c:pt>
                      <c:pt idx="13">
                        <c:v>286.39999999999998</c:v>
                      </c:pt>
                      <c:pt idx="14">
                        <c:v>294.60000000000002</c:v>
                      </c:pt>
                      <c:pt idx="15">
                        <c:v>301.60000000000002</c:v>
                      </c:pt>
                      <c:pt idx="16">
                        <c:v>309.5</c:v>
                      </c:pt>
                      <c:pt idx="17">
                        <c:v>316</c:v>
                      </c:pt>
                      <c:pt idx="18">
                        <c:v>323.7</c:v>
                      </c:pt>
                      <c:pt idx="19">
                        <c:v>330.2</c:v>
                      </c:pt>
                      <c:pt idx="20">
                        <c:v>337.5</c:v>
                      </c:pt>
                      <c:pt idx="21">
                        <c:v>343.9</c:v>
                      </c:pt>
                      <c:pt idx="22">
                        <c:v>350.3</c:v>
                      </c:pt>
                      <c:pt idx="23">
                        <c:v>355.9</c:v>
                      </c:pt>
                      <c:pt idx="24">
                        <c:v>361.9</c:v>
                      </c:pt>
                      <c:pt idx="25">
                        <c:v>367.7</c:v>
                      </c:pt>
                      <c:pt idx="26">
                        <c:v>374.1</c:v>
                      </c:pt>
                      <c:pt idx="27">
                        <c:v>381.5</c:v>
                      </c:pt>
                      <c:pt idx="28">
                        <c:v>388.1</c:v>
                      </c:pt>
                      <c:pt idx="29">
                        <c:v>394.7</c:v>
                      </c:pt>
                      <c:pt idx="30">
                        <c:v>400.2</c:v>
                      </c:pt>
                      <c:pt idx="31">
                        <c:v>406.1</c:v>
                      </c:pt>
                      <c:pt idx="32">
                        <c:v>411.5</c:v>
                      </c:pt>
                      <c:pt idx="33">
                        <c:v>417.2</c:v>
                      </c:pt>
                      <c:pt idx="34">
                        <c:v>423.4</c:v>
                      </c:pt>
                      <c:pt idx="35">
                        <c:v>429.2</c:v>
                      </c:pt>
                      <c:pt idx="36">
                        <c:v>435</c:v>
                      </c:pt>
                      <c:pt idx="37">
                        <c:v>440.4</c:v>
                      </c:pt>
                      <c:pt idx="38">
                        <c:v>445.8</c:v>
                      </c:pt>
                      <c:pt idx="39">
                        <c:v>451.6</c:v>
                      </c:pt>
                      <c:pt idx="40">
                        <c:v>457.2</c:v>
                      </c:pt>
                      <c:pt idx="41">
                        <c:v>462.8</c:v>
                      </c:pt>
                      <c:pt idx="42">
                        <c:v>468.5</c:v>
                      </c:pt>
                      <c:pt idx="43">
                        <c:v>473.8</c:v>
                      </c:pt>
                      <c:pt idx="44">
                        <c:v>479.2</c:v>
                      </c:pt>
                      <c:pt idx="45">
                        <c:v>484.6</c:v>
                      </c:pt>
                      <c:pt idx="46">
                        <c:v>490.2</c:v>
                      </c:pt>
                      <c:pt idx="47">
                        <c:v>495.6</c:v>
                      </c:pt>
                      <c:pt idx="48">
                        <c:v>500.4</c:v>
                      </c:pt>
                      <c:pt idx="49">
                        <c:v>505.2</c:v>
                      </c:pt>
                      <c:pt idx="50">
                        <c:v>510</c:v>
                      </c:pt>
                      <c:pt idx="51">
                        <c:v>515.1</c:v>
                      </c:pt>
                      <c:pt idx="52">
                        <c:v>520.1</c:v>
                      </c:pt>
                      <c:pt idx="53">
                        <c:v>524.79999999999995</c:v>
                      </c:pt>
                      <c:pt idx="54">
                        <c:v>529.29999999999995</c:v>
                      </c:pt>
                      <c:pt idx="55">
                        <c:v>533.70000000000005</c:v>
                      </c:pt>
                      <c:pt idx="56">
                        <c:v>538</c:v>
                      </c:pt>
                      <c:pt idx="57">
                        <c:v>542.20000000000005</c:v>
                      </c:pt>
                      <c:pt idx="58">
                        <c:v>546.4</c:v>
                      </c:pt>
                      <c:pt idx="59">
                        <c:v>550.5</c:v>
                      </c:pt>
                      <c:pt idx="60">
                        <c:v>554.6</c:v>
                      </c:pt>
                      <c:pt idx="61">
                        <c:v>558.5</c:v>
                      </c:pt>
                      <c:pt idx="62">
                        <c:v>562.20000000000005</c:v>
                      </c:pt>
                      <c:pt idx="63">
                        <c:v>565.9</c:v>
                      </c:pt>
                      <c:pt idx="64">
                        <c:v>569.29999999999995</c:v>
                      </c:pt>
                      <c:pt idx="65">
                        <c:v>572.70000000000005</c:v>
                      </c:pt>
                      <c:pt idx="66">
                        <c:v>576.20000000000005</c:v>
                      </c:pt>
                      <c:pt idx="67">
                        <c:v>579.79999999999995</c:v>
                      </c:pt>
                      <c:pt idx="68">
                        <c:v>583.5</c:v>
                      </c:pt>
                      <c:pt idx="69">
                        <c:v>587</c:v>
                      </c:pt>
                      <c:pt idx="70">
                        <c:v>590.6</c:v>
                      </c:pt>
                      <c:pt idx="71">
                        <c:v>594.29999999999995</c:v>
                      </c:pt>
                      <c:pt idx="72">
                        <c:v>598</c:v>
                      </c:pt>
                      <c:pt idx="73">
                        <c:v>601.79999999999995</c:v>
                      </c:pt>
                      <c:pt idx="74">
                        <c:v>605.79999999999995</c:v>
                      </c:pt>
                      <c:pt idx="75">
                        <c:v>609.9</c:v>
                      </c:pt>
                      <c:pt idx="76">
                        <c:v>614.1</c:v>
                      </c:pt>
                      <c:pt idx="77">
                        <c:v>618.6</c:v>
                      </c:pt>
                      <c:pt idx="78">
                        <c:v>623.20000000000005</c:v>
                      </c:pt>
                      <c:pt idx="79">
                        <c:v>628</c:v>
                      </c:pt>
                      <c:pt idx="80">
                        <c:v>632.79999999999995</c:v>
                      </c:pt>
                      <c:pt idx="81">
                        <c:v>638</c:v>
                      </c:pt>
                      <c:pt idx="82">
                        <c:v>643.70000000000005</c:v>
                      </c:pt>
                      <c:pt idx="83">
                        <c:v>649.70000000000005</c:v>
                      </c:pt>
                      <c:pt idx="84">
                        <c:v>655.7</c:v>
                      </c:pt>
                      <c:pt idx="85">
                        <c:v>662.9</c:v>
                      </c:pt>
                      <c:pt idx="86">
                        <c:v>671.4</c:v>
                      </c:pt>
                      <c:pt idx="87">
                        <c:v>680.7</c:v>
                      </c:pt>
                      <c:pt idx="88">
                        <c:v>690.4</c:v>
                      </c:pt>
                      <c:pt idx="89">
                        <c:v>700.8</c:v>
                      </c:pt>
                      <c:pt idx="90">
                        <c:v>712.8</c:v>
                      </c:pt>
                      <c:pt idx="91">
                        <c:v>729.3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009C-40CC-835F-A10742FCB657}"/>
                  </c:ext>
                </c:extLst>
              </c15:ser>
            </c15:filteredScatterSeries>
          </c:ext>
        </c:extLst>
      </c:scatterChart>
      <c:valAx>
        <c:axId val="1611948943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%wt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934063"/>
        <c:crosses val="autoZero"/>
        <c:crossBetween val="midCat"/>
        <c:majorUnit val="5"/>
      </c:valAx>
      <c:valAx>
        <c:axId val="16119340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Boiling Temp (deg.C)</a:t>
                </a:r>
              </a:p>
            </c:rich>
          </c:tx>
          <c:layout>
            <c:manualLayout>
              <c:xMode val="edge"/>
              <c:yMode val="edge"/>
              <c:x val="3.6279909515466682E-2"/>
              <c:y val="0.306334503046594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948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5607562603333189"/>
          <c:y val="0.37361098795536835"/>
          <c:w val="0.11724917440729837"/>
          <c:h val="0.236325472688988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30.xml"/><Relationship Id="rId5" Type="http://schemas.openxmlformats.org/officeDocument/2006/relationships/chart" Target="../charts/chart31.xml"/><Relationship Id="rId4" Type="http://schemas.openxmlformats.org/officeDocument/2006/relationships/image" Target="../media/image3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32.xml"/><Relationship Id="rId5" Type="http://schemas.openxmlformats.org/officeDocument/2006/relationships/chart" Target="../charts/chart33.xml"/><Relationship Id="rId4" Type="http://schemas.openxmlformats.org/officeDocument/2006/relationships/image" Target="../media/image3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6" Type="http://schemas.openxmlformats.org/officeDocument/2006/relationships/chart" Target="../charts/chart41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3.xml"/><Relationship Id="rId1" Type="http://schemas.openxmlformats.org/officeDocument/2006/relationships/chart" Target="../charts/chart42.xml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6.xml"/><Relationship Id="rId2" Type="http://schemas.openxmlformats.org/officeDocument/2006/relationships/chart" Target="../charts/chart45.xml"/><Relationship Id="rId1" Type="http://schemas.openxmlformats.org/officeDocument/2006/relationships/chart" Target="../charts/chart44.xml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7.xml"/></Relationships>
</file>

<file path=xl/drawings/_rels/drawing5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5.xml"/><Relationship Id="rId3" Type="http://schemas.openxmlformats.org/officeDocument/2006/relationships/chart" Target="../charts/chart50.xml"/><Relationship Id="rId7" Type="http://schemas.openxmlformats.org/officeDocument/2006/relationships/chart" Target="../charts/chart54.xml"/><Relationship Id="rId12" Type="http://schemas.openxmlformats.org/officeDocument/2006/relationships/chart" Target="../charts/chart59.xml"/><Relationship Id="rId2" Type="http://schemas.openxmlformats.org/officeDocument/2006/relationships/chart" Target="../charts/chart49.xml"/><Relationship Id="rId1" Type="http://schemas.openxmlformats.org/officeDocument/2006/relationships/chart" Target="../charts/chart48.xml"/><Relationship Id="rId6" Type="http://schemas.openxmlformats.org/officeDocument/2006/relationships/chart" Target="../charts/chart53.xml"/><Relationship Id="rId11" Type="http://schemas.openxmlformats.org/officeDocument/2006/relationships/chart" Target="../charts/chart58.xml"/><Relationship Id="rId5" Type="http://schemas.openxmlformats.org/officeDocument/2006/relationships/chart" Target="../charts/chart52.xml"/><Relationship Id="rId10" Type="http://schemas.openxmlformats.org/officeDocument/2006/relationships/chart" Target="../charts/chart57.xml"/><Relationship Id="rId4" Type="http://schemas.openxmlformats.org/officeDocument/2006/relationships/chart" Target="../charts/chart51.xml"/><Relationship Id="rId9" Type="http://schemas.openxmlformats.org/officeDocument/2006/relationships/chart" Target="../charts/chart56.xml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1.xml"/><Relationship Id="rId1" Type="http://schemas.openxmlformats.org/officeDocument/2006/relationships/chart" Target="../charts/chart60.xml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2.xml"/><Relationship Id="rId1" Type="http://schemas.openxmlformats.org/officeDocument/2006/relationships/image" Target="../media/image5.png"/></Relationships>
</file>

<file path=xl/drawings/_rels/drawing5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4.xml"/><Relationship Id="rId3" Type="http://schemas.openxmlformats.org/officeDocument/2006/relationships/image" Target="../media/image8.png"/><Relationship Id="rId7" Type="http://schemas.openxmlformats.org/officeDocument/2006/relationships/chart" Target="../charts/chart63.xml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Relationship Id="rId9" Type="http://schemas.openxmlformats.org/officeDocument/2006/relationships/chart" Target="../charts/chart65.xml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8.xml"/><Relationship Id="rId2" Type="http://schemas.openxmlformats.org/officeDocument/2006/relationships/chart" Target="../charts/chart67.xml"/><Relationship Id="rId1" Type="http://schemas.openxmlformats.org/officeDocument/2006/relationships/chart" Target="../charts/chart66.xml"/><Relationship Id="rId4" Type="http://schemas.openxmlformats.org/officeDocument/2006/relationships/chart" Target="../charts/chart69.xml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1.xml"/><Relationship Id="rId1" Type="http://schemas.openxmlformats.org/officeDocument/2006/relationships/chart" Target="../charts/chart70.xml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2.xml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_rels/drawing6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chart" Target="../charts/chart73.xml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6.xml"/><Relationship Id="rId7" Type="http://schemas.openxmlformats.org/officeDocument/2006/relationships/chart" Target="../charts/chart80.xml"/><Relationship Id="rId2" Type="http://schemas.openxmlformats.org/officeDocument/2006/relationships/chart" Target="../charts/chart75.xml"/><Relationship Id="rId1" Type="http://schemas.openxmlformats.org/officeDocument/2006/relationships/chart" Target="../charts/chart74.xml"/><Relationship Id="rId6" Type="http://schemas.openxmlformats.org/officeDocument/2006/relationships/chart" Target="../charts/chart79.xml"/><Relationship Id="rId5" Type="http://schemas.openxmlformats.org/officeDocument/2006/relationships/chart" Target="../charts/chart78.xml"/><Relationship Id="rId4" Type="http://schemas.openxmlformats.org/officeDocument/2006/relationships/chart" Target="../charts/chart7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438150</xdr:colOff>
      <xdr:row>21</xdr:row>
      <xdr:rowOff>69850</xdr:rowOff>
    </xdr:from>
    <xdr:to>
      <xdr:col>8</xdr:col>
      <xdr:colOff>203200</xdr:colOff>
      <xdr:row>24</xdr:row>
      <xdr:rowOff>120650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1279CE6-D0C3-4795-A437-193826570E5C}"/>
            </a:ext>
          </a:extLst>
        </xdr:cNvPr>
        <xdr:cNvSpPr txBox="1"/>
      </xdr:nvSpPr>
      <xdr:spPr>
        <a:xfrm>
          <a:off x="1657350" y="3937000"/>
          <a:ext cx="3422650" cy="603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kern="1200"/>
            <a:t>Day No.1:</a:t>
          </a:r>
          <a:r>
            <a:rPr lang="en-US" sz="1000" kern="1200" baseline="0"/>
            <a:t> Loss of LTO and HPS product during a troble shooting on HPS-2. Data cannot be compared to LICENSOR data</a:t>
          </a:r>
          <a:endParaRPr lang="en-US" sz="1000" kern="1200"/>
        </a:p>
      </xdr:txBody>
    </xdr:sp>
    <xdr:clientData/>
  </xdr:twoCellAnchor>
  <xdr:twoCellAnchor>
    <xdr:from>
      <xdr:col>29</xdr:col>
      <xdr:colOff>516531</xdr:colOff>
      <xdr:row>2</xdr:row>
      <xdr:rowOff>156845</xdr:rowOff>
    </xdr:from>
    <xdr:to>
      <xdr:col>44</xdr:col>
      <xdr:colOff>352772</xdr:colOff>
      <xdr:row>32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D57A37-CB21-4EFF-8D53-3305C1F6AF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377190</xdr:colOff>
      <xdr:row>2</xdr:row>
      <xdr:rowOff>147955</xdr:rowOff>
    </xdr:from>
    <xdr:to>
      <xdr:col>14</xdr:col>
      <xdr:colOff>536646</xdr:colOff>
      <xdr:row>32</xdr:row>
      <xdr:rowOff>73025</xdr:rowOff>
    </xdr:to>
    <xdr:grpSp>
      <xdr:nvGrpSpPr>
        <xdr:cNvPr id="92" name="Group 91">
          <a:extLst>
            <a:ext uri="{FF2B5EF4-FFF2-40B4-BE49-F238E27FC236}">
              <a16:creationId xmlns:a16="http://schemas.microsoft.com/office/drawing/2014/main" id="{6ADBCC14-2BB8-3C38-AB55-CF188800AA1E}"/>
            </a:ext>
          </a:extLst>
        </xdr:cNvPr>
        <xdr:cNvGrpSpPr/>
      </xdr:nvGrpSpPr>
      <xdr:grpSpPr>
        <a:xfrm>
          <a:off x="377190" y="516255"/>
          <a:ext cx="9608256" cy="5449570"/>
          <a:chOff x="9809018" y="439374"/>
          <a:chExt cx="9395243" cy="5346982"/>
        </a:xfrm>
        <a:solidFill>
          <a:schemeClr val="accent2"/>
        </a:solidFill>
      </xdr:grpSpPr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A052BE36-26EA-428A-8DCE-1A37687702BC}"/>
              </a:ext>
            </a:extLst>
          </xdr:cNvPr>
          <xdr:cNvGraphicFramePr>
            <a:graphicFrameLocks/>
          </xdr:cNvGraphicFramePr>
        </xdr:nvGraphicFramePr>
        <xdr:xfrm>
          <a:off x="9809018" y="439374"/>
          <a:ext cx="9395243" cy="53469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2" name="Rectangle: Diagonal Corners Snipped 21">
            <a:extLst>
              <a:ext uri="{FF2B5EF4-FFF2-40B4-BE49-F238E27FC236}">
                <a16:creationId xmlns:a16="http://schemas.microsoft.com/office/drawing/2014/main" id="{D13471DA-B7DD-5AEA-C7B2-EE23195C714C}"/>
              </a:ext>
            </a:extLst>
          </xdr:cNvPr>
          <xdr:cNvSpPr/>
        </xdr:nvSpPr>
        <xdr:spPr>
          <a:xfrm>
            <a:off x="10883438" y="993770"/>
            <a:ext cx="1162050" cy="251340"/>
          </a:xfrm>
          <a:prstGeom prst="snip2DiagRect">
            <a:avLst/>
          </a:prstGeom>
          <a:solidFill>
            <a:srgbClr val="0070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solidFill>
                  <a:schemeClr val="bg1"/>
                </a:solidFill>
                <a:latin typeface="+mj-lt"/>
              </a:rPr>
              <a:t>Aging</a:t>
            </a:r>
          </a:p>
        </xdr:txBody>
      </xdr:sp>
    </xdr:grpSp>
    <xdr:clientData/>
  </xdr:twoCellAnchor>
  <xdr:twoCellAnchor>
    <xdr:from>
      <xdr:col>14</xdr:col>
      <xdr:colOff>595268</xdr:colOff>
      <xdr:row>2</xdr:row>
      <xdr:rowOff>159567</xdr:rowOff>
    </xdr:from>
    <xdr:to>
      <xdr:col>29</xdr:col>
      <xdr:colOff>425159</xdr:colOff>
      <xdr:row>32</xdr:row>
      <xdr:rowOff>83367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A1FA1FE-899F-9B6A-97A6-70ED11AC16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44</xdr:col>
      <xdr:colOff>385052</xdr:colOff>
      <xdr:row>2</xdr:row>
      <xdr:rowOff>158593</xdr:rowOff>
    </xdr:from>
    <xdr:to>
      <xdr:col>59</xdr:col>
      <xdr:colOff>222563</xdr:colOff>
      <xdr:row>32</xdr:row>
      <xdr:rowOff>98903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E591E6E-F69D-460B-ECBB-A7B74784A1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516228</xdr:colOff>
      <xdr:row>62</xdr:row>
      <xdr:rowOff>141578</xdr:rowOff>
    </xdr:from>
    <xdr:to>
      <xdr:col>44</xdr:col>
      <xdr:colOff>355643</xdr:colOff>
      <xdr:row>92</xdr:row>
      <xdr:rowOff>59029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D6A2B7-8038-0E32-A2F7-69C1B09B89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44</xdr:col>
      <xdr:colOff>408139</xdr:colOff>
      <xdr:row>32</xdr:row>
      <xdr:rowOff>138976</xdr:rowOff>
    </xdr:from>
    <xdr:to>
      <xdr:col>59</xdr:col>
      <xdr:colOff>229775</xdr:colOff>
      <xdr:row>62</xdr:row>
      <xdr:rowOff>62776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B0EB143-BD48-A380-48BA-3222F3BC08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44</xdr:col>
      <xdr:colOff>419100</xdr:colOff>
      <xdr:row>92</xdr:row>
      <xdr:rowOff>155575</xdr:rowOff>
    </xdr:from>
    <xdr:to>
      <xdr:col>59</xdr:col>
      <xdr:colOff>262961</xdr:colOff>
      <xdr:row>122</xdr:row>
      <xdr:rowOff>103505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92CD6DA-0CBB-BD65-AB2D-6FADC71D90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502287</xdr:colOff>
      <xdr:row>122</xdr:row>
      <xdr:rowOff>117497</xdr:rowOff>
    </xdr:from>
    <xdr:to>
      <xdr:col>44</xdr:col>
      <xdr:colOff>350594</xdr:colOff>
      <xdr:row>152</xdr:row>
      <xdr:rowOff>42574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7D46ACB-BC3F-AF7B-0909-8283CB91BD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29</xdr:col>
      <xdr:colOff>502285</xdr:colOff>
      <xdr:row>92</xdr:row>
      <xdr:rowOff>117475</xdr:rowOff>
    </xdr:from>
    <xdr:to>
      <xdr:col>44</xdr:col>
      <xdr:colOff>350591</xdr:colOff>
      <xdr:row>122</xdr:row>
      <xdr:rowOff>65405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63EB83C-5F76-5CAF-D9AE-A27274EA19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266700</xdr:colOff>
      <xdr:row>92</xdr:row>
      <xdr:rowOff>151741</xdr:rowOff>
    </xdr:from>
    <xdr:to>
      <xdr:col>14</xdr:col>
      <xdr:colOff>451556</xdr:colOff>
      <xdr:row>122</xdr:row>
      <xdr:rowOff>82526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34FA357-807F-A0C2-9DFD-43B5FD9633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311785</xdr:colOff>
      <xdr:row>62</xdr:row>
      <xdr:rowOff>104486</xdr:rowOff>
    </xdr:from>
    <xdr:to>
      <xdr:col>14</xdr:col>
      <xdr:colOff>502991</xdr:colOff>
      <xdr:row>92</xdr:row>
      <xdr:rowOff>33366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86925AA-182D-23FD-C58E-FAD1F603EF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44</xdr:col>
      <xdr:colOff>421871</xdr:colOff>
      <xdr:row>122</xdr:row>
      <xdr:rowOff>149223</xdr:rowOff>
    </xdr:from>
    <xdr:to>
      <xdr:col>67</xdr:col>
      <xdr:colOff>482093</xdr:colOff>
      <xdr:row>169</xdr:row>
      <xdr:rowOff>65689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972FEB1-79F1-0AE7-F6EA-83B78D2349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14</xdr:col>
      <xdr:colOff>584489</xdr:colOff>
      <xdr:row>62</xdr:row>
      <xdr:rowOff>80072</xdr:rowOff>
    </xdr:from>
    <xdr:to>
      <xdr:col>29</xdr:col>
      <xdr:colOff>415637</xdr:colOff>
      <xdr:row>92</xdr:row>
      <xdr:rowOff>29907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EE89F57-F50F-B38C-3DE5-34ADF41D80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29</xdr:col>
      <xdr:colOff>586317</xdr:colOff>
      <xdr:row>152</xdr:row>
      <xdr:rowOff>85302</xdr:rowOff>
    </xdr:from>
    <xdr:to>
      <xdr:col>44</xdr:col>
      <xdr:colOff>423828</xdr:colOff>
      <xdr:row>182</xdr:row>
      <xdr:rowOff>19897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6F2A77F-5273-2F23-C0EE-D8AAE903E2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14</xdr:col>
      <xdr:colOff>572034</xdr:colOff>
      <xdr:row>32</xdr:row>
      <xdr:rowOff>132473</xdr:rowOff>
    </xdr:from>
    <xdr:to>
      <xdr:col>29</xdr:col>
      <xdr:colOff>389861</xdr:colOff>
      <xdr:row>62</xdr:row>
      <xdr:rowOff>56272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2C83B72-F1B5-9ECC-8C97-E7698FFDDB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14</xdr:col>
      <xdr:colOff>484908</xdr:colOff>
      <xdr:row>92</xdr:row>
      <xdr:rowOff>143510</xdr:rowOff>
    </xdr:from>
    <xdr:to>
      <xdr:col>29</xdr:col>
      <xdr:colOff>356536</xdr:colOff>
      <xdr:row>122</xdr:row>
      <xdr:rowOff>84455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097AD9-90A6-4604-A4E7-2179322BE9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342900</xdr:colOff>
      <xdr:row>122</xdr:row>
      <xdr:rowOff>79375</xdr:rowOff>
    </xdr:from>
    <xdr:to>
      <xdr:col>14</xdr:col>
      <xdr:colOff>529661</xdr:colOff>
      <xdr:row>152</xdr:row>
      <xdr:rowOff>27305</xdr:rowOff>
    </xdr:to>
    <xdr:graphicFrame macro="">
      <xdr:nvGraphicFramePr>
        <xdr:cNvPr id="76" name="Chart 75">
          <a:extLst>
            <a:ext uri="{FF2B5EF4-FFF2-40B4-BE49-F238E27FC236}">
              <a16:creationId xmlns:a16="http://schemas.microsoft.com/office/drawing/2014/main" id="{C1E387A8-E62B-73AB-D937-7252454070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14</xdr:col>
      <xdr:colOff>613138</xdr:colOff>
      <xdr:row>122</xdr:row>
      <xdr:rowOff>79375</xdr:rowOff>
    </xdr:from>
    <xdr:to>
      <xdr:col>29</xdr:col>
      <xdr:colOff>453462</xdr:colOff>
      <xdr:row>152</xdr:row>
      <xdr:rowOff>27305</xdr:rowOff>
    </xdr:to>
    <xdr:graphicFrame macro="">
      <xdr:nvGraphicFramePr>
        <xdr:cNvPr id="77" name="Chart 76">
          <a:extLst>
            <a:ext uri="{FF2B5EF4-FFF2-40B4-BE49-F238E27FC236}">
              <a16:creationId xmlns:a16="http://schemas.microsoft.com/office/drawing/2014/main" id="{46C63749-04A1-8DAF-E15D-FD7D19F270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14</xdr:col>
      <xdr:colOff>599982</xdr:colOff>
      <xdr:row>152</xdr:row>
      <xdr:rowOff>132347</xdr:rowOff>
    </xdr:from>
    <xdr:to>
      <xdr:col>29</xdr:col>
      <xdr:colOff>418779</xdr:colOff>
      <xdr:row>182</xdr:row>
      <xdr:rowOff>83163</xdr:rowOff>
    </xdr:to>
    <xdr:graphicFrame macro="">
      <xdr:nvGraphicFramePr>
        <xdr:cNvPr id="78" name="Chart 77">
          <a:extLst>
            <a:ext uri="{FF2B5EF4-FFF2-40B4-BE49-F238E27FC236}">
              <a16:creationId xmlns:a16="http://schemas.microsoft.com/office/drawing/2014/main" id="{D85477C8-C598-AF4E-18A6-8E8DEC7730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44</xdr:col>
      <xdr:colOff>433153</xdr:colOff>
      <xdr:row>62</xdr:row>
      <xdr:rowOff>163368</xdr:rowOff>
    </xdr:from>
    <xdr:to>
      <xdr:col>59</xdr:col>
      <xdr:colOff>281097</xdr:colOff>
      <xdr:row>92</xdr:row>
      <xdr:rowOff>94153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2139030F-B0BA-0172-E05E-AEB92D2393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29</xdr:col>
      <xdr:colOff>523622</xdr:colOff>
      <xdr:row>32</xdr:row>
      <xdr:rowOff>142621</xdr:rowOff>
    </xdr:from>
    <xdr:to>
      <xdr:col>44</xdr:col>
      <xdr:colOff>371928</xdr:colOff>
      <xdr:row>62</xdr:row>
      <xdr:rowOff>67698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91DFED8-AED0-4089-8135-3352A7924A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399513</xdr:colOff>
      <xdr:row>32</xdr:row>
      <xdr:rowOff>132442</xdr:rowOff>
    </xdr:from>
    <xdr:to>
      <xdr:col>14</xdr:col>
      <xdr:colOff>517070</xdr:colOff>
      <xdr:row>62</xdr:row>
      <xdr:rowOff>56242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3602AB44-1480-419B-A891-51652D506C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59</xdr:col>
      <xdr:colOff>302366</xdr:colOff>
      <xdr:row>2</xdr:row>
      <xdr:rowOff>190307</xdr:rowOff>
    </xdr:from>
    <xdr:to>
      <xdr:col>74</xdr:col>
      <xdr:colOff>148381</xdr:colOff>
      <xdr:row>32</xdr:row>
      <xdr:rowOff>130617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BD6F758B-3AEE-4C9A-A77C-FC1A9839E8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59</xdr:col>
      <xdr:colOff>312316</xdr:colOff>
      <xdr:row>32</xdr:row>
      <xdr:rowOff>172447</xdr:rowOff>
    </xdr:from>
    <xdr:to>
      <xdr:col>74</xdr:col>
      <xdr:colOff>149827</xdr:colOff>
      <xdr:row>62</xdr:row>
      <xdr:rowOff>112757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E927A62-6687-4632-5570-F1E59CD52F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0.09638</cdr:x>
      <cdr:y>0.10712</cdr:y>
    </cdr:from>
    <cdr:to>
      <cdr:x>0.21952</cdr:x>
      <cdr:y>0.15256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2FAD73EB-A6B0-DFF4-6D76-FD9F53238A3D}"/>
            </a:ext>
          </a:extLst>
        </cdr:cNvPr>
        <cdr:cNvSpPr/>
      </cdr:nvSpPr>
      <cdr:spPr>
        <a:xfrm xmlns:a="http://schemas.openxmlformats.org/drawingml/2006/main">
          <a:off x="867837" y="580487"/>
          <a:ext cx="1108759" cy="246244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0.11467</cdr:x>
      <cdr:y>0.10166</cdr:y>
    </cdr:from>
    <cdr:to>
      <cdr:x>0.23789</cdr:x>
      <cdr:y>0.14727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2FAD73EB-A6B0-DFF4-6D76-FD9F53238A3D}"/>
            </a:ext>
          </a:extLst>
        </cdr:cNvPr>
        <cdr:cNvSpPr/>
      </cdr:nvSpPr>
      <cdr:spPr>
        <a:xfrm xmlns:a="http://schemas.openxmlformats.org/drawingml/2006/main">
          <a:off x="1076037" y="583776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0.11154</cdr:x>
      <cdr:y>0.1037</cdr:y>
    </cdr:from>
    <cdr:to>
      <cdr:x>0.23455</cdr:x>
      <cdr:y>0.14916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2FAD73EB-A6B0-DFF4-6D76-FD9F53238A3D}"/>
            </a:ext>
          </a:extLst>
        </cdr:cNvPr>
        <cdr:cNvSpPr/>
      </cdr:nvSpPr>
      <cdr:spPr>
        <a:xfrm xmlns:a="http://schemas.openxmlformats.org/drawingml/2006/main">
          <a:off x="1048328" y="597630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0.11069</cdr:x>
      <cdr:y>0.10556</cdr:y>
    </cdr:from>
    <cdr:to>
      <cdr:x>0.23488</cdr:x>
      <cdr:y>0.15071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2FAD73EB-A6B0-DFF4-6D76-FD9F53238A3D}"/>
            </a:ext>
          </a:extLst>
        </cdr:cNvPr>
        <cdr:cNvSpPr/>
      </cdr:nvSpPr>
      <cdr:spPr>
        <a:xfrm xmlns:a="http://schemas.openxmlformats.org/drawingml/2006/main">
          <a:off x="1030514" y="612475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0.11678</cdr:x>
      <cdr:y>0.09993</cdr:y>
    </cdr:from>
    <cdr:to>
      <cdr:x>0.24124</cdr:x>
      <cdr:y>0.14508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2FAD73EB-A6B0-DFF4-6D76-FD9F53238A3D}"/>
            </a:ext>
          </a:extLst>
        </cdr:cNvPr>
        <cdr:cNvSpPr/>
      </cdr:nvSpPr>
      <cdr:spPr>
        <a:xfrm xmlns:a="http://schemas.openxmlformats.org/drawingml/2006/main">
          <a:off x="1084943" y="579817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0.11414</cdr:x>
      <cdr:y>0.10509</cdr:y>
    </cdr:from>
    <cdr:to>
      <cdr:x>0.23828</cdr:x>
      <cdr:y>0.15004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00061027-2E34-0B2D-FD14-99FE912DF3A7}"/>
            </a:ext>
          </a:extLst>
        </cdr:cNvPr>
        <cdr:cNvSpPr/>
      </cdr:nvSpPr>
      <cdr:spPr>
        <a:xfrm xmlns:a="http://schemas.openxmlformats.org/drawingml/2006/main">
          <a:off x="1063171" y="612475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0.11642</cdr:x>
      <cdr:y>0.09803</cdr:y>
    </cdr:from>
    <cdr:to>
      <cdr:x>0.2405</cdr:x>
      <cdr:y>0.14317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8361DA37-B15F-1F62-9D64-B4FD7ACB7D00}"/>
            </a:ext>
          </a:extLst>
        </cdr:cNvPr>
        <cdr:cNvSpPr/>
      </cdr:nvSpPr>
      <cdr:spPr>
        <a:xfrm xmlns:a="http://schemas.openxmlformats.org/drawingml/2006/main">
          <a:off x="1084942" y="568931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0.11642</cdr:x>
      <cdr:y>0.09762</cdr:y>
    </cdr:from>
    <cdr:to>
      <cdr:x>0.2405</cdr:x>
      <cdr:y>0.14257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9205E56E-9E15-2351-F1BE-E42A574EDF35}"/>
            </a:ext>
          </a:extLst>
        </cdr:cNvPr>
        <cdr:cNvSpPr/>
      </cdr:nvSpPr>
      <cdr:spPr>
        <a:xfrm xmlns:a="http://schemas.openxmlformats.org/drawingml/2006/main">
          <a:off x="1084943" y="568931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0.11253</cdr:x>
      <cdr:y>0.10512</cdr:y>
    </cdr:from>
    <cdr:to>
      <cdr:x>0.23588</cdr:x>
      <cdr:y>0.15209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97BE5C2B-B573-2026-F113-57E721EEE2F0}"/>
            </a:ext>
          </a:extLst>
        </cdr:cNvPr>
        <cdr:cNvSpPr/>
      </cdr:nvSpPr>
      <cdr:spPr>
        <a:xfrm xmlns:a="http://schemas.openxmlformats.org/drawingml/2006/main">
          <a:off x="1054847" y="586221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0.11437</cdr:x>
      <cdr:y>0.10355</cdr:y>
    </cdr:from>
    <cdr:to>
      <cdr:x>0.23763</cdr:x>
      <cdr:y>0.15054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D12A7610-F93F-C9CB-42E8-AEAB5FE052C9}"/>
            </a:ext>
          </a:extLst>
        </cdr:cNvPr>
        <cdr:cNvSpPr/>
      </cdr:nvSpPr>
      <cdr:spPr>
        <a:xfrm xmlns:a="http://schemas.openxmlformats.org/drawingml/2006/main">
          <a:off x="1072777" y="577256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0.11303</cdr:x>
      <cdr:y>0.10353</cdr:y>
    </cdr:from>
    <cdr:to>
      <cdr:x>0.23722</cdr:x>
      <cdr:y>0.14861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2FAD73EB-A6B0-DFF4-6D76-FD9F53238A3D}"/>
            </a:ext>
          </a:extLst>
        </cdr:cNvPr>
        <cdr:cNvSpPr/>
      </cdr:nvSpPr>
      <cdr:spPr>
        <a:xfrm xmlns:a="http://schemas.openxmlformats.org/drawingml/2006/main">
          <a:off x="1052286" y="601589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0.11345</cdr:x>
      <cdr:y>0.10149</cdr:y>
    </cdr:from>
    <cdr:to>
      <cdr:x>0.23676</cdr:x>
      <cdr:y>0.14827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D13471DA-B7DD-5AEA-C7B2-EE23195C714C}"/>
            </a:ext>
          </a:extLst>
        </cdr:cNvPr>
        <cdr:cNvSpPr/>
      </cdr:nvSpPr>
      <cdr:spPr>
        <a:xfrm xmlns:a="http://schemas.openxmlformats.org/drawingml/2006/main">
          <a:off x="1063812" y="568291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0.11743</cdr:x>
      <cdr:y>0.10391</cdr:y>
    </cdr:from>
    <cdr:to>
      <cdr:x>0.24045</cdr:x>
      <cdr:y>0.14945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2FAD73EB-A6B0-DFF4-6D76-FD9F53238A3D}"/>
            </a:ext>
          </a:extLst>
        </cdr:cNvPr>
        <cdr:cNvSpPr/>
      </cdr:nvSpPr>
      <cdr:spPr>
        <a:xfrm xmlns:a="http://schemas.openxmlformats.org/drawingml/2006/main">
          <a:off x="1103746" y="597630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0.11625</cdr:x>
      <cdr:y>0.10165</cdr:y>
    </cdr:from>
    <cdr:to>
      <cdr:x>0.23957</cdr:x>
      <cdr:y>0.14727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2FAD73EB-A6B0-DFF4-6D76-FD9F53238A3D}"/>
            </a:ext>
          </a:extLst>
        </cdr:cNvPr>
        <cdr:cNvSpPr/>
      </cdr:nvSpPr>
      <cdr:spPr>
        <a:xfrm xmlns:a="http://schemas.openxmlformats.org/drawingml/2006/main">
          <a:off x="1089891" y="583775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0.11315</cdr:x>
      <cdr:y>0.10153</cdr:y>
    </cdr:from>
    <cdr:to>
      <cdr:x>0.23631</cdr:x>
      <cdr:y>0.14709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2FAD73EB-A6B0-DFF4-6D76-FD9F53238A3D}"/>
            </a:ext>
          </a:extLst>
        </cdr:cNvPr>
        <cdr:cNvSpPr/>
      </cdr:nvSpPr>
      <cdr:spPr>
        <a:xfrm xmlns:a="http://schemas.openxmlformats.org/drawingml/2006/main">
          <a:off x="1062182" y="583776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0.11442</cdr:x>
      <cdr:y>0.10633</cdr:y>
    </cdr:from>
    <cdr:to>
      <cdr:x>0.23775</cdr:x>
      <cdr:y>0.15313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D13471DA-B7DD-5AEA-C7B2-EE23195C714C}"/>
            </a:ext>
          </a:extLst>
        </cdr:cNvPr>
        <cdr:cNvSpPr/>
      </cdr:nvSpPr>
      <cdr:spPr>
        <a:xfrm xmlns:a="http://schemas.openxmlformats.org/drawingml/2006/main">
          <a:off x="1072777" y="595185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0.11185</cdr:x>
      <cdr:y>0.10696</cdr:y>
    </cdr:from>
    <cdr:to>
      <cdr:x>0.23603</cdr:x>
      <cdr:y>0.1519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26AE3093-3D27-3172-9322-2DB79C84873B}"/>
            </a:ext>
          </a:extLst>
        </cdr:cNvPr>
        <cdr:cNvSpPr/>
      </cdr:nvSpPr>
      <cdr:spPr>
        <a:xfrm xmlns:a="http://schemas.openxmlformats.org/drawingml/2006/main">
          <a:off x="1041400" y="623360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0.11533</cdr:x>
      <cdr:y>0.10696</cdr:y>
    </cdr:from>
    <cdr:to>
      <cdr:x>0.23949</cdr:x>
      <cdr:y>0.1519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DF8036B9-6D6F-6F6A-FA23-3F81DF694522}"/>
            </a:ext>
          </a:extLst>
        </cdr:cNvPr>
        <cdr:cNvSpPr/>
      </cdr:nvSpPr>
      <cdr:spPr>
        <a:xfrm xmlns:a="http://schemas.openxmlformats.org/drawingml/2006/main">
          <a:off x="1074057" y="623361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0.11643</cdr:x>
      <cdr:y>0.10734</cdr:y>
    </cdr:from>
    <cdr:to>
      <cdr:x>0.24051</cdr:x>
      <cdr:y>0.15245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EC7C07FB-BA0E-5D52-4F39-E9763D5D6ABA}"/>
            </a:ext>
          </a:extLst>
        </cdr:cNvPr>
        <cdr:cNvSpPr/>
      </cdr:nvSpPr>
      <cdr:spPr>
        <a:xfrm xmlns:a="http://schemas.openxmlformats.org/drawingml/2006/main">
          <a:off x="1084943" y="623360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0.11642</cdr:x>
      <cdr:y>0.09803</cdr:y>
    </cdr:from>
    <cdr:to>
      <cdr:x>0.2405</cdr:x>
      <cdr:y>0.14317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8361DA37-B15F-1F62-9D64-B4FD7ACB7D00}"/>
            </a:ext>
          </a:extLst>
        </cdr:cNvPr>
        <cdr:cNvSpPr/>
      </cdr:nvSpPr>
      <cdr:spPr>
        <a:xfrm xmlns:a="http://schemas.openxmlformats.org/drawingml/2006/main">
          <a:off x="1084942" y="568931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</c:userShapes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0.11467</cdr:x>
      <cdr:y>0.10166</cdr:y>
    </cdr:from>
    <cdr:to>
      <cdr:x>0.23789</cdr:x>
      <cdr:y>0.14727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2FAD73EB-A6B0-DFF4-6D76-FD9F53238A3D}"/>
            </a:ext>
          </a:extLst>
        </cdr:cNvPr>
        <cdr:cNvSpPr/>
      </cdr:nvSpPr>
      <cdr:spPr>
        <a:xfrm xmlns:a="http://schemas.openxmlformats.org/drawingml/2006/main">
          <a:off x="1076037" y="583776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</c:userShapes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0.11154</cdr:x>
      <cdr:y>0.1037</cdr:y>
    </cdr:from>
    <cdr:to>
      <cdr:x>0.23455</cdr:x>
      <cdr:y>0.14916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2FAD73EB-A6B0-DFF4-6D76-FD9F53238A3D}"/>
            </a:ext>
          </a:extLst>
        </cdr:cNvPr>
        <cdr:cNvSpPr/>
      </cdr:nvSpPr>
      <cdr:spPr>
        <a:xfrm xmlns:a="http://schemas.openxmlformats.org/drawingml/2006/main">
          <a:off x="1048328" y="597630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</c:userShapes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0.11154</cdr:x>
      <cdr:y>0.1037</cdr:y>
    </cdr:from>
    <cdr:to>
      <cdr:x>0.23455</cdr:x>
      <cdr:y>0.14916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2FAD73EB-A6B0-DFF4-6D76-FD9F53238A3D}"/>
            </a:ext>
          </a:extLst>
        </cdr:cNvPr>
        <cdr:cNvSpPr/>
      </cdr:nvSpPr>
      <cdr:spPr>
        <a:xfrm xmlns:a="http://schemas.openxmlformats.org/drawingml/2006/main">
          <a:off x="1048328" y="597630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1835728</xdr:colOff>
      <xdr:row>4</xdr:row>
      <xdr:rowOff>69273</xdr:rowOff>
    </xdr:from>
    <xdr:to>
      <xdr:col>28</xdr:col>
      <xdr:colOff>1824181</xdr:colOff>
      <xdr:row>4</xdr:row>
      <xdr:rowOff>150091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D62571EE-2FF9-4854-8894-5873D0477666}"/>
            </a:ext>
          </a:extLst>
        </xdr:cNvPr>
        <xdr:cNvCxnSpPr/>
      </xdr:nvCxnSpPr>
      <xdr:spPr>
        <a:xfrm>
          <a:off x="14143183" y="1489364"/>
          <a:ext cx="33239362" cy="8081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981363</xdr:colOff>
      <xdr:row>5</xdr:row>
      <xdr:rowOff>57727</xdr:rowOff>
    </xdr:from>
    <xdr:to>
      <xdr:col>27</xdr:col>
      <xdr:colOff>1824181</xdr:colOff>
      <xdr:row>5</xdr:row>
      <xdr:rowOff>57727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CB6B8AD0-FC09-4B16-B570-230D4361FC8F}"/>
            </a:ext>
          </a:extLst>
        </xdr:cNvPr>
        <xdr:cNvCxnSpPr/>
      </xdr:nvCxnSpPr>
      <xdr:spPr>
        <a:xfrm>
          <a:off x="6742545" y="1835727"/>
          <a:ext cx="406400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1581727</xdr:colOff>
      <xdr:row>5</xdr:row>
      <xdr:rowOff>0</xdr:rowOff>
    </xdr:from>
    <xdr:to>
      <xdr:col>31</xdr:col>
      <xdr:colOff>1627908</xdr:colOff>
      <xdr:row>5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31154E99-CE48-70C9-6162-D178430A450C}"/>
            </a:ext>
          </a:extLst>
        </xdr:cNvPr>
        <xdr:cNvCxnSpPr/>
      </xdr:nvCxnSpPr>
      <xdr:spPr>
        <a:xfrm flipV="1">
          <a:off x="8347363" y="1778000"/>
          <a:ext cx="38965909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24947</xdr:colOff>
      <xdr:row>4</xdr:row>
      <xdr:rowOff>296333</xdr:rowOff>
    </xdr:from>
    <xdr:to>
      <xdr:col>10</xdr:col>
      <xdr:colOff>0</xdr:colOff>
      <xdr:row>4</xdr:row>
      <xdr:rowOff>671285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1A3934C-C97B-472C-A60B-635BA88DCA57}"/>
            </a:ext>
          </a:extLst>
        </xdr:cNvPr>
        <xdr:cNvSpPr txBox="1"/>
      </xdr:nvSpPr>
      <xdr:spPr>
        <a:xfrm>
          <a:off x="1310822" y="1715558"/>
          <a:ext cx="8309428" cy="374952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alpha val="84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600">
              <a:effectLst/>
            </a:rPr>
            <a:t>LIMS: -</a:t>
          </a:r>
          <a:endParaRPr lang="th-TH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35</xdr:col>
      <xdr:colOff>44222</xdr:colOff>
      <xdr:row>6</xdr:row>
      <xdr:rowOff>352424</xdr:rowOff>
    </xdr:from>
    <xdr:to>
      <xdr:col>49</xdr:col>
      <xdr:colOff>183695</xdr:colOff>
      <xdr:row>25</xdr:row>
      <xdr:rowOff>214312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8444870-E141-CBE6-13EC-F06E6255CC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60025</xdr:colOff>
      <xdr:row>25</xdr:row>
      <xdr:rowOff>212951</xdr:rowOff>
    </xdr:from>
    <xdr:to>
      <xdr:col>49</xdr:col>
      <xdr:colOff>183695</xdr:colOff>
      <xdr:row>46</xdr:row>
      <xdr:rowOff>142874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801D5B-9699-80D2-CE0F-023BC53723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65854</xdr:colOff>
      <xdr:row>46</xdr:row>
      <xdr:rowOff>134938</xdr:rowOff>
    </xdr:from>
    <xdr:to>
      <xdr:col>49</xdr:col>
      <xdr:colOff>207508</xdr:colOff>
      <xdr:row>63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F4D20C-5FF1-461C-8C91-EF567836BB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</cdr:x>
      <cdr:y>0.01111</cdr:y>
    </cdr:from>
    <cdr:to>
      <cdr:x>1</cdr:x>
      <cdr:y>0.08816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7C48F3C9-B619-17F2-00B2-DF7EA73D2C58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1073440" cy="352285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SR Feed</a:t>
          </a:r>
        </a:p>
      </cdr:txBody>
    </cdr:sp>
  </cdr:relSizeAnchor>
</c:userShapes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8412</xdr:colOff>
      <xdr:row>2</xdr:row>
      <xdr:rowOff>70345</xdr:rowOff>
    </xdr:from>
    <xdr:to>
      <xdr:col>18</xdr:col>
      <xdr:colOff>296938</xdr:colOff>
      <xdr:row>43</xdr:row>
      <xdr:rowOff>116115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E980C9-7720-40F0-AE54-8F805FEC0D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c:userShapes xmlns:c="http://schemas.openxmlformats.org/drawingml/2006/chart">
  <cdr:relSizeAnchor xmlns:cdr="http://schemas.openxmlformats.org/drawingml/2006/chartDrawing">
    <cdr:from>
      <cdr:x>0.0048</cdr:x>
      <cdr:y>0</cdr:y>
    </cdr:from>
    <cdr:to>
      <cdr:x>1</cdr:x>
      <cdr:y>0.0537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4C09D6D7-25BE-4BA4-4146-6A1E2650E496}"/>
            </a:ext>
          </a:extLst>
        </cdr:cNvPr>
        <cdr:cNvSpPr txBox="1"/>
      </cdr:nvSpPr>
      <cdr:spPr>
        <a:xfrm xmlns:a="http://schemas.openxmlformats.org/drawingml/2006/main">
          <a:off x="51128" y="0"/>
          <a:ext cx="10600598" cy="407901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000" b="1">
              <a:effectLst/>
            </a:rPr>
            <a:t>Thermal</a:t>
          </a:r>
          <a:r>
            <a:rPr lang="en-US" sz="2000" b="1" baseline="0">
              <a:effectLst/>
            </a:rPr>
            <a:t> Cracking (Conversion): Repeat Acceptance Test</a:t>
          </a:r>
          <a:endParaRPr lang="en-US" sz="2000" b="1">
            <a:effectLst/>
          </a:endParaRPr>
        </a:p>
      </cdr:txBody>
    </cdr:sp>
  </cdr:relSizeAnchor>
  <cdr:relSizeAnchor xmlns:cdr="http://schemas.openxmlformats.org/drawingml/2006/chartDrawing">
    <cdr:from>
      <cdr:x>0</cdr:x>
      <cdr:y>0.06953</cdr:y>
    </cdr:from>
    <cdr:to>
      <cdr:x>0.94989</cdr:x>
      <cdr:y>0.18498</cdr:y>
    </cdr:to>
    <cdr:grpSp>
      <cdr:nvGrpSpPr>
        <cdr:cNvPr id="3" name="Group 2">
          <a:extLst xmlns:a="http://schemas.openxmlformats.org/drawingml/2006/main">
            <a:ext uri="{FF2B5EF4-FFF2-40B4-BE49-F238E27FC236}">
              <a16:creationId xmlns:a16="http://schemas.microsoft.com/office/drawing/2014/main" id="{60006E3B-1FD6-4DC2-8691-20A3F4DB3D82}"/>
            </a:ext>
          </a:extLst>
        </cdr:cNvPr>
        <cdr:cNvGrpSpPr/>
      </cdr:nvGrpSpPr>
      <cdr:grpSpPr>
        <a:xfrm xmlns:a="http://schemas.openxmlformats.org/drawingml/2006/main">
          <a:off x="0" y="520386"/>
          <a:ext cx="10161915" cy="864068"/>
          <a:chOff x="-104942" y="-41304"/>
          <a:chExt cx="8664355" cy="1114990"/>
        </a:xfrm>
      </cdr:grpSpPr>
      <cdr:grpSp>
        <cdr:nvGrpSpPr>
          <cdr:cNvPr id="5" name="Group 4">
            <a:extLst xmlns:a="http://schemas.openxmlformats.org/drawingml/2006/main">
              <a:ext uri="{FF2B5EF4-FFF2-40B4-BE49-F238E27FC236}">
                <a16:creationId xmlns:a16="http://schemas.microsoft.com/office/drawing/2014/main" id="{A62E685F-AE3F-739D-CC3A-BED0B2C024F6}"/>
              </a:ext>
            </a:extLst>
          </cdr:cNvPr>
          <cdr:cNvGrpSpPr/>
        </cdr:nvGrpSpPr>
        <cdr:grpSpPr>
          <a:xfrm xmlns:a="http://schemas.openxmlformats.org/drawingml/2006/main">
            <a:off x="-104942" y="-41304"/>
            <a:ext cx="8664355" cy="1114990"/>
            <a:chOff x="-108137" y="-41751"/>
            <a:chExt cx="8928164" cy="1127018"/>
          </a:xfrm>
        </cdr:grpSpPr>
        <cdr:sp macro="" textlink="">
          <cdr:nvSpPr>
            <cdr:cNvPr id="6" name="TextBox 141">
              <a:extLst xmlns:a="http://schemas.openxmlformats.org/drawingml/2006/main">
                <a:ext uri="{FF2B5EF4-FFF2-40B4-BE49-F238E27FC236}">
                  <a16:creationId xmlns:a16="http://schemas.microsoft.com/office/drawing/2014/main" id="{20D9B1A4-9943-8464-1FCC-FCC5018884B0}"/>
                </a:ext>
              </a:extLst>
            </cdr:cNvPr>
            <cdr:cNvSpPr txBox="1"/>
          </cdr:nvSpPr>
          <cdr:spPr>
            <a:xfrm xmlns:a="http://schemas.openxmlformats.org/drawingml/2006/main">
              <a:off x="-100784" y="-41751"/>
              <a:ext cx="824049" cy="196455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VR Feed</a:t>
              </a:r>
            </a:p>
          </cdr:txBody>
        </cdr:sp>
        <cdr:sp macro="" textlink="">
          <cdr:nvSpPr>
            <cdr:cNvPr id="8" name="TextBox 143">
              <a:extLst xmlns:a="http://schemas.openxmlformats.org/drawingml/2006/main">
                <a:ext uri="{FF2B5EF4-FFF2-40B4-BE49-F238E27FC236}">
                  <a16:creationId xmlns:a16="http://schemas.microsoft.com/office/drawing/2014/main" id="{3B1AEA24-C8C4-4450-D3BD-B75D30843A7F}"/>
                </a:ext>
              </a:extLst>
            </cdr:cNvPr>
            <cdr:cNvSpPr txBox="1"/>
          </cdr:nvSpPr>
          <cdr:spPr>
            <a:xfrm xmlns:a="http://schemas.openxmlformats.org/drawingml/2006/main">
              <a:off x="-108137" y="432901"/>
              <a:ext cx="1054340" cy="233284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MEBU LHSV, h-1</a:t>
              </a:r>
            </a:p>
          </cdr:txBody>
        </cdr:sp>
        <cdr:sp macro="" textlink="">
          <cdr:nvSpPr>
            <cdr:cNvPr id="9" name="TextBox 144">
              <a:extLst xmlns:a="http://schemas.openxmlformats.org/drawingml/2006/main">
                <a:ext uri="{FF2B5EF4-FFF2-40B4-BE49-F238E27FC236}">
                  <a16:creationId xmlns:a16="http://schemas.microsoft.com/office/drawing/2014/main" id="{175BA785-8C2A-0A1F-33D3-BA424ADB3E5F}"/>
                </a:ext>
              </a:extLst>
            </cdr:cNvPr>
            <cdr:cNvSpPr txBox="1"/>
          </cdr:nvSpPr>
          <cdr:spPr>
            <a:xfrm xmlns:a="http://schemas.openxmlformats.org/drawingml/2006/main">
              <a:off x="-108137" y="757230"/>
              <a:ext cx="1071445" cy="260756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Temperature</a:t>
              </a:r>
            </a:p>
            <a:p xmlns:a="http://schemas.openxmlformats.org/drawingml/2006/main">
              <a:r>
                <a:rPr lang="en-US" sz="1100" b="1"/>
                <a:t>(Rx1/2/3)</a:t>
              </a:r>
            </a:p>
          </cdr:txBody>
        </cdr:sp>
        <cdr:cxnSp macro="">
          <cdr:nvCxnSpPr>
            <cdr:cNvPr id="12" name="Straight Arrow Connector 11">
              <a:extLst xmlns:a="http://schemas.openxmlformats.org/drawingml/2006/main">
                <a:ext uri="{FF2B5EF4-FFF2-40B4-BE49-F238E27FC236}">
                  <a16:creationId xmlns:a16="http://schemas.microsoft.com/office/drawing/2014/main" id="{0DA1BDCC-7513-B8F5-E93D-87F8FC56E899}"/>
                </a:ext>
              </a:extLst>
            </cdr:cNvPr>
            <cdr:cNvCxnSpPr/>
          </cdr:nvCxnSpPr>
          <cdr:spPr>
            <a:xfrm xmlns:a="http://schemas.openxmlformats.org/drawingml/2006/main" flipV="1">
              <a:off x="818722" y="616093"/>
              <a:ext cx="1884975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3" name="Straight Arrow Connector 12">
              <a:extLst xmlns:a="http://schemas.openxmlformats.org/drawingml/2006/main">
                <a:ext uri="{FF2B5EF4-FFF2-40B4-BE49-F238E27FC236}">
                  <a16:creationId xmlns:a16="http://schemas.microsoft.com/office/drawing/2014/main" id="{BAE42EA7-454D-D6AC-25EF-61A35CB2439A}"/>
                </a:ext>
              </a:extLst>
            </cdr:cNvPr>
            <cdr:cNvCxnSpPr/>
          </cdr:nvCxnSpPr>
          <cdr:spPr>
            <a:xfrm xmlns:a="http://schemas.openxmlformats.org/drawingml/2006/main" flipV="1">
              <a:off x="820374" y="963888"/>
              <a:ext cx="1884975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16" name="TextBox 151">
              <a:extLst xmlns:a="http://schemas.openxmlformats.org/drawingml/2006/main">
                <a:ext uri="{FF2B5EF4-FFF2-40B4-BE49-F238E27FC236}">
                  <a16:creationId xmlns:a16="http://schemas.microsoft.com/office/drawing/2014/main" id="{B1E5FA33-F786-7CE8-A9AA-08B79038A0CD}"/>
                </a:ext>
              </a:extLst>
            </cdr:cNvPr>
            <cdr:cNvSpPr txBox="1"/>
          </cdr:nvSpPr>
          <cdr:spPr>
            <a:xfrm xmlns:a="http://schemas.openxmlformats.org/drawingml/2006/main">
              <a:off x="1604599" y="485577"/>
              <a:ext cx="615253" cy="23860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0.55</a:t>
              </a:r>
            </a:p>
          </cdr:txBody>
        </cdr:sp>
        <cdr:sp macro="" textlink="">
          <cdr:nvSpPr>
            <cdr:cNvPr id="17" name="TextBox 152">
              <a:extLst xmlns:a="http://schemas.openxmlformats.org/drawingml/2006/main">
                <a:ext uri="{FF2B5EF4-FFF2-40B4-BE49-F238E27FC236}">
                  <a16:creationId xmlns:a16="http://schemas.microsoft.com/office/drawing/2014/main" id="{9E6C6F88-2E97-378A-3AB4-1CB7228F6077}"/>
                </a:ext>
              </a:extLst>
            </cdr:cNvPr>
            <cdr:cNvSpPr txBox="1"/>
          </cdr:nvSpPr>
          <cdr:spPr>
            <a:xfrm xmlns:a="http://schemas.openxmlformats.org/drawingml/2006/main">
              <a:off x="1414563" y="837972"/>
              <a:ext cx="993760" cy="24729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399/405/407</a:t>
              </a:r>
            </a:p>
          </cdr:txBody>
        </cdr:sp>
        <cdr:cxnSp macro="">
          <cdr:nvCxnSpPr>
            <cdr:cNvPr id="18" name="Straight Arrow Connector 17">
              <a:extLst xmlns:a="http://schemas.openxmlformats.org/drawingml/2006/main">
                <a:ext uri="{FF2B5EF4-FFF2-40B4-BE49-F238E27FC236}">
                  <a16:creationId xmlns:a16="http://schemas.microsoft.com/office/drawing/2014/main" id="{E9C1F203-D297-B23A-825D-7BA02E56C771}"/>
                </a:ext>
              </a:extLst>
            </cdr:cNvPr>
            <cdr:cNvCxnSpPr/>
          </cdr:nvCxnSpPr>
          <cdr:spPr>
            <a:xfrm xmlns:a="http://schemas.openxmlformats.org/drawingml/2006/main" flipV="1">
              <a:off x="842597" y="134898"/>
              <a:ext cx="7977430" cy="831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1" name="Straight Arrow Connector 20">
              <a:extLst xmlns:a="http://schemas.openxmlformats.org/drawingml/2006/main">
                <a:ext uri="{FF2B5EF4-FFF2-40B4-BE49-F238E27FC236}">
                  <a16:creationId xmlns:a16="http://schemas.microsoft.com/office/drawing/2014/main" id="{F69FE2F7-FBA1-6FAB-1BF4-307426740932}"/>
                </a:ext>
              </a:extLst>
            </cdr:cNvPr>
            <cdr:cNvCxnSpPr/>
          </cdr:nvCxnSpPr>
          <cdr:spPr>
            <a:xfrm xmlns:a="http://schemas.openxmlformats.org/drawingml/2006/main" flipV="1">
              <a:off x="2840988" y="608204"/>
              <a:ext cx="5958082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3" name="Straight Arrow Connector 22">
              <a:extLst xmlns:a="http://schemas.openxmlformats.org/drawingml/2006/main">
                <a:ext uri="{FF2B5EF4-FFF2-40B4-BE49-F238E27FC236}">
                  <a16:creationId xmlns:a16="http://schemas.microsoft.com/office/drawing/2014/main" id="{0AF9255E-BA2F-BC4D-5DBB-B8DE84B84F62}"/>
                </a:ext>
              </a:extLst>
            </cdr:cNvPr>
            <cdr:cNvCxnSpPr/>
          </cdr:nvCxnSpPr>
          <cdr:spPr>
            <a:xfrm xmlns:a="http://schemas.openxmlformats.org/drawingml/2006/main" flipV="1">
              <a:off x="2827260" y="978618"/>
              <a:ext cx="5950850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25" name="TextBox 160">
              <a:extLst xmlns:a="http://schemas.openxmlformats.org/drawingml/2006/main">
                <a:ext uri="{FF2B5EF4-FFF2-40B4-BE49-F238E27FC236}">
                  <a16:creationId xmlns:a16="http://schemas.microsoft.com/office/drawing/2014/main" id="{6A3A54E6-1305-38DB-9493-3BC379580A5F}"/>
                </a:ext>
              </a:extLst>
            </cdr:cNvPr>
            <cdr:cNvSpPr txBox="1"/>
          </cdr:nvSpPr>
          <cdr:spPr>
            <a:xfrm xmlns:a="http://schemas.openxmlformats.org/drawingml/2006/main">
              <a:off x="3033947" y="-12247"/>
              <a:ext cx="2543402" cy="254067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A1 (50%BSH, 30%ARL, 20% other ME)</a:t>
              </a:r>
            </a:p>
          </cdr:txBody>
        </cdr:sp>
        <cdr:sp macro="" textlink="">
          <cdr:nvSpPr>
            <cdr:cNvPr id="29" name="TextBox 164">
              <a:extLst xmlns:a="http://schemas.openxmlformats.org/drawingml/2006/main">
                <a:ext uri="{FF2B5EF4-FFF2-40B4-BE49-F238E27FC236}">
                  <a16:creationId xmlns:a16="http://schemas.microsoft.com/office/drawing/2014/main" id="{84FDD272-7642-65D0-27BD-EBA5FD582872}"/>
                </a:ext>
              </a:extLst>
            </cdr:cNvPr>
            <cdr:cNvSpPr txBox="1"/>
          </cdr:nvSpPr>
          <cdr:spPr>
            <a:xfrm xmlns:a="http://schemas.openxmlformats.org/drawingml/2006/main">
              <a:off x="4270491" y="430394"/>
              <a:ext cx="615254" cy="237806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0.32</a:t>
              </a:r>
            </a:p>
          </cdr:txBody>
        </cdr:sp>
        <cdr:sp macro="" textlink="">
          <cdr:nvSpPr>
            <cdr:cNvPr id="31" name="TextBox 166">
              <a:extLst xmlns:a="http://schemas.openxmlformats.org/drawingml/2006/main">
                <a:ext uri="{FF2B5EF4-FFF2-40B4-BE49-F238E27FC236}">
                  <a16:creationId xmlns:a16="http://schemas.microsoft.com/office/drawing/2014/main" id="{876B5632-E38D-C2DF-CCD7-3CE8A65910FD}"/>
                </a:ext>
              </a:extLst>
            </cdr:cNvPr>
            <cdr:cNvSpPr txBox="1"/>
          </cdr:nvSpPr>
          <cdr:spPr>
            <a:xfrm xmlns:a="http://schemas.openxmlformats.org/drawingml/2006/main">
              <a:off x="4083333" y="833270"/>
              <a:ext cx="998141" cy="247296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423/423/423</a:t>
              </a:r>
            </a:p>
          </cdr:txBody>
        </cdr:sp>
      </cdr:grpSp>
    </cdr:grpSp>
  </cdr:relSizeAnchor>
</c:userShapes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186231</xdr:colOff>
      <xdr:row>3</xdr:row>
      <xdr:rowOff>29883</xdr:rowOff>
    </xdr:from>
    <xdr:to>
      <xdr:col>20</xdr:col>
      <xdr:colOff>603646</xdr:colOff>
      <xdr:row>49</xdr:row>
      <xdr:rowOff>45722</xdr:rowOff>
    </xdr:to>
    <xdr:graphicFrame macro="">
      <xdr:nvGraphicFramePr>
        <xdr:cNvPr id="66" name="Chart 65">
          <a:extLst>
            <a:ext uri="{FF2B5EF4-FFF2-40B4-BE49-F238E27FC236}">
              <a16:creationId xmlns:a16="http://schemas.microsoft.com/office/drawing/2014/main" id="{4CC0A209-0AE3-4672-AB9E-C5B9D1B54D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540437</xdr:colOff>
      <xdr:row>7</xdr:row>
      <xdr:rowOff>69573</xdr:rowOff>
    </xdr:from>
    <xdr:to>
      <xdr:col>19</xdr:col>
      <xdr:colOff>142875</xdr:colOff>
      <xdr:row>12</xdr:row>
      <xdr:rowOff>37450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9DB505DC-136A-D7EF-5FF6-714F80D42DA8}"/>
            </a:ext>
          </a:extLst>
        </xdr:cNvPr>
        <xdr:cNvGrpSpPr/>
      </xdr:nvGrpSpPr>
      <xdr:grpSpPr>
        <a:xfrm>
          <a:off x="1151625" y="1347511"/>
          <a:ext cx="10603813" cy="880689"/>
          <a:chOff x="0" y="0"/>
          <a:chExt cx="9061883" cy="1114988"/>
        </a:xfrm>
      </xdr:grpSpPr>
      <xdr:grpSp>
        <xdr:nvGrpSpPr>
          <xdr:cNvPr id="33" name="Group 32">
            <a:extLst>
              <a:ext uri="{FF2B5EF4-FFF2-40B4-BE49-F238E27FC236}">
                <a16:creationId xmlns:a16="http://schemas.microsoft.com/office/drawing/2014/main" id="{D4EB11E7-2262-052F-BAD3-5375EE8FF0EC}"/>
              </a:ext>
            </a:extLst>
          </xdr:cNvPr>
          <xdr:cNvGrpSpPr/>
        </xdr:nvGrpSpPr>
        <xdr:grpSpPr>
          <a:xfrm>
            <a:off x="0" y="0"/>
            <a:ext cx="9061883" cy="1114988"/>
            <a:chOff x="0" y="0"/>
            <a:chExt cx="9337797" cy="1127018"/>
          </a:xfrm>
        </xdr:grpSpPr>
        <xdr:sp macro="" textlink="">
          <xdr:nvSpPr>
            <xdr:cNvPr id="64" name="TextBox 141">
              <a:extLst>
                <a:ext uri="{FF2B5EF4-FFF2-40B4-BE49-F238E27FC236}">
                  <a16:creationId xmlns:a16="http://schemas.microsoft.com/office/drawing/2014/main" id="{E3B03D15-6676-FAC4-257A-D96E080C7E5C}"/>
                </a:ext>
              </a:extLst>
            </xdr:cNvPr>
            <xdr:cNvSpPr txBox="1"/>
          </xdr:nvSpPr>
          <xdr:spPr>
            <a:xfrm>
              <a:off x="7353" y="0"/>
              <a:ext cx="824049" cy="19645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VR Feed</a:t>
              </a:r>
            </a:p>
          </xdr:txBody>
        </xdr:sp>
        <xdr:sp macro="" textlink="">
          <xdr:nvSpPr>
            <xdr:cNvPr id="65" name="TextBox 143">
              <a:extLst>
                <a:ext uri="{FF2B5EF4-FFF2-40B4-BE49-F238E27FC236}">
                  <a16:creationId xmlns:a16="http://schemas.microsoft.com/office/drawing/2014/main" id="{3EFD9CF4-FB61-F6E5-C5B0-B28B74FFEF0E}"/>
                </a:ext>
              </a:extLst>
            </xdr:cNvPr>
            <xdr:cNvSpPr txBox="1"/>
          </xdr:nvSpPr>
          <xdr:spPr>
            <a:xfrm>
              <a:off x="0" y="474652"/>
              <a:ext cx="1054340" cy="23328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MEBU LHSV, h-1</a:t>
              </a:r>
            </a:p>
          </xdr:txBody>
        </xdr:sp>
        <xdr:sp macro="" textlink="">
          <xdr:nvSpPr>
            <xdr:cNvPr id="89" name="TextBox 144">
              <a:extLst>
                <a:ext uri="{FF2B5EF4-FFF2-40B4-BE49-F238E27FC236}">
                  <a16:creationId xmlns:a16="http://schemas.microsoft.com/office/drawing/2014/main" id="{4B914535-C2F9-6826-DB0F-17C8D8250BBA}"/>
                </a:ext>
              </a:extLst>
            </xdr:cNvPr>
            <xdr:cNvSpPr txBox="1"/>
          </xdr:nvSpPr>
          <xdr:spPr>
            <a:xfrm>
              <a:off x="0" y="798981"/>
              <a:ext cx="1071445" cy="26075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Temperature</a:t>
              </a:r>
            </a:p>
            <a:p>
              <a:r>
                <a:rPr lang="en-US" sz="1100" b="1"/>
                <a:t>(Rx1/2/3)</a:t>
              </a:r>
            </a:p>
          </xdr:txBody>
        </xdr:sp>
        <xdr:cxnSp macro="">
          <xdr:nvCxnSpPr>
            <xdr:cNvPr id="90" name="Straight Arrow Connector 89">
              <a:extLst>
                <a:ext uri="{FF2B5EF4-FFF2-40B4-BE49-F238E27FC236}">
                  <a16:creationId xmlns:a16="http://schemas.microsoft.com/office/drawing/2014/main" id="{26C71801-A08F-DA7A-E398-723CD2827C02}"/>
                </a:ext>
              </a:extLst>
            </xdr:cNvPr>
            <xdr:cNvCxnSpPr/>
          </xdr:nvCxnSpPr>
          <xdr:spPr>
            <a:xfrm>
              <a:off x="926859" y="657844"/>
              <a:ext cx="1884975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1" name="Straight Arrow Connector 90">
              <a:extLst>
                <a:ext uri="{FF2B5EF4-FFF2-40B4-BE49-F238E27FC236}">
                  <a16:creationId xmlns:a16="http://schemas.microsoft.com/office/drawing/2014/main" id="{CAB0A2F3-FEEA-59E2-8CF6-6CD94597FB8B}"/>
                </a:ext>
              </a:extLst>
            </xdr:cNvPr>
            <xdr:cNvCxnSpPr/>
          </xdr:nvCxnSpPr>
          <xdr:spPr>
            <a:xfrm>
              <a:off x="928511" y="1005639"/>
              <a:ext cx="1884975" cy="0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2" name="TextBox 151">
              <a:extLst>
                <a:ext uri="{FF2B5EF4-FFF2-40B4-BE49-F238E27FC236}">
                  <a16:creationId xmlns:a16="http://schemas.microsoft.com/office/drawing/2014/main" id="{7033DD03-2406-2E25-1497-AB251BB27597}"/>
                </a:ext>
              </a:extLst>
            </xdr:cNvPr>
            <xdr:cNvSpPr txBox="1"/>
          </xdr:nvSpPr>
          <xdr:spPr>
            <a:xfrm>
              <a:off x="1712736" y="527328"/>
              <a:ext cx="615253" cy="238600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0.55</a:t>
              </a:r>
            </a:p>
          </xdr:txBody>
        </xdr:sp>
        <xdr:sp macro="" textlink="">
          <xdr:nvSpPr>
            <xdr:cNvPr id="93" name="TextBox 152">
              <a:extLst>
                <a:ext uri="{FF2B5EF4-FFF2-40B4-BE49-F238E27FC236}">
                  <a16:creationId xmlns:a16="http://schemas.microsoft.com/office/drawing/2014/main" id="{163E7D53-DB68-0A30-CB76-48523E238DAA}"/>
                </a:ext>
              </a:extLst>
            </xdr:cNvPr>
            <xdr:cNvSpPr txBox="1"/>
          </xdr:nvSpPr>
          <xdr:spPr>
            <a:xfrm>
              <a:off x="1522700" y="879723"/>
              <a:ext cx="993760" cy="24729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399/405/407</a:t>
              </a:r>
            </a:p>
          </xdr:txBody>
        </xdr:sp>
        <xdr:cxnSp macro="">
          <xdr:nvCxnSpPr>
            <xdr:cNvPr id="94" name="Straight Arrow Connector 93">
              <a:extLst>
                <a:ext uri="{FF2B5EF4-FFF2-40B4-BE49-F238E27FC236}">
                  <a16:creationId xmlns:a16="http://schemas.microsoft.com/office/drawing/2014/main" id="{1CCF4201-2E6F-6509-65C7-A59ED8FCA0BA}"/>
                </a:ext>
              </a:extLst>
            </xdr:cNvPr>
            <xdr:cNvCxnSpPr/>
          </xdr:nvCxnSpPr>
          <xdr:spPr>
            <a:xfrm flipV="1">
              <a:off x="950734" y="175064"/>
              <a:ext cx="8373084" cy="2415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5" name="Straight Arrow Connector 94">
              <a:extLst>
                <a:ext uri="{FF2B5EF4-FFF2-40B4-BE49-F238E27FC236}">
                  <a16:creationId xmlns:a16="http://schemas.microsoft.com/office/drawing/2014/main" id="{A80C492E-05BE-1152-3570-22E0CF9BC60B}"/>
                </a:ext>
              </a:extLst>
            </xdr:cNvPr>
            <xdr:cNvCxnSpPr/>
          </xdr:nvCxnSpPr>
          <xdr:spPr>
            <a:xfrm flipV="1">
              <a:off x="2949125" y="662630"/>
              <a:ext cx="6388672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6" name="Straight Arrow Connector 95">
              <a:extLst>
                <a:ext uri="{FF2B5EF4-FFF2-40B4-BE49-F238E27FC236}">
                  <a16:creationId xmlns:a16="http://schemas.microsoft.com/office/drawing/2014/main" id="{D382AEA0-42F3-F53C-C8BE-C24582B2723F}"/>
                </a:ext>
              </a:extLst>
            </xdr:cNvPr>
            <xdr:cNvCxnSpPr/>
          </xdr:nvCxnSpPr>
          <xdr:spPr>
            <a:xfrm flipV="1">
              <a:off x="2935397" y="987674"/>
              <a:ext cx="6402400" cy="0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7" name="TextBox 160">
              <a:extLst>
                <a:ext uri="{FF2B5EF4-FFF2-40B4-BE49-F238E27FC236}">
                  <a16:creationId xmlns:a16="http://schemas.microsoft.com/office/drawing/2014/main" id="{529CECB9-E1A1-3A82-6E05-41CE5059678A}"/>
                </a:ext>
              </a:extLst>
            </xdr:cNvPr>
            <xdr:cNvSpPr txBox="1"/>
          </xdr:nvSpPr>
          <xdr:spPr>
            <a:xfrm>
              <a:off x="3142084" y="29504"/>
              <a:ext cx="2543402" cy="25406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A1 (50%BSH, 30%ARL, 20% other ME)</a:t>
              </a:r>
            </a:p>
          </xdr:txBody>
        </xdr:sp>
        <xdr:sp macro="" textlink="">
          <xdr:nvSpPr>
            <xdr:cNvPr id="98" name="TextBox 164">
              <a:extLst>
                <a:ext uri="{FF2B5EF4-FFF2-40B4-BE49-F238E27FC236}">
                  <a16:creationId xmlns:a16="http://schemas.microsoft.com/office/drawing/2014/main" id="{A1498316-9381-BF0F-FFFD-5FD90F6B2A52}"/>
                </a:ext>
              </a:extLst>
            </xdr:cNvPr>
            <xdr:cNvSpPr txBox="1"/>
          </xdr:nvSpPr>
          <xdr:spPr>
            <a:xfrm>
              <a:off x="4378628" y="472145"/>
              <a:ext cx="615254" cy="23780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0.32</a:t>
              </a:r>
            </a:p>
          </xdr:txBody>
        </xdr:sp>
        <xdr:sp macro="" textlink="">
          <xdr:nvSpPr>
            <xdr:cNvPr id="99" name="TextBox 166">
              <a:extLst>
                <a:ext uri="{FF2B5EF4-FFF2-40B4-BE49-F238E27FC236}">
                  <a16:creationId xmlns:a16="http://schemas.microsoft.com/office/drawing/2014/main" id="{84FA32E3-34D4-6AC7-9BBA-54344882E033}"/>
                </a:ext>
              </a:extLst>
            </xdr:cNvPr>
            <xdr:cNvSpPr txBox="1"/>
          </xdr:nvSpPr>
          <xdr:spPr>
            <a:xfrm>
              <a:off x="4191470" y="875021"/>
              <a:ext cx="998141" cy="24729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423/423/423</a:t>
              </a:r>
            </a:p>
          </xdr:txBody>
        </xdr:sp>
      </xdr:grpSp>
    </xdr:grpSp>
    <xdr:clientData/>
  </xdr:twoCellAnchor>
</xdr:wsDr>
</file>

<file path=xl/drawings/drawing33.xml><?xml version="1.0" encoding="utf-8"?>
<c:userShapes xmlns:c="http://schemas.openxmlformats.org/drawingml/2006/chart">
  <cdr:relSizeAnchor xmlns:cdr="http://schemas.openxmlformats.org/drawingml/2006/chartDrawing">
    <cdr:from>
      <cdr:x>0</cdr:x>
      <cdr:y>0.00112</cdr:y>
    </cdr:from>
    <cdr:to>
      <cdr:x>1</cdr:x>
      <cdr:y>0.04827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91B2A98C-87B5-DAC0-77C1-172A7D1CB4FB}"/>
            </a:ext>
          </a:extLst>
        </cdr:cNvPr>
        <cdr:cNvSpPr txBox="1"/>
      </cdr:nvSpPr>
      <cdr:spPr>
        <a:xfrm xmlns:a="http://schemas.openxmlformats.org/drawingml/2006/main">
          <a:off x="0" y="9803"/>
          <a:ext cx="12783435" cy="411039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000" b="1">
              <a:effectLst/>
            </a:rPr>
            <a:t>Hydrodemetalizaiton(HDM,</a:t>
          </a:r>
          <a:r>
            <a:rPr lang="en-US" sz="2000" b="1" baseline="0">
              <a:effectLst/>
            </a:rPr>
            <a:t> Ni+V): </a:t>
          </a:r>
          <a:r>
            <a:rPr lang="en-US" sz="2000" b="1" baseline="0">
              <a:effectLst/>
              <a:latin typeface="+mn-lt"/>
              <a:ea typeface="+mn-ea"/>
              <a:cs typeface="+mn-cs"/>
            </a:rPr>
            <a:t>Repeat Acceptance Test</a:t>
          </a:r>
          <a:endParaRPr lang="en-US" sz="2000" b="1">
            <a:effectLst/>
          </a:endParaRPr>
        </a:p>
      </cdr:txBody>
    </cdr:sp>
  </cdr:relSizeAnchor>
</c:userShapes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60680</xdr:colOff>
      <xdr:row>1</xdr:row>
      <xdr:rowOff>43850</xdr:rowOff>
    </xdr:from>
    <xdr:to>
      <xdr:col>20</xdr:col>
      <xdr:colOff>505868</xdr:colOff>
      <xdr:row>47</xdr:row>
      <xdr:rowOff>121973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A42356-F1CB-479B-8766-ADE9D16AA1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31</xdr:col>
      <xdr:colOff>538238</xdr:colOff>
      <xdr:row>6</xdr:row>
      <xdr:rowOff>51404</xdr:rowOff>
    </xdr:from>
    <xdr:to>
      <xdr:col>48</xdr:col>
      <xdr:colOff>193786</xdr:colOff>
      <xdr:row>42</xdr:row>
      <xdr:rowOff>78618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935215-E969-4A54-A8EA-1744F371A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754548" y="1139975"/>
          <a:ext cx="10193524" cy="6558643"/>
        </a:xfrm>
        <a:prstGeom prst="rect">
          <a:avLst/>
        </a:prstGeom>
      </xdr:spPr>
    </xdr:pic>
    <xdr:clientData/>
  </xdr:twoCellAnchor>
  <xdr:twoCellAnchor>
    <xdr:from>
      <xdr:col>32</xdr:col>
      <xdr:colOff>136070</xdr:colOff>
      <xdr:row>4</xdr:row>
      <xdr:rowOff>114905</xdr:rowOff>
    </xdr:from>
    <xdr:to>
      <xdr:col>33</xdr:col>
      <xdr:colOff>253999</xdr:colOff>
      <xdr:row>7</xdr:row>
      <xdr:rowOff>6048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EF41DA6-FF19-42B4-A3BF-A8143D97FEF9}"/>
            </a:ext>
          </a:extLst>
        </xdr:cNvPr>
        <xdr:cNvSpPr txBox="1"/>
      </xdr:nvSpPr>
      <xdr:spPr>
        <a:xfrm>
          <a:off x="19972260" y="840619"/>
          <a:ext cx="737810" cy="4354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 kern="1200"/>
            <a:t>Easy</a:t>
          </a:r>
        </a:p>
      </xdr:txBody>
    </xdr:sp>
    <xdr:clientData/>
  </xdr:twoCellAnchor>
  <xdr:twoCellAnchor>
    <xdr:from>
      <xdr:col>32</xdr:col>
      <xdr:colOff>90713</xdr:colOff>
      <xdr:row>38</xdr:row>
      <xdr:rowOff>21165</xdr:rowOff>
    </xdr:from>
    <xdr:to>
      <xdr:col>33</xdr:col>
      <xdr:colOff>208642</xdr:colOff>
      <xdr:row>40</xdr:row>
      <xdr:rowOff>93737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744B26C-778E-4D93-A5BB-51F14156B96E}"/>
            </a:ext>
          </a:extLst>
        </xdr:cNvPr>
        <xdr:cNvSpPr txBox="1"/>
      </xdr:nvSpPr>
      <xdr:spPr>
        <a:xfrm>
          <a:off x="19926903" y="6915451"/>
          <a:ext cx="737810" cy="4354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 kern="1200"/>
            <a:t>Hard</a:t>
          </a:r>
        </a:p>
      </xdr:txBody>
    </xdr:sp>
    <xdr:clientData/>
  </xdr:twoCellAnchor>
  <xdr:twoCellAnchor editAs="oneCell">
    <xdr:from>
      <xdr:col>49</xdr:col>
      <xdr:colOff>393096</xdr:colOff>
      <xdr:row>6</xdr:row>
      <xdr:rowOff>166309</xdr:rowOff>
    </xdr:from>
    <xdr:to>
      <xdr:col>61</xdr:col>
      <xdr:colOff>94525</xdr:colOff>
      <xdr:row>43</xdr:row>
      <xdr:rowOff>39308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515590-BF95-49E3-B58C-15AE547D2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767263" y="1254880"/>
          <a:ext cx="7136190" cy="6585857"/>
        </a:xfrm>
        <a:prstGeom prst="rect">
          <a:avLst/>
        </a:prstGeom>
      </xdr:spPr>
    </xdr:pic>
    <xdr:clientData/>
  </xdr:twoCellAnchor>
  <xdr:twoCellAnchor editAs="oneCell">
    <xdr:from>
      <xdr:col>59</xdr:col>
      <xdr:colOff>511023</xdr:colOff>
      <xdr:row>6</xdr:row>
      <xdr:rowOff>175380</xdr:rowOff>
    </xdr:from>
    <xdr:to>
      <xdr:col>64</xdr:col>
      <xdr:colOff>39310</xdr:colOff>
      <xdr:row>20</xdr:row>
      <xdr:rowOff>92181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33D945B-17AF-45E6-827A-0D9394719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083999" y="1263951"/>
          <a:ext cx="2627692" cy="2449181"/>
        </a:xfrm>
        <a:prstGeom prst="rect">
          <a:avLst/>
        </a:prstGeom>
      </xdr:spPr>
    </xdr:pic>
    <xdr:clientData/>
  </xdr:twoCellAnchor>
  <xdr:twoCellAnchor>
    <xdr:from>
      <xdr:col>1</xdr:col>
      <xdr:colOff>-1</xdr:colOff>
      <xdr:row>62</xdr:row>
      <xdr:rowOff>0</xdr:rowOff>
    </xdr:from>
    <xdr:to>
      <xdr:col>24</xdr:col>
      <xdr:colOff>244372</xdr:colOff>
      <xdr:row>108</xdr:row>
      <xdr:rowOff>78123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2DFD5DA-5993-C9C9-A22E-5B088646DD07}"/>
            </a:ext>
          </a:extLst>
        </xdr:cNvPr>
        <xdr:cNvGrpSpPr/>
      </xdr:nvGrpSpPr>
      <xdr:grpSpPr>
        <a:xfrm>
          <a:off x="611187" y="11318875"/>
          <a:ext cx="14301685" cy="8475998"/>
          <a:chOff x="620888" y="11373556"/>
          <a:chExt cx="14524817" cy="8516567"/>
        </a:xfrm>
      </xdr:grpSpPr>
      <xdr:graphicFrame macro="">
        <xdr:nvGraphicFramePr>
          <xdr:cNvPr id="39" name="Chart 38">
            <a:extLst>
              <a:ext uri="{FF2B5EF4-FFF2-40B4-BE49-F238E27FC236}">
                <a16:creationId xmlns:a16="http://schemas.microsoft.com/office/drawing/2014/main" id="{802B1AD8-8971-4D5F-BB12-A8EE29382C9D}"/>
              </a:ext>
            </a:extLst>
          </xdr:cNvPr>
          <xdr:cNvGraphicFramePr>
            <a:graphicFrameLocks/>
          </xdr:cNvGraphicFramePr>
        </xdr:nvGraphicFramePr>
        <xdr:xfrm>
          <a:off x="620888" y="11373556"/>
          <a:ext cx="14524817" cy="851656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58D31C9F-D8B1-41F0-9EFE-74D22AA033C0}"/>
              </a:ext>
            </a:extLst>
          </xdr:cNvPr>
          <xdr:cNvGrpSpPr/>
        </xdr:nvGrpSpPr>
        <xdr:grpSpPr>
          <a:xfrm>
            <a:off x="682735" y="11835749"/>
            <a:ext cx="12257154" cy="1245831"/>
            <a:chOff x="0" y="-12120"/>
            <a:chExt cx="6624199" cy="1019925"/>
          </a:xfrm>
        </xdr:grpSpPr>
        <xdr:cxnSp macro="">
          <xdr:nvCxnSpPr>
            <xdr:cNvPr id="41" name="Straight Arrow Connector 40">
              <a:extLst>
                <a:ext uri="{FF2B5EF4-FFF2-40B4-BE49-F238E27FC236}">
                  <a16:creationId xmlns:a16="http://schemas.microsoft.com/office/drawing/2014/main" id="{62483F41-DB84-2031-79EB-C996BAC0411D}"/>
                </a:ext>
              </a:extLst>
            </xdr:cNvPr>
            <xdr:cNvCxnSpPr/>
          </xdr:nvCxnSpPr>
          <xdr:spPr>
            <a:xfrm>
              <a:off x="4829070" y="161283"/>
              <a:ext cx="1795129" cy="2785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42" name="Group 41">
              <a:extLst>
                <a:ext uri="{FF2B5EF4-FFF2-40B4-BE49-F238E27FC236}">
                  <a16:creationId xmlns:a16="http://schemas.microsoft.com/office/drawing/2014/main" id="{8FBE5A40-F683-FA46-1AAC-7026F25B7A5B}"/>
                </a:ext>
              </a:extLst>
            </xdr:cNvPr>
            <xdr:cNvGrpSpPr/>
          </xdr:nvGrpSpPr>
          <xdr:grpSpPr>
            <a:xfrm>
              <a:off x="0" y="-12120"/>
              <a:ext cx="6624197" cy="1019925"/>
              <a:chOff x="0" y="-14161"/>
              <a:chExt cx="8574500" cy="1191664"/>
            </a:xfrm>
          </xdr:grpSpPr>
          <xdr:sp macro="" textlink="">
            <xdr:nvSpPr>
              <xdr:cNvPr id="43" name="TextBox 141">
                <a:extLst>
                  <a:ext uri="{FF2B5EF4-FFF2-40B4-BE49-F238E27FC236}">
                    <a16:creationId xmlns:a16="http://schemas.microsoft.com/office/drawing/2014/main" id="{6F621249-4F8E-6B73-2BA1-7F9890B994EC}"/>
                  </a:ext>
                </a:extLst>
              </xdr:cNvPr>
              <xdr:cNvSpPr txBox="1"/>
            </xdr:nvSpPr>
            <xdr:spPr>
              <a:xfrm>
                <a:off x="12088" y="28221"/>
                <a:ext cx="883021" cy="20071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sz="1100" b="1"/>
                  <a:t>SR Feed</a:t>
                </a:r>
              </a:p>
            </xdr:txBody>
          </xdr:sp>
          <xdr:sp macro="" textlink="">
            <xdr:nvSpPr>
              <xdr:cNvPr id="44" name="TextBox 142">
                <a:extLst>
                  <a:ext uri="{FF2B5EF4-FFF2-40B4-BE49-F238E27FC236}">
                    <a16:creationId xmlns:a16="http://schemas.microsoft.com/office/drawing/2014/main" id="{CC2D7D7C-B831-BBFC-D05B-FFF8CD1AC7CD}"/>
                  </a:ext>
                </a:extLst>
              </xdr:cNvPr>
              <xdr:cNvSpPr txBox="1"/>
            </xdr:nvSpPr>
            <xdr:spPr>
              <a:xfrm>
                <a:off x="0" y="275562"/>
                <a:ext cx="883021" cy="20071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sz="1100" b="1"/>
                  <a:t>SR Split</a:t>
                </a:r>
              </a:p>
            </xdr:txBody>
          </xdr:sp>
          <xdr:sp macro="" textlink="">
            <xdr:nvSpPr>
              <xdr:cNvPr id="45" name="TextBox 143">
                <a:extLst>
                  <a:ext uri="{FF2B5EF4-FFF2-40B4-BE49-F238E27FC236}">
                    <a16:creationId xmlns:a16="http://schemas.microsoft.com/office/drawing/2014/main" id="{A845F995-C4A3-6BEC-27DD-6E749E42F684}"/>
                  </a:ext>
                </a:extLst>
              </xdr:cNvPr>
              <xdr:cNvSpPr txBox="1"/>
            </xdr:nvSpPr>
            <xdr:spPr>
              <a:xfrm>
                <a:off x="7271" y="538185"/>
                <a:ext cx="1148121" cy="26641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sz="1100" b="1"/>
                  <a:t>LCF LHSV</a:t>
                </a:r>
              </a:p>
            </xdr:txBody>
          </xdr:sp>
          <xdr:sp macro="" textlink="">
            <xdr:nvSpPr>
              <xdr:cNvPr id="46" name="TextBox 144">
                <a:extLst>
                  <a:ext uri="{FF2B5EF4-FFF2-40B4-BE49-F238E27FC236}">
                    <a16:creationId xmlns:a16="http://schemas.microsoft.com/office/drawing/2014/main" id="{9F8F2F41-7126-A8EE-A33F-70E718F0DF8C}"/>
                  </a:ext>
                </a:extLst>
              </xdr:cNvPr>
              <xdr:cNvSpPr txBox="1"/>
            </xdr:nvSpPr>
            <xdr:spPr>
              <a:xfrm>
                <a:off x="559" y="867035"/>
                <a:ext cx="1148121" cy="26641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sz="1100" b="1"/>
                  <a:t>Temperature</a:t>
                </a:r>
                <a:br>
                  <a:rPr lang="en-US" sz="1100" b="1"/>
                </a:br>
                <a:r>
                  <a:rPr lang="en-US" sz="1100" b="1"/>
                  <a:t>(Rx1/2/3)</a:t>
                </a:r>
              </a:p>
            </xdr:txBody>
          </xdr:sp>
          <xdr:cxnSp macro="">
            <xdr:nvCxnSpPr>
              <xdr:cNvPr id="47" name="Straight Arrow Connector 46">
                <a:extLst>
                  <a:ext uri="{FF2B5EF4-FFF2-40B4-BE49-F238E27FC236}">
                    <a16:creationId xmlns:a16="http://schemas.microsoft.com/office/drawing/2014/main" id="{40FA49F4-F3FD-2DCA-B85A-9E87A86130B7}"/>
                  </a:ext>
                </a:extLst>
              </xdr:cNvPr>
              <xdr:cNvCxnSpPr/>
            </xdr:nvCxnSpPr>
            <xdr:spPr>
              <a:xfrm>
                <a:off x="1074638" y="163478"/>
                <a:ext cx="2019871" cy="0"/>
              </a:xfrm>
              <a:prstGeom prst="straightConnector1">
                <a:avLst/>
              </a:prstGeom>
              <a:ln>
                <a:solidFill>
                  <a:schemeClr val="tx1"/>
                </a:solidFill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48" name="Straight Arrow Connector 47">
                <a:extLst>
                  <a:ext uri="{FF2B5EF4-FFF2-40B4-BE49-F238E27FC236}">
                    <a16:creationId xmlns:a16="http://schemas.microsoft.com/office/drawing/2014/main" id="{A227840C-EE42-E449-649C-526D43A43CD8}"/>
                  </a:ext>
                </a:extLst>
              </xdr:cNvPr>
              <xdr:cNvCxnSpPr/>
            </xdr:nvCxnSpPr>
            <xdr:spPr>
              <a:xfrm>
                <a:off x="1067923" y="383561"/>
                <a:ext cx="2019871" cy="0"/>
              </a:xfrm>
              <a:prstGeom prst="straightConnector1">
                <a:avLst/>
              </a:prstGeom>
              <a:ln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49" name="Straight Arrow Connector 48">
                <a:extLst>
                  <a:ext uri="{FF2B5EF4-FFF2-40B4-BE49-F238E27FC236}">
                    <a16:creationId xmlns:a16="http://schemas.microsoft.com/office/drawing/2014/main" id="{192C8605-1719-7BF2-9532-684B308018AE}"/>
                  </a:ext>
                </a:extLst>
              </xdr:cNvPr>
              <xdr:cNvCxnSpPr/>
            </xdr:nvCxnSpPr>
            <xdr:spPr>
              <a:xfrm>
                <a:off x="1078306" y="672170"/>
                <a:ext cx="2019871" cy="0"/>
              </a:xfrm>
              <a:prstGeom prst="straightConnector1">
                <a:avLst/>
              </a:prstGeom>
              <a:ln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50" name="Straight Arrow Connector 49">
                <a:extLst>
                  <a:ext uri="{FF2B5EF4-FFF2-40B4-BE49-F238E27FC236}">
                    <a16:creationId xmlns:a16="http://schemas.microsoft.com/office/drawing/2014/main" id="{0378B7AF-81D0-20CB-4471-8FEC2DB98704}"/>
                  </a:ext>
                </a:extLst>
              </xdr:cNvPr>
              <xdr:cNvCxnSpPr/>
            </xdr:nvCxnSpPr>
            <xdr:spPr>
              <a:xfrm>
                <a:off x="1082466" y="1027510"/>
                <a:ext cx="2019871" cy="0"/>
              </a:xfrm>
              <a:prstGeom prst="straightConnector1">
                <a:avLst/>
              </a:prstGeom>
              <a:ln>
                <a:solidFill>
                  <a:srgbClr val="FF0000"/>
                </a:solidFill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51" name="TextBox 149">
                <a:extLst>
                  <a:ext uri="{FF2B5EF4-FFF2-40B4-BE49-F238E27FC236}">
                    <a16:creationId xmlns:a16="http://schemas.microsoft.com/office/drawing/2014/main" id="{37B7535B-4938-6818-8461-75B4B9D2A049}"/>
                  </a:ext>
                </a:extLst>
              </xdr:cNvPr>
              <xdr:cNvSpPr txBox="1"/>
            </xdr:nvSpPr>
            <xdr:spPr>
              <a:xfrm>
                <a:off x="1740258" y="-14161"/>
                <a:ext cx="656298" cy="235567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ME SR</a:t>
                </a:r>
              </a:p>
            </xdr:txBody>
          </xdr:sp>
          <xdr:sp macro="" textlink="">
            <xdr:nvSpPr>
              <xdr:cNvPr id="52" name="TextBox 150">
                <a:extLst>
                  <a:ext uri="{FF2B5EF4-FFF2-40B4-BE49-F238E27FC236}">
                    <a16:creationId xmlns:a16="http://schemas.microsoft.com/office/drawing/2014/main" id="{A3E97DFA-870C-4002-CCD0-DD840ADDB423}"/>
                  </a:ext>
                </a:extLst>
              </xdr:cNvPr>
              <xdr:cNvSpPr txBox="1"/>
            </xdr:nvSpPr>
            <xdr:spPr>
              <a:xfrm>
                <a:off x="1755308" y="275563"/>
                <a:ext cx="657417" cy="225005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70/30</a:t>
                </a:r>
              </a:p>
            </xdr:txBody>
          </xdr:sp>
          <xdr:sp macro="" textlink="">
            <xdr:nvSpPr>
              <xdr:cNvPr id="53" name="TextBox 151">
                <a:extLst>
                  <a:ext uri="{FF2B5EF4-FFF2-40B4-BE49-F238E27FC236}">
                    <a16:creationId xmlns:a16="http://schemas.microsoft.com/office/drawing/2014/main" id="{557DC9EC-9C33-6214-7E3C-5005F1AEB585}"/>
                  </a:ext>
                </a:extLst>
              </xdr:cNvPr>
              <xdr:cNvSpPr txBox="1"/>
            </xdr:nvSpPr>
            <xdr:spPr>
              <a:xfrm>
                <a:off x="1752865" y="550316"/>
                <a:ext cx="659283" cy="243776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0.378</a:t>
                </a:r>
              </a:p>
            </xdr:txBody>
          </xdr:sp>
          <xdr:sp macro="" textlink="">
            <xdr:nvSpPr>
              <xdr:cNvPr id="54" name="TextBox 152">
                <a:extLst>
                  <a:ext uri="{FF2B5EF4-FFF2-40B4-BE49-F238E27FC236}">
                    <a16:creationId xmlns:a16="http://schemas.microsoft.com/office/drawing/2014/main" id="{CA41197F-3E63-9E12-D3A0-A74619F30CA2}"/>
                  </a:ext>
                </a:extLst>
              </xdr:cNvPr>
              <xdr:cNvSpPr txBox="1"/>
            </xdr:nvSpPr>
            <xdr:spPr>
              <a:xfrm>
                <a:off x="1627946" y="871026"/>
                <a:ext cx="1064877" cy="252661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399/405/407</a:t>
                </a:r>
              </a:p>
            </xdr:txBody>
          </xdr:sp>
          <xdr:cxnSp macro="">
            <xdr:nvCxnSpPr>
              <xdr:cNvPr id="55" name="Straight Arrow Connector 54">
                <a:extLst>
                  <a:ext uri="{FF2B5EF4-FFF2-40B4-BE49-F238E27FC236}">
                    <a16:creationId xmlns:a16="http://schemas.microsoft.com/office/drawing/2014/main" id="{68B83D51-122B-3117-4F07-79CFEE69C1D8}"/>
                  </a:ext>
                </a:extLst>
              </xdr:cNvPr>
              <xdr:cNvCxnSpPr/>
            </xdr:nvCxnSpPr>
            <xdr:spPr>
              <a:xfrm>
                <a:off x="3374196" y="179495"/>
                <a:ext cx="2700277" cy="0"/>
              </a:xfrm>
              <a:prstGeom prst="straightConnector1">
                <a:avLst/>
              </a:prstGeom>
              <a:ln>
                <a:solidFill>
                  <a:schemeClr val="tx1"/>
                </a:solidFill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56" name="Straight Arrow Connector 55">
                <a:extLst>
                  <a:ext uri="{FF2B5EF4-FFF2-40B4-BE49-F238E27FC236}">
                    <a16:creationId xmlns:a16="http://schemas.microsoft.com/office/drawing/2014/main" id="{291921C7-96E5-01EB-FE84-A955D7EC0466}"/>
                  </a:ext>
                </a:extLst>
              </xdr:cNvPr>
              <xdr:cNvCxnSpPr/>
            </xdr:nvCxnSpPr>
            <xdr:spPr>
              <a:xfrm>
                <a:off x="3366331" y="353787"/>
                <a:ext cx="2707244" cy="0"/>
              </a:xfrm>
              <a:prstGeom prst="straightConnector1">
                <a:avLst/>
              </a:prstGeom>
              <a:ln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57" name="Straight Arrow Connector 56">
                <a:extLst>
                  <a:ext uri="{FF2B5EF4-FFF2-40B4-BE49-F238E27FC236}">
                    <a16:creationId xmlns:a16="http://schemas.microsoft.com/office/drawing/2014/main" id="{1690AF48-8489-1097-3CEA-AE9D8610A1E3}"/>
                  </a:ext>
                </a:extLst>
              </xdr:cNvPr>
              <xdr:cNvCxnSpPr/>
            </xdr:nvCxnSpPr>
            <xdr:spPr>
              <a:xfrm flipV="1">
                <a:off x="6239077" y="388108"/>
                <a:ext cx="2326927" cy="7439"/>
              </a:xfrm>
              <a:prstGeom prst="straightConnector1">
                <a:avLst/>
              </a:prstGeom>
              <a:ln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58" name="Straight Arrow Connector 57">
                <a:extLst>
                  <a:ext uri="{FF2B5EF4-FFF2-40B4-BE49-F238E27FC236}">
                    <a16:creationId xmlns:a16="http://schemas.microsoft.com/office/drawing/2014/main" id="{74276240-838E-1789-54BE-D64D786433E2}"/>
                  </a:ext>
                </a:extLst>
              </xdr:cNvPr>
              <xdr:cNvCxnSpPr/>
            </xdr:nvCxnSpPr>
            <xdr:spPr>
              <a:xfrm>
                <a:off x="3350601" y="644272"/>
                <a:ext cx="2730077" cy="0"/>
              </a:xfrm>
              <a:prstGeom prst="straightConnector1">
                <a:avLst/>
              </a:prstGeom>
              <a:ln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59" name="Straight Arrow Connector 58">
                <a:extLst>
                  <a:ext uri="{FF2B5EF4-FFF2-40B4-BE49-F238E27FC236}">
                    <a16:creationId xmlns:a16="http://schemas.microsoft.com/office/drawing/2014/main" id="{46513225-6E3D-2C98-B0A9-BAB7AD75264C}"/>
                  </a:ext>
                </a:extLst>
              </xdr:cNvPr>
              <xdr:cNvCxnSpPr/>
            </xdr:nvCxnSpPr>
            <xdr:spPr>
              <a:xfrm>
                <a:off x="6241560" y="677556"/>
                <a:ext cx="2332938" cy="495"/>
              </a:xfrm>
              <a:prstGeom prst="straightConnector1">
                <a:avLst/>
              </a:prstGeom>
              <a:ln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60" name="Straight Arrow Connector 59">
                <a:extLst>
                  <a:ext uri="{FF2B5EF4-FFF2-40B4-BE49-F238E27FC236}">
                    <a16:creationId xmlns:a16="http://schemas.microsoft.com/office/drawing/2014/main" id="{F7B23087-373C-7000-04E2-5A2B1C051E3C}"/>
                  </a:ext>
                </a:extLst>
              </xdr:cNvPr>
              <xdr:cNvCxnSpPr/>
            </xdr:nvCxnSpPr>
            <xdr:spPr>
              <a:xfrm>
                <a:off x="3366331" y="1012220"/>
                <a:ext cx="2727007" cy="0"/>
              </a:xfrm>
              <a:prstGeom prst="straightConnector1">
                <a:avLst/>
              </a:prstGeom>
              <a:ln>
                <a:solidFill>
                  <a:srgbClr val="FF0000"/>
                </a:solidFill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61" name="Straight Arrow Connector 60">
                <a:extLst>
                  <a:ext uri="{FF2B5EF4-FFF2-40B4-BE49-F238E27FC236}">
                    <a16:creationId xmlns:a16="http://schemas.microsoft.com/office/drawing/2014/main" id="{D51D492E-6B35-D6F9-3A8B-9DEBCB623561}"/>
                  </a:ext>
                </a:extLst>
              </xdr:cNvPr>
              <xdr:cNvCxnSpPr/>
            </xdr:nvCxnSpPr>
            <xdr:spPr>
              <a:xfrm>
                <a:off x="6259247" y="1047205"/>
                <a:ext cx="2315253" cy="4965"/>
              </a:xfrm>
              <a:prstGeom prst="straightConnector1">
                <a:avLst/>
              </a:prstGeom>
              <a:ln>
                <a:solidFill>
                  <a:srgbClr val="FF0000"/>
                </a:solidFill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62" name="TextBox 160">
                <a:extLst>
                  <a:ext uri="{FF2B5EF4-FFF2-40B4-BE49-F238E27FC236}">
                    <a16:creationId xmlns:a16="http://schemas.microsoft.com/office/drawing/2014/main" id="{72A3103D-CC94-DB0A-881F-28A430AEF87A}"/>
                  </a:ext>
                </a:extLst>
              </xdr:cNvPr>
              <xdr:cNvSpPr txBox="1"/>
            </xdr:nvSpPr>
            <xdr:spPr>
              <a:xfrm>
                <a:off x="3837482" y="10082"/>
                <a:ext cx="1482209" cy="275443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Low Sedimentation</a:t>
                </a:r>
              </a:p>
            </xdr:txBody>
          </xdr:sp>
          <xdr:sp macro="" textlink="">
            <xdr:nvSpPr>
              <xdr:cNvPr id="63" name="TextBox 161">
                <a:extLst>
                  <a:ext uri="{FF2B5EF4-FFF2-40B4-BE49-F238E27FC236}">
                    <a16:creationId xmlns:a16="http://schemas.microsoft.com/office/drawing/2014/main" id="{0C237C96-DB1C-235F-D970-5B4C72EE17C4}"/>
                  </a:ext>
                </a:extLst>
              </xdr:cNvPr>
              <xdr:cNvSpPr txBox="1"/>
            </xdr:nvSpPr>
            <xdr:spPr>
              <a:xfrm>
                <a:off x="6622030" y="30798"/>
                <a:ext cx="1437748" cy="246579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HighSedimentation</a:t>
                </a:r>
              </a:p>
            </xdr:txBody>
          </xdr:sp>
          <xdr:sp macro="" textlink="">
            <xdr:nvSpPr>
              <xdr:cNvPr id="64" name="TextBox 162">
                <a:extLst>
                  <a:ext uri="{FF2B5EF4-FFF2-40B4-BE49-F238E27FC236}">
                    <a16:creationId xmlns:a16="http://schemas.microsoft.com/office/drawing/2014/main" id="{5D2D618F-370C-497E-9544-90D3500BFBE0}"/>
                  </a:ext>
                </a:extLst>
              </xdr:cNvPr>
              <xdr:cNvSpPr txBox="1"/>
            </xdr:nvSpPr>
            <xdr:spPr>
              <a:xfrm>
                <a:off x="4142282" y="297230"/>
                <a:ext cx="659284" cy="247411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100/0</a:t>
                </a:r>
              </a:p>
            </xdr:txBody>
          </xdr:sp>
          <xdr:sp macro="" textlink="">
            <xdr:nvSpPr>
              <xdr:cNvPr id="65" name="TextBox 163">
                <a:extLst>
                  <a:ext uri="{FF2B5EF4-FFF2-40B4-BE49-F238E27FC236}">
                    <a16:creationId xmlns:a16="http://schemas.microsoft.com/office/drawing/2014/main" id="{18122793-95AE-7325-3675-7688E4653F6B}"/>
                  </a:ext>
                </a:extLst>
              </xdr:cNvPr>
              <xdr:cNvSpPr txBox="1"/>
            </xdr:nvSpPr>
            <xdr:spPr>
              <a:xfrm>
                <a:off x="6906809" y="308599"/>
                <a:ext cx="659283" cy="247411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100/0</a:t>
                </a:r>
              </a:p>
            </xdr:txBody>
          </xdr:sp>
          <xdr:sp macro="" textlink="">
            <xdr:nvSpPr>
              <xdr:cNvPr id="66" name="TextBox 164">
                <a:extLst>
                  <a:ext uri="{FF2B5EF4-FFF2-40B4-BE49-F238E27FC236}">
                    <a16:creationId xmlns:a16="http://schemas.microsoft.com/office/drawing/2014/main" id="{76481DCA-F863-735B-135E-037B294963EC}"/>
                  </a:ext>
                </a:extLst>
              </xdr:cNvPr>
              <xdr:cNvSpPr txBox="1"/>
            </xdr:nvSpPr>
            <xdr:spPr>
              <a:xfrm>
                <a:off x="4127991" y="565519"/>
                <a:ext cx="659284" cy="242964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0.21</a:t>
                </a:r>
              </a:p>
            </xdr:txBody>
          </xdr:sp>
          <xdr:sp macro="" textlink="">
            <xdr:nvSpPr>
              <xdr:cNvPr id="67" name="TextBox 165">
                <a:extLst>
                  <a:ext uri="{FF2B5EF4-FFF2-40B4-BE49-F238E27FC236}">
                    <a16:creationId xmlns:a16="http://schemas.microsoft.com/office/drawing/2014/main" id="{DBB84897-03EB-3451-CF06-D604D29B9402}"/>
                  </a:ext>
                </a:extLst>
              </xdr:cNvPr>
              <xdr:cNvSpPr txBox="1"/>
            </xdr:nvSpPr>
            <xdr:spPr>
              <a:xfrm>
                <a:off x="6908649" y="580167"/>
                <a:ext cx="659283" cy="242964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0.21</a:t>
                </a:r>
              </a:p>
            </xdr:txBody>
          </xdr:sp>
          <xdr:sp macro="" textlink="">
            <xdr:nvSpPr>
              <xdr:cNvPr id="68" name="TextBox 166">
                <a:extLst>
                  <a:ext uri="{FF2B5EF4-FFF2-40B4-BE49-F238E27FC236}">
                    <a16:creationId xmlns:a16="http://schemas.microsoft.com/office/drawing/2014/main" id="{4557FAD8-5D1F-DDCE-7AEB-2751943426B6}"/>
                  </a:ext>
                </a:extLst>
              </xdr:cNvPr>
              <xdr:cNvSpPr txBox="1"/>
            </xdr:nvSpPr>
            <xdr:spPr>
              <a:xfrm>
                <a:off x="3983366" y="924842"/>
                <a:ext cx="1069571" cy="252661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415/419/419</a:t>
                </a:r>
              </a:p>
            </xdr:txBody>
          </xdr:sp>
          <xdr:sp macro="" textlink="">
            <xdr:nvSpPr>
              <xdr:cNvPr id="69" name="TextBox 167">
                <a:extLst>
                  <a:ext uri="{FF2B5EF4-FFF2-40B4-BE49-F238E27FC236}">
                    <a16:creationId xmlns:a16="http://schemas.microsoft.com/office/drawing/2014/main" id="{0D788325-4F4E-1029-82A9-8A34DD4F61F0}"/>
                  </a:ext>
                </a:extLst>
              </xdr:cNvPr>
              <xdr:cNvSpPr txBox="1"/>
            </xdr:nvSpPr>
            <xdr:spPr>
              <a:xfrm>
                <a:off x="6722571" y="901514"/>
                <a:ext cx="1169906" cy="265545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420/421/423</a:t>
                </a:r>
              </a:p>
            </xdr:txBody>
          </xdr:sp>
        </xdr:grpSp>
      </xdr:grpSp>
    </xdr:grpSp>
    <xdr:clientData/>
  </xdr:twoCellAnchor>
</xdr:wsDr>
</file>

<file path=xl/drawings/drawing35.xml><?xml version="1.0" encoding="utf-8"?>
<c:userShapes xmlns:c="http://schemas.openxmlformats.org/drawingml/2006/chart">
  <cdr:relSizeAnchor xmlns:cdr="http://schemas.openxmlformats.org/drawingml/2006/chartDrawing">
    <cdr:from>
      <cdr:x>0</cdr:x>
      <cdr:y>0.00112</cdr:y>
    </cdr:from>
    <cdr:to>
      <cdr:x>1</cdr:x>
      <cdr:y>0.04827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91B2A98C-87B5-DAC0-77C1-172A7D1CB4FB}"/>
            </a:ext>
          </a:extLst>
        </cdr:cNvPr>
        <cdr:cNvSpPr txBox="1"/>
      </cdr:nvSpPr>
      <cdr:spPr>
        <a:xfrm xmlns:a="http://schemas.openxmlformats.org/drawingml/2006/main">
          <a:off x="0" y="9803"/>
          <a:ext cx="12783435" cy="411039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000" b="1">
              <a:effectLst/>
            </a:rPr>
            <a:t>Sulfur Conversion: </a:t>
          </a:r>
          <a:r>
            <a:rPr lang="en-US" sz="2000" b="1" baseline="0">
              <a:effectLst/>
              <a:latin typeface="+mn-lt"/>
              <a:ea typeface="+mn-ea"/>
              <a:cs typeface="+mn-cs"/>
            </a:rPr>
            <a:t>Repeat Acceptance Test</a:t>
          </a:r>
          <a:endParaRPr lang="en-US" sz="2000" b="1">
            <a:effectLst/>
          </a:endParaRPr>
        </a:p>
      </cdr:txBody>
    </cdr:sp>
  </cdr:relSizeAnchor>
  <cdr:relSizeAnchor xmlns:cdr="http://schemas.openxmlformats.org/drawingml/2006/chartDrawing">
    <cdr:from>
      <cdr:x>0.04962</cdr:x>
      <cdr:y>0.06125</cdr:y>
    </cdr:from>
    <cdr:to>
      <cdr:x>0.96595</cdr:x>
      <cdr:y>0.20743</cdr:y>
    </cdr:to>
    <cdr:grpSp>
      <cdr:nvGrpSpPr>
        <cdr:cNvPr id="3" name="Group 2">
          <a:extLst xmlns:a="http://schemas.openxmlformats.org/drawingml/2006/main">
            <a:ext uri="{FF2B5EF4-FFF2-40B4-BE49-F238E27FC236}">
              <a16:creationId xmlns:a16="http://schemas.microsoft.com/office/drawing/2014/main" id="{82086175-59EF-40BC-A842-E5A723FDA338}"/>
            </a:ext>
          </a:extLst>
        </cdr:cNvPr>
        <cdr:cNvGrpSpPr/>
      </cdr:nvGrpSpPr>
      <cdr:grpSpPr>
        <a:xfrm xmlns:a="http://schemas.openxmlformats.org/drawingml/2006/main">
          <a:off x="598306" y="519155"/>
          <a:ext cx="11048878" cy="1239021"/>
          <a:chOff x="-190082" y="-80394"/>
          <a:chExt cx="9430064" cy="1568672"/>
        </a:xfrm>
      </cdr:grpSpPr>
      <cdr:grpSp>
        <cdr:nvGrpSpPr>
          <cdr:cNvPr id="4" name="Group 3">
            <a:extLst xmlns:a="http://schemas.openxmlformats.org/drawingml/2006/main">
              <a:ext uri="{FF2B5EF4-FFF2-40B4-BE49-F238E27FC236}">
                <a16:creationId xmlns:a16="http://schemas.microsoft.com/office/drawing/2014/main" id="{47B84FC2-99F9-20B2-2285-0E06455A094D}"/>
              </a:ext>
            </a:extLst>
          </cdr:cNvPr>
          <cdr:cNvGrpSpPr/>
        </cdr:nvGrpSpPr>
        <cdr:grpSpPr>
          <a:xfrm xmlns:a="http://schemas.openxmlformats.org/drawingml/2006/main">
            <a:off x="-190082" y="-80394"/>
            <a:ext cx="9430064" cy="1568672"/>
            <a:chOff x="-229198" y="-64185"/>
            <a:chExt cx="11370624" cy="1252402"/>
          </a:xfrm>
        </cdr:grpSpPr>
        <cdr:sp macro="" textlink="">
          <cdr:nvSpPr>
            <cdr:cNvPr id="5" name="TextBox 141">
              <a:extLst xmlns:a="http://schemas.openxmlformats.org/drawingml/2006/main">
                <a:ext uri="{FF2B5EF4-FFF2-40B4-BE49-F238E27FC236}">
                  <a16:creationId xmlns:a16="http://schemas.microsoft.com/office/drawing/2014/main" id="{15E76BE8-B66D-45FB-4F78-86835DC30DDA}"/>
                </a:ext>
              </a:extLst>
            </cdr:cNvPr>
            <cdr:cNvSpPr txBox="1"/>
          </cdr:nvSpPr>
          <cdr:spPr>
            <a:xfrm xmlns:a="http://schemas.openxmlformats.org/drawingml/2006/main">
              <a:off x="-229198" y="-64185"/>
              <a:ext cx="849140" cy="198574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VR Feed</a:t>
              </a:r>
            </a:p>
          </cdr:txBody>
        </cdr:sp>
        <cdr:sp macro="" textlink="">
          <cdr:nvSpPr>
            <cdr:cNvPr id="6" name="TextBox 143">
              <a:extLst xmlns:a="http://schemas.openxmlformats.org/drawingml/2006/main">
                <a:ext uri="{FF2B5EF4-FFF2-40B4-BE49-F238E27FC236}">
                  <a16:creationId xmlns:a16="http://schemas.microsoft.com/office/drawing/2014/main" id="{928FF51F-42DB-663E-8313-B2D6C3798128}"/>
                </a:ext>
              </a:extLst>
            </cdr:cNvPr>
            <cdr:cNvSpPr txBox="1"/>
          </cdr:nvSpPr>
          <cdr:spPr>
            <a:xfrm xmlns:a="http://schemas.openxmlformats.org/drawingml/2006/main">
              <a:off x="-229017" y="430736"/>
              <a:ext cx="1185615" cy="299976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MEBU LHSV, h-1</a:t>
              </a:r>
            </a:p>
          </cdr:txBody>
        </cdr:sp>
        <cdr:sp macro="" textlink="">
          <cdr:nvSpPr>
            <cdr:cNvPr id="7" name="TextBox 144">
              <a:extLst xmlns:a="http://schemas.openxmlformats.org/drawingml/2006/main">
                <a:ext uri="{FF2B5EF4-FFF2-40B4-BE49-F238E27FC236}">
                  <a16:creationId xmlns:a16="http://schemas.microsoft.com/office/drawing/2014/main" id="{845A1B29-03A5-7A88-D3A5-71DBA05ABB61}"/>
                </a:ext>
              </a:extLst>
            </cdr:cNvPr>
            <cdr:cNvSpPr txBox="1"/>
          </cdr:nvSpPr>
          <cdr:spPr>
            <a:xfrm xmlns:a="http://schemas.openxmlformats.org/drawingml/2006/main">
              <a:off x="-204059" y="840595"/>
              <a:ext cx="1104068" cy="263569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Temperature</a:t>
              </a:r>
            </a:p>
            <a:p xmlns:a="http://schemas.openxmlformats.org/drawingml/2006/main">
              <a:r>
                <a:rPr lang="en-US" sz="1100" b="1"/>
                <a:t>(Rx1/2/3)</a:t>
              </a:r>
            </a:p>
          </cdr:txBody>
        </cdr:sp>
        <cdr:cxnSp macro="">
          <cdr:nvCxnSpPr>
            <cdr:cNvPr id="8" name="Straight Arrow Connector 7">
              <a:extLst xmlns:a="http://schemas.openxmlformats.org/drawingml/2006/main">
                <a:ext uri="{FF2B5EF4-FFF2-40B4-BE49-F238E27FC236}">
                  <a16:creationId xmlns:a16="http://schemas.microsoft.com/office/drawing/2014/main" id="{187EDBB0-DD2F-6BE7-AAAE-B5DBA007FEB5}"/>
                </a:ext>
              </a:extLst>
            </cdr:cNvPr>
            <cdr:cNvCxnSpPr/>
          </cdr:nvCxnSpPr>
          <cdr:spPr>
            <a:xfrm xmlns:a="http://schemas.openxmlformats.org/drawingml/2006/main">
              <a:off x="963680" y="591388"/>
              <a:ext cx="1942369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9" name="Straight Arrow Connector 8">
              <a:extLst xmlns:a="http://schemas.openxmlformats.org/drawingml/2006/main">
                <a:ext uri="{FF2B5EF4-FFF2-40B4-BE49-F238E27FC236}">
                  <a16:creationId xmlns:a16="http://schemas.microsoft.com/office/drawing/2014/main" id="{9A61F089-FB58-D18B-1C78-98EA205D27B2}"/>
                </a:ext>
              </a:extLst>
            </cdr:cNvPr>
            <cdr:cNvCxnSpPr/>
          </cdr:nvCxnSpPr>
          <cdr:spPr>
            <a:xfrm xmlns:a="http://schemas.openxmlformats.org/drawingml/2006/main">
              <a:off x="965383" y="1065529"/>
              <a:ext cx="1942369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10" name="TextBox 151">
              <a:extLst xmlns:a="http://schemas.openxmlformats.org/drawingml/2006/main">
                <a:ext uri="{FF2B5EF4-FFF2-40B4-BE49-F238E27FC236}">
                  <a16:creationId xmlns:a16="http://schemas.microsoft.com/office/drawing/2014/main" id="{A60C367B-353C-E0EE-FFEE-FABF49FCBD12}"/>
                </a:ext>
              </a:extLst>
            </cdr:cNvPr>
            <cdr:cNvSpPr txBox="1"/>
          </cdr:nvSpPr>
          <cdr:spPr>
            <a:xfrm xmlns:a="http://schemas.openxmlformats.org/drawingml/2006/main">
              <a:off x="1773486" y="471721"/>
              <a:ext cx="633986" cy="241174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0.55</a:t>
              </a:r>
            </a:p>
          </cdr:txBody>
        </cdr:sp>
        <cdr:sp macro="" textlink="">
          <cdr:nvSpPr>
            <cdr:cNvPr id="11" name="TextBox 152">
              <a:extLst xmlns:a="http://schemas.openxmlformats.org/drawingml/2006/main">
                <a:ext uri="{FF2B5EF4-FFF2-40B4-BE49-F238E27FC236}">
                  <a16:creationId xmlns:a16="http://schemas.microsoft.com/office/drawing/2014/main" id="{9042BD85-4072-1DA0-4720-F4FCD34FEE09}"/>
                </a:ext>
              </a:extLst>
            </cdr:cNvPr>
            <cdr:cNvSpPr txBox="1"/>
          </cdr:nvSpPr>
          <cdr:spPr>
            <a:xfrm xmlns:a="http://schemas.openxmlformats.org/drawingml/2006/main">
              <a:off x="1577663" y="938254"/>
              <a:ext cx="1024018" cy="249963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399/405/407</a:t>
              </a:r>
            </a:p>
          </cdr:txBody>
        </cdr:sp>
        <cdr:cxnSp macro="">
          <cdr:nvCxnSpPr>
            <cdr:cNvPr id="12" name="Straight Arrow Connector 11">
              <a:extLst xmlns:a="http://schemas.openxmlformats.org/drawingml/2006/main">
                <a:ext uri="{FF2B5EF4-FFF2-40B4-BE49-F238E27FC236}">
                  <a16:creationId xmlns:a16="http://schemas.microsoft.com/office/drawing/2014/main" id="{95A958F6-0221-9891-C8C6-443F347AABB8}"/>
                </a:ext>
              </a:extLst>
            </cdr:cNvPr>
            <cdr:cNvCxnSpPr/>
          </cdr:nvCxnSpPr>
          <cdr:spPr>
            <a:xfrm xmlns:a="http://schemas.openxmlformats.org/drawingml/2006/main" flipV="1">
              <a:off x="988282" y="96883"/>
              <a:ext cx="10128638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3" name="Straight Arrow Connector 12">
              <a:extLst xmlns:a="http://schemas.openxmlformats.org/drawingml/2006/main">
                <a:ext uri="{FF2B5EF4-FFF2-40B4-BE49-F238E27FC236}">
                  <a16:creationId xmlns:a16="http://schemas.microsoft.com/office/drawing/2014/main" id="{155DF415-BCF4-67AC-6E42-D58FE9E52CA7}"/>
                </a:ext>
              </a:extLst>
            </cdr:cNvPr>
            <cdr:cNvCxnSpPr/>
          </cdr:nvCxnSpPr>
          <cdr:spPr>
            <a:xfrm xmlns:a="http://schemas.openxmlformats.org/drawingml/2006/main" flipV="1">
              <a:off x="3031182" y="602341"/>
              <a:ext cx="8085738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4" name="Straight Arrow Connector 13">
              <a:extLst xmlns:a="http://schemas.openxmlformats.org/drawingml/2006/main">
                <a:ext uri="{FF2B5EF4-FFF2-40B4-BE49-F238E27FC236}">
                  <a16:creationId xmlns:a16="http://schemas.microsoft.com/office/drawing/2014/main" id="{022A49C7-280B-4F71-C75C-0796464926E6}"/>
                </a:ext>
              </a:extLst>
            </cdr:cNvPr>
            <cdr:cNvCxnSpPr/>
          </cdr:nvCxnSpPr>
          <cdr:spPr>
            <a:xfrm xmlns:a="http://schemas.openxmlformats.org/drawingml/2006/main" flipV="1">
              <a:off x="3033374" y="1075706"/>
              <a:ext cx="8108052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15" name="TextBox 160">
              <a:extLst xmlns:a="http://schemas.openxmlformats.org/drawingml/2006/main">
                <a:ext uri="{FF2B5EF4-FFF2-40B4-BE49-F238E27FC236}">
                  <a16:creationId xmlns:a16="http://schemas.microsoft.com/office/drawing/2014/main" id="{BEAB5694-E221-48A3-FF66-3BF8D418D3C2}"/>
                </a:ext>
              </a:extLst>
            </cdr:cNvPr>
            <cdr:cNvSpPr txBox="1"/>
          </cdr:nvSpPr>
          <cdr:spPr>
            <a:xfrm xmlns:a="http://schemas.openxmlformats.org/drawingml/2006/main">
              <a:off x="3246354" y="-17416"/>
              <a:ext cx="2620844" cy="256808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A1 (50%BSH, 30%ARL, 20% other ME)</a:t>
              </a:r>
            </a:p>
          </cdr:txBody>
        </cdr:sp>
        <cdr:sp macro="" textlink="">
          <cdr:nvSpPr>
            <cdr:cNvPr id="16" name="TextBox 164">
              <a:extLst xmlns:a="http://schemas.openxmlformats.org/drawingml/2006/main">
                <a:ext uri="{FF2B5EF4-FFF2-40B4-BE49-F238E27FC236}">
                  <a16:creationId xmlns:a16="http://schemas.microsoft.com/office/drawing/2014/main" id="{B75CD608-6510-AFDA-A8BE-51A59A0713CD}"/>
                </a:ext>
              </a:extLst>
            </cdr:cNvPr>
            <cdr:cNvSpPr txBox="1"/>
          </cdr:nvSpPr>
          <cdr:spPr>
            <a:xfrm xmlns:a="http://schemas.openxmlformats.org/drawingml/2006/main">
              <a:off x="4520549" y="440459"/>
              <a:ext cx="633987" cy="24037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0.32</a:t>
              </a:r>
            </a:p>
          </cdr:txBody>
        </cdr:sp>
        <cdr:sp macro="" textlink="">
          <cdr:nvSpPr>
            <cdr:cNvPr id="17" name="TextBox 166">
              <a:extLst xmlns:a="http://schemas.openxmlformats.org/drawingml/2006/main">
                <a:ext uri="{FF2B5EF4-FFF2-40B4-BE49-F238E27FC236}">
                  <a16:creationId xmlns:a16="http://schemas.microsoft.com/office/drawing/2014/main" id="{F3316713-E04B-C167-F34B-A90DD71C7ACA}"/>
                </a:ext>
              </a:extLst>
            </cdr:cNvPr>
            <cdr:cNvSpPr txBox="1"/>
          </cdr:nvSpPr>
          <cdr:spPr>
            <a:xfrm xmlns:a="http://schemas.openxmlformats.org/drawingml/2006/main">
              <a:off x="4327692" y="933501"/>
              <a:ext cx="1028532" cy="249964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423/423/423</a:t>
              </a:r>
            </a:p>
          </cdr:txBody>
        </cdr:sp>
      </cdr:grpSp>
    </cdr:grpSp>
  </cdr:relSizeAnchor>
</c:userShapes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</cdr:x>
      <cdr:y>0.00112</cdr:y>
    </cdr:from>
    <cdr:to>
      <cdr:x>1</cdr:x>
      <cdr:y>0.04827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91B2A98C-87B5-DAC0-77C1-172A7D1CB4FB}"/>
            </a:ext>
          </a:extLst>
        </cdr:cNvPr>
        <cdr:cNvSpPr txBox="1"/>
      </cdr:nvSpPr>
      <cdr:spPr>
        <a:xfrm xmlns:a="http://schemas.openxmlformats.org/drawingml/2006/main">
          <a:off x="0" y="9803"/>
          <a:ext cx="12783435" cy="411039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Catalytic Conversion</a:t>
          </a:r>
          <a:r>
            <a:rPr lang="en-US" sz="2400" b="1">
              <a:effectLst/>
              <a:latin typeface="+mn-lt"/>
              <a:ea typeface="+mn-ea"/>
              <a:cs typeface="+mn-cs"/>
            </a:rPr>
            <a:t>:</a:t>
          </a:r>
          <a:r>
            <a:rPr lang="en-US" sz="24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2400" b="1" i="0" baseline="0">
              <a:effectLst/>
              <a:latin typeface="+mn-lt"/>
              <a:ea typeface="+mn-ea"/>
              <a:cs typeface="+mn-cs"/>
            </a:rPr>
            <a:t>Low &amp; High Sedimentation</a:t>
          </a:r>
          <a:endParaRPr lang="en-US" sz="2400" b="1">
            <a:effectLst/>
          </a:endParaRPr>
        </a:p>
      </cdr:txBody>
    </cdr:sp>
  </cdr:relSizeAnchor>
</c:userShapes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147046</xdr:colOff>
      <xdr:row>1</xdr:row>
      <xdr:rowOff>95858</xdr:rowOff>
    </xdr:from>
    <xdr:to>
      <xdr:col>21</xdr:col>
      <xdr:colOff>578135</xdr:colOff>
      <xdr:row>47</xdr:row>
      <xdr:rowOff>173981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85E076-B0E7-4097-AD71-BCA1FE41DC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31</xdr:col>
      <xdr:colOff>538238</xdr:colOff>
      <xdr:row>6</xdr:row>
      <xdr:rowOff>51404</xdr:rowOff>
    </xdr:from>
    <xdr:to>
      <xdr:col>48</xdr:col>
      <xdr:colOff>193786</xdr:colOff>
      <xdr:row>42</xdr:row>
      <xdr:rowOff>78618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4E4016-0988-461A-8FF0-4DCD6D2BE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35838" y="1156304"/>
          <a:ext cx="10018748" cy="6656614"/>
        </a:xfrm>
        <a:prstGeom prst="rect">
          <a:avLst/>
        </a:prstGeom>
      </xdr:spPr>
    </xdr:pic>
    <xdr:clientData/>
  </xdr:twoCellAnchor>
  <xdr:twoCellAnchor>
    <xdr:from>
      <xdr:col>32</xdr:col>
      <xdr:colOff>136070</xdr:colOff>
      <xdr:row>4</xdr:row>
      <xdr:rowOff>114905</xdr:rowOff>
    </xdr:from>
    <xdr:to>
      <xdr:col>33</xdr:col>
      <xdr:colOff>253999</xdr:colOff>
      <xdr:row>7</xdr:row>
      <xdr:rowOff>6048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C9DAD3B-13A2-407F-A611-501486AF1E18}"/>
            </a:ext>
          </a:extLst>
        </xdr:cNvPr>
        <xdr:cNvSpPr txBox="1"/>
      </xdr:nvSpPr>
      <xdr:spPr>
        <a:xfrm>
          <a:off x="19643270" y="851505"/>
          <a:ext cx="727529" cy="4435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 kern="1200"/>
            <a:t>Easy</a:t>
          </a:r>
        </a:p>
      </xdr:txBody>
    </xdr:sp>
    <xdr:clientData/>
  </xdr:twoCellAnchor>
  <xdr:twoCellAnchor>
    <xdr:from>
      <xdr:col>32</xdr:col>
      <xdr:colOff>90713</xdr:colOff>
      <xdr:row>38</xdr:row>
      <xdr:rowOff>21165</xdr:rowOff>
    </xdr:from>
    <xdr:to>
      <xdr:col>33</xdr:col>
      <xdr:colOff>208642</xdr:colOff>
      <xdr:row>40</xdr:row>
      <xdr:rowOff>93737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8266170-5C16-4637-8C1E-0812D93F0071}"/>
            </a:ext>
          </a:extLst>
        </xdr:cNvPr>
        <xdr:cNvSpPr txBox="1"/>
      </xdr:nvSpPr>
      <xdr:spPr>
        <a:xfrm>
          <a:off x="19597913" y="7018865"/>
          <a:ext cx="727529" cy="4408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 kern="1200"/>
            <a:t>Hard</a:t>
          </a:r>
        </a:p>
      </xdr:txBody>
    </xdr:sp>
    <xdr:clientData/>
  </xdr:twoCellAnchor>
  <xdr:twoCellAnchor editAs="oneCell">
    <xdr:from>
      <xdr:col>49</xdr:col>
      <xdr:colOff>393096</xdr:colOff>
      <xdr:row>6</xdr:row>
      <xdr:rowOff>166309</xdr:rowOff>
    </xdr:from>
    <xdr:to>
      <xdr:col>61</xdr:col>
      <xdr:colOff>94525</xdr:colOff>
      <xdr:row>43</xdr:row>
      <xdr:rowOff>39308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D82A051-B544-48E7-9942-711C5A58F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263496" y="1271209"/>
          <a:ext cx="7016629" cy="6686549"/>
        </a:xfrm>
        <a:prstGeom prst="rect">
          <a:avLst/>
        </a:prstGeom>
      </xdr:spPr>
    </xdr:pic>
    <xdr:clientData/>
  </xdr:twoCellAnchor>
  <xdr:twoCellAnchor editAs="oneCell">
    <xdr:from>
      <xdr:col>59</xdr:col>
      <xdr:colOff>511023</xdr:colOff>
      <xdr:row>6</xdr:row>
      <xdr:rowOff>175380</xdr:rowOff>
    </xdr:from>
    <xdr:to>
      <xdr:col>64</xdr:col>
      <xdr:colOff>39310</xdr:colOff>
      <xdr:row>20</xdr:row>
      <xdr:rowOff>92181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6D55A76-BA9B-45FF-B784-29942D172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477423" y="1280280"/>
          <a:ext cx="2576287" cy="2494901"/>
        </a:xfrm>
        <a:prstGeom prst="rect">
          <a:avLst/>
        </a:prstGeom>
      </xdr:spPr>
    </xdr:pic>
    <xdr:clientData/>
  </xdr:twoCellAnchor>
  <xdr:twoCellAnchor>
    <xdr:from>
      <xdr:col>0</xdr:col>
      <xdr:colOff>609599</xdr:colOff>
      <xdr:row>62</xdr:row>
      <xdr:rowOff>0</xdr:rowOff>
    </xdr:from>
    <xdr:to>
      <xdr:col>24</xdr:col>
      <xdr:colOff>244372</xdr:colOff>
      <xdr:row>108</xdr:row>
      <xdr:rowOff>78123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80B74C77-9737-49D1-B9D1-9266FC8C9311}"/>
            </a:ext>
          </a:extLst>
        </xdr:cNvPr>
        <xdr:cNvGrpSpPr/>
      </xdr:nvGrpSpPr>
      <xdr:grpSpPr>
        <a:xfrm>
          <a:off x="609599" y="11164627"/>
          <a:ext cx="14192385" cy="8361556"/>
          <a:chOff x="620888" y="11373556"/>
          <a:chExt cx="14524817" cy="8516567"/>
        </a:xfrm>
      </xdr:grpSpPr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DCE2C4FC-D419-1344-6795-092CA2B91154}"/>
              </a:ext>
            </a:extLst>
          </xdr:cNvPr>
          <xdr:cNvGraphicFramePr>
            <a:graphicFrameLocks/>
          </xdr:cNvGraphicFramePr>
        </xdr:nvGraphicFramePr>
        <xdr:xfrm>
          <a:off x="620888" y="11373556"/>
          <a:ext cx="14524817" cy="851656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2567103C-294F-1535-7233-9551DC50CB2E}"/>
              </a:ext>
            </a:extLst>
          </xdr:cNvPr>
          <xdr:cNvGrpSpPr/>
        </xdr:nvGrpSpPr>
        <xdr:grpSpPr>
          <a:xfrm>
            <a:off x="682735" y="11835749"/>
            <a:ext cx="12257154" cy="1245831"/>
            <a:chOff x="0" y="-12120"/>
            <a:chExt cx="6624199" cy="1019925"/>
          </a:xfrm>
        </xdr:grpSpPr>
        <xdr:cxnSp macro="">
          <xdr:nvCxnSpPr>
            <xdr:cNvPr id="11" name="Straight Arrow Connector 10">
              <a:extLst>
                <a:ext uri="{FF2B5EF4-FFF2-40B4-BE49-F238E27FC236}">
                  <a16:creationId xmlns:a16="http://schemas.microsoft.com/office/drawing/2014/main" id="{F2151D0E-93B8-DBA3-B2B2-CD5323D87E0D}"/>
                </a:ext>
              </a:extLst>
            </xdr:cNvPr>
            <xdr:cNvCxnSpPr/>
          </xdr:nvCxnSpPr>
          <xdr:spPr>
            <a:xfrm>
              <a:off x="4829070" y="161283"/>
              <a:ext cx="1795129" cy="2785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12" name="Group 11">
              <a:extLst>
                <a:ext uri="{FF2B5EF4-FFF2-40B4-BE49-F238E27FC236}">
                  <a16:creationId xmlns:a16="http://schemas.microsoft.com/office/drawing/2014/main" id="{3A33A38B-B8EA-32A6-3FE8-BF67428B0022}"/>
                </a:ext>
              </a:extLst>
            </xdr:cNvPr>
            <xdr:cNvGrpSpPr/>
          </xdr:nvGrpSpPr>
          <xdr:grpSpPr>
            <a:xfrm>
              <a:off x="0" y="-12120"/>
              <a:ext cx="6624197" cy="1019925"/>
              <a:chOff x="0" y="-14161"/>
              <a:chExt cx="8574500" cy="1191664"/>
            </a:xfrm>
          </xdr:grpSpPr>
          <xdr:sp macro="" textlink="">
            <xdr:nvSpPr>
              <xdr:cNvPr id="13" name="TextBox 141">
                <a:extLst>
                  <a:ext uri="{FF2B5EF4-FFF2-40B4-BE49-F238E27FC236}">
                    <a16:creationId xmlns:a16="http://schemas.microsoft.com/office/drawing/2014/main" id="{BD7B46A4-7B12-32E9-C56F-F09F1A152F73}"/>
                  </a:ext>
                </a:extLst>
              </xdr:cNvPr>
              <xdr:cNvSpPr txBox="1"/>
            </xdr:nvSpPr>
            <xdr:spPr>
              <a:xfrm>
                <a:off x="12088" y="28221"/>
                <a:ext cx="883021" cy="20071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sz="1100" b="1"/>
                  <a:t>SR Feed</a:t>
                </a:r>
              </a:p>
            </xdr:txBody>
          </xdr:sp>
          <xdr:sp macro="" textlink="">
            <xdr:nvSpPr>
              <xdr:cNvPr id="14" name="TextBox 142">
                <a:extLst>
                  <a:ext uri="{FF2B5EF4-FFF2-40B4-BE49-F238E27FC236}">
                    <a16:creationId xmlns:a16="http://schemas.microsoft.com/office/drawing/2014/main" id="{0010821A-411D-994B-A958-8D2C508E37A4}"/>
                  </a:ext>
                </a:extLst>
              </xdr:cNvPr>
              <xdr:cNvSpPr txBox="1"/>
            </xdr:nvSpPr>
            <xdr:spPr>
              <a:xfrm>
                <a:off x="0" y="275562"/>
                <a:ext cx="883021" cy="20071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sz="1100" b="1"/>
                  <a:t>SR Split</a:t>
                </a:r>
              </a:p>
            </xdr:txBody>
          </xdr:sp>
          <xdr:sp macro="" textlink="">
            <xdr:nvSpPr>
              <xdr:cNvPr id="15" name="TextBox 143">
                <a:extLst>
                  <a:ext uri="{FF2B5EF4-FFF2-40B4-BE49-F238E27FC236}">
                    <a16:creationId xmlns:a16="http://schemas.microsoft.com/office/drawing/2014/main" id="{02B51408-6F0E-A19D-1D3F-13973060EC16}"/>
                  </a:ext>
                </a:extLst>
              </xdr:cNvPr>
              <xdr:cNvSpPr txBox="1"/>
            </xdr:nvSpPr>
            <xdr:spPr>
              <a:xfrm>
                <a:off x="7271" y="538185"/>
                <a:ext cx="1148121" cy="26641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sz="1100" b="1"/>
                  <a:t>LCF LHSV</a:t>
                </a:r>
              </a:p>
            </xdr:txBody>
          </xdr:sp>
          <xdr:sp macro="" textlink="">
            <xdr:nvSpPr>
              <xdr:cNvPr id="16" name="TextBox 144">
                <a:extLst>
                  <a:ext uri="{FF2B5EF4-FFF2-40B4-BE49-F238E27FC236}">
                    <a16:creationId xmlns:a16="http://schemas.microsoft.com/office/drawing/2014/main" id="{9C392C57-8ADB-C189-A66E-3E6E9FB3CB5C}"/>
                  </a:ext>
                </a:extLst>
              </xdr:cNvPr>
              <xdr:cNvSpPr txBox="1"/>
            </xdr:nvSpPr>
            <xdr:spPr>
              <a:xfrm>
                <a:off x="559" y="867035"/>
                <a:ext cx="1148121" cy="26641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sz="1100" b="1"/>
                  <a:t>Temperature</a:t>
                </a:r>
                <a:br>
                  <a:rPr lang="en-US" sz="1100" b="1"/>
                </a:br>
                <a:r>
                  <a:rPr lang="en-US" sz="1100" b="1"/>
                  <a:t>(Rx1/2/3)</a:t>
                </a:r>
              </a:p>
            </xdr:txBody>
          </xdr:sp>
          <xdr:cxnSp macro="">
            <xdr:nvCxnSpPr>
              <xdr:cNvPr id="17" name="Straight Arrow Connector 16">
                <a:extLst>
                  <a:ext uri="{FF2B5EF4-FFF2-40B4-BE49-F238E27FC236}">
                    <a16:creationId xmlns:a16="http://schemas.microsoft.com/office/drawing/2014/main" id="{6C586594-C6A9-AD3D-3967-0810BFFE7160}"/>
                  </a:ext>
                </a:extLst>
              </xdr:cNvPr>
              <xdr:cNvCxnSpPr/>
            </xdr:nvCxnSpPr>
            <xdr:spPr>
              <a:xfrm>
                <a:off x="1074638" y="163478"/>
                <a:ext cx="2019871" cy="0"/>
              </a:xfrm>
              <a:prstGeom prst="straightConnector1">
                <a:avLst/>
              </a:prstGeom>
              <a:ln>
                <a:solidFill>
                  <a:schemeClr val="tx1"/>
                </a:solidFill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8" name="Straight Arrow Connector 17">
                <a:extLst>
                  <a:ext uri="{FF2B5EF4-FFF2-40B4-BE49-F238E27FC236}">
                    <a16:creationId xmlns:a16="http://schemas.microsoft.com/office/drawing/2014/main" id="{AAAE55C5-5F39-D192-2BCD-7860D335B16B}"/>
                  </a:ext>
                </a:extLst>
              </xdr:cNvPr>
              <xdr:cNvCxnSpPr/>
            </xdr:nvCxnSpPr>
            <xdr:spPr>
              <a:xfrm>
                <a:off x="1067923" y="383561"/>
                <a:ext cx="2019871" cy="0"/>
              </a:xfrm>
              <a:prstGeom prst="straightConnector1">
                <a:avLst/>
              </a:prstGeom>
              <a:ln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9" name="Straight Arrow Connector 18">
                <a:extLst>
                  <a:ext uri="{FF2B5EF4-FFF2-40B4-BE49-F238E27FC236}">
                    <a16:creationId xmlns:a16="http://schemas.microsoft.com/office/drawing/2014/main" id="{CA2D5FDF-1644-21C1-9FC7-BDD51F76191B}"/>
                  </a:ext>
                </a:extLst>
              </xdr:cNvPr>
              <xdr:cNvCxnSpPr/>
            </xdr:nvCxnSpPr>
            <xdr:spPr>
              <a:xfrm>
                <a:off x="1078306" y="672170"/>
                <a:ext cx="2019871" cy="0"/>
              </a:xfrm>
              <a:prstGeom prst="straightConnector1">
                <a:avLst/>
              </a:prstGeom>
              <a:ln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0" name="Straight Arrow Connector 19">
                <a:extLst>
                  <a:ext uri="{FF2B5EF4-FFF2-40B4-BE49-F238E27FC236}">
                    <a16:creationId xmlns:a16="http://schemas.microsoft.com/office/drawing/2014/main" id="{191722E4-2EDD-7BCE-F094-19EF0D82AAAD}"/>
                  </a:ext>
                </a:extLst>
              </xdr:cNvPr>
              <xdr:cNvCxnSpPr/>
            </xdr:nvCxnSpPr>
            <xdr:spPr>
              <a:xfrm>
                <a:off x="1082466" y="1027510"/>
                <a:ext cx="2019871" cy="0"/>
              </a:xfrm>
              <a:prstGeom prst="straightConnector1">
                <a:avLst/>
              </a:prstGeom>
              <a:ln>
                <a:solidFill>
                  <a:srgbClr val="FF0000"/>
                </a:solidFill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21" name="TextBox 149">
                <a:extLst>
                  <a:ext uri="{FF2B5EF4-FFF2-40B4-BE49-F238E27FC236}">
                    <a16:creationId xmlns:a16="http://schemas.microsoft.com/office/drawing/2014/main" id="{BC198CD2-ED56-F526-29B6-23CB3A53831A}"/>
                  </a:ext>
                </a:extLst>
              </xdr:cNvPr>
              <xdr:cNvSpPr txBox="1"/>
            </xdr:nvSpPr>
            <xdr:spPr>
              <a:xfrm>
                <a:off x="1740258" y="-14161"/>
                <a:ext cx="656298" cy="235567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ME SR</a:t>
                </a:r>
              </a:p>
            </xdr:txBody>
          </xdr:sp>
          <xdr:sp macro="" textlink="">
            <xdr:nvSpPr>
              <xdr:cNvPr id="22" name="TextBox 150">
                <a:extLst>
                  <a:ext uri="{FF2B5EF4-FFF2-40B4-BE49-F238E27FC236}">
                    <a16:creationId xmlns:a16="http://schemas.microsoft.com/office/drawing/2014/main" id="{5E52B798-F942-D0DC-FDE2-BDCDABA0D7B0}"/>
                  </a:ext>
                </a:extLst>
              </xdr:cNvPr>
              <xdr:cNvSpPr txBox="1"/>
            </xdr:nvSpPr>
            <xdr:spPr>
              <a:xfrm>
                <a:off x="1755308" y="275563"/>
                <a:ext cx="657417" cy="225005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70/30</a:t>
                </a:r>
              </a:p>
            </xdr:txBody>
          </xdr:sp>
          <xdr:sp macro="" textlink="">
            <xdr:nvSpPr>
              <xdr:cNvPr id="23" name="TextBox 151">
                <a:extLst>
                  <a:ext uri="{FF2B5EF4-FFF2-40B4-BE49-F238E27FC236}">
                    <a16:creationId xmlns:a16="http://schemas.microsoft.com/office/drawing/2014/main" id="{AF4AEC24-09FB-14F6-EB1B-2F682FEA8F1A}"/>
                  </a:ext>
                </a:extLst>
              </xdr:cNvPr>
              <xdr:cNvSpPr txBox="1"/>
            </xdr:nvSpPr>
            <xdr:spPr>
              <a:xfrm>
                <a:off x="1752865" y="550316"/>
                <a:ext cx="659283" cy="243776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0.378</a:t>
                </a:r>
              </a:p>
            </xdr:txBody>
          </xdr:sp>
          <xdr:sp macro="" textlink="">
            <xdr:nvSpPr>
              <xdr:cNvPr id="24" name="TextBox 152">
                <a:extLst>
                  <a:ext uri="{FF2B5EF4-FFF2-40B4-BE49-F238E27FC236}">
                    <a16:creationId xmlns:a16="http://schemas.microsoft.com/office/drawing/2014/main" id="{53C254CB-6A76-C96F-1F5C-E5450325787D}"/>
                  </a:ext>
                </a:extLst>
              </xdr:cNvPr>
              <xdr:cNvSpPr txBox="1"/>
            </xdr:nvSpPr>
            <xdr:spPr>
              <a:xfrm>
                <a:off x="1627946" y="871026"/>
                <a:ext cx="1064877" cy="252661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399/405/407</a:t>
                </a:r>
              </a:p>
            </xdr:txBody>
          </xdr:sp>
          <xdr:cxnSp macro="">
            <xdr:nvCxnSpPr>
              <xdr:cNvPr id="25" name="Straight Arrow Connector 24">
                <a:extLst>
                  <a:ext uri="{FF2B5EF4-FFF2-40B4-BE49-F238E27FC236}">
                    <a16:creationId xmlns:a16="http://schemas.microsoft.com/office/drawing/2014/main" id="{8EEF07A5-237E-2F5E-94A8-95603BDF0951}"/>
                  </a:ext>
                </a:extLst>
              </xdr:cNvPr>
              <xdr:cNvCxnSpPr/>
            </xdr:nvCxnSpPr>
            <xdr:spPr>
              <a:xfrm>
                <a:off x="3374196" y="179495"/>
                <a:ext cx="2700277" cy="0"/>
              </a:xfrm>
              <a:prstGeom prst="straightConnector1">
                <a:avLst/>
              </a:prstGeom>
              <a:ln>
                <a:solidFill>
                  <a:schemeClr val="tx1"/>
                </a:solidFill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6" name="Straight Arrow Connector 25">
                <a:extLst>
                  <a:ext uri="{FF2B5EF4-FFF2-40B4-BE49-F238E27FC236}">
                    <a16:creationId xmlns:a16="http://schemas.microsoft.com/office/drawing/2014/main" id="{2D54A294-55B7-5018-C1C1-4D73CB2650A1}"/>
                  </a:ext>
                </a:extLst>
              </xdr:cNvPr>
              <xdr:cNvCxnSpPr/>
            </xdr:nvCxnSpPr>
            <xdr:spPr>
              <a:xfrm>
                <a:off x="3366331" y="353787"/>
                <a:ext cx="2707244" cy="0"/>
              </a:xfrm>
              <a:prstGeom prst="straightConnector1">
                <a:avLst/>
              </a:prstGeom>
              <a:ln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7" name="Straight Arrow Connector 26">
                <a:extLst>
                  <a:ext uri="{FF2B5EF4-FFF2-40B4-BE49-F238E27FC236}">
                    <a16:creationId xmlns:a16="http://schemas.microsoft.com/office/drawing/2014/main" id="{F08ED516-8646-9005-BBB6-CD6B6B1F0C1D}"/>
                  </a:ext>
                </a:extLst>
              </xdr:cNvPr>
              <xdr:cNvCxnSpPr/>
            </xdr:nvCxnSpPr>
            <xdr:spPr>
              <a:xfrm flipV="1">
                <a:off x="6239077" y="388108"/>
                <a:ext cx="2326927" cy="7439"/>
              </a:xfrm>
              <a:prstGeom prst="straightConnector1">
                <a:avLst/>
              </a:prstGeom>
              <a:ln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8" name="Straight Arrow Connector 27">
                <a:extLst>
                  <a:ext uri="{FF2B5EF4-FFF2-40B4-BE49-F238E27FC236}">
                    <a16:creationId xmlns:a16="http://schemas.microsoft.com/office/drawing/2014/main" id="{F2B00B4C-CD7B-4C45-CDBE-CBEFC86FCDDF}"/>
                  </a:ext>
                </a:extLst>
              </xdr:cNvPr>
              <xdr:cNvCxnSpPr/>
            </xdr:nvCxnSpPr>
            <xdr:spPr>
              <a:xfrm>
                <a:off x="3350601" y="644272"/>
                <a:ext cx="2730077" cy="0"/>
              </a:xfrm>
              <a:prstGeom prst="straightConnector1">
                <a:avLst/>
              </a:prstGeom>
              <a:ln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9" name="Straight Arrow Connector 28">
                <a:extLst>
                  <a:ext uri="{FF2B5EF4-FFF2-40B4-BE49-F238E27FC236}">
                    <a16:creationId xmlns:a16="http://schemas.microsoft.com/office/drawing/2014/main" id="{837DEB0B-8E54-255A-65A8-A39830BF8ADE}"/>
                  </a:ext>
                </a:extLst>
              </xdr:cNvPr>
              <xdr:cNvCxnSpPr/>
            </xdr:nvCxnSpPr>
            <xdr:spPr>
              <a:xfrm>
                <a:off x="6241560" y="677556"/>
                <a:ext cx="2332938" cy="495"/>
              </a:xfrm>
              <a:prstGeom prst="straightConnector1">
                <a:avLst/>
              </a:prstGeom>
              <a:ln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30" name="Straight Arrow Connector 29">
                <a:extLst>
                  <a:ext uri="{FF2B5EF4-FFF2-40B4-BE49-F238E27FC236}">
                    <a16:creationId xmlns:a16="http://schemas.microsoft.com/office/drawing/2014/main" id="{808200C6-B51F-8022-912C-14E63BD8C040}"/>
                  </a:ext>
                </a:extLst>
              </xdr:cNvPr>
              <xdr:cNvCxnSpPr/>
            </xdr:nvCxnSpPr>
            <xdr:spPr>
              <a:xfrm>
                <a:off x="3366331" y="1012220"/>
                <a:ext cx="2727007" cy="0"/>
              </a:xfrm>
              <a:prstGeom prst="straightConnector1">
                <a:avLst/>
              </a:prstGeom>
              <a:ln>
                <a:solidFill>
                  <a:srgbClr val="FF0000"/>
                </a:solidFill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31" name="Straight Arrow Connector 30">
                <a:extLst>
                  <a:ext uri="{FF2B5EF4-FFF2-40B4-BE49-F238E27FC236}">
                    <a16:creationId xmlns:a16="http://schemas.microsoft.com/office/drawing/2014/main" id="{A834B54A-128E-9BB3-9E93-67E18B911439}"/>
                  </a:ext>
                </a:extLst>
              </xdr:cNvPr>
              <xdr:cNvCxnSpPr/>
            </xdr:nvCxnSpPr>
            <xdr:spPr>
              <a:xfrm>
                <a:off x="6259247" y="1047205"/>
                <a:ext cx="2315253" cy="4965"/>
              </a:xfrm>
              <a:prstGeom prst="straightConnector1">
                <a:avLst/>
              </a:prstGeom>
              <a:ln>
                <a:solidFill>
                  <a:srgbClr val="FF0000"/>
                </a:solidFill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32" name="TextBox 160">
                <a:extLst>
                  <a:ext uri="{FF2B5EF4-FFF2-40B4-BE49-F238E27FC236}">
                    <a16:creationId xmlns:a16="http://schemas.microsoft.com/office/drawing/2014/main" id="{9622D427-AC84-4B50-630E-4D712AAF643F}"/>
                  </a:ext>
                </a:extLst>
              </xdr:cNvPr>
              <xdr:cNvSpPr txBox="1"/>
            </xdr:nvSpPr>
            <xdr:spPr>
              <a:xfrm>
                <a:off x="3837482" y="10082"/>
                <a:ext cx="1482209" cy="275443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Low Sedimentation</a:t>
                </a:r>
              </a:p>
            </xdr:txBody>
          </xdr:sp>
          <xdr:sp macro="" textlink="">
            <xdr:nvSpPr>
              <xdr:cNvPr id="33" name="TextBox 161">
                <a:extLst>
                  <a:ext uri="{FF2B5EF4-FFF2-40B4-BE49-F238E27FC236}">
                    <a16:creationId xmlns:a16="http://schemas.microsoft.com/office/drawing/2014/main" id="{B0FF4C2B-5384-0A89-C106-9B4A3B95FE9C}"/>
                  </a:ext>
                </a:extLst>
              </xdr:cNvPr>
              <xdr:cNvSpPr txBox="1"/>
            </xdr:nvSpPr>
            <xdr:spPr>
              <a:xfrm>
                <a:off x="6622030" y="30798"/>
                <a:ext cx="1437748" cy="246579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HighSedimentation</a:t>
                </a:r>
              </a:p>
            </xdr:txBody>
          </xdr:sp>
          <xdr:sp macro="" textlink="">
            <xdr:nvSpPr>
              <xdr:cNvPr id="34" name="TextBox 162">
                <a:extLst>
                  <a:ext uri="{FF2B5EF4-FFF2-40B4-BE49-F238E27FC236}">
                    <a16:creationId xmlns:a16="http://schemas.microsoft.com/office/drawing/2014/main" id="{1A00274C-F61D-B28B-AAE4-5F57D2F04DA9}"/>
                  </a:ext>
                </a:extLst>
              </xdr:cNvPr>
              <xdr:cNvSpPr txBox="1"/>
            </xdr:nvSpPr>
            <xdr:spPr>
              <a:xfrm>
                <a:off x="4142282" y="297230"/>
                <a:ext cx="659284" cy="247411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100/0</a:t>
                </a:r>
              </a:p>
            </xdr:txBody>
          </xdr:sp>
          <xdr:sp macro="" textlink="">
            <xdr:nvSpPr>
              <xdr:cNvPr id="35" name="TextBox 163">
                <a:extLst>
                  <a:ext uri="{FF2B5EF4-FFF2-40B4-BE49-F238E27FC236}">
                    <a16:creationId xmlns:a16="http://schemas.microsoft.com/office/drawing/2014/main" id="{1C05BDFA-B6D0-BE2A-42D5-2AFEDAC24846}"/>
                  </a:ext>
                </a:extLst>
              </xdr:cNvPr>
              <xdr:cNvSpPr txBox="1"/>
            </xdr:nvSpPr>
            <xdr:spPr>
              <a:xfrm>
                <a:off x="6906809" y="308599"/>
                <a:ext cx="659283" cy="247411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100/0</a:t>
                </a:r>
              </a:p>
            </xdr:txBody>
          </xdr:sp>
          <xdr:sp macro="" textlink="">
            <xdr:nvSpPr>
              <xdr:cNvPr id="36" name="TextBox 164">
                <a:extLst>
                  <a:ext uri="{FF2B5EF4-FFF2-40B4-BE49-F238E27FC236}">
                    <a16:creationId xmlns:a16="http://schemas.microsoft.com/office/drawing/2014/main" id="{392FD74F-95EC-E864-E583-87F4DFABC754}"/>
                  </a:ext>
                </a:extLst>
              </xdr:cNvPr>
              <xdr:cNvSpPr txBox="1"/>
            </xdr:nvSpPr>
            <xdr:spPr>
              <a:xfrm>
                <a:off x="4127991" y="565519"/>
                <a:ext cx="659284" cy="242964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0.21</a:t>
                </a:r>
              </a:p>
            </xdr:txBody>
          </xdr:sp>
          <xdr:sp macro="" textlink="">
            <xdr:nvSpPr>
              <xdr:cNvPr id="37" name="TextBox 165">
                <a:extLst>
                  <a:ext uri="{FF2B5EF4-FFF2-40B4-BE49-F238E27FC236}">
                    <a16:creationId xmlns:a16="http://schemas.microsoft.com/office/drawing/2014/main" id="{AC972551-82D3-4AC6-BDE9-B9922551387B}"/>
                  </a:ext>
                </a:extLst>
              </xdr:cNvPr>
              <xdr:cNvSpPr txBox="1"/>
            </xdr:nvSpPr>
            <xdr:spPr>
              <a:xfrm>
                <a:off x="6908649" y="580167"/>
                <a:ext cx="659283" cy="242964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0.21</a:t>
                </a:r>
              </a:p>
            </xdr:txBody>
          </xdr:sp>
          <xdr:sp macro="" textlink="">
            <xdr:nvSpPr>
              <xdr:cNvPr id="38" name="TextBox 166">
                <a:extLst>
                  <a:ext uri="{FF2B5EF4-FFF2-40B4-BE49-F238E27FC236}">
                    <a16:creationId xmlns:a16="http://schemas.microsoft.com/office/drawing/2014/main" id="{F62C619E-CB5D-8E73-CD63-465310A7033B}"/>
                  </a:ext>
                </a:extLst>
              </xdr:cNvPr>
              <xdr:cNvSpPr txBox="1"/>
            </xdr:nvSpPr>
            <xdr:spPr>
              <a:xfrm>
                <a:off x="3983366" y="924842"/>
                <a:ext cx="1069571" cy="252661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415/419/419</a:t>
                </a:r>
              </a:p>
            </xdr:txBody>
          </xdr:sp>
          <xdr:sp macro="" textlink="">
            <xdr:nvSpPr>
              <xdr:cNvPr id="39" name="TextBox 167">
                <a:extLst>
                  <a:ext uri="{FF2B5EF4-FFF2-40B4-BE49-F238E27FC236}">
                    <a16:creationId xmlns:a16="http://schemas.microsoft.com/office/drawing/2014/main" id="{38201EFE-3932-6058-A327-CE26DAB3119D}"/>
                  </a:ext>
                </a:extLst>
              </xdr:cNvPr>
              <xdr:cNvSpPr txBox="1"/>
            </xdr:nvSpPr>
            <xdr:spPr>
              <a:xfrm>
                <a:off x="6722571" y="901514"/>
                <a:ext cx="1169906" cy="265545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420/421/423</a:t>
                </a:r>
              </a:p>
            </xdr:txBody>
          </xdr:sp>
        </xdr:grpSp>
      </xdr:grpSp>
    </xdr:grpSp>
    <xdr:clientData/>
  </xdr:twoCellAnchor>
  <xdr:twoCellAnchor>
    <xdr:from>
      <xdr:col>1</xdr:col>
      <xdr:colOff>464404</xdr:colOff>
      <xdr:row>5</xdr:row>
      <xdr:rowOff>28431</xdr:rowOff>
    </xdr:from>
    <xdr:to>
      <xdr:col>20</xdr:col>
      <xdr:colOff>587613</xdr:colOff>
      <xdr:row>10</xdr:row>
      <xdr:rowOff>46659</xdr:rowOff>
    </xdr:to>
    <xdr:grpSp>
      <xdr:nvGrpSpPr>
        <xdr:cNvPr id="62" name="Group 61">
          <a:extLst>
            <a:ext uri="{FF2B5EF4-FFF2-40B4-BE49-F238E27FC236}">
              <a16:creationId xmlns:a16="http://schemas.microsoft.com/office/drawing/2014/main" id="{82086175-59EF-40BC-A842-E5A723FDA338}"/>
            </a:ext>
          </a:extLst>
        </xdr:cNvPr>
        <xdr:cNvGrpSpPr/>
      </xdr:nvGrpSpPr>
      <xdr:grpSpPr>
        <a:xfrm>
          <a:off x="1070971" y="928804"/>
          <a:ext cx="11647985" cy="918601"/>
          <a:chOff x="-8099" y="-48000"/>
          <a:chExt cx="9954219" cy="1162988"/>
        </a:xfrm>
      </xdr:grpSpPr>
      <xdr:grpSp>
        <xdr:nvGrpSpPr>
          <xdr:cNvPr id="63" name="Group 62">
            <a:extLst>
              <a:ext uri="{FF2B5EF4-FFF2-40B4-BE49-F238E27FC236}">
                <a16:creationId xmlns:a16="http://schemas.microsoft.com/office/drawing/2014/main" id="{47B84FC2-99F9-20B2-2285-0E06455A094D}"/>
              </a:ext>
            </a:extLst>
          </xdr:cNvPr>
          <xdr:cNvGrpSpPr/>
        </xdr:nvGrpSpPr>
        <xdr:grpSpPr>
          <a:xfrm>
            <a:off x="-8099" y="-48000"/>
            <a:ext cx="9954219" cy="1162988"/>
            <a:chOff x="-8346" y="-48516"/>
            <a:chExt cx="10257303" cy="1175534"/>
          </a:xfrm>
        </xdr:grpSpPr>
        <xdr:sp macro="" textlink="">
          <xdr:nvSpPr>
            <xdr:cNvPr id="64" name="TextBox 141">
              <a:extLst>
                <a:ext uri="{FF2B5EF4-FFF2-40B4-BE49-F238E27FC236}">
                  <a16:creationId xmlns:a16="http://schemas.microsoft.com/office/drawing/2014/main" id="{15E76BE8-B66D-45FB-4F78-86835DC30DDA}"/>
                </a:ext>
              </a:extLst>
            </xdr:cNvPr>
            <xdr:cNvSpPr txBox="1"/>
          </xdr:nvSpPr>
          <xdr:spPr>
            <a:xfrm>
              <a:off x="7353" y="-48516"/>
              <a:ext cx="824049" cy="19645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VR Feed</a:t>
              </a:r>
            </a:p>
          </xdr:txBody>
        </xdr:sp>
        <xdr:sp macro="" textlink="">
          <xdr:nvSpPr>
            <xdr:cNvPr id="65" name="TextBox 143">
              <a:extLst>
                <a:ext uri="{FF2B5EF4-FFF2-40B4-BE49-F238E27FC236}">
                  <a16:creationId xmlns:a16="http://schemas.microsoft.com/office/drawing/2014/main" id="{928FF51F-42DB-663E-8313-B2D6C3798128}"/>
                </a:ext>
              </a:extLst>
            </xdr:cNvPr>
            <xdr:cNvSpPr txBox="1"/>
          </xdr:nvSpPr>
          <xdr:spPr>
            <a:xfrm>
              <a:off x="-8346" y="377622"/>
              <a:ext cx="1054340" cy="23328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MEBU LHSV, h-1</a:t>
              </a:r>
            </a:p>
          </xdr:txBody>
        </xdr:sp>
        <xdr:sp macro="" textlink="">
          <xdr:nvSpPr>
            <xdr:cNvPr id="66" name="TextBox 144">
              <a:extLst>
                <a:ext uri="{FF2B5EF4-FFF2-40B4-BE49-F238E27FC236}">
                  <a16:creationId xmlns:a16="http://schemas.microsoft.com/office/drawing/2014/main" id="{845A1B29-03A5-7A88-D3A5-71DBA05ABB61}"/>
                </a:ext>
              </a:extLst>
            </xdr:cNvPr>
            <xdr:cNvSpPr txBox="1"/>
          </xdr:nvSpPr>
          <xdr:spPr>
            <a:xfrm>
              <a:off x="0" y="798981"/>
              <a:ext cx="1071445" cy="26075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Temperature</a:t>
              </a:r>
            </a:p>
            <a:p>
              <a:r>
                <a:rPr lang="en-US" sz="1100" b="1"/>
                <a:t>(Rx1/2/3)</a:t>
              </a:r>
            </a:p>
          </xdr:txBody>
        </xdr:sp>
        <xdr:cxnSp macro="">
          <xdr:nvCxnSpPr>
            <xdr:cNvPr id="67" name="Straight Arrow Connector 66">
              <a:extLst>
                <a:ext uri="{FF2B5EF4-FFF2-40B4-BE49-F238E27FC236}">
                  <a16:creationId xmlns:a16="http://schemas.microsoft.com/office/drawing/2014/main" id="{187EDBB0-DD2F-6BE7-AAAE-B5DBA007FEB5}"/>
                </a:ext>
              </a:extLst>
            </xdr:cNvPr>
            <xdr:cNvCxnSpPr/>
          </xdr:nvCxnSpPr>
          <xdr:spPr>
            <a:xfrm>
              <a:off x="926859" y="536559"/>
              <a:ext cx="1884975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8" name="Straight Arrow Connector 67">
              <a:extLst>
                <a:ext uri="{FF2B5EF4-FFF2-40B4-BE49-F238E27FC236}">
                  <a16:creationId xmlns:a16="http://schemas.microsoft.com/office/drawing/2014/main" id="{9A61F089-FB58-D18B-1C78-98EA205D27B2}"/>
                </a:ext>
              </a:extLst>
            </xdr:cNvPr>
            <xdr:cNvCxnSpPr/>
          </xdr:nvCxnSpPr>
          <xdr:spPr>
            <a:xfrm>
              <a:off x="928511" y="1005639"/>
              <a:ext cx="1884975" cy="0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9" name="TextBox 151">
              <a:extLst>
                <a:ext uri="{FF2B5EF4-FFF2-40B4-BE49-F238E27FC236}">
                  <a16:creationId xmlns:a16="http://schemas.microsoft.com/office/drawing/2014/main" id="{A60C367B-353C-E0EE-FFEE-FABF49FCBD12}"/>
                </a:ext>
              </a:extLst>
            </xdr:cNvPr>
            <xdr:cNvSpPr txBox="1"/>
          </xdr:nvSpPr>
          <xdr:spPr>
            <a:xfrm>
              <a:off x="1712736" y="418170"/>
              <a:ext cx="615253" cy="238600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0.55</a:t>
              </a:r>
            </a:p>
          </xdr:txBody>
        </xdr:sp>
        <xdr:sp macro="" textlink="">
          <xdr:nvSpPr>
            <xdr:cNvPr id="70" name="TextBox 152">
              <a:extLst>
                <a:ext uri="{FF2B5EF4-FFF2-40B4-BE49-F238E27FC236}">
                  <a16:creationId xmlns:a16="http://schemas.microsoft.com/office/drawing/2014/main" id="{9042BD85-4072-1DA0-4720-F4FCD34FEE09}"/>
                </a:ext>
              </a:extLst>
            </xdr:cNvPr>
            <xdr:cNvSpPr txBox="1"/>
          </xdr:nvSpPr>
          <xdr:spPr>
            <a:xfrm>
              <a:off x="1522700" y="879723"/>
              <a:ext cx="993760" cy="24729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399/405/407</a:t>
              </a:r>
            </a:p>
          </xdr:txBody>
        </xdr:sp>
        <xdr:cxnSp macro="">
          <xdr:nvCxnSpPr>
            <xdr:cNvPr id="71" name="Straight Arrow Connector 70">
              <a:extLst>
                <a:ext uri="{FF2B5EF4-FFF2-40B4-BE49-F238E27FC236}">
                  <a16:creationId xmlns:a16="http://schemas.microsoft.com/office/drawing/2014/main" id="{95A958F6-0221-9891-C8C6-443F347AABB8}"/>
                </a:ext>
              </a:extLst>
            </xdr:cNvPr>
            <xdr:cNvCxnSpPr/>
          </xdr:nvCxnSpPr>
          <xdr:spPr>
            <a:xfrm flipV="1">
              <a:off x="950734" y="84900"/>
              <a:ext cx="9256492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2" name="Straight Arrow Connector 71">
              <a:extLst>
                <a:ext uri="{FF2B5EF4-FFF2-40B4-BE49-F238E27FC236}">
                  <a16:creationId xmlns:a16="http://schemas.microsoft.com/office/drawing/2014/main" id="{155DF415-BCF4-67AC-6E42-D58FE9E52CA7}"/>
                </a:ext>
              </a:extLst>
            </xdr:cNvPr>
            <xdr:cNvCxnSpPr/>
          </xdr:nvCxnSpPr>
          <xdr:spPr>
            <a:xfrm flipV="1">
              <a:off x="2949125" y="521527"/>
              <a:ext cx="7266447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3" name="Straight Arrow Connector 72">
              <a:extLst>
                <a:ext uri="{FF2B5EF4-FFF2-40B4-BE49-F238E27FC236}">
                  <a16:creationId xmlns:a16="http://schemas.microsoft.com/office/drawing/2014/main" id="{022A49C7-280B-4F71-C75C-0796464926E6}"/>
                </a:ext>
              </a:extLst>
            </xdr:cNvPr>
            <xdr:cNvCxnSpPr/>
          </xdr:nvCxnSpPr>
          <xdr:spPr>
            <a:xfrm flipV="1">
              <a:off x="2935397" y="1043056"/>
              <a:ext cx="7313560" cy="0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4" name="TextBox 160">
              <a:extLst>
                <a:ext uri="{FF2B5EF4-FFF2-40B4-BE49-F238E27FC236}">
                  <a16:creationId xmlns:a16="http://schemas.microsoft.com/office/drawing/2014/main" id="{BEAB5694-E221-48A3-FF66-3BF8D418D3C2}"/>
                </a:ext>
              </a:extLst>
            </xdr:cNvPr>
            <xdr:cNvSpPr txBox="1"/>
          </xdr:nvSpPr>
          <xdr:spPr>
            <a:xfrm>
              <a:off x="3158776" y="-19011"/>
              <a:ext cx="2543402" cy="25406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A1 (50%BSH, 30%ARL, 20% other ME)</a:t>
              </a:r>
            </a:p>
          </xdr:txBody>
        </xdr:sp>
        <xdr:sp macro="" textlink="">
          <xdr:nvSpPr>
            <xdr:cNvPr id="75" name="TextBox 164">
              <a:extLst>
                <a:ext uri="{FF2B5EF4-FFF2-40B4-BE49-F238E27FC236}">
                  <a16:creationId xmlns:a16="http://schemas.microsoft.com/office/drawing/2014/main" id="{B75CD608-6510-AFDA-A8BE-51A59A0713CD}"/>
                </a:ext>
              </a:extLst>
            </xdr:cNvPr>
            <xdr:cNvSpPr txBox="1"/>
          </xdr:nvSpPr>
          <xdr:spPr>
            <a:xfrm>
              <a:off x="4378628" y="387242"/>
              <a:ext cx="615254" cy="23780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0.32</a:t>
              </a:r>
            </a:p>
          </xdr:txBody>
        </xdr:sp>
        <xdr:sp macro="" textlink="">
          <xdr:nvSpPr>
            <xdr:cNvPr id="76" name="TextBox 166">
              <a:extLst>
                <a:ext uri="{FF2B5EF4-FFF2-40B4-BE49-F238E27FC236}">
                  <a16:creationId xmlns:a16="http://schemas.microsoft.com/office/drawing/2014/main" id="{F3316713-E04B-C167-F34B-A90DD71C7ACA}"/>
                </a:ext>
              </a:extLst>
            </xdr:cNvPr>
            <xdr:cNvSpPr txBox="1"/>
          </xdr:nvSpPr>
          <xdr:spPr>
            <a:xfrm>
              <a:off x="4191470" y="875021"/>
              <a:ext cx="998141" cy="24729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423/423/423</a:t>
              </a:r>
            </a:p>
          </xdr:txBody>
        </xdr:sp>
      </xdr:grpSp>
    </xdr:grpSp>
    <xdr:clientData/>
  </xdr:twoCellAnchor>
</xdr:wsDr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</cdr:x>
      <cdr:y>0.00112</cdr:y>
    </cdr:from>
    <cdr:to>
      <cdr:x>1</cdr:x>
      <cdr:y>0.04827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91B2A98C-87B5-DAC0-77C1-172A7D1CB4FB}"/>
            </a:ext>
          </a:extLst>
        </cdr:cNvPr>
        <cdr:cNvSpPr txBox="1"/>
      </cdr:nvSpPr>
      <cdr:spPr>
        <a:xfrm xmlns:a="http://schemas.openxmlformats.org/drawingml/2006/main">
          <a:off x="0" y="9803"/>
          <a:ext cx="12783435" cy="411039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000" b="1">
              <a:effectLst/>
            </a:rPr>
            <a:t>MCR Conversion: </a:t>
          </a:r>
          <a:r>
            <a:rPr lang="en-US" sz="2000" b="1" baseline="0">
              <a:effectLst/>
              <a:latin typeface="+mn-lt"/>
              <a:ea typeface="+mn-ea"/>
              <a:cs typeface="+mn-cs"/>
            </a:rPr>
            <a:t>Repeat Acceptance Test</a:t>
          </a:r>
          <a:endParaRPr lang="en-US" sz="2000" b="1">
            <a:effectLst/>
          </a:endParaRPr>
        </a:p>
      </cdr:txBody>
    </cdr:sp>
  </cdr:relSizeAnchor>
</c:userShapes>
</file>

<file path=xl/drawings/drawing39.xml><?xml version="1.0" encoding="utf-8"?>
<c:userShapes xmlns:c="http://schemas.openxmlformats.org/drawingml/2006/chart">
  <cdr:relSizeAnchor xmlns:cdr="http://schemas.openxmlformats.org/drawingml/2006/chartDrawing">
    <cdr:from>
      <cdr:x>0</cdr:x>
      <cdr:y>0.00112</cdr:y>
    </cdr:from>
    <cdr:to>
      <cdr:x>1</cdr:x>
      <cdr:y>0.04827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91B2A98C-87B5-DAC0-77C1-172A7D1CB4FB}"/>
            </a:ext>
          </a:extLst>
        </cdr:cNvPr>
        <cdr:cNvSpPr txBox="1"/>
      </cdr:nvSpPr>
      <cdr:spPr>
        <a:xfrm xmlns:a="http://schemas.openxmlformats.org/drawingml/2006/main">
          <a:off x="0" y="9803"/>
          <a:ext cx="12783435" cy="411039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Catalytic Conversion</a:t>
          </a:r>
          <a:r>
            <a:rPr lang="en-US" sz="2400" b="1">
              <a:effectLst/>
              <a:latin typeface="+mn-lt"/>
              <a:ea typeface="+mn-ea"/>
              <a:cs typeface="+mn-cs"/>
            </a:rPr>
            <a:t>:</a:t>
          </a:r>
          <a:r>
            <a:rPr lang="en-US" sz="24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2400" b="1" i="0" baseline="0">
              <a:effectLst/>
              <a:latin typeface="+mn-lt"/>
              <a:ea typeface="+mn-ea"/>
              <a:cs typeface="+mn-cs"/>
            </a:rPr>
            <a:t>Low &amp; High Sedimentation</a:t>
          </a:r>
          <a:endParaRPr lang="en-US" sz="2400" b="1">
            <a:effectLst/>
          </a:endParaRPr>
        </a:p>
      </cdr:txBody>
    </cdr:sp>
  </cdr:relSizeAnchor>
</c:userShapes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628651</xdr:colOff>
      <xdr:row>1</xdr:row>
      <xdr:rowOff>114631</xdr:rowOff>
    </xdr:from>
    <xdr:to>
      <xdr:col>14</xdr:col>
      <xdr:colOff>448237</xdr:colOff>
      <xdr:row>35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0FBD29-6F4D-48EC-A822-858EDA717A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197919</xdr:colOff>
      <xdr:row>18</xdr:row>
      <xdr:rowOff>28360</xdr:rowOff>
    </xdr:from>
    <xdr:to>
      <xdr:col>10</xdr:col>
      <xdr:colOff>303754</xdr:colOff>
      <xdr:row>19</xdr:row>
      <xdr:rowOff>141216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4EA311-F70B-2BC8-4057-0BA41810CFDD}"/>
            </a:ext>
          </a:extLst>
        </xdr:cNvPr>
        <xdr:cNvSpPr txBox="1"/>
      </xdr:nvSpPr>
      <xdr:spPr>
        <a:xfrm>
          <a:off x="5400329" y="3333420"/>
          <a:ext cx="1406437" cy="296471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Sedimentation</a:t>
          </a:r>
          <a:r>
            <a:rPr lang="en-US" sz="1100" baseline="0"/>
            <a:t> Limit</a:t>
          </a:r>
          <a:endParaRPr lang="en-US" sz="1100"/>
        </a:p>
      </xdr:txBody>
    </xdr:sp>
    <xdr:clientData/>
  </xdr:twoCellAnchor>
</xdr:wsDr>
</file>

<file path=xl/drawings/drawing41.xml><?xml version="1.0" encoding="utf-8"?>
<c:userShapes xmlns:c="http://schemas.openxmlformats.org/drawingml/2006/chart">
  <cdr:relSizeAnchor xmlns:cdr="http://schemas.openxmlformats.org/drawingml/2006/chartDrawing">
    <cdr:from>
      <cdr:x>0</cdr:x>
      <cdr:y>0.00064</cdr:y>
    </cdr:from>
    <cdr:to>
      <cdr:x>1</cdr:x>
      <cdr:y>0.06767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45E3179C-10BD-C7FB-8EBE-6CA15EB166A1}"/>
            </a:ext>
          </a:extLst>
        </cdr:cNvPr>
        <cdr:cNvSpPr txBox="1"/>
      </cdr:nvSpPr>
      <cdr:spPr>
        <a:xfrm xmlns:a="http://schemas.openxmlformats.org/drawingml/2006/main">
          <a:off x="0" y="3480"/>
          <a:ext cx="7696706" cy="362051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000" b="1">
              <a:effectLst/>
            </a:rPr>
            <a:t>Sedimentation of HPS Product</a:t>
          </a:r>
          <a:r>
            <a:rPr lang="en-US" sz="2000" b="1">
              <a:effectLst/>
              <a:latin typeface="+mn-lt"/>
              <a:ea typeface="+mn-ea"/>
              <a:cs typeface="+mn-cs"/>
            </a:rPr>
            <a:t>:</a:t>
          </a:r>
          <a:r>
            <a:rPr lang="en-US" sz="2000" b="1" baseline="0">
              <a:effectLst/>
              <a:latin typeface="+mn-lt"/>
              <a:ea typeface="+mn-ea"/>
              <a:cs typeface="+mn-cs"/>
            </a:rPr>
            <a:t> Repeat Acceptance Test</a:t>
          </a:r>
          <a:endParaRPr lang="en-US" sz="2000" b="1">
            <a:effectLst/>
          </a:endParaRPr>
        </a:p>
      </cdr:txBody>
    </cdr:sp>
  </cdr:relSizeAnchor>
  <cdr:relSizeAnchor xmlns:cdr="http://schemas.openxmlformats.org/drawingml/2006/chartDrawing">
    <cdr:from>
      <cdr:x>0</cdr:x>
      <cdr:y>0.07036</cdr:y>
    </cdr:from>
    <cdr:to>
      <cdr:x>0.90519</cdr:x>
      <cdr:y>0.2417</cdr:y>
    </cdr:to>
    <cdr:grpSp>
      <cdr:nvGrpSpPr>
        <cdr:cNvPr id="18" name="Group 17">
          <a:extLst xmlns:a="http://schemas.openxmlformats.org/drawingml/2006/main">
            <a:ext uri="{FF2B5EF4-FFF2-40B4-BE49-F238E27FC236}">
              <a16:creationId xmlns:a16="http://schemas.microsoft.com/office/drawing/2014/main" id="{C2C8FC93-AD0C-0757-7489-AE07736A2C98}"/>
            </a:ext>
          </a:extLst>
        </cdr:cNvPr>
        <cdr:cNvGrpSpPr/>
      </cdr:nvGrpSpPr>
      <cdr:grpSpPr>
        <a:xfrm xmlns:a="http://schemas.openxmlformats.org/drawingml/2006/main">
          <a:off x="0" y="436546"/>
          <a:ext cx="8077737" cy="1063072"/>
          <a:chOff x="-97620" y="-28644"/>
          <a:chExt cx="9372440" cy="1603155"/>
        </a:xfrm>
      </cdr:grpSpPr>
      <cdr:grpSp>
        <cdr:nvGrpSpPr>
          <cdr:cNvPr id="19" name="Group 18">
            <a:extLst xmlns:a="http://schemas.openxmlformats.org/drawingml/2006/main">
              <a:ext uri="{FF2B5EF4-FFF2-40B4-BE49-F238E27FC236}">
                <a16:creationId xmlns:a16="http://schemas.microsoft.com/office/drawing/2014/main" id="{9CFB8902-598B-D50C-B951-4EFAAF3A0888}"/>
              </a:ext>
            </a:extLst>
          </cdr:cNvPr>
          <cdr:cNvGrpSpPr/>
        </cdr:nvGrpSpPr>
        <cdr:grpSpPr>
          <a:xfrm xmlns:a="http://schemas.openxmlformats.org/drawingml/2006/main">
            <a:off x="-97620" y="-28644"/>
            <a:ext cx="9372440" cy="1603155"/>
            <a:chOff x="-137915" y="-18063"/>
            <a:chExt cx="13241083" cy="1010968"/>
          </a:xfrm>
        </cdr:grpSpPr>
        <cdr:sp macro="" textlink="">
          <cdr:nvSpPr>
            <cdr:cNvPr id="20" name="TextBox 141">
              <a:extLst xmlns:a="http://schemas.openxmlformats.org/drawingml/2006/main">
                <a:ext uri="{FF2B5EF4-FFF2-40B4-BE49-F238E27FC236}">
                  <a16:creationId xmlns:a16="http://schemas.microsoft.com/office/drawing/2014/main" id="{C7C3D568-736B-2C77-4A43-DD81D771DAE1}"/>
                </a:ext>
              </a:extLst>
            </cdr:cNvPr>
            <cdr:cNvSpPr txBox="1"/>
          </cdr:nvSpPr>
          <cdr:spPr>
            <a:xfrm xmlns:a="http://schemas.openxmlformats.org/drawingml/2006/main">
              <a:off x="-98948" y="-18063"/>
              <a:ext cx="1298843" cy="168562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VR Feed</a:t>
              </a:r>
            </a:p>
          </cdr:txBody>
        </cdr:sp>
        <cdr:sp macro="" textlink="">
          <cdr:nvSpPr>
            <cdr:cNvPr id="21" name="TextBox 143">
              <a:extLst xmlns:a="http://schemas.openxmlformats.org/drawingml/2006/main">
                <a:ext uri="{FF2B5EF4-FFF2-40B4-BE49-F238E27FC236}">
                  <a16:creationId xmlns:a16="http://schemas.microsoft.com/office/drawing/2014/main" id="{813CB0B2-9A36-FFA0-3A24-9214E08CFB76}"/>
                </a:ext>
              </a:extLst>
            </cdr:cNvPr>
            <cdr:cNvSpPr txBox="1"/>
          </cdr:nvSpPr>
          <cdr:spPr>
            <a:xfrm xmlns:a="http://schemas.openxmlformats.org/drawingml/2006/main">
              <a:off x="-137915" y="377074"/>
              <a:ext cx="1923102" cy="158767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MEBU LHSV, h-1</a:t>
              </a:r>
            </a:p>
          </cdr:txBody>
        </cdr:sp>
        <cdr:sp macro="" textlink="">
          <cdr:nvSpPr>
            <cdr:cNvPr id="22" name="TextBox 144">
              <a:extLst xmlns:a="http://schemas.openxmlformats.org/drawingml/2006/main">
                <a:ext uri="{FF2B5EF4-FFF2-40B4-BE49-F238E27FC236}">
                  <a16:creationId xmlns:a16="http://schemas.microsoft.com/office/drawing/2014/main" id="{E1AFA193-BE09-42F7-CC78-42FB99E76AFE}"/>
                </a:ext>
              </a:extLst>
            </cdr:cNvPr>
            <cdr:cNvSpPr txBox="1"/>
          </cdr:nvSpPr>
          <cdr:spPr>
            <a:xfrm xmlns:a="http://schemas.openxmlformats.org/drawingml/2006/main">
              <a:off x="-137915" y="722362"/>
              <a:ext cx="1661809" cy="168716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Temperature</a:t>
              </a:r>
            </a:p>
            <a:p xmlns:a="http://schemas.openxmlformats.org/drawingml/2006/main">
              <a:r>
                <a:rPr lang="en-US" sz="1100" b="1"/>
                <a:t>(Rx1/2/3)</a:t>
              </a:r>
            </a:p>
          </cdr:txBody>
        </cdr:sp>
        <cdr:cxnSp macro="">
          <cdr:nvCxnSpPr>
            <cdr:cNvPr id="23" name="Straight Arrow Connector 22">
              <a:extLst xmlns:a="http://schemas.openxmlformats.org/drawingml/2006/main">
                <a:ext uri="{FF2B5EF4-FFF2-40B4-BE49-F238E27FC236}">
                  <a16:creationId xmlns:a16="http://schemas.microsoft.com/office/drawing/2014/main" id="{49E3795D-1236-095C-CFA5-8959E8A1F8C2}"/>
                </a:ext>
              </a:extLst>
            </cdr:cNvPr>
            <cdr:cNvCxnSpPr/>
          </cdr:nvCxnSpPr>
          <cdr:spPr>
            <a:xfrm xmlns:a="http://schemas.openxmlformats.org/drawingml/2006/main">
              <a:off x="1751903" y="523399"/>
              <a:ext cx="2342079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4" name="Straight Arrow Connector 23">
              <a:extLst xmlns:a="http://schemas.openxmlformats.org/drawingml/2006/main">
                <a:ext uri="{FF2B5EF4-FFF2-40B4-BE49-F238E27FC236}">
                  <a16:creationId xmlns:a16="http://schemas.microsoft.com/office/drawing/2014/main" id="{45EF909A-5A06-06B9-3F0D-9C21D456892F}"/>
                </a:ext>
              </a:extLst>
            </cdr:cNvPr>
            <cdr:cNvCxnSpPr/>
          </cdr:nvCxnSpPr>
          <cdr:spPr>
            <a:xfrm xmlns:a="http://schemas.openxmlformats.org/drawingml/2006/main">
              <a:off x="1743504" y="895924"/>
              <a:ext cx="2342079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25" name="TextBox 151">
              <a:extLst xmlns:a="http://schemas.openxmlformats.org/drawingml/2006/main">
                <a:ext uri="{FF2B5EF4-FFF2-40B4-BE49-F238E27FC236}">
                  <a16:creationId xmlns:a16="http://schemas.microsoft.com/office/drawing/2014/main" id="{54ACD90F-EDBE-9FFA-522A-A012E63DD13B}"/>
                </a:ext>
              </a:extLst>
            </cdr:cNvPr>
            <cdr:cNvSpPr txBox="1"/>
          </cdr:nvSpPr>
          <cdr:spPr>
            <a:xfrm xmlns:a="http://schemas.openxmlformats.org/drawingml/2006/main">
              <a:off x="2414806" y="427859"/>
              <a:ext cx="764451" cy="192549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0.55</a:t>
              </a:r>
            </a:p>
          </cdr:txBody>
        </cdr:sp>
        <cdr:sp macro="" textlink="">
          <cdr:nvSpPr>
            <cdr:cNvPr id="26" name="TextBox 152">
              <a:extLst xmlns:a="http://schemas.openxmlformats.org/drawingml/2006/main">
                <a:ext uri="{FF2B5EF4-FFF2-40B4-BE49-F238E27FC236}">
                  <a16:creationId xmlns:a16="http://schemas.microsoft.com/office/drawing/2014/main" id="{1B9EB689-B707-8E0B-B50C-C014DD3CAADC}"/>
                </a:ext>
              </a:extLst>
            </cdr:cNvPr>
            <cdr:cNvSpPr txBox="1"/>
          </cdr:nvSpPr>
          <cdr:spPr>
            <a:xfrm xmlns:a="http://schemas.openxmlformats.org/drawingml/2006/main">
              <a:off x="2178685" y="800331"/>
              <a:ext cx="1631657" cy="17802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399/405/407</a:t>
              </a:r>
            </a:p>
          </cdr:txBody>
        </cdr:sp>
        <cdr:cxnSp macro="">
          <cdr:nvCxnSpPr>
            <cdr:cNvPr id="27" name="Straight Arrow Connector 26">
              <a:extLst xmlns:a="http://schemas.openxmlformats.org/drawingml/2006/main">
                <a:ext uri="{FF2B5EF4-FFF2-40B4-BE49-F238E27FC236}">
                  <a16:creationId xmlns:a16="http://schemas.microsoft.com/office/drawing/2014/main" id="{85D2923F-6512-92F6-C385-C4AE22A3E140}"/>
                </a:ext>
              </a:extLst>
            </cdr:cNvPr>
            <cdr:cNvCxnSpPr/>
          </cdr:nvCxnSpPr>
          <cdr:spPr>
            <a:xfrm xmlns:a="http://schemas.openxmlformats.org/drawingml/2006/main">
              <a:off x="1774737" y="102332"/>
              <a:ext cx="11315890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8" name="Straight Arrow Connector 27">
              <a:extLst xmlns:a="http://schemas.openxmlformats.org/drawingml/2006/main">
                <a:ext uri="{FF2B5EF4-FFF2-40B4-BE49-F238E27FC236}">
                  <a16:creationId xmlns:a16="http://schemas.microsoft.com/office/drawing/2014/main" id="{0B2381B4-DAD6-570E-BC8B-B041A73B5F3B}"/>
                </a:ext>
              </a:extLst>
            </cdr:cNvPr>
            <cdr:cNvCxnSpPr/>
          </cdr:nvCxnSpPr>
          <cdr:spPr>
            <a:xfrm xmlns:a="http://schemas.openxmlformats.org/drawingml/2006/main">
              <a:off x="4147261" y="517778"/>
              <a:ext cx="8918283" cy="2223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9" name="Straight Arrow Connector 28">
              <a:extLst xmlns:a="http://schemas.openxmlformats.org/drawingml/2006/main">
                <a:ext uri="{FF2B5EF4-FFF2-40B4-BE49-F238E27FC236}">
                  <a16:creationId xmlns:a16="http://schemas.microsoft.com/office/drawing/2014/main" id="{D9A4E12F-7CF2-E39A-D41C-92B71CFA162F}"/>
                </a:ext>
              </a:extLst>
            </cdr:cNvPr>
            <cdr:cNvCxnSpPr/>
          </cdr:nvCxnSpPr>
          <cdr:spPr>
            <a:xfrm xmlns:a="http://schemas.openxmlformats.org/drawingml/2006/main" flipV="1">
              <a:off x="4136810" y="891048"/>
              <a:ext cx="8966358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30" name="TextBox 160">
              <a:extLst xmlns:a="http://schemas.openxmlformats.org/drawingml/2006/main">
                <a:ext uri="{FF2B5EF4-FFF2-40B4-BE49-F238E27FC236}">
                  <a16:creationId xmlns:a16="http://schemas.microsoft.com/office/drawing/2014/main" id="{02A7D1ED-D9B4-D114-D757-AA5C44ED0C42}"/>
                </a:ext>
              </a:extLst>
            </cdr:cNvPr>
            <cdr:cNvSpPr txBox="1"/>
          </cdr:nvSpPr>
          <cdr:spPr>
            <a:xfrm xmlns:a="http://schemas.openxmlformats.org/drawingml/2006/main">
              <a:off x="4993387" y="-12549"/>
              <a:ext cx="4251396" cy="20503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A1 (50%BSH, 30%ARL, 20% other ME)</a:t>
              </a:r>
            </a:p>
          </cdr:txBody>
        </cdr:sp>
        <cdr:sp macro="" textlink="">
          <cdr:nvSpPr>
            <cdr:cNvPr id="31" name="TextBox 164">
              <a:extLst xmlns:a="http://schemas.openxmlformats.org/drawingml/2006/main">
                <a:ext uri="{FF2B5EF4-FFF2-40B4-BE49-F238E27FC236}">
                  <a16:creationId xmlns:a16="http://schemas.microsoft.com/office/drawing/2014/main" id="{F6294B97-5068-4E10-E68B-09CE2406E499}"/>
                </a:ext>
              </a:extLst>
            </cdr:cNvPr>
            <cdr:cNvSpPr txBox="1"/>
          </cdr:nvSpPr>
          <cdr:spPr>
            <a:xfrm xmlns:a="http://schemas.openxmlformats.org/drawingml/2006/main">
              <a:off x="5727172" y="402899"/>
              <a:ext cx="764452" cy="191908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0.32</a:t>
              </a:r>
            </a:p>
          </cdr:txBody>
        </cdr:sp>
        <cdr:sp macro="" textlink="">
          <cdr:nvSpPr>
            <cdr:cNvPr id="32" name="TextBox 166">
              <a:extLst xmlns:a="http://schemas.openxmlformats.org/drawingml/2006/main">
                <a:ext uri="{FF2B5EF4-FFF2-40B4-BE49-F238E27FC236}">
                  <a16:creationId xmlns:a16="http://schemas.microsoft.com/office/drawing/2014/main" id="{FC0F4C29-865B-7887-4758-31FCE1F2AA67}"/>
                </a:ext>
              </a:extLst>
            </cdr:cNvPr>
            <cdr:cNvSpPr txBox="1"/>
          </cdr:nvSpPr>
          <cdr:spPr>
            <a:xfrm xmlns:a="http://schemas.openxmlformats.org/drawingml/2006/main">
              <a:off x="5494626" y="796537"/>
              <a:ext cx="1538732" cy="196368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423/423/423</a:t>
              </a:r>
            </a:p>
          </cdr:txBody>
        </cdr:sp>
      </cdr:grpSp>
    </cdr:grpSp>
  </cdr:relSizeAnchor>
</c:userShapes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245806</xdr:colOff>
      <xdr:row>0</xdr:row>
      <xdr:rowOff>92178</xdr:rowOff>
    </xdr:from>
    <xdr:to>
      <xdr:col>21</xdr:col>
      <xdr:colOff>473224</xdr:colOff>
      <xdr:row>45</xdr:row>
      <xdr:rowOff>60223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4FB2DE-7670-4161-95AE-221836521D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.xml><?xml version="1.0" encoding="utf-8"?>
<c:userShapes xmlns:c="http://schemas.openxmlformats.org/drawingml/2006/chart">
  <cdr:relSizeAnchor xmlns:cdr="http://schemas.openxmlformats.org/drawingml/2006/chartDrawing">
    <cdr:from>
      <cdr:x>0.00408</cdr:x>
      <cdr:y>0.0039</cdr:y>
    </cdr:from>
    <cdr:to>
      <cdr:x>0.99964</cdr:x>
      <cdr:y>0.06736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FE14DDCC-C16C-18BE-CAE8-9D003DC3E779}"/>
            </a:ext>
          </a:extLst>
        </cdr:cNvPr>
        <cdr:cNvSpPr txBox="1"/>
      </cdr:nvSpPr>
      <cdr:spPr>
        <a:xfrm xmlns:a="http://schemas.openxmlformats.org/drawingml/2006/main">
          <a:off x="50512" y="33422"/>
          <a:ext cx="12325588" cy="543092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000" b="1">
              <a:effectLst/>
            </a:rPr>
            <a:t>Metal (Ni+V) on Catalyst</a:t>
          </a:r>
          <a:r>
            <a:rPr lang="en-US" sz="2000" b="1">
              <a:effectLst/>
              <a:latin typeface="+mn-lt"/>
              <a:ea typeface="+mn-ea"/>
              <a:cs typeface="+mn-cs"/>
            </a:rPr>
            <a:t>:</a:t>
          </a:r>
          <a:r>
            <a:rPr lang="en-US" sz="2000" b="1" baseline="0">
              <a:effectLst/>
              <a:latin typeface="+mn-lt"/>
              <a:ea typeface="+mn-ea"/>
              <a:cs typeface="+mn-cs"/>
            </a:rPr>
            <a:t> Repeat Acceptance Test</a:t>
          </a:r>
          <a:endParaRPr lang="en-US" sz="2000" b="1">
            <a:effectLst/>
          </a:endParaRPr>
        </a:p>
      </cdr:txBody>
    </cdr:sp>
  </cdr:relSizeAnchor>
  <cdr:relSizeAnchor xmlns:cdr="http://schemas.openxmlformats.org/drawingml/2006/chartDrawing">
    <cdr:from>
      <cdr:x>0.05479</cdr:x>
      <cdr:y>0.0867</cdr:y>
    </cdr:from>
    <cdr:to>
      <cdr:x>0.96315</cdr:x>
      <cdr:y>0.23825</cdr:y>
    </cdr:to>
    <cdr:grpSp>
      <cdr:nvGrpSpPr>
        <cdr:cNvPr id="25" name="Group 24">
          <a:extLst xmlns:a="http://schemas.openxmlformats.org/drawingml/2006/main">
            <a:ext uri="{FF2B5EF4-FFF2-40B4-BE49-F238E27FC236}">
              <a16:creationId xmlns:a16="http://schemas.microsoft.com/office/drawing/2014/main" id="{AF94F92D-65C8-54B1-E253-F269F038099C}"/>
            </a:ext>
          </a:extLst>
        </cdr:cNvPr>
        <cdr:cNvGrpSpPr/>
      </cdr:nvGrpSpPr>
      <cdr:grpSpPr>
        <a:xfrm xmlns:a="http://schemas.openxmlformats.org/drawingml/2006/main">
          <a:off x="682199" y="709497"/>
          <a:ext cx="11310143" cy="1240188"/>
          <a:chOff x="0" y="0"/>
          <a:chExt cx="9704725" cy="1585599"/>
        </a:xfrm>
      </cdr:grpSpPr>
      <cdr:grpSp>
        <cdr:nvGrpSpPr>
          <cdr:cNvPr id="26" name="Group 25">
            <a:extLst xmlns:a="http://schemas.openxmlformats.org/drawingml/2006/main">
              <a:ext uri="{FF2B5EF4-FFF2-40B4-BE49-F238E27FC236}">
                <a16:creationId xmlns:a16="http://schemas.microsoft.com/office/drawing/2014/main" id="{1D6EF1BD-8553-9010-432E-CB5D8E2F1E9F}"/>
              </a:ext>
            </a:extLst>
          </cdr:cNvPr>
          <cdr:cNvGrpSpPr/>
        </cdr:nvGrpSpPr>
        <cdr:grpSpPr>
          <a:xfrm xmlns:a="http://schemas.openxmlformats.org/drawingml/2006/main">
            <a:off x="0" y="0"/>
            <a:ext cx="9704725" cy="1585599"/>
            <a:chOff x="0" y="0"/>
            <a:chExt cx="13710523" cy="999897"/>
          </a:xfrm>
        </cdr:grpSpPr>
        <cdr:sp macro="" textlink="">
          <cdr:nvSpPr>
            <cdr:cNvPr id="27" name="TextBox 141">
              <a:extLst xmlns:a="http://schemas.openxmlformats.org/drawingml/2006/main">
                <a:ext uri="{FF2B5EF4-FFF2-40B4-BE49-F238E27FC236}">
                  <a16:creationId xmlns:a16="http://schemas.microsoft.com/office/drawing/2014/main" id="{69BD8EBE-05E5-81C0-804C-B53F44544470}"/>
                </a:ext>
              </a:extLst>
            </cdr:cNvPr>
            <cdr:cNvSpPr txBox="1"/>
          </cdr:nvSpPr>
          <cdr:spPr>
            <a:xfrm xmlns:a="http://schemas.openxmlformats.org/drawingml/2006/main">
              <a:off x="0" y="0"/>
              <a:ext cx="1023880" cy="158538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VR Feed</a:t>
              </a:r>
            </a:p>
          </cdr:txBody>
        </cdr:sp>
        <cdr:sp macro="" textlink="">
          <cdr:nvSpPr>
            <cdr:cNvPr id="28" name="TextBox 143">
              <a:extLst xmlns:a="http://schemas.openxmlformats.org/drawingml/2006/main">
                <a:ext uri="{FF2B5EF4-FFF2-40B4-BE49-F238E27FC236}">
                  <a16:creationId xmlns:a16="http://schemas.microsoft.com/office/drawing/2014/main" id="{9BC7E5F4-6A9F-247C-FA61-D27FB3A1D275}"/>
                </a:ext>
              </a:extLst>
            </cdr:cNvPr>
            <cdr:cNvSpPr txBox="1"/>
          </cdr:nvSpPr>
          <cdr:spPr>
            <a:xfrm xmlns:a="http://schemas.openxmlformats.org/drawingml/2006/main">
              <a:off x="218" y="395137"/>
              <a:ext cx="1429596" cy="239496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MEBU LHSV, h-1</a:t>
              </a:r>
            </a:p>
          </cdr:txBody>
        </cdr:sp>
        <cdr:sp macro="" textlink="">
          <cdr:nvSpPr>
            <cdr:cNvPr id="29" name="TextBox 144">
              <a:extLst xmlns:a="http://schemas.openxmlformats.org/drawingml/2006/main">
                <a:ext uri="{FF2B5EF4-FFF2-40B4-BE49-F238E27FC236}">
                  <a16:creationId xmlns:a16="http://schemas.microsoft.com/office/drawing/2014/main" id="{943D868E-4CAF-A509-B24A-788B0572C3B3}"/>
                </a:ext>
              </a:extLst>
            </cdr:cNvPr>
            <cdr:cNvSpPr txBox="1"/>
          </cdr:nvSpPr>
          <cdr:spPr>
            <a:xfrm xmlns:a="http://schemas.openxmlformats.org/drawingml/2006/main">
              <a:off x="30312" y="722362"/>
              <a:ext cx="1331268" cy="210429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Temperature</a:t>
              </a:r>
            </a:p>
            <a:p xmlns:a="http://schemas.openxmlformats.org/drawingml/2006/main">
              <a:r>
                <a:rPr lang="en-US" sz="1100" b="1"/>
                <a:t>(Rx1/2/3)</a:t>
              </a:r>
            </a:p>
          </cdr:txBody>
        </cdr:sp>
        <cdr:cxnSp macro="">
          <cdr:nvCxnSpPr>
            <cdr:cNvPr id="30" name="Straight Arrow Connector 29">
              <a:extLst xmlns:a="http://schemas.openxmlformats.org/drawingml/2006/main">
                <a:ext uri="{FF2B5EF4-FFF2-40B4-BE49-F238E27FC236}">
                  <a16:creationId xmlns:a16="http://schemas.microsoft.com/office/drawing/2014/main" id="{A81DAEA4-D87B-A8A0-1AFF-5C1198D226C9}"/>
                </a:ext>
              </a:extLst>
            </cdr:cNvPr>
            <cdr:cNvCxnSpPr/>
          </cdr:nvCxnSpPr>
          <cdr:spPr>
            <a:xfrm xmlns:a="http://schemas.openxmlformats.org/drawingml/2006/main">
              <a:off x="1438354" y="523399"/>
              <a:ext cx="2342079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31" name="Straight Arrow Connector 30">
              <a:extLst xmlns:a="http://schemas.openxmlformats.org/drawingml/2006/main">
                <a:ext uri="{FF2B5EF4-FFF2-40B4-BE49-F238E27FC236}">
                  <a16:creationId xmlns:a16="http://schemas.microsoft.com/office/drawing/2014/main" id="{A6510BA3-941B-2862-9FC5-484DA8177F1D}"/>
                </a:ext>
              </a:extLst>
            </cdr:cNvPr>
            <cdr:cNvCxnSpPr/>
          </cdr:nvCxnSpPr>
          <cdr:spPr>
            <a:xfrm xmlns:a="http://schemas.openxmlformats.org/drawingml/2006/main">
              <a:off x="1440407" y="901945"/>
              <a:ext cx="2342079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32" name="TextBox 151">
              <a:extLst xmlns:a="http://schemas.openxmlformats.org/drawingml/2006/main">
                <a:ext uri="{FF2B5EF4-FFF2-40B4-BE49-F238E27FC236}">
                  <a16:creationId xmlns:a16="http://schemas.microsoft.com/office/drawing/2014/main" id="{C414F90A-8898-62BF-2693-09A684C8B978}"/>
                </a:ext>
              </a:extLst>
            </cdr:cNvPr>
            <cdr:cNvSpPr txBox="1"/>
          </cdr:nvSpPr>
          <cdr:spPr>
            <a:xfrm xmlns:a="http://schemas.openxmlformats.org/drawingml/2006/main">
              <a:off x="2414806" y="427859"/>
              <a:ext cx="764451" cy="192549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0.55</a:t>
              </a:r>
            </a:p>
          </cdr:txBody>
        </cdr:sp>
        <cdr:sp macro="" textlink="">
          <cdr:nvSpPr>
            <cdr:cNvPr id="33" name="TextBox 152">
              <a:extLst xmlns:a="http://schemas.openxmlformats.org/drawingml/2006/main">
                <a:ext uri="{FF2B5EF4-FFF2-40B4-BE49-F238E27FC236}">
                  <a16:creationId xmlns:a16="http://schemas.microsoft.com/office/drawing/2014/main" id="{0DB622C7-1032-1DEF-7848-1BF86BAA802A}"/>
                </a:ext>
              </a:extLst>
            </cdr:cNvPr>
            <cdr:cNvSpPr txBox="1"/>
          </cdr:nvSpPr>
          <cdr:spPr>
            <a:xfrm xmlns:a="http://schemas.openxmlformats.org/drawingml/2006/main">
              <a:off x="2178685" y="800331"/>
              <a:ext cx="1234745" cy="199566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399/405/407</a:t>
              </a:r>
            </a:p>
          </cdr:txBody>
        </cdr:sp>
        <cdr:cxnSp macro="">
          <cdr:nvCxnSpPr>
            <cdr:cNvPr id="34" name="Straight Arrow Connector 33">
              <a:extLst xmlns:a="http://schemas.openxmlformats.org/drawingml/2006/main">
                <a:ext uri="{FF2B5EF4-FFF2-40B4-BE49-F238E27FC236}">
                  <a16:creationId xmlns:a16="http://schemas.microsoft.com/office/drawing/2014/main" id="{7A553194-D546-3E6C-93C4-52009A845682}"/>
                </a:ext>
              </a:extLst>
            </cdr:cNvPr>
            <cdr:cNvCxnSpPr/>
          </cdr:nvCxnSpPr>
          <cdr:spPr>
            <a:xfrm xmlns:a="http://schemas.openxmlformats.org/drawingml/2006/main" flipV="1">
              <a:off x="1468019" y="128594"/>
              <a:ext cx="12212956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35" name="Straight Arrow Connector 34">
              <a:extLst xmlns:a="http://schemas.openxmlformats.org/drawingml/2006/main">
                <a:ext uri="{FF2B5EF4-FFF2-40B4-BE49-F238E27FC236}">
                  <a16:creationId xmlns:a16="http://schemas.microsoft.com/office/drawing/2014/main" id="{2E4AC505-3C75-2CC5-7E41-150E791CD10D}"/>
                </a:ext>
              </a:extLst>
            </cdr:cNvPr>
            <cdr:cNvCxnSpPr/>
          </cdr:nvCxnSpPr>
          <cdr:spPr>
            <a:xfrm xmlns:a="http://schemas.openxmlformats.org/drawingml/2006/main" flipV="1">
              <a:off x="3931316" y="532143"/>
              <a:ext cx="9749658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36" name="Straight Arrow Connector 35">
              <a:extLst xmlns:a="http://schemas.openxmlformats.org/drawingml/2006/main">
                <a:ext uri="{FF2B5EF4-FFF2-40B4-BE49-F238E27FC236}">
                  <a16:creationId xmlns:a16="http://schemas.microsoft.com/office/drawing/2014/main" id="{4EB3F8B0-F45C-91B5-EBBA-8BF801F1790C}"/>
                </a:ext>
              </a:extLst>
            </cdr:cNvPr>
            <cdr:cNvCxnSpPr/>
          </cdr:nvCxnSpPr>
          <cdr:spPr>
            <a:xfrm xmlns:a="http://schemas.openxmlformats.org/drawingml/2006/main" flipV="1">
              <a:off x="3933959" y="910070"/>
              <a:ext cx="9776564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37" name="TextBox 160">
              <a:extLst xmlns:a="http://schemas.openxmlformats.org/drawingml/2006/main">
                <a:ext uri="{FF2B5EF4-FFF2-40B4-BE49-F238E27FC236}">
                  <a16:creationId xmlns:a16="http://schemas.microsoft.com/office/drawing/2014/main" id="{C1310A56-C4CA-8C72-72F6-12660C4C8F6E}"/>
                </a:ext>
              </a:extLst>
            </cdr:cNvPr>
            <cdr:cNvSpPr txBox="1"/>
          </cdr:nvSpPr>
          <cdr:spPr>
            <a:xfrm xmlns:a="http://schemas.openxmlformats.org/drawingml/2006/main">
              <a:off x="4190767" y="37340"/>
              <a:ext cx="3160173" cy="20503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A1 (50%BSH, 30%ARL, 20% other ME)</a:t>
              </a:r>
            </a:p>
          </cdr:txBody>
        </cdr:sp>
        <cdr:sp macro="" textlink="">
          <cdr:nvSpPr>
            <cdr:cNvPr id="38" name="TextBox 164">
              <a:extLst xmlns:a="http://schemas.openxmlformats.org/drawingml/2006/main">
                <a:ext uri="{FF2B5EF4-FFF2-40B4-BE49-F238E27FC236}">
                  <a16:creationId xmlns:a16="http://schemas.microsoft.com/office/drawing/2014/main" id="{50A941D9-80C1-72A6-D0B4-9C2650338494}"/>
                </a:ext>
              </a:extLst>
            </cdr:cNvPr>
            <cdr:cNvSpPr txBox="1"/>
          </cdr:nvSpPr>
          <cdr:spPr>
            <a:xfrm xmlns:a="http://schemas.openxmlformats.org/drawingml/2006/main">
              <a:off x="5727172" y="402899"/>
              <a:ext cx="764452" cy="191908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0.32</a:t>
              </a:r>
            </a:p>
          </cdr:txBody>
        </cdr:sp>
        <cdr:sp macro="" textlink="">
          <cdr:nvSpPr>
            <cdr:cNvPr id="39" name="TextBox 166">
              <a:extLst xmlns:a="http://schemas.openxmlformats.org/drawingml/2006/main">
                <a:ext uri="{FF2B5EF4-FFF2-40B4-BE49-F238E27FC236}">
                  <a16:creationId xmlns:a16="http://schemas.microsoft.com/office/drawing/2014/main" id="{3056B5D0-439B-2DDE-6374-42C0E1C7E758}"/>
                </a:ext>
              </a:extLst>
            </cdr:cNvPr>
            <cdr:cNvSpPr txBox="1"/>
          </cdr:nvSpPr>
          <cdr:spPr>
            <a:xfrm xmlns:a="http://schemas.openxmlformats.org/drawingml/2006/main">
              <a:off x="5494628" y="796536"/>
              <a:ext cx="1240188" cy="199567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423/423/423</a:t>
              </a:r>
            </a:p>
          </cdr:txBody>
        </cdr:sp>
      </cdr:grpSp>
    </cdr:grpSp>
  </cdr:relSizeAnchor>
</c:userShapes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557018</xdr:colOff>
      <xdr:row>5</xdr:row>
      <xdr:rowOff>93401</xdr:rowOff>
    </xdr:from>
    <xdr:to>
      <xdr:col>51</xdr:col>
      <xdr:colOff>61387</xdr:colOff>
      <xdr:row>51</xdr:row>
      <xdr:rowOff>122115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DB765A-7A92-4C21-9694-B7FEBC0CE1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354384</xdr:colOff>
      <xdr:row>6</xdr:row>
      <xdr:rowOff>34324</xdr:rowOff>
    </xdr:from>
    <xdr:to>
      <xdr:col>20</xdr:col>
      <xdr:colOff>42996</xdr:colOff>
      <xdr:row>52</xdr:row>
      <xdr:rowOff>117150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791B37F2-7DCF-12CC-1D9E-20A9F8280E08}"/>
            </a:ext>
          </a:extLst>
        </xdr:cNvPr>
        <xdr:cNvGrpSpPr/>
      </xdr:nvGrpSpPr>
      <xdr:grpSpPr>
        <a:xfrm>
          <a:off x="354384" y="1122895"/>
          <a:ext cx="12570041" cy="8428541"/>
          <a:chOff x="422193" y="-55206"/>
          <a:chExt cx="11863634" cy="7660856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ED85CA5B-5A9C-43B9-A194-F9CEBB00AEFE}"/>
              </a:ext>
            </a:extLst>
          </xdr:cNvPr>
          <xdr:cNvGraphicFramePr>
            <a:graphicFrameLocks/>
          </xdr:cNvGraphicFramePr>
        </xdr:nvGraphicFramePr>
        <xdr:xfrm>
          <a:off x="422193" y="-55206"/>
          <a:ext cx="11863634" cy="766085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4" name="TextBox 2">
            <a:extLst>
              <a:ext uri="{FF2B5EF4-FFF2-40B4-BE49-F238E27FC236}">
                <a16:creationId xmlns:a16="http://schemas.microsoft.com/office/drawing/2014/main" id="{48D62D2C-B5C4-2384-D59A-F1C857052CC1}"/>
              </a:ext>
            </a:extLst>
          </xdr:cNvPr>
          <xdr:cNvSpPr txBox="1"/>
        </xdr:nvSpPr>
        <xdr:spPr>
          <a:xfrm>
            <a:off x="477264" y="-29628"/>
            <a:ext cx="11800259" cy="379340"/>
          </a:xfrm>
          <a:prstGeom prst="rect">
            <a:avLst/>
          </a:prstGeom>
          <a:solidFill>
            <a:srgbClr val="CCFFCC"/>
          </a:solidFill>
        </xdr:spPr>
        <xdr:txBody>
          <a:bodyPr wrap="square" rtlCol="0" anchor="ctr" anchorCtr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 sz="2400" b="1">
                <a:effectLst/>
              </a:rPr>
              <a:t>Breakdown Yield: Repeat Acceptance</a:t>
            </a:r>
            <a:r>
              <a:rPr lang="en-US" sz="2400" b="1" baseline="0">
                <a:effectLst/>
              </a:rPr>
              <a:t> Test</a:t>
            </a:r>
            <a:endParaRPr lang="en-US" sz="2400" b="1">
              <a:effectLst/>
            </a:endParaRPr>
          </a:p>
        </xdr:txBody>
      </xdr:sp>
    </xdr:grpSp>
    <xdr:clientData/>
  </xdr:twoCellAnchor>
  <xdr:twoCellAnchor>
    <xdr:from>
      <xdr:col>54</xdr:col>
      <xdr:colOff>429055</xdr:colOff>
      <xdr:row>5</xdr:row>
      <xdr:rowOff>51486</xdr:rowOff>
    </xdr:from>
    <xdr:to>
      <xdr:col>73</xdr:col>
      <xdr:colOff>568424</xdr:colOff>
      <xdr:row>51</xdr:row>
      <xdr:rowOff>80200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97DC082-8A1B-4355-B8E5-25C0B2D970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345514</xdr:colOff>
      <xdr:row>55</xdr:row>
      <xdr:rowOff>168088</xdr:rowOff>
    </xdr:from>
    <xdr:to>
      <xdr:col>20</xdr:col>
      <xdr:colOff>34126</xdr:colOff>
      <xdr:row>102</xdr:row>
      <xdr:rowOff>64150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52C3F9A0-DA83-4B7B-81E9-4A21AFD7C8C7}"/>
            </a:ext>
          </a:extLst>
        </xdr:cNvPr>
        <xdr:cNvGrpSpPr/>
      </xdr:nvGrpSpPr>
      <xdr:grpSpPr>
        <a:xfrm>
          <a:off x="345514" y="10146659"/>
          <a:ext cx="12570041" cy="8423205"/>
          <a:chOff x="422193" y="-55206"/>
          <a:chExt cx="11863634" cy="7660856"/>
        </a:xfrm>
      </xdr:grpSpPr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848ED4AA-9577-417E-16B2-623EA2D15A07}"/>
              </a:ext>
            </a:extLst>
          </xdr:cNvPr>
          <xdr:cNvGraphicFramePr>
            <a:graphicFrameLocks/>
          </xdr:cNvGraphicFramePr>
        </xdr:nvGraphicFramePr>
        <xdr:xfrm>
          <a:off x="422193" y="-55206"/>
          <a:ext cx="11863634" cy="766085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9" name="TextBox 2">
            <a:extLst>
              <a:ext uri="{FF2B5EF4-FFF2-40B4-BE49-F238E27FC236}">
                <a16:creationId xmlns:a16="http://schemas.microsoft.com/office/drawing/2014/main" id="{CFB20690-A4BD-FC7F-1485-6CC00A0306BD}"/>
              </a:ext>
            </a:extLst>
          </xdr:cNvPr>
          <xdr:cNvSpPr txBox="1"/>
        </xdr:nvSpPr>
        <xdr:spPr>
          <a:xfrm>
            <a:off x="477264" y="-29628"/>
            <a:ext cx="11800259" cy="379340"/>
          </a:xfrm>
          <a:prstGeom prst="rect">
            <a:avLst/>
          </a:prstGeom>
          <a:solidFill>
            <a:srgbClr val="CCFFCC"/>
          </a:solidFill>
        </xdr:spPr>
        <xdr:txBody>
          <a:bodyPr wrap="square" rtlCol="0" anchor="ctr" anchorCtr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 sz="2400" b="1">
                <a:effectLst/>
              </a:rPr>
              <a:t>Breakdown Yield: Repeat</a:t>
            </a:r>
            <a:r>
              <a:rPr lang="en-US" sz="2400" b="1" baseline="0">
                <a:effectLst/>
              </a:rPr>
              <a:t> Acceptance Test</a:t>
            </a:r>
            <a:endParaRPr lang="en-US" sz="2400" b="1">
              <a:effectLst/>
            </a:endParaRPr>
          </a:p>
        </xdr:txBody>
      </xdr:sp>
    </xdr:grpSp>
    <xdr:clientData/>
  </xdr:twoCellAnchor>
  <xdr:twoCellAnchor>
    <xdr:from>
      <xdr:col>0</xdr:col>
      <xdr:colOff>382868</xdr:colOff>
      <xdr:row>105</xdr:row>
      <xdr:rowOff>130736</xdr:rowOff>
    </xdr:from>
    <xdr:to>
      <xdr:col>20</xdr:col>
      <xdr:colOff>71480</xdr:colOff>
      <xdr:row>152</xdr:row>
      <xdr:rowOff>26798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1A8522D0-4045-485C-88D4-DAA90EA36ADE}"/>
            </a:ext>
          </a:extLst>
        </xdr:cNvPr>
        <xdr:cNvGrpSpPr/>
      </xdr:nvGrpSpPr>
      <xdr:grpSpPr>
        <a:xfrm>
          <a:off x="382868" y="19180736"/>
          <a:ext cx="12570041" cy="8423205"/>
          <a:chOff x="422193" y="-55206"/>
          <a:chExt cx="11863634" cy="7660856"/>
        </a:xfrm>
      </xdr:grpSpPr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3B0239DB-4A1A-6534-F8F3-93B5E673C2CD}"/>
              </a:ext>
            </a:extLst>
          </xdr:cNvPr>
          <xdr:cNvGraphicFramePr>
            <a:graphicFrameLocks/>
          </xdr:cNvGraphicFramePr>
        </xdr:nvGraphicFramePr>
        <xdr:xfrm>
          <a:off x="422193" y="-55206"/>
          <a:ext cx="11863634" cy="766085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12" name="TextBox 2">
            <a:extLst>
              <a:ext uri="{FF2B5EF4-FFF2-40B4-BE49-F238E27FC236}">
                <a16:creationId xmlns:a16="http://schemas.microsoft.com/office/drawing/2014/main" id="{AB404D60-A67C-C59B-4465-0CD0755DC1FA}"/>
              </a:ext>
            </a:extLst>
          </xdr:cNvPr>
          <xdr:cNvSpPr txBox="1"/>
        </xdr:nvSpPr>
        <xdr:spPr>
          <a:xfrm>
            <a:off x="477264" y="-29628"/>
            <a:ext cx="11800259" cy="379340"/>
          </a:xfrm>
          <a:prstGeom prst="rect">
            <a:avLst/>
          </a:prstGeom>
          <a:solidFill>
            <a:srgbClr val="CCFFCC"/>
          </a:solidFill>
        </xdr:spPr>
        <xdr:txBody>
          <a:bodyPr wrap="square" rtlCol="0" anchor="ctr" anchorCtr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 sz="2400" b="1">
                <a:effectLst/>
              </a:rPr>
              <a:t>Breakdown Yield: </a:t>
            </a:r>
            <a:r>
              <a:rPr lang="en-US" sz="2400" b="1" i="0" baseline="0">
                <a:effectLst/>
                <a:latin typeface="+mn-lt"/>
                <a:ea typeface="+mn-ea"/>
                <a:cs typeface="+mn-cs"/>
              </a:rPr>
              <a:t>Repeat Acceptace Test</a:t>
            </a:r>
            <a:endParaRPr lang="en-US" sz="2400" b="1">
              <a:effectLst/>
            </a:endParaRPr>
          </a:p>
        </xdr:txBody>
      </xdr:sp>
    </xdr:grpSp>
    <xdr:clientData/>
  </xdr:twoCellAnchor>
  <xdr:twoCellAnchor>
    <xdr:from>
      <xdr:col>20</xdr:col>
      <xdr:colOff>359369</xdr:colOff>
      <xdr:row>55</xdr:row>
      <xdr:rowOff>181942</xdr:rowOff>
    </xdr:from>
    <xdr:to>
      <xdr:col>40</xdr:col>
      <xdr:colOff>47981</xdr:colOff>
      <xdr:row>102</xdr:row>
      <xdr:rowOff>78004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9E596FFF-54AA-A523-33CE-EA96C1B89786}"/>
            </a:ext>
          </a:extLst>
        </xdr:cNvPr>
        <xdr:cNvGrpSpPr/>
      </xdr:nvGrpSpPr>
      <xdr:grpSpPr>
        <a:xfrm>
          <a:off x="13240798" y="10160513"/>
          <a:ext cx="12570040" cy="8423205"/>
          <a:chOff x="422193" y="-55206"/>
          <a:chExt cx="11863634" cy="7660856"/>
        </a:xfrm>
      </xdr:grpSpPr>
      <xdr:graphicFrame macro="">
        <xdr:nvGraphicFramePr>
          <xdr:cNvPr id="14" name="Chart 13">
            <a:extLst>
              <a:ext uri="{FF2B5EF4-FFF2-40B4-BE49-F238E27FC236}">
                <a16:creationId xmlns:a16="http://schemas.microsoft.com/office/drawing/2014/main" id="{BC2A2D02-CA07-D3CD-A7FF-8327F8EE707B}"/>
              </a:ext>
            </a:extLst>
          </xdr:cNvPr>
          <xdr:cNvGraphicFramePr>
            <a:graphicFrameLocks/>
          </xdr:cNvGraphicFramePr>
        </xdr:nvGraphicFramePr>
        <xdr:xfrm>
          <a:off x="422193" y="-55206"/>
          <a:ext cx="11863634" cy="766085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15" name="TextBox 2">
            <a:extLst>
              <a:ext uri="{FF2B5EF4-FFF2-40B4-BE49-F238E27FC236}">
                <a16:creationId xmlns:a16="http://schemas.microsoft.com/office/drawing/2014/main" id="{910B6DB4-D37F-61CF-548D-39FF3554536A}"/>
              </a:ext>
            </a:extLst>
          </xdr:cNvPr>
          <xdr:cNvSpPr txBox="1"/>
        </xdr:nvSpPr>
        <xdr:spPr>
          <a:xfrm>
            <a:off x="477264" y="-29628"/>
            <a:ext cx="11800259" cy="379340"/>
          </a:xfrm>
          <a:prstGeom prst="rect">
            <a:avLst/>
          </a:prstGeom>
          <a:solidFill>
            <a:srgbClr val="CCFFCC"/>
          </a:solidFill>
        </xdr:spPr>
        <xdr:txBody>
          <a:bodyPr wrap="square" rtlCol="0" anchor="ctr" anchorCtr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 sz="2400" b="1">
                <a:effectLst/>
              </a:rPr>
              <a:t>Breakdown Yield: Repeat</a:t>
            </a:r>
            <a:r>
              <a:rPr lang="en-US" sz="2400" b="1" baseline="0">
                <a:effectLst/>
              </a:rPr>
              <a:t> Acceptance Test</a:t>
            </a:r>
            <a:endParaRPr lang="en-US" sz="2400" b="1">
              <a:effectLst/>
            </a:endParaRPr>
          </a:p>
        </xdr:txBody>
      </xdr:sp>
    </xdr:grpSp>
    <xdr:clientData/>
  </xdr:twoCellAnchor>
</xdr:wsDr>
</file>

<file path=xl/drawings/drawing45.xml><?xml version="1.0" encoding="utf-8"?>
<c:userShapes xmlns:c="http://schemas.openxmlformats.org/drawingml/2006/chart">
  <cdr:relSizeAnchor xmlns:cdr="http://schemas.openxmlformats.org/drawingml/2006/chartDrawing">
    <cdr:from>
      <cdr:x>0.00457</cdr:x>
      <cdr:y>0.00762</cdr:y>
    </cdr:from>
    <cdr:to>
      <cdr:x>0.99977</cdr:x>
      <cdr:y>0.06132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4C09D6D7-25BE-4BA4-4146-6A1E2650E496}"/>
            </a:ext>
          </a:extLst>
        </cdr:cNvPr>
        <cdr:cNvSpPr txBox="1"/>
      </cdr:nvSpPr>
      <cdr:spPr>
        <a:xfrm xmlns:a="http://schemas.openxmlformats.org/drawingml/2006/main">
          <a:off x="50800" y="50799"/>
          <a:ext cx="11067081" cy="358184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Gas Yield: </a:t>
          </a:r>
          <a:r>
            <a:rPr lang="en-US" sz="2400" b="1" i="0" baseline="0">
              <a:effectLst/>
              <a:latin typeface="+mn-lt"/>
              <a:ea typeface="+mn-ea"/>
              <a:cs typeface="+mn-cs"/>
            </a:rPr>
            <a:t>Low &amp; High Sedimentation</a:t>
          </a:r>
          <a:endParaRPr lang="en-US" sz="2400" b="1">
            <a:effectLst/>
          </a:endParaRPr>
        </a:p>
      </cdr:txBody>
    </cdr:sp>
  </cdr:relSizeAnchor>
  <cdr:relSizeAnchor xmlns:cdr="http://schemas.openxmlformats.org/drawingml/2006/chartDrawing">
    <cdr:from>
      <cdr:x>0.03155</cdr:x>
      <cdr:y>0.07823</cdr:y>
    </cdr:from>
    <cdr:to>
      <cdr:x>0.84891</cdr:x>
      <cdr:y>0.21099</cdr:y>
    </cdr:to>
    <cdr:grpSp>
      <cdr:nvGrpSpPr>
        <cdr:cNvPr id="3" name="Group 2">
          <a:extLst xmlns:a="http://schemas.openxmlformats.org/drawingml/2006/main">
            <a:ext uri="{FF2B5EF4-FFF2-40B4-BE49-F238E27FC236}">
              <a16:creationId xmlns:a16="http://schemas.microsoft.com/office/drawing/2014/main" id="{F1F3BB19-E7BC-4522-C888-D443A6679AA1}"/>
            </a:ext>
          </a:extLst>
        </cdr:cNvPr>
        <cdr:cNvGrpSpPr/>
      </cdr:nvGrpSpPr>
      <cdr:grpSpPr>
        <a:xfrm xmlns:a="http://schemas.openxmlformats.org/drawingml/2006/main">
          <a:off x="379324" y="687776"/>
          <a:ext cx="9827070" cy="1167188"/>
          <a:chOff x="0" y="0"/>
          <a:chExt cx="7024765" cy="971063"/>
        </a:xfrm>
      </cdr:grpSpPr>
      <cdr:cxnSp macro="">
        <cdr:nvCxnSpPr>
          <cdr:cNvPr id="4" name="Straight Arrow Connector 3">
            <a:extLst xmlns:a="http://schemas.openxmlformats.org/drawingml/2006/main">
              <a:ext uri="{FF2B5EF4-FFF2-40B4-BE49-F238E27FC236}">
                <a16:creationId xmlns:a16="http://schemas.microsoft.com/office/drawing/2014/main" id="{A31517B1-CF42-E6A5-FCA9-78EE196EA493}"/>
              </a:ext>
            </a:extLst>
          </cdr:cNvPr>
          <cdr:cNvCxnSpPr/>
        </cdr:nvCxnSpPr>
        <cdr:spPr>
          <a:xfrm xmlns:a="http://schemas.openxmlformats.org/drawingml/2006/main">
            <a:off x="4976049" y="125272"/>
            <a:ext cx="2031855" cy="14088"/>
          </a:xfrm>
          <a:prstGeom xmlns:a="http://schemas.openxmlformats.org/drawingml/2006/main" prst="straightConnector1">
            <a:avLst/>
          </a:prstGeom>
          <a:ln xmlns:a="http://schemas.openxmlformats.org/drawingml/2006/main">
            <a:solidFill>
              <a:schemeClr val="tx1"/>
            </a:solidFill>
            <a:prstDash val="sysDash"/>
            <a:headEnd type="triangle"/>
            <a:tailEnd type="triangle"/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grpSp>
        <cdr:nvGrpSpPr>
          <cdr:cNvPr id="5" name="Group 4">
            <a:extLst xmlns:a="http://schemas.openxmlformats.org/drawingml/2006/main">
              <a:ext uri="{FF2B5EF4-FFF2-40B4-BE49-F238E27FC236}">
                <a16:creationId xmlns:a16="http://schemas.microsoft.com/office/drawing/2014/main" id="{58A82C0E-7C43-2783-2EEA-7AB25DF7F246}"/>
              </a:ext>
            </a:extLst>
          </cdr:cNvPr>
          <cdr:cNvGrpSpPr/>
        </cdr:nvGrpSpPr>
        <cdr:grpSpPr>
          <a:xfrm xmlns:a="http://schemas.openxmlformats.org/drawingml/2006/main">
            <a:off x="0" y="0"/>
            <a:ext cx="7024765" cy="971063"/>
            <a:chOff x="0" y="0"/>
            <a:chExt cx="9093005" cy="1134578"/>
          </a:xfrm>
        </cdr:grpSpPr>
        <cdr:sp macro="" textlink="">
          <cdr:nvSpPr>
            <cdr:cNvPr id="6" name="TextBox 141">
              <a:extLst xmlns:a="http://schemas.openxmlformats.org/drawingml/2006/main">
                <a:ext uri="{FF2B5EF4-FFF2-40B4-BE49-F238E27FC236}">
                  <a16:creationId xmlns:a16="http://schemas.microsoft.com/office/drawing/2014/main" id="{41A874F5-D929-3594-C069-C2337F4E7DF4}"/>
                </a:ext>
              </a:extLst>
            </cdr:cNvPr>
            <cdr:cNvSpPr txBox="1"/>
          </cdr:nvSpPr>
          <cdr:spPr>
            <a:xfrm xmlns:a="http://schemas.openxmlformats.org/drawingml/2006/main">
              <a:off x="12088" y="28221"/>
              <a:ext cx="883021" cy="200718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Feed</a:t>
              </a:r>
            </a:p>
          </cdr:txBody>
        </cdr:sp>
        <cdr:sp macro="" textlink="">
          <cdr:nvSpPr>
            <cdr:cNvPr id="7" name="TextBox 142">
              <a:extLst xmlns:a="http://schemas.openxmlformats.org/drawingml/2006/main">
                <a:ext uri="{FF2B5EF4-FFF2-40B4-BE49-F238E27FC236}">
                  <a16:creationId xmlns:a16="http://schemas.microsoft.com/office/drawing/2014/main" id="{93D20547-A66C-CC55-5DA6-BE3DB9EC3B76}"/>
                </a:ext>
              </a:extLst>
            </cdr:cNvPr>
            <cdr:cNvSpPr txBox="1"/>
          </cdr:nvSpPr>
          <cdr:spPr>
            <a:xfrm xmlns:a="http://schemas.openxmlformats.org/drawingml/2006/main">
              <a:off x="0" y="275562"/>
              <a:ext cx="883021" cy="200718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Split</a:t>
              </a:r>
            </a:p>
          </cdr:txBody>
        </cdr:sp>
        <cdr:sp macro="" textlink="">
          <cdr:nvSpPr>
            <cdr:cNvPr id="8" name="TextBox 143">
              <a:extLst xmlns:a="http://schemas.openxmlformats.org/drawingml/2006/main">
                <a:ext uri="{FF2B5EF4-FFF2-40B4-BE49-F238E27FC236}">
                  <a16:creationId xmlns:a16="http://schemas.microsoft.com/office/drawing/2014/main" id="{9AC2972E-DF40-0C1A-DDAF-1B96807B79F4}"/>
                </a:ext>
              </a:extLst>
            </cdr:cNvPr>
            <cdr:cNvSpPr txBox="1"/>
          </cdr:nvSpPr>
          <cdr:spPr>
            <a:xfrm xmlns:a="http://schemas.openxmlformats.org/drawingml/2006/main">
              <a:off x="7271" y="538185"/>
              <a:ext cx="1148121" cy="266413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LCF LHSV</a:t>
              </a:r>
            </a:p>
          </cdr:txBody>
        </cdr:sp>
        <cdr:sp macro="" textlink="">
          <cdr:nvSpPr>
            <cdr:cNvPr id="9" name="TextBox 144">
              <a:extLst xmlns:a="http://schemas.openxmlformats.org/drawingml/2006/main">
                <a:ext uri="{FF2B5EF4-FFF2-40B4-BE49-F238E27FC236}">
                  <a16:creationId xmlns:a16="http://schemas.microsoft.com/office/drawing/2014/main" id="{8CA59505-4DF9-5068-F759-62888F9A8D3A}"/>
                </a:ext>
              </a:extLst>
            </cdr:cNvPr>
            <cdr:cNvSpPr txBox="1"/>
          </cdr:nvSpPr>
          <cdr:spPr>
            <a:xfrm xmlns:a="http://schemas.openxmlformats.org/drawingml/2006/main">
              <a:off x="559" y="867035"/>
              <a:ext cx="1148121" cy="266413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Temperature</a:t>
              </a:r>
            </a:p>
          </cdr:txBody>
        </cdr:sp>
        <cdr:cxnSp macro="">
          <cdr:nvCxnSpPr>
            <cdr:cNvPr id="10" name="Straight Arrow Connector 9">
              <a:extLst xmlns:a="http://schemas.openxmlformats.org/drawingml/2006/main">
                <a:ext uri="{FF2B5EF4-FFF2-40B4-BE49-F238E27FC236}">
                  <a16:creationId xmlns:a16="http://schemas.microsoft.com/office/drawing/2014/main" id="{14FCE1F4-C4C1-8779-53DA-CB20F1BE8CAF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43467" y="149467"/>
              <a:ext cx="2019871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1" name="Straight Arrow Connector 10">
              <a:extLst xmlns:a="http://schemas.openxmlformats.org/drawingml/2006/main">
                <a:ext uri="{FF2B5EF4-FFF2-40B4-BE49-F238E27FC236}">
                  <a16:creationId xmlns:a16="http://schemas.microsoft.com/office/drawing/2014/main" id="{72087FB8-D20C-399D-CB0F-8B171861FD85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36753" y="383561"/>
              <a:ext cx="2019871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2" name="Straight Arrow Connector 11">
              <a:extLst xmlns:a="http://schemas.openxmlformats.org/drawingml/2006/main">
                <a:ext uri="{FF2B5EF4-FFF2-40B4-BE49-F238E27FC236}">
                  <a16:creationId xmlns:a16="http://schemas.microsoft.com/office/drawing/2014/main" id="{9F82C509-0CE3-1C79-25E6-68BD329C1F36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71989" y="644147"/>
              <a:ext cx="2019871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3" name="Straight Arrow Connector 12">
              <a:extLst xmlns:a="http://schemas.openxmlformats.org/drawingml/2006/main">
                <a:ext uri="{FF2B5EF4-FFF2-40B4-BE49-F238E27FC236}">
                  <a16:creationId xmlns:a16="http://schemas.microsoft.com/office/drawing/2014/main" id="{102F5B51-184D-42DC-F47C-6DBB2A794028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51296" y="999487"/>
              <a:ext cx="2019871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14" name="TextBox 149">
              <a:extLst xmlns:a="http://schemas.openxmlformats.org/drawingml/2006/main">
                <a:ext uri="{FF2B5EF4-FFF2-40B4-BE49-F238E27FC236}">
                  <a16:creationId xmlns:a16="http://schemas.microsoft.com/office/drawing/2014/main" id="{97B4F3D2-008B-1AEE-A5A8-87B08F640188}"/>
                </a:ext>
              </a:extLst>
            </cdr:cNvPr>
            <cdr:cNvSpPr txBox="1"/>
          </cdr:nvSpPr>
          <cdr:spPr>
            <a:xfrm xmlns:a="http://schemas.openxmlformats.org/drawingml/2006/main">
              <a:off x="1697181" y="28224"/>
              <a:ext cx="656298" cy="18420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ME SR</a:t>
              </a:r>
            </a:p>
          </cdr:txBody>
        </cdr:sp>
        <cdr:sp macro="" textlink="">
          <cdr:nvSpPr>
            <cdr:cNvPr id="15" name="TextBox 150">
              <a:extLst xmlns:a="http://schemas.openxmlformats.org/drawingml/2006/main">
                <a:ext uri="{FF2B5EF4-FFF2-40B4-BE49-F238E27FC236}">
                  <a16:creationId xmlns:a16="http://schemas.microsoft.com/office/drawing/2014/main" id="{7E54A026-61CA-5807-BBA7-EA6499279101}"/>
                </a:ext>
              </a:extLst>
            </cdr:cNvPr>
            <cdr:cNvSpPr txBox="1"/>
          </cdr:nvSpPr>
          <cdr:spPr>
            <a:xfrm xmlns:a="http://schemas.openxmlformats.org/drawingml/2006/main">
              <a:off x="1696061" y="275563"/>
              <a:ext cx="657417" cy="22500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70/30</a:t>
              </a:r>
            </a:p>
          </cdr:txBody>
        </cdr:sp>
        <cdr:sp macro="" textlink="">
          <cdr:nvSpPr>
            <cdr:cNvPr id="16" name="TextBox 151">
              <a:extLst xmlns:a="http://schemas.openxmlformats.org/drawingml/2006/main">
                <a:ext uri="{FF2B5EF4-FFF2-40B4-BE49-F238E27FC236}">
                  <a16:creationId xmlns:a16="http://schemas.microsoft.com/office/drawing/2014/main" id="{B35DB947-34F7-FDFF-D2E5-C2950DFA86D2}"/>
                </a:ext>
              </a:extLst>
            </cdr:cNvPr>
            <cdr:cNvSpPr txBox="1"/>
          </cdr:nvSpPr>
          <cdr:spPr>
            <a:xfrm xmlns:a="http://schemas.openxmlformats.org/drawingml/2006/main">
              <a:off x="1695413" y="550315"/>
              <a:ext cx="659283" cy="243776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0.378</a:t>
              </a:r>
            </a:p>
          </cdr:txBody>
        </cdr:sp>
        <cdr:sp macro="" textlink="">
          <cdr:nvSpPr>
            <cdr:cNvPr id="17" name="TextBox 152">
              <a:extLst xmlns:a="http://schemas.openxmlformats.org/drawingml/2006/main">
                <a:ext uri="{FF2B5EF4-FFF2-40B4-BE49-F238E27FC236}">
                  <a16:creationId xmlns:a16="http://schemas.microsoft.com/office/drawing/2014/main" id="{76BBBE39-F33F-F583-6625-C5F4A1DCBD10}"/>
                </a:ext>
              </a:extLst>
            </cdr:cNvPr>
            <cdr:cNvSpPr txBox="1"/>
          </cdr:nvSpPr>
          <cdr:spPr>
            <a:xfrm xmlns:a="http://schemas.openxmlformats.org/drawingml/2006/main">
              <a:off x="1482670" y="881917"/>
              <a:ext cx="1064877" cy="25266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399/405/407</a:t>
              </a:r>
            </a:p>
          </cdr:txBody>
        </cdr:sp>
        <cdr:cxnSp macro="">
          <cdr:nvCxnSpPr>
            <cdr:cNvPr id="18" name="Straight Arrow Connector 17">
              <a:extLst xmlns:a="http://schemas.openxmlformats.org/drawingml/2006/main">
                <a:ext uri="{FF2B5EF4-FFF2-40B4-BE49-F238E27FC236}">
                  <a16:creationId xmlns:a16="http://schemas.microsoft.com/office/drawing/2014/main" id="{852DD021-379B-F2AC-D76A-31F4BF43964E}"/>
                </a:ext>
              </a:extLst>
            </cdr:cNvPr>
            <cdr:cNvCxnSpPr/>
          </cdr:nvCxnSpPr>
          <cdr:spPr>
            <a:xfrm xmlns:a="http://schemas.openxmlformats.org/drawingml/2006/main">
              <a:off x="3429031" y="163026"/>
              <a:ext cx="2856230" cy="8247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9" name="Straight Arrow Connector 18">
              <a:extLst xmlns:a="http://schemas.openxmlformats.org/drawingml/2006/main">
                <a:ext uri="{FF2B5EF4-FFF2-40B4-BE49-F238E27FC236}">
                  <a16:creationId xmlns:a16="http://schemas.microsoft.com/office/drawing/2014/main" id="{15E4D9F1-6592-5017-9F6B-E20268DC8B78}"/>
                </a:ext>
              </a:extLst>
            </cdr:cNvPr>
            <cdr:cNvCxnSpPr/>
          </cdr:nvCxnSpPr>
          <cdr:spPr>
            <a:xfrm xmlns:a="http://schemas.openxmlformats.org/drawingml/2006/main" flipV="1">
              <a:off x="3436645" y="374071"/>
              <a:ext cx="2854730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0" name="Straight Arrow Connector 19">
              <a:extLst xmlns:a="http://schemas.openxmlformats.org/drawingml/2006/main">
                <a:ext uri="{FF2B5EF4-FFF2-40B4-BE49-F238E27FC236}">
                  <a16:creationId xmlns:a16="http://schemas.microsoft.com/office/drawing/2014/main" id="{5DBB1B5B-ACD1-3D8E-F73F-D00B3248DCDB}"/>
                </a:ext>
              </a:extLst>
            </cdr:cNvPr>
            <cdr:cNvCxnSpPr/>
          </cdr:nvCxnSpPr>
          <cdr:spPr>
            <a:xfrm xmlns:a="http://schemas.openxmlformats.org/drawingml/2006/main" flipV="1">
              <a:off x="6461592" y="367497"/>
              <a:ext cx="2625866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1" name="Straight Arrow Connector 20">
              <a:extLst xmlns:a="http://schemas.openxmlformats.org/drawingml/2006/main">
                <a:ext uri="{FF2B5EF4-FFF2-40B4-BE49-F238E27FC236}">
                  <a16:creationId xmlns:a16="http://schemas.microsoft.com/office/drawing/2014/main" id="{C5AE561C-7B35-C714-A91D-E437484ED835}"/>
                </a:ext>
              </a:extLst>
            </cdr:cNvPr>
            <cdr:cNvCxnSpPr/>
          </cdr:nvCxnSpPr>
          <cdr:spPr>
            <a:xfrm xmlns:a="http://schemas.openxmlformats.org/drawingml/2006/main" flipV="1">
              <a:off x="3438508" y="649034"/>
              <a:ext cx="2854730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2" name="Straight Arrow Connector 21">
              <a:extLst xmlns:a="http://schemas.openxmlformats.org/drawingml/2006/main">
                <a:ext uri="{FF2B5EF4-FFF2-40B4-BE49-F238E27FC236}">
                  <a16:creationId xmlns:a16="http://schemas.microsoft.com/office/drawing/2014/main" id="{3DBCACAF-15C2-BEF6-1B0A-5B94E08286B9}"/>
                </a:ext>
              </a:extLst>
            </cdr:cNvPr>
            <cdr:cNvCxnSpPr/>
          </cdr:nvCxnSpPr>
          <cdr:spPr>
            <a:xfrm xmlns:a="http://schemas.openxmlformats.org/drawingml/2006/main">
              <a:off x="6457141" y="649506"/>
              <a:ext cx="2627944" cy="41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3" name="Straight Arrow Connector 22">
              <a:extLst xmlns:a="http://schemas.openxmlformats.org/drawingml/2006/main">
                <a:ext uri="{FF2B5EF4-FFF2-40B4-BE49-F238E27FC236}">
                  <a16:creationId xmlns:a16="http://schemas.microsoft.com/office/drawing/2014/main" id="{EFA1369B-4F4B-CB70-C331-CC3804525703}"/>
                </a:ext>
              </a:extLst>
            </cdr:cNvPr>
            <cdr:cNvCxnSpPr/>
          </cdr:nvCxnSpPr>
          <cdr:spPr>
            <a:xfrm xmlns:a="http://schemas.openxmlformats.org/drawingml/2006/main">
              <a:off x="3440129" y="970588"/>
              <a:ext cx="2822038" cy="1415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4" name="Straight Arrow Connector 23">
              <a:extLst xmlns:a="http://schemas.openxmlformats.org/drawingml/2006/main">
                <a:ext uri="{FF2B5EF4-FFF2-40B4-BE49-F238E27FC236}">
                  <a16:creationId xmlns:a16="http://schemas.microsoft.com/office/drawing/2014/main" id="{49A6E4C1-5E10-35D0-2AFB-37604E5F313B}"/>
                </a:ext>
              </a:extLst>
            </cdr:cNvPr>
            <cdr:cNvCxnSpPr/>
          </cdr:nvCxnSpPr>
          <cdr:spPr>
            <a:xfrm xmlns:a="http://schemas.openxmlformats.org/drawingml/2006/main" flipV="1">
              <a:off x="6458694" y="949034"/>
              <a:ext cx="2634311" cy="21081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25" name="TextBox 160">
              <a:extLst xmlns:a="http://schemas.openxmlformats.org/drawingml/2006/main">
                <a:ext uri="{FF2B5EF4-FFF2-40B4-BE49-F238E27FC236}">
                  <a16:creationId xmlns:a16="http://schemas.microsoft.com/office/drawing/2014/main" id="{AF7449F8-D398-A412-DA9E-B2F1F99C6957}"/>
                </a:ext>
              </a:extLst>
            </cdr:cNvPr>
            <cdr:cNvSpPr txBox="1"/>
          </cdr:nvSpPr>
          <cdr:spPr>
            <a:xfrm xmlns:a="http://schemas.openxmlformats.org/drawingml/2006/main">
              <a:off x="4223755" y="0"/>
              <a:ext cx="1482209" cy="202732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Low Sedimentation</a:t>
              </a:r>
            </a:p>
          </cdr:txBody>
        </cdr:sp>
        <cdr:sp macro="" textlink="">
          <cdr:nvSpPr>
            <cdr:cNvPr id="26" name="TextBox 161">
              <a:extLst xmlns:a="http://schemas.openxmlformats.org/drawingml/2006/main">
                <a:ext uri="{FF2B5EF4-FFF2-40B4-BE49-F238E27FC236}">
                  <a16:creationId xmlns:a16="http://schemas.microsoft.com/office/drawing/2014/main" id="{0C9B3A15-3C88-CEC9-64D1-A8E5A63724FF}"/>
                </a:ext>
              </a:extLst>
            </cdr:cNvPr>
            <cdr:cNvSpPr txBox="1"/>
          </cdr:nvSpPr>
          <cdr:spPr>
            <a:xfrm xmlns:a="http://schemas.openxmlformats.org/drawingml/2006/main">
              <a:off x="6769115" y="4174"/>
              <a:ext cx="1354462" cy="217389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HighSedimentation</a:t>
              </a:r>
            </a:p>
          </cdr:txBody>
        </cdr:sp>
        <cdr:sp macro="" textlink="">
          <cdr:nvSpPr>
            <cdr:cNvPr id="27" name="TextBox 162">
              <a:extLst xmlns:a="http://schemas.openxmlformats.org/drawingml/2006/main">
                <a:ext uri="{FF2B5EF4-FFF2-40B4-BE49-F238E27FC236}">
                  <a16:creationId xmlns:a16="http://schemas.microsoft.com/office/drawing/2014/main" id="{15846EEE-5DB5-837C-9891-3E9603559A1B}"/>
                </a:ext>
              </a:extLst>
            </cdr:cNvPr>
            <cdr:cNvSpPr txBox="1"/>
          </cdr:nvSpPr>
          <cdr:spPr>
            <a:xfrm xmlns:a="http://schemas.openxmlformats.org/drawingml/2006/main">
              <a:off x="4572780" y="269181"/>
              <a:ext cx="659284" cy="24741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8" name="TextBox 163">
              <a:extLst xmlns:a="http://schemas.openxmlformats.org/drawingml/2006/main">
                <a:ext uri="{FF2B5EF4-FFF2-40B4-BE49-F238E27FC236}">
                  <a16:creationId xmlns:a16="http://schemas.microsoft.com/office/drawing/2014/main" id="{377CF99D-FFCF-911D-4288-BF39E4BAC02D}"/>
                </a:ext>
              </a:extLst>
            </cdr:cNvPr>
            <cdr:cNvSpPr txBox="1"/>
          </cdr:nvSpPr>
          <cdr:spPr>
            <a:xfrm xmlns:a="http://schemas.openxmlformats.org/drawingml/2006/main">
              <a:off x="7132119" y="286905"/>
              <a:ext cx="659283" cy="24741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9" name="TextBox 164">
              <a:extLst xmlns:a="http://schemas.openxmlformats.org/drawingml/2006/main">
                <a:ext uri="{FF2B5EF4-FFF2-40B4-BE49-F238E27FC236}">
                  <a16:creationId xmlns:a16="http://schemas.microsoft.com/office/drawing/2014/main" id="{EC6BDB66-0177-1610-4F4C-198445AEBD4B}"/>
                </a:ext>
              </a:extLst>
            </cdr:cNvPr>
            <cdr:cNvSpPr txBox="1"/>
          </cdr:nvSpPr>
          <cdr:spPr>
            <a:xfrm xmlns:a="http://schemas.openxmlformats.org/drawingml/2006/main">
              <a:off x="4571151" y="565519"/>
              <a:ext cx="659284" cy="242964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0.21</a:t>
              </a:r>
            </a:p>
          </cdr:txBody>
        </cdr:sp>
        <cdr:sp macro="" textlink="">
          <cdr:nvSpPr>
            <cdr:cNvPr id="30" name="TextBox 165">
              <a:extLst xmlns:a="http://schemas.openxmlformats.org/drawingml/2006/main">
                <a:ext uri="{FF2B5EF4-FFF2-40B4-BE49-F238E27FC236}">
                  <a16:creationId xmlns:a16="http://schemas.microsoft.com/office/drawing/2014/main" id="{4EB9EC21-65C8-0FA5-F702-6E311816D2D0}"/>
                </a:ext>
              </a:extLst>
            </cdr:cNvPr>
            <cdr:cNvSpPr txBox="1"/>
          </cdr:nvSpPr>
          <cdr:spPr>
            <a:xfrm xmlns:a="http://schemas.openxmlformats.org/drawingml/2006/main">
              <a:off x="7130491" y="592877"/>
              <a:ext cx="659283" cy="242964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0.21</a:t>
              </a:r>
            </a:p>
          </cdr:txBody>
        </cdr:sp>
        <cdr:sp macro="" textlink="">
          <cdr:nvSpPr>
            <cdr:cNvPr id="31" name="TextBox 166">
              <a:extLst xmlns:a="http://schemas.openxmlformats.org/drawingml/2006/main">
                <a:ext uri="{FF2B5EF4-FFF2-40B4-BE49-F238E27FC236}">
                  <a16:creationId xmlns:a16="http://schemas.microsoft.com/office/drawing/2014/main" id="{A45A3E96-C271-FBA1-7475-1A0DBC62128D}"/>
                </a:ext>
              </a:extLst>
            </cdr:cNvPr>
            <cdr:cNvSpPr txBox="1"/>
          </cdr:nvSpPr>
          <cdr:spPr>
            <a:xfrm xmlns:a="http://schemas.openxmlformats.org/drawingml/2006/main">
              <a:off x="4312571" y="896794"/>
              <a:ext cx="1069571" cy="227112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415/419/419</a:t>
              </a:r>
            </a:p>
          </cdr:txBody>
        </cdr:sp>
        <cdr:sp macro="" textlink="">
          <cdr:nvSpPr>
            <cdr:cNvPr id="32" name="TextBox 167">
              <a:extLst xmlns:a="http://schemas.openxmlformats.org/drawingml/2006/main">
                <a:ext uri="{FF2B5EF4-FFF2-40B4-BE49-F238E27FC236}">
                  <a16:creationId xmlns:a16="http://schemas.microsoft.com/office/drawing/2014/main" id="{F61702D1-03AE-0F94-9B8D-576ABE4C2EF9}"/>
                </a:ext>
              </a:extLst>
            </cdr:cNvPr>
            <cdr:cNvSpPr txBox="1"/>
          </cdr:nvSpPr>
          <cdr:spPr>
            <a:xfrm xmlns:a="http://schemas.openxmlformats.org/drawingml/2006/main">
              <a:off x="6871913" y="875986"/>
              <a:ext cx="1169907" cy="24792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420/421/423</a:t>
              </a:r>
            </a:p>
          </cdr:txBody>
        </cdr:sp>
      </cdr:grpSp>
    </cdr:grpSp>
  </cdr:relSizeAnchor>
</c:userShapes>
</file>

<file path=xl/drawings/drawing46.xml><?xml version="1.0" encoding="utf-8"?>
<c:userShapes xmlns:c="http://schemas.openxmlformats.org/drawingml/2006/chart">
  <cdr:relSizeAnchor xmlns:cdr="http://schemas.openxmlformats.org/drawingml/2006/chartDrawing">
    <cdr:from>
      <cdr:x>0.00457</cdr:x>
      <cdr:y>0.00762</cdr:y>
    </cdr:from>
    <cdr:to>
      <cdr:x>0.99977</cdr:x>
      <cdr:y>0.21099</cdr:y>
    </cdr:to>
    <cdr:grpSp>
      <cdr:nvGrpSpPr>
        <cdr:cNvPr id="33" name="Group 32">
          <a:extLst xmlns:a="http://schemas.openxmlformats.org/drawingml/2006/main">
            <a:ext uri="{FF2B5EF4-FFF2-40B4-BE49-F238E27FC236}">
              <a16:creationId xmlns:a16="http://schemas.microsoft.com/office/drawing/2014/main" id="{C6C3CEB5-8A64-4519-FCDC-0EA5A33C43BB}"/>
            </a:ext>
          </a:extLst>
        </cdr:cNvPr>
        <cdr:cNvGrpSpPr/>
      </cdr:nvGrpSpPr>
      <cdr:grpSpPr>
        <a:xfrm xmlns:a="http://schemas.openxmlformats.org/drawingml/2006/main">
          <a:off x="54986" y="66993"/>
          <a:ext cx="11974259" cy="1787971"/>
          <a:chOff x="56741" y="66602"/>
          <a:chExt cx="12356439" cy="1777549"/>
        </a:xfrm>
      </cdr:grpSpPr>
      <cdr:sp macro="" textlink="">
        <cdr:nvSpPr>
          <cdr:cNvPr id="2" name="TextBox 2">
            <a:extLst xmlns:a="http://schemas.openxmlformats.org/drawingml/2006/main">
              <a:ext uri="{FF2B5EF4-FFF2-40B4-BE49-F238E27FC236}">
                <a16:creationId xmlns:a16="http://schemas.microsoft.com/office/drawing/2014/main" id="{4C09D6D7-25BE-4BA4-4146-6A1E2650E496}"/>
              </a:ext>
            </a:extLst>
          </cdr:cNvPr>
          <cdr:cNvSpPr txBox="1"/>
        </cdr:nvSpPr>
        <cdr:spPr>
          <a:xfrm xmlns:a="http://schemas.openxmlformats.org/drawingml/2006/main">
            <a:off x="56741" y="66602"/>
            <a:ext cx="12356439" cy="469363"/>
          </a:xfrm>
          <a:prstGeom xmlns:a="http://schemas.openxmlformats.org/drawingml/2006/main" prst="rect">
            <a:avLst/>
          </a:prstGeom>
          <a:solidFill xmlns:a="http://schemas.openxmlformats.org/drawingml/2006/main">
            <a:srgbClr val="CCFFCC"/>
          </a:solidFill>
        </cdr:spPr>
        <cdr:txBody>
          <a:bodyPr xmlns:a="http://schemas.openxmlformats.org/drawingml/2006/main" wrap="square" rtlCol="0" anchor="ctr" anchorCtr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 rtl="0"/>
            <a:r>
              <a:rPr lang="en-US" sz="2400" b="1">
                <a:effectLst/>
              </a:rPr>
              <a:t>Gas Yield: </a:t>
            </a:r>
            <a:r>
              <a:rPr lang="en-US" sz="2400" b="1" i="0" baseline="0">
                <a:effectLst/>
                <a:latin typeface="+mn-lt"/>
                <a:ea typeface="+mn-ea"/>
                <a:cs typeface="+mn-cs"/>
              </a:rPr>
              <a:t>Low &amp; High Sedimentation</a:t>
            </a:r>
            <a:endParaRPr lang="en-US" sz="2400" b="1">
              <a:effectLst/>
            </a:endParaRPr>
          </a:p>
        </cdr:txBody>
      </cdr:sp>
      <cdr:grpSp>
        <cdr:nvGrpSpPr>
          <cdr:cNvPr id="3" name="Group 2">
            <a:extLst xmlns:a="http://schemas.openxmlformats.org/drawingml/2006/main">
              <a:ext uri="{FF2B5EF4-FFF2-40B4-BE49-F238E27FC236}">
                <a16:creationId xmlns:a16="http://schemas.microsoft.com/office/drawing/2014/main" id="{F1F3BB19-E7BC-4522-C888-D443A6679AA1}"/>
              </a:ext>
            </a:extLst>
          </cdr:cNvPr>
          <cdr:cNvGrpSpPr/>
        </cdr:nvGrpSpPr>
        <cdr:grpSpPr>
          <a:xfrm xmlns:a="http://schemas.openxmlformats.org/drawingml/2006/main">
            <a:off x="391725" y="683770"/>
            <a:ext cx="10148371" cy="1160381"/>
            <a:chOff x="0" y="0"/>
            <a:chExt cx="7024765" cy="971063"/>
          </a:xfrm>
        </cdr:grpSpPr>
        <cdr:cxnSp macro="">
          <cdr:nvCxnSpPr>
            <cdr:cNvPr id="4" name="Straight Arrow Connector 3">
              <a:extLst xmlns:a="http://schemas.openxmlformats.org/drawingml/2006/main">
                <a:ext uri="{FF2B5EF4-FFF2-40B4-BE49-F238E27FC236}">
                  <a16:creationId xmlns:a16="http://schemas.microsoft.com/office/drawing/2014/main" id="{A31517B1-CF42-E6A5-FCA9-78EE196EA493}"/>
                </a:ext>
              </a:extLst>
            </cdr:cNvPr>
            <cdr:cNvCxnSpPr/>
          </cdr:nvCxnSpPr>
          <cdr:spPr>
            <a:xfrm xmlns:a="http://schemas.openxmlformats.org/drawingml/2006/main">
              <a:off x="4976049" y="125272"/>
              <a:ext cx="2031855" cy="14088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grpSp>
          <cdr:nvGrpSpPr>
            <cdr:cNvPr id="5" name="Group 4">
              <a:extLst xmlns:a="http://schemas.openxmlformats.org/drawingml/2006/main">
                <a:ext uri="{FF2B5EF4-FFF2-40B4-BE49-F238E27FC236}">
                  <a16:creationId xmlns:a16="http://schemas.microsoft.com/office/drawing/2014/main" id="{58A82C0E-7C43-2783-2EEA-7AB25DF7F246}"/>
                </a:ext>
              </a:extLst>
            </cdr:cNvPr>
            <cdr:cNvGrpSpPr/>
          </cdr:nvGrpSpPr>
          <cdr:grpSpPr>
            <a:xfrm xmlns:a="http://schemas.openxmlformats.org/drawingml/2006/main">
              <a:off x="0" y="0"/>
              <a:ext cx="7024765" cy="971063"/>
              <a:chOff x="0" y="0"/>
              <a:chExt cx="9093005" cy="1134578"/>
            </a:xfrm>
          </cdr:grpSpPr>
          <cdr:sp macro="" textlink="">
            <cdr:nvSpPr>
              <cdr:cNvPr id="6" name="TextBox 141">
                <a:extLst xmlns:a="http://schemas.openxmlformats.org/drawingml/2006/main">
                  <a:ext uri="{FF2B5EF4-FFF2-40B4-BE49-F238E27FC236}">
                    <a16:creationId xmlns:a16="http://schemas.microsoft.com/office/drawing/2014/main" id="{41A874F5-D929-3594-C069-C2337F4E7DF4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12088" y="28221"/>
                <a:ext cx="883021" cy="200718"/>
              </a:xfrm>
              <a:prstGeom xmlns:a="http://schemas.openxmlformats.org/drawingml/2006/main" prst="rect">
                <a:avLst/>
              </a:prstGeom>
              <a:noFill xmlns:a="http://schemas.openxmlformats.org/drawingml/2006/main"/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r>
                  <a:rPr lang="en-US" sz="1100" b="1"/>
                  <a:t>SR Feed</a:t>
                </a:r>
              </a:p>
            </cdr:txBody>
          </cdr:sp>
          <cdr:sp macro="" textlink="">
            <cdr:nvSpPr>
              <cdr:cNvPr id="7" name="TextBox 142">
                <a:extLst xmlns:a="http://schemas.openxmlformats.org/drawingml/2006/main">
                  <a:ext uri="{FF2B5EF4-FFF2-40B4-BE49-F238E27FC236}">
                    <a16:creationId xmlns:a16="http://schemas.microsoft.com/office/drawing/2014/main" id="{93D20547-A66C-CC55-5DA6-BE3DB9EC3B76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0" y="275562"/>
                <a:ext cx="883021" cy="200718"/>
              </a:xfrm>
              <a:prstGeom xmlns:a="http://schemas.openxmlformats.org/drawingml/2006/main" prst="rect">
                <a:avLst/>
              </a:prstGeom>
              <a:noFill xmlns:a="http://schemas.openxmlformats.org/drawingml/2006/main"/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r>
                  <a:rPr lang="en-US" sz="1100" b="1"/>
                  <a:t>SR Split</a:t>
                </a:r>
              </a:p>
            </cdr:txBody>
          </cdr:sp>
          <cdr:sp macro="" textlink="">
            <cdr:nvSpPr>
              <cdr:cNvPr id="8" name="TextBox 143">
                <a:extLst xmlns:a="http://schemas.openxmlformats.org/drawingml/2006/main">
                  <a:ext uri="{FF2B5EF4-FFF2-40B4-BE49-F238E27FC236}">
                    <a16:creationId xmlns:a16="http://schemas.microsoft.com/office/drawing/2014/main" id="{9AC2972E-DF40-0C1A-DDAF-1B96807B79F4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7271" y="538185"/>
                <a:ext cx="1148121" cy="266413"/>
              </a:xfrm>
              <a:prstGeom xmlns:a="http://schemas.openxmlformats.org/drawingml/2006/main" prst="rect">
                <a:avLst/>
              </a:prstGeom>
              <a:noFill xmlns:a="http://schemas.openxmlformats.org/drawingml/2006/main"/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r>
                  <a:rPr lang="en-US" sz="1100" b="1"/>
                  <a:t>LCF LHSV</a:t>
                </a:r>
              </a:p>
            </cdr:txBody>
          </cdr:sp>
          <cdr:sp macro="" textlink="">
            <cdr:nvSpPr>
              <cdr:cNvPr id="9" name="TextBox 144">
                <a:extLst xmlns:a="http://schemas.openxmlformats.org/drawingml/2006/main">
                  <a:ext uri="{FF2B5EF4-FFF2-40B4-BE49-F238E27FC236}">
                    <a16:creationId xmlns:a16="http://schemas.microsoft.com/office/drawing/2014/main" id="{8CA59505-4DF9-5068-F759-62888F9A8D3A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559" y="867035"/>
                <a:ext cx="1148121" cy="266413"/>
              </a:xfrm>
              <a:prstGeom xmlns:a="http://schemas.openxmlformats.org/drawingml/2006/main" prst="rect">
                <a:avLst/>
              </a:prstGeom>
              <a:noFill xmlns:a="http://schemas.openxmlformats.org/drawingml/2006/main"/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r>
                  <a:rPr lang="en-US" sz="1100" b="1"/>
                  <a:t>Temperature</a:t>
                </a:r>
              </a:p>
            </cdr:txBody>
          </cdr:sp>
          <cdr:cxnSp macro="">
            <cdr:nvCxnSpPr>
              <cdr:cNvPr id="10" name="Straight Arrow Connector 9">
                <a:extLst xmlns:a="http://schemas.openxmlformats.org/drawingml/2006/main">
                  <a:ext uri="{FF2B5EF4-FFF2-40B4-BE49-F238E27FC236}">
                    <a16:creationId xmlns:a16="http://schemas.microsoft.com/office/drawing/2014/main" id="{14FCE1F4-C4C1-8779-53DA-CB20F1BE8CAF}"/>
                  </a:ext>
                </a:extLst>
              </cdr:cNvPr>
              <cdr:cNvCxnSpPr/>
            </cdr:nvCxnSpPr>
            <cdr:spPr>
              <a:xfrm xmlns:a="http://schemas.openxmlformats.org/drawingml/2006/main" flipV="1">
                <a:off x="1043467" y="149467"/>
                <a:ext cx="2019871" cy="0"/>
              </a:xfrm>
              <a:prstGeom xmlns:a="http://schemas.openxmlformats.org/drawingml/2006/main" prst="straightConnector1">
                <a:avLst/>
              </a:prstGeom>
              <a:ln xmlns:a="http://schemas.openxmlformats.org/drawingml/2006/main">
                <a:solidFill>
                  <a:schemeClr val="tx1"/>
                </a:solidFill>
                <a:prstDash val="sysDash"/>
                <a:headEnd type="triangle"/>
                <a:tailEnd type="triangle"/>
              </a:ln>
            </cdr:spPr>
            <cdr:style>
              <a:lnRef xmlns:a="http://schemas.openxmlformats.org/drawingml/2006/main" idx="2">
                <a:schemeClr val="accent1"/>
              </a:lnRef>
              <a:fillRef xmlns:a="http://schemas.openxmlformats.org/drawingml/2006/main" idx="0">
                <a:schemeClr val="accent1"/>
              </a:fillRef>
              <a:effectRef xmlns:a="http://schemas.openxmlformats.org/drawingml/2006/main" idx="1">
                <a:schemeClr val="accent1"/>
              </a:effectRef>
              <a:fontRef xmlns:a="http://schemas.openxmlformats.org/drawingml/2006/main" idx="minor">
                <a:schemeClr val="tx1"/>
              </a:fontRef>
            </cdr:style>
          </cdr:cxnSp>
          <cdr:cxnSp macro="">
            <cdr:nvCxnSpPr>
              <cdr:cNvPr id="11" name="Straight Arrow Connector 10">
                <a:extLst xmlns:a="http://schemas.openxmlformats.org/drawingml/2006/main">
                  <a:ext uri="{FF2B5EF4-FFF2-40B4-BE49-F238E27FC236}">
                    <a16:creationId xmlns:a16="http://schemas.microsoft.com/office/drawing/2014/main" id="{72087FB8-D20C-399D-CB0F-8B171861FD85}"/>
                  </a:ext>
                </a:extLst>
              </cdr:cNvPr>
              <cdr:cNvCxnSpPr/>
            </cdr:nvCxnSpPr>
            <cdr:spPr>
              <a:xfrm xmlns:a="http://schemas.openxmlformats.org/drawingml/2006/main" flipV="1">
                <a:off x="1036753" y="383561"/>
                <a:ext cx="2019871" cy="0"/>
              </a:xfrm>
              <a:prstGeom xmlns:a="http://schemas.openxmlformats.org/drawingml/2006/main" prst="straightConnector1">
                <a:avLst/>
              </a:prstGeom>
              <a:ln xmlns:a="http://schemas.openxmlformats.org/drawingml/2006/main">
                <a:prstDash val="sysDash"/>
                <a:headEnd type="triangle"/>
                <a:tailEnd type="triangle"/>
              </a:ln>
            </cdr:spPr>
            <cdr:style>
              <a:lnRef xmlns:a="http://schemas.openxmlformats.org/drawingml/2006/main" idx="2">
                <a:schemeClr val="accent1"/>
              </a:lnRef>
              <a:fillRef xmlns:a="http://schemas.openxmlformats.org/drawingml/2006/main" idx="0">
                <a:schemeClr val="accent1"/>
              </a:fillRef>
              <a:effectRef xmlns:a="http://schemas.openxmlformats.org/drawingml/2006/main" idx="1">
                <a:schemeClr val="accent1"/>
              </a:effectRef>
              <a:fontRef xmlns:a="http://schemas.openxmlformats.org/drawingml/2006/main" idx="minor">
                <a:schemeClr val="tx1"/>
              </a:fontRef>
            </cdr:style>
          </cdr:cxnSp>
          <cdr:cxnSp macro="">
            <cdr:nvCxnSpPr>
              <cdr:cNvPr id="12" name="Straight Arrow Connector 11">
                <a:extLst xmlns:a="http://schemas.openxmlformats.org/drawingml/2006/main">
                  <a:ext uri="{FF2B5EF4-FFF2-40B4-BE49-F238E27FC236}">
                    <a16:creationId xmlns:a16="http://schemas.microsoft.com/office/drawing/2014/main" id="{9F82C509-0CE3-1C79-25E6-68BD329C1F36}"/>
                  </a:ext>
                </a:extLst>
              </cdr:cNvPr>
              <cdr:cNvCxnSpPr/>
            </cdr:nvCxnSpPr>
            <cdr:spPr>
              <a:xfrm xmlns:a="http://schemas.openxmlformats.org/drawingml/2006/main" flipV="1">
                <a:off x="1071989" y="644147"/>
                <a:ext cx="2019871" cy="0"/>
              </a:xfrm>
              <a:prstGeom xmlns:a="http://schemas.openxmlformats.org/drawingml/2006/main" prst="straightConnector1">
                <a:avLst/>
              </a:prstGeom>
              <a:ln xmlns:a="http://schemas.openxmlformats.org/drawingml/2006/main">
                <a:prstDash val="sysDash"/>
                <a:headEnd type="triangle"/>
                <a:tailEnd type="triangle"/>
              </a:ln>
            </cdr:spPr>
            <cdr:style>
              <a:lnRef xmlns:a="http://schemas.openxmlformats.org/drawingml/2006/main" idx="2">
                <a:schemeClr val="accent1"/>
              </a:lnRef>
              <a:fillRef xmlns:a="http://schemas.openxmlformats.org/drawingml/2006/main" idx="0">
                <a:schemeClr val="accent1"/>
              </a:fillRef>
              <a:effectRef xmlns:a="http://schemas.openxmlformats.org/drawingml/2006/main" idx="1">
                <a:schemeClr val="accent1"/>
              </a:effectRef>
              <a:fontRef xmlns:a="http://schemas.openxmlformats.org/drawingml/2006/main" idx="minor">
                <a:schemeClr val="tx1"/>
              </a:fontRef>
            </cdr:style>
          </cdr:cxnSp>
          <cdr:cxnSp macro="">
            <cdr:nvCxnSpPr>
              <cdr:cNvPr id="13" name="Straight Arrow Connector 12">
                <a:extLst xmlns:a="http://schemas.openxmlformats.org/drawingml/2006/main">
                  <a:ext uri="{FF2B5EF4-FFF2-40B4-BE49-F238E27FC236}">
                    <a16:creationId xmlns:a16="http://schemas.microsoft.com/office/drawing/2014/main" id="{102F5B51-184D-42DC-F47C-6DBB2A794028}"/>
                  </a:ext>
                </a:extLst>
              </cdr:cNvPr>
              <cdr:cNvCxnSpPr/>
            </cdr:nvCxnSpPr>
            <cdr:spPr>
              <a:xfrm xmlns:a="http://schemas.openxmlformats.org/drawingml/2006/main" flipV="1">
                <a:off x="1051296" y="999487"/>
                <a:ext cx="2019871" cy="0"/>
              </a:xfrm>
              <a:prstGeom xmlns:a="http://schemas.openxmlformats.org/drawingml/2006/main" prst="straightConnector1">
                <a:avLst/>
              </a:prstGeom>
              <a:ln xmlns:a="http://schemas.openxmlformats.org/drawingml/2006/main">
                <a:solidFill>
                  <a:srgbClr val="FF0000"/>
                </a:solidFill>
                <a:prstDash val="sysDash"/>
                <a:headEnd type="triangle"/>
                <a:tailEnd type="triangle"/>
              </a:ln>
            </cdr:spPr>
            <cdr:style>
              <a:lnRef xmlns:a="http://schemas.openxmlformats.org/drawingml/2006/main" idx="2">
                <a:schemeClr val="accent1"/>
              </a:lnRef>
              <a:fillRef xmlns:a="http://schemas.openxmlformats.org/drawingml/2006/main" idx="0">
                <a:schemeClr val="accent1"/>
              </a:fillRef>
              <a:effectRef xmlns:a="http://schemas.openxmlformats.org/drawingml/2006/main" idx="1">
                <a:schemeClr val="accent1"/>
              </a:effectRef>
              <a:fontRef xmlns:a="http://schemas.openxmlformats.org/drawingml/2006/main" idx="minor">
                <a:schemeClr val="tx1"/>
              </a:fontRef>
            </cdr:style>
          </cdr:cxnSp>
          <cdr:sp macro="" textlink="">
            <cdr:nvSpPr>
              <cdr:cNvPr id="14" name="TextBox 149">
                <a:extLst xmlns:a="http://schemas.openxmlformats.org/drawingml/2006/main">
                  <a:ext uri="{FF2B5EF4-FFF2-40B4-BE49-F238E27FC236}">
                    <a16:creationId xmlns:a16="http://schemas.microsoft.com/office/drawing/2014/main" id="{97B4F3D2-008B-1AEE-A5A8-87B08F640188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1697181" y="28224"/>
                <a:ext cx="656298" cy="184205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accent1">
                  <a:lumMod val="20000"/>
                  <a:lumOff val="80000"/>
                </a:schemeClr>
              </a:solidFill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r>
                  <a:rPr lang="en-US" sz="1100"/>
                  <a:t>ME SR</a:t>
                </a:r>
              </a:p>
            </cdr:txBody>
          </cdr:sp>
          <cdr:sp macro="" textlink="">
            <cdr:nvSpPr>
              <cdr:cNvPr id="15" name="TextBox 150">
                <a:extLst xmlns:a="http://schemas.openxmlformats.org/drawingml/2006/main">
                  <a:ext uri="{FF2B5EF4-FFF2-40B4-BE49-F238E27FC236}">
                    <a16:creationId xmlns:a16="http://schemas.microsoft.com/office/drawing/2014/main" id="{7E54A026-61CA-5807-BBA7-EA6499279101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1696061" y="275563"/>
                <a:ext cx="657417" cy="225005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accent1">
                  <a:lumMod val="20000"/>
                  <a:lumOff val="80000"/>
                </a:schemeClr>
              </a:solidFill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r>
                  <a:rPr lang="en-US" sz="1100"/>
                  <a:t>70/30</a:t>
                </a:r>
              </a:p>
            </cdr:txBody>
          </cdr:sp>
          <cdr:sp macro="" textlink="">
            <cdr:nvSpPr>
              <cdr:cNvPr id="16" name="TextBox 151">
                <a:extLst xmlns:a="http://schemas.openxmlformats.org/drawingml/2006/main">
                  <a:ext uri="{FF2B5EF4-FFF2-40B4-BE49-F238E27FC236}">
                    <a16:creationId xmlns:a16="http://schemas.microsoft.com/office/drawing/2014/main" id="{B35DB947-34F7-FDFF-D2E5-C2950DFA86D2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1695413" y="550315"/>
                <a:ext cx="659283" cy="243776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accent1">
                  <a:lumMod val="20000"/>
                  <a:lumOff val="80000"/>
                </a:schemeClr>
              </a:solidFill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r>
                  <a:rPr lang="en-US" sz="1100"/>
                  <a:t>0.378</a:t>
                </a:r>
              </a:p>
            </cdr:txBody>
          </cdr:sp>
          <cdr:sp macro="" textlink="">
            <cdr:nvSpPr>
              <cdr:cNvPr id="17" name="TextBox 152">
                <a:extLst xmlns:a="http://schemas.openxmlformats.org/drawingml/2006/main">
                  <a:ext uri="{FF2B5EF4-FFF2-40B4-BE49-F238E27FC236}">
                    <a16:creationId xmlns:a16="http://schemas.microsoft.com/office/drawing/2014/main" id="{76BBBE39-F33F-F583-6625-C5F4A1DCBD10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1482670" y="881917"/>
                <a:ext cx="1064877" cy="252661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accent1">
                  <a:lumMod val="20000"/>
                  <a:lumOff val="80000"/>
                </a:schemeClr>
              </a:solidFill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r>
                  <a:rPr lang="en-US" sz="1100"/>
                  <a:t>399/405/407</a:t>
                </a:r>
              </a:p>
            </cdr:txBody>
          </cdr:sp>
          <cdr:cxnSp macro="">
            <cdr:nvCxnSpPr>
              <cdr:cNvPr id="18" name="Straight Arrow Connector 17">
                <a:extLst xmlns:a="http://schemas.openxmlformats.org/drawingml/2006/main">
                  <a:ext uri="{FF2B5EF4-FFF2-40B4-BE49-F238E27FC236}">
                    <a16:creationId xmlns:a16="http://schemas.microsoft.com/office/drawing/2014/main" id="{852DD021-379B-F2AC-D76A-31F4BF43964E}"/>
                  </a:ext>
                </a:extLst>
              </cdr:cNvPr>
              <cdr:cNvCxnSpPr/>
            </cdr:nvCxnSpPr>
            <cdr:spPr>
              <a:xfrm xmlns:a="http://schemas.openxmlformats.org/drawingml/2006/main">
                <a:off x="3429031" y="163026"/>
                <a:ext cx="2856230" cy="8247"/>
              </a:xfrm>
              <a:prstGeom xmlns:a="http://schemas.openxmlformats.org/drawingml/2006/main" prst="straightConnector1">
                <a:avLst/>
              </a:prstGeom>
              <a:ln xmlns:a="http://schemas.openxmlformats.org/drawingml/2006/main">
                <a:solidFill>
                  <a:schemeClr val="tx1"/>
                </a:solidFill>
                <a:prstDash val="sysDash"/>
                <a:headEnd type="triangle"/>
                <a:tailEnd type="triangle"/>
              </a:ln>
            </cdr:spPr>
            <cdr:style>
              <a:lnRef xmlns:a="http://schemas.openxmlformats.org/drawingml/2006/main" idx="2">
                <a:schemeClr val="accent1"/>
              </a:lnRef>
              <a:fillRef xmlns:a="http://schemas.openxmlformats.org/drawingml/2006/main" idx="0">
                <a:schemeClr val="accent1"/>
              </a:fillRef>
              <a:effectRef xmlns:a="http://schemas.openxmlformats.org/drawingml/2006/main" idx="1">
                <a:schemeClr val="accent1"/>
              </a:effectRef>
              <a:fontRef xmlns:a="http://schemas.openxmlformats.org/drawingml/2006/main" idx="minor">
                <a:schemeClr val="tx1"/>
              </a:fontRef>
            </cdr:style>
          </cdr:cxnSp>
          <cdr:cxnSp macro="">
            <cdr:nvCxnSpPr>
              <cdr:cNvPr id="19" name="Straight Arrow Connector 18">
                <a:extLst xmlns:a="http://schemas.openxmlformats.org/drawingml/2006/main">
                  <a:ext uri="{FF2B5EF4-FFF2-40B4-BE49-F238E27FC236}">
                    <a16:creationId xmlns:a16="http://schemas.microsoft.com/office/drawing/2014/main" id="{15E4D9F1-6592-5017-9F6B-E20268DC8B78}"/>
                  </a:ext>
                </a:extLst>
              </cdr:cNvPr>
              <cdr:cNvCxnSpPr/>
            </cdr:nvCxnSpPr>
            <cdr:spPr>
              <a:xfrm xmlns:a="http://schemas.openxmlformats.org/drawingml/2006/main" flipV="1">
                <a:off x="3436645" y="374071"/>
                <a:ext cx="2854730" cy="0"/>
              </a:xfrm>
              <a:prstGeom xmlns:a="http://schemas.openxmlformats.org/drawingml/2006/main" prst="straightConnector1">
                <a:avLst/>
              </a:prstGeom>
              <a:ln xmlns:a="http://schemas.openxmlformats.org/drawingml/2006/main">
                <a:prstDash val="sysDash"/>
                <a:headEnd type="triangle"/>
                <a:tailEnd type="triangle"/>
              </a:ln>
            </cdr:spPr>
            <cdr:style>
              <a:lnRef xmlns:a="http://schemas.openxmlformats.org/drawingml/2006/main" idx="2">
                <a:schemeClr val="accent1"/>
              </a:lnRef>
              <a:fillRef xmlns:a="http://schemas.openxmlformats.org/drawingml/2006/main" idx="0">
                <a:schemeClr val="accent1"/>
              </a:fillRef>
              <a:effectRef xmlns:a="http://schemas.openxmlformats.org/drawingml/2006/main" idx="1">
                <a:schemeClr val="accent1"/>
              </a:effectRef>
              <a:fontRef xmlns:a="http://schemas.openxmlformats.org/drawingml/2006/main" idx="minor">
                <a:schemeClr val="tx1"/>
              </a:fontRef>
            </cdr:style>
          </cdr:cxnSp>
          <cdr:cxnSp macro="">
            <cdr:nvCxnSpPr>
              <cdr:cNvPr id="20" name="Straight Arrow Connector 19">
                <a:extLst xmlns:a="http://schemas.openxmlformats.org/drawingml/2006/main">
                  <a:ext uri="{FF2B5EF4-FFF2-40B4-BE49-F238E27FC236}">
                    <a16:creationId xmlns:a16="http://schemas.microsoft.com/office/drawing/2014/main" id="{5DBB1B5B-ACD1-3D8E-F73F-D00B3248DCDB}"/>
                  </a:ext>
                </a:extLst>
              </cdr:cNvPr>
              <cdr:cNvCxnSpPr/>
            </cdr:nvCxnSpPr>
            <cdr:spPr>
              <a:xfrm xmlns:a="http://schemas.openxmlformats.org/drawingml/2006/main" flipV="1">
                <a:off x="6461592" y="367497"/>
                <a:ext cx="2625866" cy="0"/>
              </a:xfrm>
              <a:prstGeom xmlns:a="http://schemas.openxmlformats.org/drawingml/2006/main" prst="straightConnector1">
                <a:avLst/>
              </a:prstGeom>
              <a:ln xmlns:a="http://schemas.openxmlformats.org/drawingml/2006/main">
                <a:prstDash val="sysDash"/>
                <a:headEnd type="triangle"/>
                <a:tailEnd type="triangle"/>
              </a:ln>
            </cdr:spPr>
            <cdr:style>
              <a:lnRef xmlns:a="http://schemas.openxmlformats.org/drawingml/2006/main" idx="2">
                <a:schemeClr val="accent1"/>
              </a:lnRef>
              <a:fillRef xmlns:a="http://schemas.openxmlformats.org/drawingml/2006/main" idx="0">
                <a:schemeClr val="accent1"/>
              </a:fillRef>
              <a:effectRef xmlns:a="http://schemas.openxmlformats.org/drawingml/2006/main" idx="1">
                <a:schemeClr val="accent1"/>
              </a:effectRef>
              <a:fontRef xmlns:a="http://schemas.openxmlformats.org/drawingml/2006/main" idx="minor">
                <a:schemeClr val="tx1"/>
              </a:fontRef>
            </cdr:style>
          </cdr:cxnSp>
          <cdr:cxnSp macro="">
            <cdr:nvCxnSpPr>
              <cdr:cNvPr id="21" name="Straight Arrow Connector 20">
                <a:extLst xmlns:a="http://schemas.openxmlformats.org/drawingml/2006/main">
                  <a:ext uri="{FF2B5EF4-FFF2-40B4-BE49-F238E27FC236}">
                    <a16:creationId xmlns:a16="http://schemas.microsoft.com/office/drawing/2014/main" id="{C5AE561C-7B35-C714-A91D-E437484ED835}"/>
                  </a:ext>
                </a:extLst>
              </cdr:cNvPr>
              <cdr:cNvCxnSpPr/>
            </cdr:nvCxnSpPr>
            <cdr:spPr>
              <a:xfrm xmlns:a="http://schemas.openxmlformats.org/drawingml/2006/main" flipV="1">
                <a:off x="3438508" y="649034"/>
                <a:ext cx="2854730" cy="0"/>
              </a:xfrm>
              <a:prstGeom xmlns:a="http://schemas.openxmlformats.org/drawingml/2006/main" prst="straightConnector1">
                <a:avLst/>
              </a:prstGeom>
              <a:ln xmlns:a="http://schemas.openxmlformats.org/drawingml/2006/main">
                <a:prstDash val="sysDash"/>
                <a:headEnd type="triangle"/>
                <a:tailEnd type="triangle"/>
              </a:ln>
            </cdr:spPr>
            <cdr:style>
              <a:lnRef xmlns:a="http://schemas.openxmlformats.org/drawingml/2006/main" idx="2">
                <a:schemeClr val="accent1"/>
              </a:lnRef>
              <a:fillRef xmlns:a="http://schemas.openxmlformats.org/drawingml/2006/main" idx="0">
                <a:schemeClr val="accent1"/>
              </a:fillRef>
              <a:effectRef xmlns:a="http://schemas.openxmlformats.org/drawingml/2006/main" idx="1">
                <a:schemeClr val="accent1"/>
              </a:effectRef>
              <a:fontRef xmlns:a="http://schemas.openxmlformats.org/drawingml/2006/main" idx="minor">
                <a:schemeClr val="tx1"/>
              </a:fontRef>
            </cdr:style>
          </cdr:cxnSp>
          <cdr:cxnSp macro="">
            <cdr:nvCxnSpPr>
              <cdr:cNvPr id="22" name="Straight Arrow Connector 21">
                <a:extLst xmlns:a="http://schemas.openxmlformats.org/drawingml/2006/main">
                  <a:ext uri="{FF2B5EF4-FFF2-40B4-BE49-F238E27FC236}">
                    <a16:creationId xmlns:a16="http://schemas.microsoft.com/office/drawing/2014/main" id="{3DBCACAF-15C2-BEF6-1B0A-5B94E08286B9}"/>
                  </a:ext>
                </a:extLst>
              </cdr:cNvPr>
              <cdr:cNvCxnSpPr/>
            </cdr:nvCxnSpPr>
            <cdr:spPr>
              <a:xfrm xmlns:a="http://schemas.openxmlformats.org/drawingml/2006/main">
                <a:off x="6457141" y="649506"/>
                <a:ext cx="2627944" cy="41"/>
              </a:xfrm>
              <a:prstGeom xmlns:a="http://schemas.openxmlformats.org/drawingml/2006/main" prst="straightConnector1">
                <a:avLst/>
              </a:prstGeom>
              <a:ln xmlns:a="http://schemas.openxmlformats.org/drawingml/2006/main">
                <a:prstDash val="sysDash"/>
                <a:headEnd type="triangle"/>
                <a:tailEnd type="triangle"/>
              </a:ln>
            </cdr:spPr>
            <cdr:style>
              <a:lnRef xmlns:a="http://schemas.openxmlformats.org/drawingml/2006/main" idx="2">
                <a:schemeClr val="accent1"/>
              </a:lnRef>
              <a:fillRef xmlns:a="http://schemas.openxmlformats.org/drawingml/2006/main" idx="0">
                <a:schemeClr val="accent1"/>
              </a:fillRef>
              <a:effectRef xmlns:a="http://schemas.openxmlformats.org/drawingml/2006/main" idx="1">
                <a:schemeClr val="accent1"/>
              </a:effectRef>
              <a:fontRef xmlns:a="http://schemas.openxmlformats.org/drawingml/2006/main" idx="minor">
                <a:schemeClr val="tx1"/>
              </a:fontRef>
            </cdr:style>
          </cdr:cxnSp>
          <cdr:cxnSp macro="">
            <cdr:nvCxnSpPr>
              <cdr:cNvPr id="23" name="Straight Arrow Connector 22">
                <a:extLst xmlns:a="http://schemas.openxmlformats.org/drawingml/2006/main">
                  <a:ext uri="{FF2B5EF4-FFF2-40B4-BE49-F238E27FC236}">
                    <a16:creationId xmlns:a16="http://schemas.microsoft.com/office/drawing/2014/main" id="{EFA1369B-4F4B-CB70-C331-CC3804525703}"/>
                  </a:ext>
                </a:extLst>
              </cdr:cNvPr>
              <cdr:cNvCxnSpPr/>
            </cdr:nvCxnSpPr>
            <cdr:spPr>
              <a:xfrm xmlns:a="http://schemas.openxmlformats.org/drawingml/2006/main">
                <a:off x="3440129" y="970588"/>
                <a:ext cx="2822038" cy="1415"/>
              </a:xfrm>
              <a:prstGeom xmlns:a="http://schemas.openxmlformats.org/drawingml/2006/main" prst="straightConnector1">
                <a:avLst/>
              </a:prstGeom>
              <a:ln xmlns:a="http://schemas.openxmlformats.org/drawingml/2006/main">
                <a:solidFill>
                  <a:srgbClr val="FF0000"/>
                </a:solidFill>
                <a:prstDash val="sysDash"/>
                <a:headEnd type="triangle"/>
                <a:tailEnd type="triangle"/>
              </a:ln>
            </cdr:spPr>
            <cdr:style>
              <a:lnRef xmlns:a="http://schemas.openxmlformats.org/drawingml/2006/main" idx="2">
                <a:schemeClr val="accent1"/>
              </a:lnRef>
              <a:fillRef xmlns:a="http://schemas.openxmlformats.org/drawingml/2006/main" idx="0">
                <a:schemeClr val="accent1"/>
              </a:fillRef>
              <a:effectRef xmlns:a="http://schemas.openxmlformats.org/drawingml/2006/main" idx="1">
                <a:schemeClr val="accent1"/>
              </a:effectRef>
              <a:fontRef xmlns:a="http://schemas.openxmlformats.org/drawingml/2006/main" idx="minor">
                <a:schemeClr val="tx1"/>
              </a:fontRef>
            </cdr:style>
          </cdr:cxnSp>
          <cdr:cxnSp macro="">
            <cdr:nvCxnSpPr>
              <cdr:cNvPr id="24" name="Straight Arrow Connector 23">
                <a:extLst xmlns:a="http://schemas.openxmlformats.org/drawingml/2006/main">
                  <a:ext uri="{FF2B5EF4-FFF2-40B4-BE49-F238E27FC236}">
                    <a16:creationId xmlns:a16="http://schemas.microsoft.com/office/drawing/2014/main" id="{49A6E4C1-5E10-35D0-2AFB-37604E5F313B}"/>
                  </a:ext>
                </a:extLst>
              </cdr:cNvPr>
              <cdr:cNvCxnSpPr/>
            </cdr:nvCxnSpPr>
            <cdr:spPr>
              <a:xfrm xmlns:a="http://schemas.openxmlformats.org/drawingml/2006/main" flipV="1">
                <a:off x="6458694" y="949034"/>
                <a:ext cx="2634311" cy="21081"/>
              </a:xfrm>
              <a:prstGeom xmlns:a="http://schemas.openxmlformats.org/drawingml/2006/main" prst="straightConnector1">
                <a:avLst/>
              </a:prstGeom>
              <a:ln xmlns:a="http://schemas.openxmlformats.org/drawingml/2006/main">
                <a:solidFill>
                  <a:srgbClr val="FF0000"/>
                </a:solidFill>
                <a:prstDash val="sysDash"/>
                <a:headEnd type="triangle"/>
                <a:tailEnd type="triangle"/>
              </a:ln>
            </cdr:spPr>
            <cdr:style>
              <a:lnRef xmlns:a="http://schemas.openxmlformats.org/drawingml/2006/main" idx="2">
                <a:schemeClr val="accent1"/>
              </a:lnRef>
              <a:fillRef xmlns:a="http://schemas.openxmlformats.org/drawingml/2006/main" idx="0">
                <a:schemeClr val="accent1"/>
              </a:fillRef>
              <a:effectRef xmlns:a="http://schemas.openxmlformats.org/drawingml/2006/main" idx="1">
                <a:schemeClr val="accent1"/>
              </a:effectRef>
              <a:fontRef xmlns:a="http://schemas.openxmlformats.org/drawingml/2006/main" idx="minor">
                <a:schemeClr val="tx1"/>
              </a:fontRef>
            </cdr:style>
          </cdr:cxnSp>
          <cdr:sp macro="" textlink="">
            <cdr:nvSpPr>
              <cdr:cNvPr id="25" name="TextBox 160">
                <a:extLst xmlns:a="http://schemas.openxmlformats.org/drawingml/2006/main">
                  <a:ext uri="{FF2B5EF4-FFF2-40B4-BE49-F238E27FC236}">
                    <a16:creationId xmlns:a16="http://schemas.microsoft.com/office/drawing/2014/main" id="{AF7449F8-D398-A412-DA9E-B2F1F99C6957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4223755" y="0"/>
                <a:ext cx="1482209" cy="202732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accent1">
                  <a:lumMod val="20000"/>
                  <a:lumOff val="80000"/>
                </a:schemeClr>
              </a:solidFill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r>
                  <a:rPr lang="en-US" sz="1100"/>
                  <a:t>Low Sedimentation</a:t>
                </a:r>
              </a:p>
            </cdr:txBody>
          </cdr:sp>
          <cdr:sp macro="" textlink="">
            <cdr:nvSpPr>
              <cdr:cNvPr id="26" name="TextBox 161">
                <a:extLst xmlns:a="http://schemas.openxmlformats.org/drawingml/2006/main">
                  <a:ext uri="{FF2B5EF4-FFF2-40B4-BE49-F238E27FC236}">
                    <a16:creationId xmlns:a16="http://schemas.microsoft.com/office/drawing/2014/main" id="{0C9B3A15-3C88-CEC9-64D1-A8E5A63724FF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6769115" y="4174"/>
                <a:ext cx="1354462" cy="217389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accent1">
                  <a:lumMod val="20000"/>
                  <a:lumOff val="80000"/>
                </a:schemeClr>
              </a:solidFill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r>
                  <a:rPr lang="en-US" sz="1100"/>
                  <a:t>HighSedimentation</a:t>
                </a:r>
              </a:p>
            </cdr:txBody>
          </cdr:sp>
          <cdr:sp macro="" textlink="">
            <cdr:nvSpPr>
              <cdr:cNvPr id="27" name="TextBox 162">
                <a:extLst xmlns:a="http://schemas.openxmlformats.org/drawingml/2006/main">
                  <a:ext uri="{FF2B5EF4-FFF2-40B4-BE49-F238E27FC236}">
                    <a16:creationId xmlns:a16="http://schemas.microsoft.com/office/drawing/2014/main" id="{15846EEE-5DB5-837C-9891-3E9603559A1B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4572780" y="269181"/>
                <a:ext cx="659284" cy="247411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accent1">
                  <a:lumMod val="20000"/>
                  <a:lumOff val="80000"/>
                </a:schemeClr>
              </a:solidFill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r>
                  <a:rPr lang="en-US" sz="1100"/>
                  <a:t>100/0</a:t>
                </a:r>
              </a:p>
            </cdr:txBody>
          </cdr:sp>
          <cdr:sp macro="" textlink="">
            <cdr:nvSpPr>
              <cdr:cNvPr id="28" name="TextBox 163">
                <a:extLst xmlns:a="http://schemas.openxmlformats.org/drawingml/2006/main">
                  <a:ext uri="{FF2B5EF4-FFF2-40B4-BE49-F238E27FC236}">
                    <a16:creationId xmlns:a16="http://schemas.microsoft.com/office/drawing/2014/main" id="{377CF99D-FFCF-911D-4288-BF39E4BAC02D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7132119" y="286905"/>
                <a:ext cx="659283" cy="247411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accent1">
                  <a:lumMod val="20000"/>
                  <a:lumOff val="80000"/>
                </a:schemeClr>
              </a:solidFill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r>
                  <a:rPr lang="en-US" sz="1100"/>
                  <a:t>100/0</a:t>
                </a:r>
              </a:p>
            </cdr:txBody>
          </cdr:sp>
          <cdr:sp macro="" textlink="">
            <cdr:nvSpPr>
              <cdr:cNvPr id="29" name="TextBox 164">
                <a:extLst xmlns:a="http://schemas.openxmlformats.org/drawingml/2006/main">
                  <a:ext uri="{FF2B5EF4-FFF2-40B4-BE49-F238E27FC236}">
                    <a16:creationId xmlns:a16="http://schemas.microsoft.com/office/drawing/2014/main" id="{EC6BDB66-0177-1610-4F4C-198445AEBD4B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4571151" y="565519"/>
                <a:ext cx="659284" cy="242964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accent1">
                  <a:lumMod val="20000"/>
                  <a:lumOff val="80000"/>
                </a:schemeClr>
              </a:solidFill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r>
                  <a:rPr lang="en-US" sz="1100"/>
                  <a:t>0.21</a:t>
                </a:r>
              </a:p>
            </cdr:txBody>
          </cdr:sp>
          <cdr:sp macro="" textlink="">
            <cdr:nvSpPr>
              <cdr:cNvPr id="30" name="TextBox 165">
                <a:extLst xmlns:a="http://schemas.openxmlformats.org/drawingml/2006/main">
                  <a:ext uri="{FF2B5EF4-FFF2-40B4-BE49-F238E27FC236}">
                    <a16:creationId xmlns:a16="http://schemas.microsoft.com/office/drawing/2014/main" id="{4EB9EC21-65C8-0FA5-F702-6E311816D2D0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7130491" y="592877"/>
                <a:ext cx="659283" cy="242964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accent1">
                  <a:lumMod val="20000"/>
                  <a:lumOff val="80000"/>
                </a:schemeClr>
              </a:solidFill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r>
                  <a:rPr lang="en-US" sz="1100"/>
                  <a:t>0.21</a:t>
                </a:r>
              </a:p>
            </cdr:txBody>
          </cdr:sp>
          <cdr:sp macro="" textlink="">
            <cdr:nvSpPr>
              <cdr:cNvPr id="31" name="TextBox 166">
                <a:extLst xmlns:a="http://schemas.openxmlformats.org/drawingml/2006/main">
                  <a:ext uri="{FF2B5EF4-FFF2-40B4-BE49-F238E27FC236}">
                    <a16:creationId xmlns:a16="http://schemas.microsoft.com/office/drawing/2014/main" id="{A45A3E96-C271-FBA1-7475-1A0DBC62128D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4312571" y="896794"/>
                <a:ext cx="1069571" cy="227112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accent1">
                  <a:lumMod val="20000"/>
                  <a:lumOff val="80000"/>
                </a:schemeClr>
              </a:solidFill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r>
                  <a:rPr lang="en-US" sz="1100"/>
                  <a:t>415/419/419</a:t>
                </a:r>
              </a:p>
            </cdr:txBody>
          </cdr:sp>
          <cdr:sp macro="" textlink="">
            <cdr:nvSpPr>
              <cdr:cNvPr id="32" name="TextBox 167">
                <a:extLst xmlns:a="http://schemas.openxmlformats.org/drawingml/2006/main">
                  <a:ext uri="{FF2B5EF4-FFF2-40B4-BE49-F238E27FC236}">
                    <a16:creationId xmlns:a16="http://schemas.microsoft.com/office/drawing/2014/main" id="{F61702D1-03AE-0F94-9B8D-576ABE4C2EF9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6871913" y="875986"/>
                <a:ext cx="1169907" cy="247920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accent1">
                  <a:lumMod val="20000"/>
                  <a:lumOff val="80000"/>
                </a:schemeClr>
              </a:solidFill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r>
                  <a:rPr lang="en-US" sz="1100"/>
                  <a:t>420/421/423</a:t>
                </a:r>
              </a:p>
            </cdr:txBody>
          </cdr:sp>
        </cdr:grpSp>
      </cdr:grpSp>
    </cdr:grpSp>
  </cdr:relSizeAnchor>
</c:userShapes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668948</xdr:colOff>
      <xdr:row>14</xdr:row>
      <xdr:rowOff>58981</xdr:rowOff>
    </xdr:from>
    <xdr:to>
      <xdr:col>7</xdr:col>
      <xdr:colOff>497498</xdr:colOff>
      <xdr:row>28</xdr:row>
      <xdr:rowOff>135181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1DFAD9-C960-8FE5-AD68-B078C3A0BC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561975</xdr:colOff>
      <xdr:row>14</xdr:row>
      <xdr:rowOff>71437</xdr:rowOff>
    </xdr:from>
    <xdr:to>
      <xdr:col>15</xdr:col>
      <xdr:colOff>257175</xdr:colOff>
      <xdr:row>28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66A783-F0C3-AD16-60A1-D2B8813B3B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absoluteAnchor>
    <xdr:pos x="609599" y="184150"/>
    <xdr:ext cx="9034463" cy="746230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67DA1B-C44E-42C3-8133-6CCDA9F6298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20690417" y="185208"/>
    <xdr:ext cx="9432396" cy="7408334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AEED5D6-E39E-4DE6-A4EC-8D02F99542D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  <xdr:absoluteAnchor>
    <xdr:pos x="10298906" y="208359"/>
    <xdr:ext cx="9134740" cy="7371954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8400B2C-D67F-4723-8046-6BF3864A31E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absoluteAnchor>
  <xdr:twoCellAnchor>
    <xdr:from>
      <xdr:col>1</xdr:col>
      <xdr:colOff>86254</xdr:colOff>
      <xdr:row>3</xdr:row>
      <xdr:rowOff>81815</xdr:rowOff>
    </xdr:from>
    <xdr:to>
      <xdr:col>15</xdr:col>
      <xdr:colOff>34636</xdr:colOff>
      <xdr:row>10</xdr:row>
      <xdr:rowOff>48846</xdr:rowOff>
    </xdr:to>
    <xdr:grpSp>
      <xdr:nvGrpSpPr>
        <xdr:cNvPr id="108" name="Group 107">
          <a:extLst>
            <a:ext uri="{FF2B5EF4-FFF2-40B4-BE49-F238E27FC236}">
              <a16:creationId xmlns:a16="http://schemas.microsoft.com/office/drawing/2014/main" id="{5AE4DE1D-8CB0-16B2-3AAB-873339207FCC}"/>
            </a:ext>
          </a:extLst>
        </xdr:cNvPr>
        <xdr:cNvGrpSpPr/>
      </xdr:nvGrpSpPr>
      <xdr:grpSpPr>
        <a:xfrm>
          <a:off x="695854" y="634265"/>
          <a:ext cx="8482782" cy="1256081"/>
          <a:chOff x="693645" y="620185"/>
          <a:chExt cx="8452874" cy="1224358"/>
        </a:xfrm>
      </xdr:grpSpPr>
      <xdr:cxnSp macro="">
        <xdr:nvCxnSpPr>
          <xdr:cNvPr id="24" name="Straight Arrow Connector 23">
            <a:extLst>
              <a:ext uri="{FF2B5EF4-FFF2-40B4-BE49-F238E27FC236}">
                <a16:creationId xmlns:a16="http://schemas.microsoft.com/office/drawing/2014/main" id="{84858C7B-1150-45AA-90E3-14D48656A5E5}"/>
              </a:ext>
            </a:extLst>
          </xdr:cNvPr>
          <xdr:cNvCxnSpPr/>
        </xdr:nvCxnSpPr>
        <xdr:spPr>
          <a:xfrm flipV="1">
            <a:off x="6778115" y="753879"/>
            <a:ext cx="2368404" cy="13185"/>
          </a:xfrm>
          <a:prstGeom prst="straightConnector1">
            <a:avLst/>
          </a:prstGeom>
          <a:ln>
            <a:solidFill>
              <a:schemeClr val="tx1"/>
            </a:solidFill>
            <a:prstDash val="sysDash"/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49" name="Group 48">
            <a:extLst>
              <a:ext uri="{FF2B5EF4-FFF2-40B4-BE49-F238E27FC236}">
                <a16:creationId xmlns:a16="http://schemas.microsoft.com/office/drawing/2014/main" id="{E3B1596C-645C-C9E0-F44D-D0F7ADFCC2DF}"/>
              </a:ext>
            </a:extLst>
          </xdr:cNvPr>
          <xdr:cNvGrpSpPr/>
        </xdr:nvGrpSpPr>
        <xdr:grpSpPr>
          <a:xfrm>
            <a:off x="693645" y="620185"/>
            <a:ext cx="8441414" cy="1224358"/>
            <a:chOff x="691016" y="626101"/>
            <a:chExt cx="8405240" cy="1237561"/>
          </a:xfrm>
        </xdr:grpSpPr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734C6BC-8B4E-C929-67B4-B49F8395EA65}"/>
                </a:ext>
              </a:extLst>
            </xdr:cNvPr>
            <xdr:cNvSpPr txBox="1"/>
          </xdr:nvSpPr>
          <xdr:spPr>
            <a:xfrm>
              <a:off x="702346" y="649387"/>
              <a:ext cx="827596" cy="19435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SR Feed</a:t>
              </a:r>
            </a:p>
          </xdr:txBody>
        </xdr:sp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ABEEED87-163F-400C-AC49-C06C7A87C495}"/>
                </a:ext>
              </a:extLst>
            </xdr:cNvPr>
            <xdr:cNvSpPr txBox="1"/>
          </xdr:nvSpPr>
          <xdr:spPr>
            <a:xfrm>
              <a:off x="691016" y="888891"/>
              <a:ext cx="827596" cy="19435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SR Split</a:t>
              </a: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231F5BF0-14AF-4006-BBCA-7393C4CE3347}"/>
                </a:ext>
              </a:extLst>
            </xdr:cNvPr>
            <xdr:cNvSpPr txBox="1"/>
          </xdr:nvSpPr>
          <xdr:spPr>
            <a:xfrm>
              <a:off x="697830" y="1143195"/>
              <a:ext cx="1076057" cy="25797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LCF LHSV</a:t>
              </a:r>
            </a:p>
          </xdr:txBody>
        </xdr:sp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55CD2D09-D0DA-499D-B7BA-E4AA5B0B9DC1}"/>
                </a:ext>
              </a:extLst>
            </xdr:cNvPr>
            <xdr:cNvSpPr txBox="1"/>
          </xdr:nvSpPr>
          <xdr:spPr>
            <a:xfrm>
              <a:off x="691540" y="1389040"/>
              <a:ext cx="1076057" cy="47462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Temperature</a:t>
              </a:r>
            </a:p>
            <a:p>
              <a:r>
                <a:rPr lang="en-US" sz="1100" b="1"/>
                <a:t>(Rx1/2/3)</a:t>
              </a:r>
            </a:p>
          </xdr:txBody>
        </xdr:sp>
        <xdr:cxnSp macro="">
          <xdr:nvCxnSpPr>
            <xdr:cNvPr id="13" name="Straight Arrow Connector 12">
              <a:extLst>
                <a:ext uri="{FF2B5EF4-FFF2-40B4-BE49-F238E27FC236}">
                  <a16:creationId xmlns:a16="http://schemas.microsoft.com/office/drawing/2014/main" id="{484E135B-6092-F169-0B1E-B8899989CD90}"/>
                </a:ext>
              </a:extLst>
            </xdr:cNvPr>
            <xdr:cNvCxnSpPr/>
          </xdr:nvCxnSpPr>
          <xdr:spPr>
            <a:xfrm flipV="1">
              <a:off x="1893843" y="766791"/>
              <a:ext cx="1893088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" name="Straight Arrow Connector 13">
              <a:extLst>
                <a:ext uri="{FF2B5EF4-FFF2-40B4-BE49-F238E27FC236}">
                  <a16:creationId xmlns:a16="http://schemas.microsoft.com/office/drawing/2014/main" id="{AF05448F-87EB-443E-90B2-A913FFD0B2E8}"/>
                </a:ext>
              </a:extLst>
            </xdr:cNvPr>
            <xdr:cNvCxnSpPr/>
          </xdr:nvCxnSpPr>
          <xdr:spPr>
            <a:xfrm flipV="1">
              <a:off x="1887553" y="993468"/>
              <a:ext cx="1893088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" name="Straight Arrow Connector 14">
              <a:extLst>
                <a:ext uri="{FF2B5EF4-FFF2-40B4-BE49-F238E27FC236}">
                  <a16:creationId xmlns:a16="http://schemas.microsoft.com/office/drawing/2014/main" id="{0008E942-C570-461A-B981-FA5306C9C5DA}"/>
                </a:ext>
              </a:extLst>
            </xdr:cNvPr>
            <xdr:cNvCxnSpPr/>
          </xdr:nvCxnSpPr>
          <xdr:spPr>
            <a:xfrm flipV="1">
              <a:off x="1920576" y="1245799"/>
              <a:ext cx="1893088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" name="Straight Arrow Connector 15">
              <a:extLst>
                <a:ext uri="{FF2B5EF4-FFF2-40B4-BE49-F238E27FC236}">
                  <a16:creationId xmlns:a16="http://schemas.microsoft.com/office/drawing/2014/main" id="{520773E5-DE14-436B-B0C4-5721563EC2A6}"/>
                </a:ext>
              </a:extLst>
            </xdr:cNvPr>
            <xdr:cNvCxnSpPr/>
          </xdr:nvCxnSpPr>
          <xdr:spPr>
            <a:xfrm flipV="1">
              <a:off x="1901182" y="1589882"/>
              <a:ext cx="1893088" cy="0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E5F3D343-F759-B3FA-881D-8CE82E425884}"/>
                </a:ext>
              </a:extLst>
            </xdr:cNvPr>
            <xdr:cNvSpPr txBox="1"/>
          </xdr:nvSpPr>
          <xdr:spPr>
            <a:xfrm>
              <a:off x="2506526" y="649390"/>
              <a:ext cx="615103" cy="178370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ME SR</a:t>
              </a: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89926681-C1B0-488A-AAF7-3CF7F5118346}"/>
                </a:ext>
              </a:extLst>
            </xdr:cNvPr>
            <xdr:cNvSpPr txBox="1"/>
          </xdr:nvSpPr>
          <xdr:spPr>
            <a:xfrm>
              <a:off x="2505478" y="888892"/>
              <a:ext cx="616152" cy="21787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70/30</a:t>
              </a:r>
            </a:p>
          </xdr:txBody>
        </xdr:sp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332820B9-39A8-429F-A41C-6A5CD16C2C3A}"/>
                </a:ext>
              </a:extLst>
            </xdr:cNvPr>
            <xdr:cNvSpPr txBox="1"/>
          </xdr:nvSpPr>
          <xdr:spPr>
            <a:xfrm>
              <a:off x="2504870" y="1154940"/>
              <a:ext cx="617901" cy="23605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0.378</a:t>
              </a:r>
            </a:p>
          </xdr:txBody>
        </xdr:sp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754532F2-5A16-4EFE-B25B-26C08881B96A}"/>
                </a:ext>
              </a:extLst>
            </xdr:cNvPr>
            <xdr:cNvSpPr txBox="1"/>
          </xdr:nvSpPr>
          <xdr:spPr>
            <a:xfrm>
              <a:off x="2275761" y="1439590"/>
              <a:ext cx="998037" cy="24465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399/404/407</a:t>
              </a:r>
            </a:p>
          </xdr:txBody>
        </xdr:sp>
        <xdr:cxnSp macro="">
          <xdr:nvCxnSpPr>
            <xdr:cNvPr id="22" name="Straight Arrow Connector 21">
              <a:extLst>
                <a:ext uri="{FF2B5EF4-FFF2-40B4-BE49-F238E27FC236}">
                  <a16:creationId xmlns:a16="http://schemas.microsoft.com/office/drawing/2014/main" id="{794FF099-FE3B-48E8-A4E0-B4E882682F6D}"/>
                </a:ext>
              </a:extLst>
            </xdr:cNvPr>
            <xdr:cNvCxnSpPr/>
          </xdr:nvCxnSpPr>
          <xdr:spPr>
            <a:xfrm flipV="1">
              <a:off x="3911887" y="787907"/>
              <a:ext cx="2698842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" name="Straight Arrow Connector 26">
              <a:extLst>
                <a:ext uri="{FF2B5EF4-FFF2-40B4-BE49-F238E27FC236}">
                  <a16:creationId xmlns:a16="http://schemas.microsoft.com/office/drawing/2014/main" id="{DC27012D-3B98-4572-937A-69AE695552B3}"/>
                </a:ext>
              </a:extLst>
            </xdr:cNvPr>
            <xdr:cNvCxnSpPr/>
          </xdr:nvCxnSpPr>
          <xdr:spPr>
            <a:xfrm flipV="1">
              <a:off x="3923535" y="978249"/>
              <a:ext cx="2675546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" name="Straight Arrow Connector 28">
              <a:extLst>
                <a:ext uri="{FF2B5EF4-FFF2-40B4-BE49-F238E27FC236}">
                  <a16:creationId xmlns:a16="http://schemas.microsoft.com/office/drawing/2014/main" id="{A1FA9615-D160-408C-97C3-5AD998C50CCD}"/>
                </a:ext>
              </a:extLst>
            </xdr:cNvPr>
            <xdr:cNvCxnSpPr/>
          </xdr:nvCxnSpPr>
          <xdr:spPr>
            <a:xfrm flipV="1">
              <a:off x="6747030" y="954069"/>
              <a:ext cx="2349226" cy="10188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1" name="Straight Arrow Connector 30">
              <a:extLst>
                <a:ext uri="{FF2B5EF4-FFF2-40B4-BE49-F238E27FC236}">
                  <a16:creationId xmlns:a16="http://schemas.microsoft.com/office/drawing/2014/main" id="{1D412D6E-8B99-456F-B4A7-0DDB7B75ED45}"/>
                </a:ext>
              </a:extLst>
            </xdr:cNvPr>
            <xdr:cNvCxnSpPr/>
          </xdr:nvCxnSpPr>
          <xdr:spPr>
            <a:xfrm flipV="1">
              <a:off x="3942659" y="1250531"/>
              <a:ext cx="2675546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2" name="Straight Arrow Connector 31">
              <a:extLst>
                <a:ext uri="{FF2B5EF4-FFF2-40B4-BE49-F238E27FC236}">
                  <a16:creationId xmlns:a16="http://schemas.microsoft.com/office/drawing/2014/main" id="{A20BCDD3-4A5C-4782-8668-FFC512C6E331}"/>
                </a:ext>
              </a:extLst>
            </xdr:cNvPr>
            <xdr:cNvCxnSpPr/>
          </xdr:nvCxnSpPr>
          <xdr:spPr>
            <a:xfrm flipV="1">
              <a:off x="6742859" y="1248987"/>
              <a:ext cx="2330573" cy="200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4" name="Straight Arrow Connector 33">
              <a:extLst>
                <a:ext uri="{FF2B5EF4-FFF2-40B4-BE49-F238E27FC236}">
                  <a16:creationId xmlns:a16="http://schemas.microsoft.com/office/drawing/2014/main" id="{702A2D23-4567-48DB-BCEF-9D9372503D08}"/>
                </a:ext>
              </a:extLst>
            </xdr:cNvPr>
            <xdr:cNvCxnSpPr/>
          </xdr:nvCxnSpPr>
          <xdr:spPr>
            <a:xfrm>
              <a:off x="3955763" y="1561898"/>
              <a:ext cx="2644906" cy="1369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6" name="Straight Arrow Connector 35">
              <a:extLst>
                <a:ext uri="{FF2B5EF4-FFF2-40B4-BE49-F238E27FC236}">
                  <a16:creationId xmlns:a16="http://schemas.microsoft.com/office/drawing/2014/main" id="{F189437C-E3C9-45C7-977C-A2E2CC7CB3FE}"/>
                </a:ext>
              </a:extLst>
            </xdr:cNvPr>
            <xdr:cNvCxnSpPr/>
          </xdr:nvCxnSpPr>
          <xdr:spPr>
            <a:xfrm flipV="1">
              <a:off x="6744314" y="1543906"/>
              <a:ext cx="2317705" cy="17537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B8CD0968-1614-4246-B9E9-747A94ACF04A}"/>
                </a:ext>
              </a:extLst>
            </xdr:cNvPr>
            <xdr:cNvSpPr txBox="1"/>
          </xdr:nvSpPr>
          <xdr:spPr>
            <a:xfrm>
              <a:off x="4698871" y="651990"/>
              <a:ext cx="1269446" cy="21050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Low Sedimentation</a:t>
              </a:r>
            </a:p>
          </xdr:txBody>
        </xdr:sp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F1A6F6D1-B84C-4707-9485-0E24DA6A8423}"/>
                </a:ext>
              </a:extLst>
            </xdr:cNvPr>
            <xdr:cNvSpPr txBox="1"/>
          </xdr:nvSpPr>
          <xdr:spPr>
            <a:xfrm>
              <a:off x="7035251" y="626101"/>
              <a:ext cx="1269446" cy="21050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HighSedimentation</a:t>
              </a:r>
            </a:p>
          </xdr:txBody>
        </xdr:sp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4FED0D2E-2008-4848-B03A-0CE1F9423897}"/>
                </a:ext>
              </a:extLst>
            </xdr:cNvPr>
            <xdr:cNvSpPr txBox="1"/>
          </xdr:nvSpPr>
          <xdr:spPr>
            <a:xfrm>
              <a:off x="4976774" y="882712"/>
              <a:ext cx="617902" cy="239573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B1A29263-DA7B-42B6-B885-CB2B1D50E10F}"/>
                </a:ext>
              </a:extLst>
            </xdr:cNvPr>
            <xdr:cNvSpPr txBox="1"/>
          </xdr:nvSpPr>
          <xdr:spPr>
            <a:xfrm>
              <a:off x="7375471" y="899875"/>
              <a:ext cx="617901" cy="239573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00FEB85F-246E-4474-98CE-C707993318FA}"/>
                </a:ext>
              </a:extLst>
            </xdr:cNvPr>
            <xdr:cNvSpPr txBox="1"/>
          </xdr:nvSpPr>
          <xdr:spPr>
            <a:xfrm>
              <a:off x="4975248" y="1169663"/>
              <a:ext cx="617902" cy="23526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60FD1286-721D-4DDD-9A3B-30E7877925E1}"/>
                </a:ext>
              </a:extLst>
            </xdr:cNvPr>
            <xdr:cNvSpPr txBox="1"/>
          </xdr:nvSpPr>
          <xdr:spPr>
            <a:xfrm>
              <a:off x="7373945" y="1196154"/>
              <a:ext cx="617901" cy="23526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A89068CF-5988-44B1-9BC5-569D45DBAC12}"/>
                </a:ext>
              </a:extLst>
            </xdr:cNvPr>
            <xdr:cNvSpPr txBox="1"/>
          </xdr:nvSpPr>
          <xdr:spPr>
            <a:xfrm>
              <a:off x="4732899" y="1490441"/>
              <a:ext cx="1002437" cy="24465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415/419/419</a:t>
              </a:r>
            </a:p>
          </xdr:txBody>
        </xdr:sp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CA81095D-639B-4B90-B6DB-BBA87AA3BBA5}"/>
                </a:ext>
              </a:extLst>
            </xdr:cNvPr>
            <xdr:cNvSpPr txBox="1"/>
          </xdr:nvSpPr>
          <xdr:spPr>
            <a:xfrm>
              <a:off x="7131596" y="1470294"/>
              <a:ext cx="1002436" cy="24465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420/421/423</a:t>
              </a:r>
            </a:p>
          </xdr:txBody>
        </xdr:sp>
      </xdr:grpSp>
    </xdr:grpSp>
    <xdr:clientData/>
  </xdr:twoCellAnchor>
  <xdr:twoCellAnchor>
    <xdr:from>
      <xdr:col>17</xdr:col>
      <xdr:colOff>17784</xdr:colOff>
      <xdr:row>3</xdr:row>
      <xdr:rowOff>137585</xdr:rowOff>
    </xdr:from>
    <xdr:to>
      <xdr:col>31</xdr:col>
      <xdr:colOff>104713</xdr:colOff>
      <xdr:row>10</xdr:row>
      <xdr:rowOff>109904</xdr:rowOff>
    </xdr:to>
    <xdr:grpSp>
      <xdr:nvGrpSpPr>
        <xdr:cNvPr id="109" name="Group 108">
          <a:extLst>
            <a:ext uri="{FF2B5EF4-FFF2-40B4-BE49-F238E27FC236}">
              <a16:creationId xmlns:a16="http://schemas.microsoft.com/office/drawing/2014/main" id="{A458D64E-15F9-4F3E-A574-FF5266AB1BD1}"/>
            </a:ext>
          </a:extLst>
        </xdr:cNvPr>
        <xdr:cNvGrpSpPr/>
      </xdr:nvGrpSpPr>
      <xdr:grpSpPr>
        <a:xfrm>
          <a:off x="10380984" y="690035"/>
          <a:ext cx="8621329" cy="1261369"/>
          <a:chOff x="693645" y="620185"/>
          <a:chExt cx="8590407" cy="1229540"/>
        </a:xfrm>
      </xdr:grpSpPr>
      <xdr:cxnSp macro="">
        <xdr:nvCxnSpPr>
          <xdr:cNvPr id="110" name="Straight Arrow Connector 109">
            <a:extLst>
              <a:ext uri="{FF2B5EF4-FFF2-40B4-BE49-F238E27FC236}">
                <a16:creationId xmlns:a16="http://schemas.microsoft.com/office/drawing/2014/main" id="{161726BF-B0B2-C281-3EE9-235CBDB07993}"/>
              </a:ext>
            </a:extLst>
          </xdr:cNvPr>
          <xdr:cNvCxnSpPr/>
        </xdr:nvCxnSpPr>
        <xdr:spPr>
          <a:xfrm>
            <a:off x="6778115" y="767064"/>
            <a:ext cx="2471728" cy="0"/>
          </a:xfrm>
          <a:prstGeom prst="straightConnector1">
            <a:avLst/>
          </a:prstGeom>
          <a:ln>
            <a:solidFill>
              <a:schemeClr val="tx1"/>
            </a:solidFill>
            <a:prstDash val="sysDash"/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111" name="Group 110">
            <a:extLst>
              <a:ext uri="{FF2B5EF4-FFF2-40B4-BE49-F238E27FC236}">
                <a16:creationId xmlns:a16="http://schemas.microsoft.com/office/drawing/2014/main" id="{13CA8026-081A-BE56-634D-D8AD5D41EC7D}"/>
              </a:ext>
            </a:extLst>
          </xdr:cNvPr>
          <xdr:cNvGrpSpPr/>
        </xdr:nvGrpSpPr>
        <xdr:grpSpPr>
          <a:xfrm>
            <a:off x="693645" y="620185"/>
            <a:ext cx="8590407" cy="1229540"/>
            <a:chOff x="691016" y="626101"/>
            <a:chExt cx="8553595" cy="1242800"/>
          </a:xfrm>
        </xdr:grpSpPr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170ADF46-F208-F1C1-3A06-CA6D03AA0A0D}"/>
                </a:ext>
              </a:extLst>
            </xdr:cNvPr>
            <xdr:cNvSpPr txBox="1"/>
          </xdr:nvSpPr>
          <xdr:spPr>
            <a:xfrm>
              <a:off x="702346" y="649387"/>
              <a:ext cx="827596" cy="19435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SR Feed</a:t>
              </a:r>
            </a:p>
          </xdr:txBody>
        </xdr:sp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B4393330-D8FF-7130-9BDE-7956E149CD58}"/>
                </a:ext>
              </a:extLst>
            </xdr:cNvPr>
            <xdr:cNvSpPr txBox="1"/>
          </xdr:nvSpPr>
          <xdr:spPr>
            <a:xfrm>
              <a:off x="691016" y="888891"/>
              <a:ext cx="827596" cy="19435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SR Split</a:t>
              </a:r>
            </a:p>
          </xdr:txBody>
        </xdr:sp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837939EF-62B4-7B18-6FAE-7EE45E33F7E6}"/>
                </a:ext>
              </a:extLst>
            </xdr:cNvPr>
            <xdr:cNvSpPr txBox="1"/>
          </xdr:nvSpPr>
          <xdr:spPr>
            <a:xfrm>
              <a:off x="697830" y="1143195"/>
              <a:ext cx="1076057" cy="25797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LCF LHSV</a:t>
              </a:r>
            </a:p>
          </xdr:txBody>
        </xdr:sp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66FA94B5-5BDA-0E36-4824-42DA774DB383}"/>
                </a:ext>
              </a:extLst>
            </xdr:cNvPr>
            <xdr:cNvSpPr txBox="1"/>
          </xdr:nvSpPr>
          <xdr:spPr>
            <a:xfrm>
              <a:off x="703636" y="1389042"/>
              <a:ext cx="1076057" cy="4798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Temperature</a:t>
              </a:r>
            </a:p>
            <a:p>
              <a:r>
                <a:rPr lang="en-US" sz="1100" b="1"/>
                <a:t>(Rx1/2/3)</a:t>
              </a:r>
            </a:p>
          </xdr:txBody>
        </xdr:sp>
        <xdr:cxnSp macro="">
          <xdr:nvCxnSpPr>
            <xdr:cNvPr id="116" name="Straight Arrow Connector 115">
              <a:extLst>
                <a:ext uri="{FF2B5EF4-FFF2-40B4-BE49-F238E27FC236}">
                  <a16:creationId xmlns:a16="http://schemas.microsoft.com/office/drawing/2014/main" id="{20A6BE3C-7C71-A23B-CC33-C04F14D9F252}"/>
                </a:ext>
              </a:extLst>
            </xdr:cNvPr>
            <xdr:cNvCxnSpPr/>
          </xdr:nvCxnSpPr>
          <xdr:spPr>
            <a:xfrm flipV="1">
              <a:off x="1893843" y="766791"/>
              <a:ext cx="1893088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7" name="Straight Arrow Connector 116">
              <a:extLst>
                <a:ext uri="{FF2B5EF4-FFF2-40B4-BE49-F238E27FC236}">
                  <a16:creationId xmlns:a16="http://schemas.microsoft.com/office/drawing/2014/main" id="{4F0842D0-59FD-5B58-A482-1CC2388A81F1}"/>
                </a:ext>
              </a:extLst>
            </xdr:cNvPr>
            <xdr:cNvCxnSpPr/>
          </xdr:nvCxnSpPr>
          <xdr:spPr>
            <a:xfrm flipV="1">
              <a:off x="1887553" y="993468"/>
              <a:ext cx="1893088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8" name="Straight Arrow Connector 117">
              <a:extLst>
                <a:ext uri="{FF2B5EF4-FFF2-40B4-BE49-F238E27FC236}">
                  <a16:creationId xmlns:a16="http://schemas.microsoft.com/office/drawing/2014/main" id="{387C82EC-D169-2D2C-3744-20A4CF10F809}"/>
                </a:ext>
              </a:extLst>
            </xdr:cNvPr>
            <xdr:cNvCxnSpPr/>
          </xdr:nvCxnSpPr>
          <xdr:spPr>
            <a:xfrm flipV="1">
              <a:off x="1920576" y="1245799"/>
              <a:ext cx="1893088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9" name="Straight Arrow Connector 118">
              <a:extLst>
                <a:ext uri="{FF2B5EF4-FFF2-40B4-BE49-F238E27FC236}">
                  <a16:creationId xmlns:a16="http://schemas.microsoft.com/office/drawing/2014/main" id="{7014E632-8100-43E0-04EE-A377AEAD2DF7}"/>
                </a:ext>
              </a:extLst>
            </xdr:cNvPr>
            <xdr:cNvCxnSpPr/>
          </xdr:nvCxnSpPr>
          <xdr:spPr>
            <a:xfrm flipV="1">
              <a:off x="1901182" y="1589882"/>
              <a:ext cx="1893088" cy="0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6185B4F9-666D-4F71-31C4-7CAD7946FA28}"/>
                </a:ext>
              </a:extLst>
            </xdr:cNvPr>
            <xdr:cNvSpPr txBox="1"/>
          </xdr:nvSpPr>
          <xdr:spPr>
            <a:xfrm>
              <a:off x="2506526" y="649390"/>
              <a:ext cx="615103" cy="178370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ME SR</a:t>
              </a:r>
            </a:p>
          </xdr:txBody>
        </xdr:sp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5A46E6F5-5B63-0A04-1145-CA65DE7769DE}"/>
                </a:ext>
              </a:extLst>
            </xdr:cNvPr>
            <xdr:cNvSpPr txBox="1"/>
          </xdr:nvSpPr>
          <xdr:spPr>
            <a:xfrm>
              <a:off x="2505478" y="888892"/>
              <a:ext cx="616152" cy="21787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70/30</a:t>
              </a:r>
            </a:p>
          </xdr:txBody>
        </xdr:sp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F14957E4-8172-F750-1297-B35D0ADA5FBE}"/>
                </a:ext>
              </a:extLst>
            </xdr:cNvPr>
            <xdr:cNvSpPr txBox="1"/>
          </xdr:nvSpPr>
          <xdr:spPr>
            <a:xfrm>
              <a:off x="2504870" y="1154940"/>
              <a:ext cx="617901" cy="23605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0.378</a:t>
              </a:r>
            </a:p>
          </xdr:txBody>
        </xdr:sp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91735C01-F37E-CBD1-003E-EFCC0B0DB81D}"/>
                </a:ext>
              </a:extLst>
            </xdr:cNvPr>
            <xdr:cNvSpPr txBox="1"/>
          </xdr:nvSpPr>
          <xdr:spPr>
            <a:xfrm>
              <a:off x="2329544" y="1491395"/>
              <a:ext cx="998037" cy="24465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399/405/407</a:t>
              </a:r>
            </a:p>
          </xdr:txBody>
        </xdr:sp>
        <xdr:cxnSp macro="">
          <xdr:nvCxnSpPr>
            <xdr:cNvPr id="124" name="Straight Arrow Connector 123">
              <a:extLst>
                <a:ext uri="{FF2B5EF4-FFF2-40B4-BE49-F238E27FC236}">
                  <a16:creationId xmlns:a16="http://schemas.microsoft.com/office/drawing/2014/main" id="{E420EA19-8DF2-8E5A-8CF5-4E4ADA9F6C27}"/>
                </a:ext>
              </a:extLst>
            </xdr:cNvPr>
            <xdr:cNvCxnSpPr/>
          </xdr:nvCxnSpPr>
          <xdr:spPr>
            <a:xfrm flipV="1">
              <a:off x="3911887" y="787907"/>
              <a:ext cx="2698842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5" name="Straight Arrow Connector 124">
              <a:extLst>
                <a:ext uri="{FF2B5EF4-FFF2-40B4-BE49-F238E27FC236}">
                  <a16:creationId xmlns:a16="http://schemas.microsoft.com/office/drawing/2014/main" id="{A1B8235C-2D65-1166-3EF7-1425E530FAFA}"/>
                </a:ext>
              </a:extLst>
            </xdr:cNvPr>
            <xdr:cNvCxnSpPr/>
          </xdr:nvCxnSpPr>
          <xdr:spPr>
            <a:xfrm flipV="1">
              <a:off x="3923535" y="978249"/>
              <a:ext cx="2675546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6" name="Straight Arrow Connector 125">
              <a:extLst>
                <a:ext uri="{FF2B5EF4-FFF2-40B4-BE49-F238E27FC236}">
                  <a16:creationId xmlns:a16="http://schemas.microsoft.com/office/drawing/2014/main" id="{2D29CA19-DEE5-3C8C-D324-407E67423E5C}"/>
                </a:ext>
              </a:extLst>
            </xdr:cNvPr>
            <xdr:cNvCxnSpPr/>
          </xdr:nvCxnSpPr>
          <xdr:spPr>
            <a:xfrm flipV="1">
              <a:off x="6747030" y="964257"/>
              <a:ext cx="2461048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7" name="Straight Arrow Connector 126">
              <a:extLst>
                <a:ext uri="{FF2B5EF4-FFF2-40B4-BE49-F238E27FC236}">
                  <a16:creationId xmlns:a16="http://schemas.microsoft.com/office/drawing/2014/main" id="{83F86C5A-8D1A-1BCA-C9B0-9953D3683C55}"/>
                </a:ext>
              </a:extLst>
            </xdr:cNvPr>
            <xdr:cNvCxnSpPr/>
          </xdr:nvCxnSpPr>
          <xdr:spPr>
            <a:xfrm flipV="1">
              <a:off x="3942659" y="1250531"/>
              <a:ext cx="2675546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8" name="Straight Arrow Connector 127">
              <a:extLst>
                <a:ext uri="{FF2B5EF4-FFF2-40B4-BE49-F238E27FC236}">
                  <a16:creationId xmlns:a16="http://schemas.microsoft.com/office/drawing/2014/main" id="{45D4FDA8-4102-4C3D-9526-7EFEDBFC2EAD}"/>
                </a:ext>
              </a:extLst>
            </xdr:cNvPr>
            <xdr:cNvCxnSpPr/>
          </xdr:nvCxnSpPr>
          <xdr:spPr>
            <a:xfrm flipV="1">
              <a:off x="6742859" y="1250988"/>
              <a:ext cx="2496458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9" name="Straight Arrow Connector 128">
              <a:extLst>
                <a:ext uri="{FF2B5EF4-FFF2-40B4-BE49-F238E27FC236}">
                  <a16:creationId xmlns:a16="http://schemas.microsoft.com/office/drawing/2014/main" id="{263FADBB-8B1B-1D99-DBD7-A6E54D116A25}"/>
                </a:ext>
              </a:extLst>
            </xdr:cNvPr>
            <xdr:cNvCxnSpPr/>
          </xdr:nvCxnSpPr>
          <xdr:spPr>
            <a:xfrm>
              <a:off x="3955763" y="1561898"/>
              <a:ext cx="2644906" cy="1369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0" name="Straight Arrow Connector 129">
              <a:extLst>
                <a:ext uri="{FF2B5EF4-FFF2-40B4-BE49-F238E27FC236}">
                  <a16:creationId xmlns:a16="http://schemas.microsoft.com/office/drawing/2014/main" id="{1869FE0F-28CD-5D72-B41F-AAC38E4FA366}"/>
                </a:ext>
              </a:extLst>
            </xdr:cNvPr>
            <xdr:cNvCxnSpPr/>
          </xdr:nvCxnSpPr>
          <xdr:spPr>
            <a:xfrm flipV="1">
              <a:off x="6744314" y="1551867"/>
              <a:ext cx="2500297" cy="9576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D2021BBA-7BF3-A01D-EABD-3BBD79D448F2}"/>
                </a:ext>
              </a:extLst>
            </xdr:cNvPr>
            <xdr:cNvSpPr txBox="1"/>
          </xdr:nvSpPr>
          <xdr:spPr>
            <a:xfrm>
              <a:off x="4698871" y="651990"/>
              <a:ext cx="1269446" cy="21050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Low Sedimentation</a:t>
              </a:r>
            </a:p>
          </xdr:txBody>
        </xdr:sp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9A1C3BD2-3B2B-0406-A850-9C7FD3EF7CEF}"/>
                </a:ext>
              </a:extLst>
            </xdr:cNvPr>
            <xdr:cNvSpPr txBox="1"/>
          </xdr:nvSpPr>
          <xdr:spPr>
            <a:xfrm>
              <a:off x="7035251" y="626101"/>
              <a:ext cx="1269446" cy="21050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HighSedimentation</a:t>
              </a:r>
            </a:p>
          </xdr:txBody>
        </xdr:sp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1F6BAFE0-BE95-92B5-BFD7-BA6F558C47E3}"/>
                </a:ext>
              </a:extLst>
            </xdr:cNvPr>
            <xdr:cNvSpPr txBox="1"/>
          </xdr:nvSpPr>
          <xdr:spPr>
            <a:xfrm>
              <a:off x="4976774" y="882712"/>
              <a:ext cx="617902" cy="239573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DB5FB595-5703-F30A-9611-9994046822FB}"/>
                </a:ext>
              </a:extLst>
            </xdr:cNvPr>
            <xdr:cNvSpPr txBox="1"/>
          </xdr:nvSpPr>
          <xdr:spPr>
            <a:xfrm>
              <a:off x="7375471" y="899875"/>
              <a:ext cx="617901" cy="239573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0A18BEEC-BE36-7C05-BFE9-54DB8B93E32B}"/>
                </a:ext>
              </a:extLst>
            </xdr:cNvPr>
            <xdr:cNvSpPr txBox="1"/>
          </xdr:nvSpPr>
          <xdr:spPr>
            <a:xfrm>
              <a:off x="4975248" y="1169663"/>
              <a:ext cx="617902" cy="23526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2B05117F-2032-DB64-7835-01FC798B5E54}"/>
                </a:ext>
              </a:extLst>
            </xdr:cNvPr>
            <xdr:cNvSpPr txBox="1"/>
          </xdr:nvSpPr>
          <xdr:spPr>
            <a:xfrm>
              <a:off x="7373945" y="1196154"/>
              <a:ext cx="617901" cy="23526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CB53B1B7-4293-7B1F-96D1-D1E6D55B09BC}"/>
                </a:ext>
              </a:extLst>
            </xdr:cNvPr>
            <xdr:cNvSpPr txBox="1"/>
          </xdr:nvSpPr>
          <xdr:spPr>
            <a:xfrm>
              <a:off x="4732899" y="1490441"/>
              <a:ext cx="1002437" cy="24465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415/419/419</a:t>
              </a:r>
            </a:p>
          </xdr:txBody>
        </xdr:sp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60C58B3F-B3CA-C80E-734D-425B4BA48871}"/>
                </a:ext>
              </a:extLst>
            </xdr:cNvPr>
            <xdr:cNvSpPr txBox="1"/>
          </xdr:nvSpPr>
          <xdr:spPr>
            <a:xfrm>
              <a:off x="7131596" y="1470294"/>
              <a:ext cx="1002436" cy="24465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420/421/423</a:t>
              </a:r>
            </a:p>
          </xdr:txBody>
        </xdr:sp>
      </xdr:grpSp>
    </xdr:grpSp>
    <xdr:clientData/>
  </xdr:twoCellAnchor>
  <xdr:twoCellAnchor>
    <xdr:from>
      <xdr:col>34</xdr:col>
      <xdr:colOff>151778</xdr:colOff>
      <xdr:row>3</xdr:row>
      <xdr:rowOff>41507</xdr:rowOff>
    </xdr:from>
    <xdr:to>
      <xdr:col>48</xdr:col>
      <xdr:colOff>288637</xdr:colOff>
      <xdr:row>10</xdr:row>
      <xdr:rowOff>28864</xdr:rowOff>
    </xdr:to>
    <xdr:grpSp>
      <xdr:nvGrpSpPr>
        <xdr:cNvPr id="139" name="Group 138">
          <a:extLst>
            <a:ext uri="{FF2B5EF4-FFF2-40B4-BE49-F238E27FC236}">
              <a16:creationId xmlns:a16="http://schemas.microsoft.com/office/drawing/2014/main" id="{60006E3B-1FD6-4DC2-8691-20A3F4DB3D82}"/>
            </a:ext>
          </a:extLst>
        </xdr:cNvPr>
        <xdr:cNvGrpSpPr/>
      </xdr:nvGrpSpPr>
      <xdr:grpSpPr>
        <a:xfrm>
          <a:off x="20878178" y="593957"/>
          <a:ext cx="8671259" cy="1276407"/>
          <a:chOff x="693645" y="620185"/>
          <a:chExt cx="8316604" cy="1244208"/>
        </a:xfrm>
      </xdr:grpSpPr>
      <xdr:cxnSp macro="">
        <xdr:nvCxnSpPr>
          <xdr:cNvPr id="140" name="Straight Arrow Connector 139">
            <a:extLst>
              <a:ext uri="{FF2B5EF4-FFF2-40B4-BE49-F238E27FC236}">
                <a16:creationId xmlns:a16="http://schemas.microsoft.com/office/drawing/2014/main" id="{7A6A419A-6B1E-2EBF-121D-7834A8A01B6C}"/>
              </a:ext>
            </a:extLst>
          </xdr:cNvPr>
          <xdr:cNvCxnSpPr/>
        </xdr:nvCxnSpPr>
        <xdr:spPr>
          <a:xfrm flipV="1">
            <a:off x="6778115" y="759393"/>
            <a:ext cx="2232134" cy="7672"/>
          </a:xfrm>
          <a:prstGeom prst="straightConnector1">
            <a:avLst/>
          </a:prstGeom>
          <a:ln>
            <a:solidFill>
              <a:schemeClr val="tx1"/>
            </a:solidFill>
            <a:prstDash val="sysDash"/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141" name="Group 140">
            <a:extLst>
              <a:ext uri="{FF2B5EF4-FFF2-40B4-BE49-F238E27FC236}">
                <a16:creationId xmlns:a16="http://schemas.microsoft.com/office/drawing/2014/main" id="{A62E685F-AE3F-739D-CC3A-BED0B2C024F6}"/>
              </a:ext>
            </a:extLst>
          </xdr:cNvPr>
          <xdr:cNvGrpSpPr/>
        </xdr:nvGrpSpPr>
        <xdr:grpSpPr>
          <a:xfrm>
            <a:off x="693645" y="620185"/>
            <a:ext cx="8316604" cy="1244208"/>
            <a:chOff x="691016" y="626101"/>
            <a:chExt cx="8280965" cy="1257626"/>
          </a:xfrm>
        </xdr:grpSpPr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20D9B1A4-9943-8464-1FCC-FCC5018884B0}"/>
                </a:ext>
              </a:extLst>
            </xdr:cNvPr>
            <xdr:cNvSpPr txBox="1"/>
          </xdr:nvSpPr>
          <xdr:spPr>
            <a:xfrm>
              <a:off x="702346" y="649387"/>
              <a:ext cx="827596" cy="19435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SR Feed</a:t>
              </a:r>
            </a:p>
          </xdr:txBody>
        </xdr:sp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5FADF2C0-06EA-2088-5FFC-1CF647BCD941}"/>
                </a:ext>
              </a:extLst>
            </xdr:cNvPr>
            <xdr:cNvSpPr txBox="1"/>
          </xdr:nvSpPr>
          <xdr:spPr>
            <a:xfrm>
              <a:off x="691016" y="888891"/>
              <a:ext cx="827596" cy="19435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SR Split</a:t>
              </a:r>
            </a:p>
          </xdr:txBody>
        </xdr:sp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3B1AEA24-C8C4-4450-D3BD-B75D30843A7F}"/>
                </a:ext>
              </a:extLst>
            </xdr:cNvPr>
            <xdr:cNvSpPr txBox="1"/>
          </xdr:nvSpPr>
          <xdr:spPr>
            <a:xfrm>
              <a:off x="697830" y="1143195"/>
              <a:ext cx="1076057" cy="25797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LCF LHSV</a:t>
              </a:r>
            </a:p>
          </xdr:txBody>
        </xdr:sp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175BA785-8C2A-0A1F-33D3-BA424ADB3E5F}"/>
                </a:ext>
              </a:extLst>
            </xdr:cNvPr>
            <xdr:cNvSpPr txBox="1"/>
          </xdr:nvSpPr>
          <xdr:spPr>
            <a:xfrm>
              <a:off x="691540" y="1394775"/>
              <a:ext cx="1076057" cy="48895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Temperature</a:t>
              </a:r>
              <a:br>
                <a:rPr lang="en-US" sz="1100" b="1"/>
              </a:br>
              <a:r>
                <a:rPr lang="en-US" sz="1100" b="1"/>
                <a:t>(Rx1/2/3)</a:t>
              </a:r>
            </a:p>
          </xdr:txBody>
        </xdr:sp>
        <xdr:cxnSp macro="">
          <xdr:nvCxnSpPr>
            <xdr:cNvPr id="146" name="Straight Arrow Connector 145">
              <a:extLst>
                <a:ext uri="{FF2B5EF4-FFF2-40B4-BE49-F238E27FC236}">
                  <a16:creationId xmlns:a16="http://schemas.microsoft.com/office/drawing/2014/main" id="{5A356B83-34FC-754A-662F-4147C217857E}"/>
                </a:ext>
              </a:extLst>
            </xdr:cNvPr>
            <xdr:cNvCxnSpPr/>
          </xdr:nvCxnSpPr>
          <xdr:spPr>
            <a:xfrm flipV="1">
              <a:off x="1668986" y="766791"/>
              <a:ext cx="1893088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7" name="Straight Arrow Connector 146">
              <a:extLst>
                <a:ext uri="{FF2B5EF4-FFF2-40B4-BE49-F238E27FC236}">
                  <a16:creationId xmlns:a16="http://schemas.microsoft.com/office/drawing/2014/main" id="{F309A723-A677-9AB9-3F45-748AF46289A9}"/>
                </a:ext>
              </a:extLst>
            </xdr:cNvPr>
            <xdr:cNvCxnSpPr/>
          </xdr:nvCxnSpPr>
          <xdr:spPr>
            <a:xfrm flipV="1">
              <a:off x="1662694" y="993468"/>
              <a:ext cx="1893088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8" name="Straight Arrow Connector 147">
              <a:extLst>
                <a:ext uri="{FF2B5EF4-FFF2-40B4-BE49-F238E27FC236}">
                  <a16:creationId xmlns:a16="http://schemas.microsoft.com/office/drawing/2014/main" id="{0DA1BDCC-7513-B8F5-E93D-87F8FC56E899}"/>
                </a:ext>
              </a:extLst>
            </xdr:cNvPr>
            <xdr:cNvCxnSpPr/>
          </xdr:nvCxnSpPr>
          <xdr:spPr>
            <a:xfrm flipV="1">
              <a:off x="1695719" y="1245799"/>
              <a:ext cx="1893088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9" name="Straight Arrow Connector 148">
              <a:extLst>
                <a:ext uri="{FF2B5EF4-FFF2-40B4-BE49-F238E27FC236}">
                  <a16:creationId xmlns:a16="http://schemas.microsoft.com/office/drawing/2014/main" id="{BAE42EA7-454D-D6AC-25EF-61A35CB2439A}"/>
                </a:ext>
              </a:extLst>
            </xdr:cNvPr>
            <xdr:cNvCxnSpPr/>
          </xdr:nvCxnSpPr>
          <xdr:spPr>
            <a:xfrm flipV="1">
              <a:off x="1676325" y="1589882"/>
              <a:ext cx="1893088" cy="0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0" name="TextBox 149">
              <a:extLst>
                <a:ext uri="{FF2B5EF4-FFF2-40B4-BE49-F238E27FC236}">
                  <a16:creationId xmlns:a16="http://schemas.microsoft.com/office/drawing/2014/main" id="{6EFFDF9E-F285-5D5A-EF81-8E6135F39E0D}"/>
                </a:ext>
              </a:extLst>
            </xdr:cNvPr>
            <xdr:cNvSpPr txBox="1"/>
          </xdr:nvSpPr>
          <xdr:spPr>
            <a:xfrm>
              <a:off x="2281669" y="649390"/>
              <a:ext cx="615103" cy="178370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ME SR</a:t>
              </a:r>
            </a:p>
          </xdr:txBody>
        </xdr:sp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91F61690-C70D-2CB1-1A5E-179272EAD432}"/>
                </a:ext>
              </a:extLst>
            </xdr:cNvPr>
            <xdr:cNvSpPr txBox="1"/>
          </xdr:nvSpPr>
          <xdr:spPr>
            <a:xfrm>
              <a:off x="2280620" y="888892"/>
              <a:ext cx="616152" cy="21787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70/30</a:t>
              </a:r>
            </a:p>
          </xdr:txBody>
        </xdr:sp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B1E5FA33-F786-7CE8-A9AA-08B79038A0CD}"/>
                </a:ext>
              </a:extLst>
            </xdr:cNvPr>
            <xdr:cNvSpPr txBox="1"/>
          </xdr:nvSpPr>
          <xdr:spPr>
            <a:xfrm>
              <a:off x="2280012" y="1154940"/>
              <a:ext cx="617901" cy="23605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0.378</a:t>
              </a:r>
            </a:p>
          </xdr:txBody>
        </xdr:sp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9E6C6F88-2E97-378A-3AB4-1CB7228F6077}"/>
                </a:ext>
              </a:extLst>
            </xdr:cNvPr>
            <xdr:cNvSpPr txBox="1"/>
          </xdr:nvSpPr>
          <xdr:spPr>
            <a:xfrm>
              <a:off x="2279407" y="1465491"/>
              <a:ext cx="998037" cy="24465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399/405/407</a:t>
              </a:r>
            </a:p>
          </xdr:txBody>
        </xdr:sp>
        <xdr:cxnSp macro="">
          <xdr:nvCxnSpPr>
            <xdr:cNvPr id="154" name="Straight Arrow Connector 153">
              <a:extLst>
                <a:ext uri="{FF2B5EF4-FFF2-40B4-BE49-F238E27FC236}">
                  <a16:creationId xmlns:a16="http://schemas.microsoft.com/office/drawing/2014/main" id="{E9C1F203-D297-B23A-825D-7BA02E56C771}"/>
                </a:ext>
              </a:extLst>
            </xdr:cNvPr>
            <xdr:cNvCxnSpPr/>
          </xdr:nvCxnSpPr>
          <xdr:spPr>
            <a:xfrm flipV="1">
              <a:off x="3911887" y="787907"/>
              <a:ext cx="2698842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5" name="Straight Arrow Connector 154">
              <a:extLst>
                <a:ext uri="{FF2B5EF4-FFF2-40B4-BE49-F238E27FC236}">
                  <a16:creationId xmlns:a16="http://schemas.microsoft.com/office/drawing/2014/main" id="{773DF3C7-9AF0-8F8A-4D11-D34CE4F0A600}"/>
                </a:ext>
              </a:extLst>
            </xdr:cNvPr>
            <xdr:cNvCxnSpPr/>
          </xdr:nvCxnSpPr>
          <xdr:spPr>
            <a:xfrm flipV="1">
              <a:off x="3923535" y="978249"/>
              <a:ext cx="2675546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6" name="Straight Arrow Connector 155">
              <a:extLst>
                <a:ext uri="{FF2B5EF4-FFF2-40B4-BE49-F238E27FC236}">
                  <a16:creationId xmlns:a16="http://schemas.microsoft.com/office/drawing/2014/main" id="{285864D0-392D-2E35-52FC-B1215252F1E8}"/>
                </a:ext>
              </a:extLst>
            </xdr:cNvPr>
            <xdr:cNvCxnSpPr/>
          </xdr:nvCxnSpPr>
          <xdr:spPr>
            <a:xfrm>
              <a:off x="6747030" y="964257"/>
              <a:ext cx="2224951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7" name="Straight Arrow Connector 156">
              <a:extLst>
                <a:ext uri="{FF2B5EF4-FFF2-40B4-BE49-F238E27FC236}">
                  <a16:creationId xmlns:a16="http://schemas.microsoft.com/office/drawing/2014/main" id="{F69FE2F7-FBA1-6FAB-1BF4-307426740932}"/>
                </a:ext>
              </a:extLst>
            </xdr:cNvPr>
            <xdr:cNvCxnSpPr/>
          </xdr:nvCxnSpPr>
          <xdr:spPr>
            <a:xfrm flipV="1">
              <a:off x="3942659" y="1250531"/>
              <a:ext cx="2675546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8" name="Straight Arrow Connector 157">
              <a:extLst>
                <a:ext uri="{FF2B5EF4-FFF2-40B4-BE49-F238E27FC236}">
                  <a16:creationId xmlns:a16="http://schemas.microsoft.com/office/drawing/2014/main" id="{0966F177-DBB1-D753-9118-3680531ED724}"/>
                </a:ext>
              </a:extLst>
            </xdr:cNvPr>
            <xdr:cNvCxnSpPr/>
          </xdr:nvCxnSpPr>
          <xdr:spPr>
            <a:xfrm flipV="1">
              <a:off x="6742859" y="1231874"/>
              <a:ext cx="2207153" cy="19114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9" name="Straight Arrow Connector 158">
              <a:extLst>
                <a:ext uri="{FF2B5EF4-FFF2-40B4-BE49-F238E27FC236}">
                  <a16:creationId xmlns:a16="http://schemas.microsoft.com/office/drawing/2014/main" id="{0AF9255E-BA2F-BC4D-5DBB-B8DE84B84F62}"/>
                </a:ext>
              </a:extLst>
            </xdr:cNvPr>
            <xdr:cNvCxnSpPr/>
          </xdr:nvCxnSpPr>
          <xdr:spPr>
            <a:xfrm>
              <a:off x="3955763" y="1561898"/>
              <a:ext cx="2644906" cy="1369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0" name="Straight Arrow Connector 159">
              <a:extLst>
                <a:ext uri="{FF2B5EF4-FFF2-40B4-BE49-F238E27FC236}">
                  <a16:creationId xmlns:a16="http://schemas.microsoft.com/office/drawing/2014/main" id="{8EAC1607-0583-30E7-E7C4-080124313D3F}"/>
                </a:ext>
              </a:extLst>
            </xdr:cNvPr>
            <xdr:cNvCxnSpPr/>
          </xdr:nvCxnSpPr>
          <xdr:spPr>
            <a:xfrm flipV="1">
              <a:off x="6744314" y="1538135"/>
              <a:ext cx="2216682" cy="23308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6A3A54E6-1305-38DB-9493-3BC379580A5F}"/>
                </a:ext>
              </a:extLst>
            </xdr:cNvPr>
            <xdr:cNvSpPr txBox="1"/>
          </xdr:nvSpPr>
          <xdr:spPr>
            <a:xfrm>
              <a:off x="4698871" y="651990"/>
              <a:ext cx="1269446" cy="21050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Low Sedimentation</a:t>
              </a:r>
            </a:p>
          </xdr:txBody>
        </xdr:sp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B8345F80-2B26-5B79-A511-CBDBB479ACC0}"/>
                </a:ext>
              </a:extLst>
            </xdr:cNvPr>
            <xdr:cNvSpPr txBox="1"/>
          </xdr:nvSpPr>
          <xdr:spPr>
            <a:xfrm>
              <a:off x="7035251" y="626101"/>
              <a:ext cx="1269446" cy="21050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HighSedimentation</a:t>
              </a:r>
            </a:p>
          </xdr:txBody>
        </xdr:sp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8C72318B-9A19-D7C7-A672-48ED7597E8EA}"/>
                </a:ext>
              </a:extLst>
            </xdr:cNvPr>
            <xdr:cNvSpPr txBox="1"/>
          </xdr:nvSpPr>
          <xdr:spPr>
            <a:xfrm>
              <a:off x="4976774" y="882712"/>
              <a:ext cx="617902" cy="239573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74BA385F-C292-2DFC-6F3D-64B2FEF80140}"/>
                </a:ext>
              </a:extLst>
            </xdr:cNvPr>
            <xdr:cNvSpPr txBox="1"/>
          </xdr:nvSpPr>
          <xdr:spPr>
            <a:xfrm>
              <a:off x="7375471" y="899875"/>
              <a:ext cx="617901" cy="239573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84FDD272-7642-65D0-27BD-EBA5FD582872}"/>
                </a:ext>
              </a:extLst>
            </xdr:cNvPr>
            <xdr:cNvSpPr txBox="1"/>
          </xdr:nvSpPr>
          <xdr:spPr>
            <a:xfrm>
              <a:off x="4975248" y="1169663"/>
              <a:ext cx="617902" cy="23526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B9D977E0-5475-1D69-736E-3129E65BCDD9}"/>
                </a:ext>
              </a:extLst>
            </xdr:cNvPr>
            <xdr:cNvSpPr txBox="1"/>
          </xdr:nvSpPr>
          <xdr:spPr>
            <a:xfrm>
              <a:off x="7373945" y="1196154"/>
              <a:ext cx="617901" cy="23526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876B5632-E38D-C2DF-CCD7-3CE8A65910FD}"/>
                </a:ext>
              </a:extLst>
            </xdr:cNvPr>
            <xdr:cNvSpPr txBox="1"/>
          </xdr:nvSpPr>
          <xdr:spPr>
            <a:xfrm>
              <a:off x="4732899" y="1490441"/>
              <a:ext cx="1002437" cy="24465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415/419/419</a:t>
              </a:r>
            </a:p>
          </xdr:txBody>
        </xdr:sp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E1A02192-9628-169E-B642-7528B272E570}"/>
                </a:ext>
              </a:extLst>
            </xdr:cNvPr>
            <xdr:cNvSpPr txBox="1"/>
          </xdr:nvSpPr>
          <xdr:spPr>
            <a:xfrm>
              <a:off x="7131596" y="1470294"/>
              <a:ext cx="1002436" cy="24465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420/421/423</a:t>
              </a:r>
            </a:p>
          </xdr:txBody>
        </xdr:sp>
      </xdr:grpSp>
    </xdr:grpSp>
    <xdr:clientData/>
  </xdr:twoCellAnchor>
</xdr:wsDr>
</file>

<file path=xl/drawings/drawing49.xml><?xml version="1.0" encoding="utf-8"?>
<c:userShapes xmlns:c="http://schemas.openxmlformats.org/drawingml/2006/chart">
  <cdr:relSizeAnchor xmlns:cdr="http://schemas.openxmlformats.org/drawingml/2006/chartDrawing">
    <cdr:from>
      <cdr:x>0.00673</cdr:x>
      <cdr:y>0.00809</cdr:y>
    </cdr:from>
    <cdr:to>
      <cdr:x>1</cdr:x>
      <cdr:y>0.05602</cdr:y>
    </cdr:to>
    <cdr:grpSp>
      <cdr:nvGrpSpPr>
        <cdr:cNvPr id="2" name="Group 1">
          <a:extLst xmlns:a="http://schemas.openxmlformats.org/drawingml/2006/main">
            <a:ext uri="{FF2B5EF4-FFF2-40B4-BE49-F238E27FC236}">
              <a16:creationId xmlns:a16="http://schemas.microsoft.com/office/drawing/2014/main" id="{C2285A81-09DD-02A4-4A46-600D448B826B}"/>
            </a:ext>
          </a:extLst>
        </cdr:cNvPr>
        <cdr:cNvGrpSpPr/>
      </cdr:nvGrpSpPr>
      <cdr:grpSpPr>
        <a:xfrm xmlns:a="http://schemas.openxmlformats.org/drawingml/2006/main">
          <a:off x="60802" y="60370"/>
          <a:ext cx="8973661" cy="357668"/>
          <a:chOff x="7412" y="0"/>
          <a:chExt cx="8583535" cy="299519"/>
        </a:xfrm>
      </cdr:grpSpPr>
      <cdr:sp macro="" textlink="">
        <cdr:nvSpPr>
          <cdr:cNvPr id="5" name="TextBox 2">
            <a:extLst xmlns:a="http://schemas.openxmlformats.org/drawingml/2006/main">
              <a:ext uri="{FF2B5EF4-FFF2-40B4-BE49-F238E27FC236}">
                <a16:creationId xmlns:a16="http://schemas.microsoft.com/office/drawing/2014/main" id="{0DDD9282-0942-06C9-94F7-07230BB193A7}"/>
              </a:ext>
            </a:extLst>
          </cdr:cNvPr>
          <cdr:cNvSpPr txBox="1"/>
        </cdr:nvSpPr>
        <cdr:spPr>
          <a:xfrm xmlns:a="http://schemas.openxmlformats.org/drawingml/2006/main">
            <a:off x="7412" y="0"/>
            <a:ext cx="8583535" cy="299519"/>
          </a:xfrm>
          <a:prstGeom xmlns:a="http://schemas.openxmlformats.org/drawingml/2006/main" prst="rect">
            <a:avLst/>
          </a:prstGeom>
          <a:solidFill xmlns:a="http://schemas.openxmlformats.org/drawingml/2006/main">
            <a:srgbClr val="CCFFCC"/>
          </a:solidFill>
        </cdr:spPr>
        <cdr:txBody>
          <a:bodyPr xmlns:a="http://schemas.openxmlformats.org/drawingml/2006/main" wrap="square" rtlCol="0" anchor="ctr" anchorCtr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 rtl="0"/>
            <a:r>
              <a:rPr lang="en-US" sz="2400" b="1" i="0" baseline="0">
                <a:effectLst/>
                <a:latin typeface="+mn-lt"/>
                <a:ea typeface="+mn-ea"/>
                <a:cs typeface="+mn-cs"/>
              </a:rPr>
              <a:t>MEBU LHSV: Repeat Acceptance Test</a:t>
            </a:r>
            <a:endParaRPr lang="en-US" sz="2400">
              <a:effectLst/>
            </a:endParaRPr>
          </a:p>
        </cdr:txBody>
      </cdr:sp>
    </cdr:grpSp>
  </cdr:relSizeAnchor>
</c:userShapes>
</file>

<file path=xl/drawings/drawing50.xml><?xml version="1.0" encoding="utf-8"?>
<c:userShapes xmlns:c="http://schemas.openxmlformats.org/drawingml/2006/chart">
  <cdr:relSizeAnchor xmlns:cdr="http://schemas.openxmlformats.org/drawingml/2006/chartDrawing">
    <cdr:from>
      <cdr:x>0.00673</cdr:x>
      <cdr:y>0.00809</cdr:y>
    </cdr:from>
    <cdr:to>
      <cdr:x>0.97956</cdr:x>
      <cdr:y>0.04738</cdr:y>
    </cdr:to>
    <cdr:grpSp>
      <cdr:nvGrpSpPr>
        <cdr:cNvPr id="2" name="Group 1">
          <a:extLst xmlns:a="http://schemas.openxmlformats.org/drawingml/2006/main">
            <a:ext uri="{FF2B5EF4-FFF2-40B4-BE49-F238E27FC236}">
              <a16:creationId xmlns:a16="http://schemas.microsoft.com/office/drawing/2014/main" id="{C2285A81-09DD-02A4-4A46-600D448B826B}"/>
            </a:ext>
          </a:extLst>
        </cdr:cNvPr>
        <cdr:cNvGrpSpPr/>
      </cdr:nvGrpSpPr>
      <cdr:grpSpPr>
        <a:xfrm xmlns:a="http://schemas.openxmlformats.org/drawingml/2006/main">
          <a:off x="63480" y="59933"/>
          <a:ext cx="9176118" cy="291074"/>
          <a:chOff x="7412" y="0"/>
          <a:chExt cx="8406899" cy="245550"/>
        </a:xfrm>
      </cdr:grpSpPr>
      <cdr:sp macro="" textlink="">
        <cdr:nvSpPr>
          <cdr:cNvPr id="5" name="TextBox 2">
            <a:extLst xmlns:a="http://schemas.openxmlformats.org/drawingml/2006/main">
              <a:ext uri="{FF2B5EF4-FFF2-40B4-BE49-F238E27FC236}">
                <a16:creationId xmlns:a16="http://schemas.microsoft.com/office/drawing/2014/main" id="{0DDD9282-0942-06C9-94F7-07230BB193A7}"/>
              </a:ext>
            </a:extLst>
          </cdr:cNvPr>
          <cdr:cNvSpPr txBox="1"/>
        </cdr:nvSpPr>
        <cdr:spPr>
          <a:xfrm xmlns:a="http://schemas.openxmlformats.org/drawingml/2006/main">
            <a:off x="7412" y="0"/>
            <a:ext cx="8406899" cy="245550"/>
          </a:xfrm>
          <a:prstGeom xmlns:a="http://schemas.openxmlformats.org/drawingml/2006/main" prst="rect">
            <a:avLst/>
          </a:prstGeom>
          <a:solidFill xmlns:a="http://schemas.openxmlformats.org/drawingml/2006/main">
            <a:srgbClr val="CCFFCC"/>
          </a:solidFill>
        </cdr:spPr>
        <cdr:txBody>
          <a:bodyPr xmlns:a="http://schemas.openxmlformats.org/drawingml/2006/main" wrap="square" rtlCol="0" anchor="ctr" anchorCtr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 rtl="0"/>
            <a:r>
              <a:rPr lang="en-US" sz="2400" b="1" i="0" baseline="0">
                <a:effectLst/>
                <a:latin typeface="+mn-lt"/>
                <a:ea typeface="+mn-ea"/>
                <a:cs typeface="+mn-cs"/>
              </a:rPr>
              <a:t>Pressure: Low &amp; High Sedimentation</a:t>
            </a:r>
            <a:endParaRPr lang="en-US" sz="2400">
              <a:effectLst/>
            </a:endParaRPr>
          </a:p>
        </cdr:txBody>
      </cdr:sp>
    </cdr:grpSp>
  </cdr:relSizeAnchor>
</c:userShapes>
</file>

<file path=xl/drawings/drawing51.xml><?xml version="1.0" encoding="utf-8"?>
<c:userShapes xmlns:c="http://schemas.openxmlformats.org/drawingml/2006/chart">
  <cdr:relSizeAnchor xmlns:cdr="http://schemas.openxmlformats.org/drawingml/2006/chartDrawing">
    <cdr:from>
      <cdr:x>0.00673</cdr:x>
      <cdr:y>0.00809</cdr:y>
    </cdr:from>
    <cdr:to>
      <cdr:x>0.97956</cdr:x>
      <cdr:y>0.04738</cdr:y>
    </cdr:to>
    <cdr:grpSp>
      <cdr:nvGrpSpPr>
        <cdr:cNvPr id="2" name="Group 1">
          <a:extLst xmlns:a="http://schemas.openxmlformats.org/drawingml/2006/main">
            <a:ext uri="{FF2B5EF4-FFF2-40B4-BE49-F238E27FC236}">
              <a16:creationId xmlns:a16="http://schemas.microsoft.com/office/drawing/2014/main" id="{C2285A81-09DD-02A4-4A46-600D448B826B}"/>
            </a:ext>
          </a:extLst>
        </cdr:cNvPr>
        <cdr:cNvGrpSpPr/>
      </cdr:nvGrpSpPr>
      <cdr:grpSpPr>
        <a:xfrm xmlns:a="http://schemas.openxmlformats.org/drawingml/2006/main">
          <a:off x="61477" y="59639"/>
          <a:ext cx="8886549" cy="289644"/>
          <a:chOff x="7412" y="0"/>
          <a:chExt cx="8406899" cy="245550"/>
        </a:xfrm>
      </cdr:grpSpPr>
      <cdr:sp macro="" textlink="">
        <cdr:nvSpPr>
          <cdr:cNvPr id="5" name="TextBox 2">
            <a:extLst xmlns:a="http://schemas.openxmlformats.org/drawingml/2006/main">
              <a:ext uri="{FF2B5EF4-FFF2-40B4-BE49-F238E27FC236}">
                <a16:creationId xmlns:a16="http://schemas.microsoft.com/office/drawing/2014/main" id="{0DDD9282-0942-06C9-94F7-07230BB193A7}"/>
              </a:ext>
            </a:extLst>
          </cdr:cNvPr>
          <cdr:cNvSpPr txBox="1"/>
        </cdr:nvSpPr>
        <cdr:spPr>
          <a:xfrm xmlns:a="http://schemas.openxmlformats.org/drawingml/2006/main">
            <a:off x="7412" y="0"/>
            <a:ext cx="8406899" cy="245550"/>
          </a:xfrm>
          <a:prstGeom xmlns:a="http://schemas.openxmlformats.org/drawingml/2006/main" prst="rect">
            <a:avLst/>
          </a:prstGeom>
          <a:solidFill xmlns:a="http://schemas.openxmlformats.org/drawingml/2006/main">
            <a:srgbClr val="CCFFCC"/>
          </a:solidFill>
        </cdr:spPr>
        <cdr:txBody>
          <a:bodyPr xmlns:a="http://schemas.openxmlformats.org/drawingml/2006/main" wrap="square" rtlCol="0" anchor="ctr" anchorCtr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 rtl="0"/>
            <a:r>
              <a:rPr lang="en-US" sz="2400" b="1" i="0" baseline="0">
                <a:effectLst/>
                <a:latin typeface="+mn-lt"/>
                <a:ea typeface="+mn-ea"/>
                <a:cs typeface="+mn-cs"/>
              </a:rPr>
              <a:t>Catalyst Temperature: Low &amp; High Sedimentation</a:t>
            </a:r>
            <a:endParaRPr lang="en-US" sz="2400">
              <a:effectLst/>
            </a:endParaRPr>
          </a:p>
        </cdr:txBody>
      </cdr:sp>
    </cdr:grpSp>
  </cdr:relSizeAnchor>
</c:userShapes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294211</xdr:colOff>
      <xdr:row>0</xdr:row>
      <xdr:rowOff>0</xdr:rowOff>
    </xdr:from>
    <xdr:to>
      <xdr:col>20</xdr:col>
      <xdr:colOff>419100</xdr:colOff>
      <xdr:row>17</xdr:row>
      <xdr:rowOff>0</xdr:rowOff>
    </xdr:to>
    <xdr:graphicFrame macro="">
      <xdr:nvGraphicFramePr>
        <xdr:cNvPr id="4" name="TBP Distribution">
          <a:extLst>
            <a:ext uri="{FF2B5EF4-FFF2-40B4-BE49-F238E27FC236}">
              <a16:creationId xmlns:a16="http://schemas.microsoft.com/office/drawing/2014/main" id="{BB78F70B-D55A-C932-372C-6E063592C0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25346</xdr:colOff>
      <xdr:row>0</xdr:row>
      <xdr:rowOff>340113</xdr:rowOff>
    </xdr:from>
    <xdr:to>
      <xdr:col>2</xdr:col>
      <xdr:colOff>943429</xdr:colOff>
      <xdr:row>3</xdr:row>
      <xdr:rowOff>63409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4EA9981-C441-4DF9-9C7A-1FA3D42EC25F}"/>
            </a:ext>
          </a:extLst>
        </xdr:cNvPr>
        <xdr:cNvSpPr txBox="1"/>
      </xdr:nvSpPr>
      <xdr:spPr>
        <a:xfrm>
          <a:off x="25346" y="340113"/>
          <a:ext cx="4755297" cy="485296"/>
        </a:xfrm>
        <a:prstGeom prst="rect">
          <a:avLst/>
        </a:prstGeom>
        <a:solidFill>
          <a:schemeClr val="bg1">
            <a:lumMod val="95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u="sng"/>
            <a:t>Remark</a:t>
          </a:r>
        </a:p>
        <a:p>
          <a:r>
            <a:rPr lang="en-US" sz="1200" b="1"/>
            <a:t>	</a:t>
          </a:r>
        </a:p>
      </xdr:txBody>
    </xdr:sp>
    <xdr:clientData/>
  </xdr:twoCellAnchor>
  <xdr:twoCellAnchor>
    <xdr:from>
      <xdr:col>11</xdr:col>
      <xdr:colOff>204108</xdr:colOff>
      <xdr:row>72</xdr:row>
      <xdr:rowOff>143328</xdr:rowOff>
    </xdr:from>
    <xdr:to>
      <xdr:col>22</xdr:col>
      <xdr:colOff>31751</xdr:colOff>
      <xdr:row>86</xdr:row>
      <xdr:rowOff>83457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08E7EB-3338-694D-41E7-9A3E875D84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216477</xdr:colOff>
      <xdr:row>87</xdr:row>
      <xdr:rowOff>187614</xdr:rowOff>
    </xdr:from>
    <xdr:to>
      <xdr:col>22</xdr:col>
      <xdr:colOff>44120</xdr:colOff>
      <xdr:row>101</xdr:row>
      <xdr:rowOff>134958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AB4F06-A0C9-43BD-AB37-4FF82B488F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262329</xdr:colOff>
      <xdr:row>25</xdr:row>
      <xdr:rowOff>64958</xdr:rowOff>
    </xdr:from>
    <xdr:to>
      <xdr:col>37</xdr:col>
      <xdr:colOff>549641</xdr:colOff>
      <xdr:row>39</xdr:row>
      <xdr:rowOff>9994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F56DC45-0F5D-7B15-EDC2-C44D039A61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37</xdr:col>
      <xdr:colOff>594838</xdr:colOff>
      <xdr:row>25</xdr:row>
      <xdr:rowOff>72907</xdr:rowOff>
    </xdr:from>
    <xdr:to>
      <xdr:col>45</xdr:col>
      <xdr:colOff>270052</xdr:colOff>
      <xdr:row>39</xdr:row>
      <xdr:rowOff>9994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7288FD7-87A7-CD3B-362C-C54CC1DC6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262329</xdr:colOff>
      <xdr:row>39</xdr:row>
      <xdr:rowOff>72907</xdr:rowOff>
    </xdr:from>
    <xdr:to>
      <xdr:col>37</xdr:col>
      <xdr:colOff>547143</xdr:colOff>
      <xdr:row>53</xdr:row>
      <xdr:rowOff>51558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9E996A7-A135-853C-5F3D-2D4193C1CC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30</xdr:col>
      <xdr:colOff>262329</xdr:colOff>
      <xdr:row>67</xdr:row>
      <xdr:rowOff>3634</xdr:rowOff>
    </xdr:from>
    <xdr:to>
      <xdr:col>37</xdr:col>
      <xdr:colOff>547143</xdr:colOff>
      <xdr:row>81</xdr:row>
      <xdr:rowOff>9994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778BC17-9668-CD00-962B-3252E42CA0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30</xdr:col>
      <xdr:colOff>262329</xdr:colOff>
      <xdr:row>53</xdr:row>
      <xdr:rowOff>120376</xdr:rowOff>
    </xdr:from>
    <xdr:to>
      <xdr:col>37</xdr:col>
      <xdr:colOff>549641</xdr:colOff>
      <xdr:row>66</xdr:row>
      <xdr:rowOff>162394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053CA85-F29A-F337-1BAE-B756D2675E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37</xdr:col>
      <xdr:colOff>580983</xdr:colOff>
      <xdr:row>53</xdr:row>
      <xdr:rowOff>128325</xdr:rowOff>
    </xdr:from>
    <xdr:to>
      <xdr:col>45</xdr:col>
      <xdr:colOff>256197</xdr:colOff>
      <xdr:row>66</xdr:row>
      <xdr:rowOff>162394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25CF50C-7398-CCC7-FFB8-6985C9BD0B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37</xdr:col>
      <xdr:colOff>599785</xdr:colOff>
      <xdr:row>39</xdr:row>
      <xdr:rowOff>72907</xdr:rowOff>
    </xdr:from>
    <xdr:to>
      <xdr:col>45</xdr:col>
      <xdr:colOff>274999</xdr:colOff>
      <xdr:row>53</xdr:row>
      <xdr:rowOff>51558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C0D12DF-356E-A716-CFC4-23FE5B6EA7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37</xdr:col>
      <xdr:colOff>599785</xdr:colOff>
      <xdr:row>67</xdr:row>
      <xdr:rowOff>17489</xdr:rowOff>
    </xdr:from>
    <xdr:to>
      <xdr:col>45</xdr:col>
      <xdr:colOff>274999</xdr:colOff>
      <xdr:row>81</xdr:row>
      <xdr:rowOff>37703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3188F06-8675-BFE3-2A3B-26533E059A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30</xdr:col>
      <xdr:colOff>256036</xdr:colOff>
      <xdr:row>81</xdr:row>
      <xdr:rowOff>80818</xdr:rowOff>
    </xdr:from>
    <xdr:to>
      <xdr:col>37</xdr:col>
      <xdr:colOff>519545</xdr:colOff>
      <xdr:row>95</xdr:row>
      <xdr:rowOff>112081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D548710-C88A-4D8B-AB50-2308A9A63D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37</xdr:col>
      <xdr:colOff>609193</xdr:colOff>
      <xdr:row>81</xdr:row>
      <xdr:rowOff>82856</xdr:rowOff>
    </xdr:from>
    <xdr:to>
      <xdr:col>45</xdr:col>
      <xdr:colOff>284407</xdr:colOff>
      <xdr:row>95</xdr:row>
      <xdr:rowOff>136575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85496DF-71E0-454E-B080-74B7C74744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25346</xdr:colOff>
      <xdr:row>0</xdr:row>
      <xdr:rowOff>340113</xdr:rowOff>
    </xdr:from>
    <xdr:to>
      <xdr:col>2</xdr:col>
      <xdr:colOff>943429</xdr:colOff>
      <xdr:row>3</xdr:row>
      <xdr:rowOff>63409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2E30466-8F02-4F5A-99A0-8842E6F372D7}"/>
            </a:ext>
          </a:extLst>
        </xdr:cNvPr>
        <xdr:cNvSpPr txBox="1"/>
      </xdr:nvSpPr>
      <xdr:spPr>
        <a:xfrm>
          <a:off x="25346" y="340113"/>
          <a:ext cx="4759833" cy="491646"/>
        </a:xfrm>
        <a:prstGeom prst="rect">
          <a:avLst/>
        </a:prstGeom>
        <a:solidFill>
          <a:schemeClr val="bg1">
            <a:lumMod val="95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u="sng"/>
            <a:t>Remark</a:t>
          </a:r>
        </a:p>
        <a:p>
          <a:r>
            <a:rPr lang="en-US" sz="1200" b="1"/>
            <a:t>	</a:t>
          </a:r>
        </a:p>
      </xdr:txBody>
    </xdr:sp>
    <xdr:clientData/>
  </xdr:twoCellAnchor>
  <xdr:twoCellAnchor>
    <xdr:from>
      <xdr:col>11</xdr:col>
      <xdr:colOff>204108</xdr:colOff>
      <xdr:row>71</xdr:row>
      <xdr:rowOff>143328</xdr:rowOff>
    </xdr:from>
    <xdr:to>
      <xdr:col>22</xdr:col>
      <xdr:colOff>31751</xdr:colOff>
      <xdr:row>85</xdr:row>
      <xdr:rowOff>83457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21AB22-5F7D-4446-A95E-C80CAEAEBE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208643</xdr:colOff>
      <xdr:row>86</xdr:row>
      <xdr:rowOff>54428</xdr:rowOff>
    </xdr:from>
    <xdr:to>
      <xdr:col>22</xdr:col>
      <xdr:colOff>36286</xdr:colOff>
      <xdr:row>100</xdr:row>
      <xdr:rowOff>3628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F0BEFC-689A-4357-BF34-BA7F50161B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79819</xdr:colOff>
      <xdr:row>8</xdr:row>
      <xdr:rowOff>114300</xdr:rowOff>
    </xdr:from>
    <xdr:to>
      <xdr:col>10</xdr:col>
      <xdr:colOff>1026414</xdr:colOff>
      <xdr:row>28</xdr:row>
      <xdr:rowOff>103553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7EBA7C-FAE8-4246-8494-A3C56765A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56844" y="1885950"/>
          <a:ext cx="3765995" cy="3837353"/>
        </a:xfrm>
        <a:prstGeom prst="rect">
          <a:avLst/>
        </a:prstGeom>
      </xdr:spPr>
    </xdr:pic>
    <xdr:clientData/>
  </xdr:twoCellAnchor>
  <xdr:twoCellAnchor>
    <xdr:from>
      <xdr:col>16</xdr:col>
      <xdr:colOff>109537</xdr:colOff>
      <xdr:row>4</xdr:row>
      <xdr:rowOff>157162</xdr:rowOff>
    </xdr:from>
    <xdr:to>
      <xdr:col>23</xdr:col>
      <xdr:colOff>414337</xdr:colOff>
      <xdr:row>18</xdr:row>
      <xdr:rowOff>185737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BEEDA7-6EE9-DD5F-9A40-5EA73E563E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84667</xdr:colOff>
      <xdr:row>4</xdr:row>
      <xdr:rowOff>169333</xdr:rowOff>
    </xdr:from>
    <xdr:to>
      <xdr:col>28</xdr:col>
      <xdr:colOff>119944</xdr:colOff>
      <xdr:row>16</xdr:row>
      <xdr:rowOff>94766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783A85-7997-D7BD-B0D1-5FC6418FD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40556" y="903111"/>
          <a:ext cx="3069166" cy="2126766"/>
        </a:xfrm>
        <a:prstGeom prst="rect">
          <a:avLst/>
        </a:prstGeom>
      </xdr:spPr>
    </xdr:pic>
    <xdr:clientData/>
  </xdr:twoCellAnchor>
  <xdr:twoCellAnchor editAs="oneCell">
    <xdr:from>
      <xdr:col>17</xdr:col>
      <xdr:colOff>55079</xdr:colOff>
      <xdr:row>3</xdr:row>
      <xdr:rowOff>90812</xdr:rowOff>
    </xdr:from>
    <xdr:to>
      <xdr:col>23</xdr:col>
      <xdr:colOff>584929</xdr:colOff>
      <xdr:row>16</xdr:row>
      <xdr:rowOff>127183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45BCD86-7423-7934-77D2-FEE07116A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01853" y="643877"/>
          <a:ext cx="4216947" cy="2432983"/>
        </a:xfrm>
        <a:prstGeom prst="rect">
          <a:avLst/>
        </a:prstGeom>
      </xdr:spPr>
    </xdr:pic>
    <xdr:clientData/>
  </xdr:twoCellAnchor>
  <xdr:twoCellAnchor editAs="oneCell">
    <xdr:from>
      <xdr:col>29</xdr:col>
      <xdr:colOff>600363</xdr:colOff>
      <xdr:row>4</xdr:row>
      <xdr:rowOff>57727</xdr:rowOff>
    </xdr:from>
    <xdr:to>
      <xdr:col>34</xdr:col>
      <xdr:colOff>510566</xdr:colOff>
      <xdr:row>18</xdr:row>
      <xdr:rowOff>182274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11C97E2-2DCF-52BC-1D1F-382563C6C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345727" y="796636"/>
          <a:ext cx="2969748" cy="2710729"/>
        </a:xfrm>
        <a:prstGeom prst="rect">
          <a:avLst/>
        </a:prstGeom>
      </xdr:spPr>
    </xdr:pic>
    <xdr:clientData/>
  </xdr:twoCellAnchor>
  <xdr:twoCellAnchor editAs="oneCell">
    <xdr:from>
      <xdr:col>35</xdr:col>
      <xdr:colOff>232834</xdr:colOff>
      <xdr:row>1</xdr:row>
      <xdr:rowOff>162920</xdr:rowOff>
    </xdr:from>
    <xdr:to>
      <xdr:col>43</xdr:col>
      <xdr:colOff>536221</xdr:colOff>
      <xdr:row>21</xdr:row>
      <xdr:rowOff>120586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6FD2E6A-FF1C-0FE3-DFED-825B65C7C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49652" y="347647"/>
          <a:ext cx="5198660" cy="3652212"/>
        </a:xfrm>
        <a:prstGeom prst="rect">
          <a:avLst/>
        </a:prstGeom>
      </xdr:spPr>
    </xdr:pic>
    <xdr:clientData/>
  </xdr:twoCellAnchor>
  <xdr:twoCellAnchor editAs="oneCell">
    <xdr:from>
      <xdr:col>44</xdr:col>
      <xdr:colOff>123152</xdr:colOff>
      <xdr:row>3</xdr:row>
      <xdr:rowOff>129566</xdr:rowOff>
    </xdr:from>
    <xdr:to>
      <xdr:col>60</xdr:col>
      <xdr:colOff>589990</xdr:colOff>
      <xdr:row>22</xdr:row>
      <xdr:rowOff>69274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1094BBD-2E5F-055D-D5EF-6762E6FA8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47152" y="683748"/>
          <a:ext cx="10257383" cy="3449526"/>
        </a:xfrm>
        <a:prstGeom prst="rect">
          <a:avLst/>
        </a:prstGeom>
      </xdr:spPr>
    </xdr:pic>
    <xdr:clientData/>
  </xdr:twoCellAnchor>
  <xdr:twoCellAnchor editAs="oneCell">
    <xdr:from>
      <xdr:col>17</xdr:col>
      <xdr:colOff>325631</xdr:colOff>
      <xdr:row>18</xdr:row>
      <xdr:rowOff>159528</xdr:rowOff>
    </xdr:from>
    <xdr:to>
      <xdr:col>29</xdr:col>
      <xdr:colOff>22841</xdr:colOff>
      <xdr:row>38</xdr:row>
      <xdr:rowOff>20983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B9C0BDB-8BB0-2650-ECA3-DCF91A2B9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72405" y="3477915"/>
          <a:ext cx="7071404" cy="3548552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14</xdr:col>
      <xdr:colOff>12700</xdr:colOff>
      <xdr:row>45</xdr:row>
      <xdr:rowOff>6351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3D7C59F-38D7-4CB9-82D7-88B8D0C4FE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598714</xdr:colOff>
      <xdr:row>4</xdr:row>
      <xdr:rowOff>0</xdr:rowOff>
    </xdr:from>
    <xdr:to>
      <xdr:col>14</xdr:col>
      <xdr:colOff>18143</xdr:colOff>
      <xdr:row>24</xdr:row>
      <xdr:rowOff>104952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C809296-F3F8-4D45-9DB8-63D01C7881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0</xdr:colOff>
      <xdr:row>48</xdr:row>
      <xdr:rowOff>0</xdr:rowOff>
    </xdr:from>
    <xdr:to>
      <xdr:col>14</xdr:col>
      <xdr:colOff>27214</xdr:colOff>
      <xdr:row>68</xdr:row>
      <xdr:rowOff>104952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D0E08B-BC4B-4984-8DD8-B0A2712E1F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265814</xdr:colOff>
      <xdr:row>2</xdr:row>
      <xdr:rowOff>2116</xdr:rowOff>
    </xdr:from>
    <xdr:to>
      <xdr:col>20</xdr:col>
      <xdr:colOff>280582</xdr:colOff>
      <xdr:row>42</xdr:row>
      <xdr:rowOff>118139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BCD68C-8930-4823-923A-EC2CC0CE09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323490</xdr:colOff>
      <xdr:row>4</xdr:row>
      <xdr:rowOff>83869</xdr:rowOff>
    </xdr:from>
    <xdr:to>
      <xdr:col>18</xdr:col>
      <xdr:colOff>432738</xdr:colOff>
      <xdr:row>11</xdr:row>
      <xdr:rowOff>120357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1595391-CD8E-4AD7-9B26-587DB7020486}"/>
            </a:ext>
          </a:extLst>
        </xdr:cNvPr>
        <xdr:cNvGrpSpPr/>
      </xdr:nvGrpSpPr>
      <xdr:grpSpPr>
        <a:xfrm>
          <a:off x="323490" y="845869"/>
          <a:ext cx="11082048" cy="1369988"/>
          <a:chOff x="0" y="-12120"/>
          <a:chExt cx="6624199" cy="1019925"/>
        </a:xfrm>
      </xdr:grpSpPr>
      <xdr:cxnSp macro="">
        <xdr:nvCxnSpPr>
          <xdr:cNvPr id="4" name="Straight Arrow Connector 3">
            <a:extLst>
              <a:ext uri="{FF2B5EF4-FFF2-40B4-BE49-F238E27FC236}">
                <a16:creationId xmlns:a16="http://schemas.microsoft.com/office/drawing/2014/main" id="{1B5390E4-EA97-AE53-8D62-008576BEF3DC}"/>
              </a:ext>
            </a:extLst>
          </xdr:cNvPr>
          <xdr:cNvCxnSpPr/>
        </xdr:nvCxnSpPr>
        <xdr:spPr>
          <a:xfrm>
            <a:off x="4829070" y="161283"/>
            <a:ext cx="1795129" cy="2785"/>
          </a:xfrm>
          <a:prstGeom prst="straightConnector1">
            <a:avLst/>
          </a:prstGeom>
          <a:ln>
            <a:solidFill>
              <a:schemeClr val="tx1"/>
            </a:solidFill>
            <a:prstDash val="sysDash"/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CBB4DF75-6BD7-F36B-4AB2-9D15F98A6E23}"/>
              </a:ext>
            </a:extLst>
          </xdr:cNvPr>
          <xdr:cNvGrpSpPr/>
        </xdr:nvGrpSpPr>
        <xdr:grpSpPr>
          <a:xfrm>
            <a:off x="0" y="-12120"/>
            <a:ext cx="6624197" cy="1019925"/>
            <a:chOff x="0" y="-14161"/>
            <a:chExt cx="8574500" cy="1191664"/>
          </a:xfrm>
        </xdr:grpSpPr>
        <xdr:sp macro="" textlink="">
          <xdr:nvSpPr>
            <xdr:cNvPr id="6" name="TextBox 141">
              <a:extLst>
                <a:ext uri="{FF2B5EF4-FFF2-40B4-BE49-F238E27FC236}">
                  <a16:creationId xmlns:a16="http://schemas.microsoft.com/office/drawing/2014/main" id="{A1F93E80-B3FF-EAC9-B6DC-25AEFCB31D24}"/>
                </a:ext>
              </a:extLst>
            </xdr:cNvPr>
            <xdr:cNvSpPr txBox="1"/>
          </xdr:nvSpPr>
          <xdr:spPr>
            <a:xfrm>
              <a:off x="12088" y="28221"/>
              <a:ext cx="883021" cy="20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SR Feed</a:t>
              </a:r>
            </a:p>
          </xdr:txBody>
        </xdr:sp>
        <xdr:sp macro="" textlink="">
          <xdr:nvSpPr>
            <xdr:cNvPr id="7" name="TextBox 142">
              <a:extLst>
                <a:ext uri="{FF2B5EF4-FFF2-40B4-BE49-F238E27FC236}">
                  <a16:creationId xmlns:a16="http://schemas.microsoft.com/office/drawing/2014/main" id="{F9E3BC27-ABA5-A93F-D211-2873067091C0}"/>
                </a:ext>
              </a:extLst>
            </xdr:cNvPr>
            <xdr:cNvSpPr txBox="1"/>
          </xdr:nvSpPr>
          <xdr:spPr>
            <a:xfrm>
              <a:off x="0" y="275562"/>
              <a:ext cx="883021" cy="20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SR Split</a:t>
              </a:r>
            </a:p>
          </xdr:txBody>
        </xdr:sp>
        <xdr:sp macro="" textlink="">
          <xdr:nvSpPr>
            <xdr:cNvPr id="8" name="TextBox 143">
              <a:extLst>
                <a:ext uri="{FF2B5EF4-FFF2-40B4-BE49-F238E27FC236}">
                  <a16:creationId xmlns:a16="http://schemas.microsoft.com/office/drawing/2014/main" id="{D7881E62-34F9-6873-FE5D-613BFB1F2008}"/>
                </a:ext>
              </a:extLst>
            </xdr:cNvPr>
            <xdr:cNvSpPr txBox="1"/>
          </xdr:nvSpPr>
          <xdr:spPr>
            <a:xfrm>
              <a:off x="7271" y="538185"/>
              <a:ext cx="1148121" cy="266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LCF LHSV</a:t>
              </a:r>
            </a:p>
          </xdr:txBody>
        </xdr:sp>
        <xdr:sp macro="" textlink="">
          <xdr:nvSpPr>
            <xdr:cNvPr id="9" name="TextBox 144">
              <a:extLst>
                <a:ext uri="{FF2B5EF4-FFF2-40B4-BE49-F238E27FC236}">
                  <a16:creationId xmlns:a16="http://schemas.microsoft.com/office/drawing/2014/main" id="{D191250D-86E4-597F-1CBC-062D34714671}"/>
                </a:ext>
              </a:extLst>
            </xdr:cNvPr>
            <xdr:cNvSpPr txBox="1"/>
          </xdr:nvSpPr>
          <xdr:spPr>
            <a:xfrm>
              <a:off x="559" y="867035"/>
              <a:ext cx="1148121" cy="266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Temperature</a:t>
              </a:r>
              <a:br>
                <a:rPr lang="en-US" sz="1100" b="1"/>
              </a:br>
              <a:r>
                <a:rPr lang="en-US" sz="1100" b="1"/>
                <a:t>(Rx1/2/3)</a:t>
              </a:r>
            </a:p>
          </xdr:txBody>
        </xdr:sp>
        <xdr:cxnSp macro="">
          <xdr:nvCxnSpPr>
            <xdr:cNvPr id="10" name="Straight Arrow Connector 9">
              <a:extLst>
                <a:ext uri="{FF2B5EF4-FFF2-40B4-BE49-F238E27FC236}">
                  <a16:creationId xmlns:a16="http://schemas.microsoft.com/office/drawing/2014/main" id="{0325F54C-2EF2-B78F-EF8A-F264952A98C8}"/>
                </a:ext>
              </a:extLst>
            </xdr:cNvPr>
            <xdr:cNvCxnSpPr/>
          </xdr:nvCxnSpPr>
          <xdr:spPr>
            <a:xfrm>
              <a:off x="1074638" y="163478"/>
              <a:ext cx="2019871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" name="Straight Arrow Connector 10">
              <a:extLst>
                <a:ext uri="{FF2B5EF4-FFF2-40B4-BE49-F238E27FC236}">
                  <a16:creationId xmlns:a16="http://schemas.microsoft.com/office/drawing/2014/main" id="{337FB151-6BF4-F330-775B-4C24B1F6D418}"/>
                </a:ext>
              </a:extLst>
            </xdr:cNvPr>
            <xdr:cNvCxnSpPr/>
          </xdr:nvCxnSpPr>
          <xdr:spPr>
            <a:xfrm>
              <a:off x="1067923" y="383561"/>
              <a:ext cx="2019871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" name="Straight Arrow Connector 11">
              <a:extLst>
                <a:ext uri="{FF2B5EF4-FFF2-40B4-BE49-F238E27FC236}">
                  <a16:creationId xmlns:a16="http://schemas.microsoft.com/office/drawing/2014/main" id="{495F16F2-E61A-DA80-61CB-35607622468F}"/>
                </a:ext>
              </a:extLst>
            </xdr:cNvPr>
            <xdr:cNvCxnSpPr/>
          </xdr:nvCxnSpPr>
          <xdr:spPr>
            <a:xfrm>
              <a:off x="1078306" y="672170"/>
              <a:ext cx="2019871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" name="Straight Arrow Connector 12">
              <a:extLst>
                <a:ext uri="{FF2B5EF4-FFF2-40B4-BE49-F238E27FC236}">
                  <a16:creationId xmlns:a16="http://schemas.microsoft.com/office/drawing/2014/main" id="{47AD3379-AA23-9A4A-11E1-C1E4F2C9504E}"/>
                </a:ext>
              </a:extLst>
            </xdr:cNvPr>
            <xdr:cNvCxnSpPr/>
          </xdr:nvCxnSpPr>
          <xdr:spPr>
            <a:xfrm>
              <a:off x="1082466" y="1027510"/>
              <a:ext cx="2019871" cy="0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" name="TextBox 149">
              <a:extLst>
                <a:ext uri="{FF2B5EF4-FFF2-40B4-BE49-F238E27FC236}">
                  <a16:creationId xmlns:a16="http://schemas.microsoft.com/office/drawing/2014/main" id="{9F9591B2-8807-1F96-5C54-7A1225623E49}"/>
                </a:ext>
              </a:extLst>
            </xdr:cNvPr>
            <xdr:cNvSpPr txBox="1"/>
          </xdr:nvSpPr>
          <xdr:spPr>
            <a:xfrm>
              <a:off x="1740258" y="-14161"/>
              <a:ext cx="656298" cy="23556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ME SR</a:t>
              </a:r>
            </a:p>
          </xdr:txBody>
        </xdr:sp>
        <xdr:sp macro="" textlink="">
          <xdr:nvSpPr>
            <xdr:cNvPr id="15" name="TextBox 150">
              <a:extLst>
                <a:ext uri="{FF2B5EF4-FFF2-40B4-BE49-F238E27FC236}">
                  <a16:creationId xmlns:a16="http://schemas.microsoft.com/office/drawing/2014/main" id="{AD04A6E8-B876-D6BA-BEA9-8AA1AEC8A959}"/>
                </a:ext>
              </a:extLst>
            </xdr:cNvPr>
            <xdr:cNvSpPr txBox="1"/>
          </xdr:nvSpPr>
          <xdr:spPr>
            <a:xfrm>
              <a:off x="1755308" y="275563"/>
              <a:ext cx="657417" cy="22500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70/30</a:t>
              </a:r>
            </a:p>
          </xdr:txBody>
        </xdr:sp>
        <xdr:sp macro="" textlink="">
          <xdr:nvSpPr>
            <xdr:cNvPr id="16" name="TextBox 151">
              <a:extLst>
                <a:ext uri="{FF2B5EF4-FFF2-40B4-BE49-F238E27FC236}">
                  <a16:creationId xmlns:a16="http://schemas.microsoft.com/office/drawing/2014/main" id="{2B4D8C09-8711-1621-B085-A8B5E5355433}"/>
                </a:ext>
              </a:extLst>
            </xdr:cNvPr>
            <xdr:cNvSpPr txBox="1"/>
          </xdr:nvSpPr>
          <xdr:spPr>
            <a:xfrm>
              <a:off x="1752865" y="550316"/>
              <a:ext cx="659283" cy="24377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0.378</a:t>
              </a:r>
            </a:p>
          </xdr:txBody>
        </xdr:sp>
        <xdr:sp macro="" textlink="">
          <xdr:nvSpPr>
            <xdr:cNvPr id="17" name="TextBox 152">
              <a:extLst>
                <a:ext uri="{FF2B5EF4-FFF2-40B4-BE49-F238E27FC236}">
                  <a16:creationId xmlns:a16="http://schemas.microsoft.com/office/drawing/2014/main" id="{84ACC7EA-23DE-5479-6336-5A48F355E973}"/>
                </a:ext>
              </a:extLst>
            </xdr:cNvPr>
            <xdr:cNvSpPr txBox="1"/>
          </xdr:nvSpPr>
          <xdr:spPr>
            <a:xfrm>
              <a:off x="1627946" y="871026"/>
              <a:ext cx="1064877" cy="25266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399/405/407</a:t>
              </a:r>
            </a:p>
          </xdr:txBody>
        </xdr:sp>
        <xdr:cxnSp macro="">
          <xdr:nvCxnSpPr>
            <xdr:cNvPr id="18" name="Straight Arrow Connector 17">
              <a:extLst>
                <a:ext uri="{FF2B5EF4-FFF2-40B4-BE49-F238E27FC236}">
                  <a16:creationId xmlns:a16="http://schemas.microsoft.com/office/drawing/2014/main" id="{AA3350E5-71F8-2B29-EE79-CE23D2C46C91}"/>
                </a:ext>
              </a:extLst>
            </xdr:cNvPr>
            <xdr:cNvCxnSpPr/>
          </xdr:nvCxnSpPr>
          <xdr:spPr>
            <a:xfrm>
              <a:off x="3374196" y="179495"/>
              <a:ext cx="2700277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" name="Straight Arrow Connector 18">
              <a:extLst>
                <a:ext uri="{FF2B5EF4-FFF2-40B4-BE49-F238E27FC236}">
                  <a16:creationId xmlns:a16="http://schemas.microsoft.com/office/drawing/2014/main" id="{08ED64E7-C40C-3BAE-47E2-2280AC2405E6}"/>
                </a:ext>
              </a:extLst>
            </xdr:cNvPr>
            <xdr:cNvCxnSpPr/>
          </xdr:nvCxnSpPr>
          <xdr:spPr>
            <a:xfrm>
              <a:off x="3366331" y="353787"/>
              <a:ext cx="2707244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" name="Straight Arrow Connector 19">
              <a:extLst>
                <a:ext uri="{FF2B5EF4-FFF2-40B4-BE49-F238E27FC236}">
                  <a16:creationId xmlns:a16="http://schemas.microsoft.com/office/drawing/2014/main" id="{699DFEC5-6EA7-4C5F-7504-FC17802404BD}"/>
                </a:ext>
              </a:extLst>
            </xdr:cNvPr>
            <xdr:cNvCxnSpPr/>
          </xdr:nvCxnSpPr>
          <xdr:spPr>
            <a:xfrm flipV="1">
              <a:off x="6239077" y="388108"/>
              <a:ext cx="2326927" cy="7439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" name="Straight Arrow Connector 20">
              <a:extLst>
                <a:ext uri="{FF2B5EF4-FFF2-40B4-BE49-F238E27FC236}">
                  <a16:creationId xmlns:a16="http://schemas.microsoft.com/office/drawing/2014/main" id="{A2B4E669-95DC-B0F9-8411-BD29F6599FDD}"/>
                </a:ext>
              </a:extLst>
            </xdr:cNvPr>
            <xdr:cNvCxnSpPr/>
          </xdr:nvCxnSpPr>
          <xdr:spPr>
            <a:xfrm>
              <a:off x="3350601" y="644272"/>
              <a:ext cx="2730077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" name="Straight Arrow Connector 21">
              <a:extLst>
                <a:ext uri="{FF2B5EF4-FFF2-40B4-BE49-F238E27FC236}">
                  <a16:creationId xmlns:a16="http://schemas.microsoft.com/office/drawing/2014/main" id="{9E7052C0-6CFE-C0EA-03AD-CF3736EC5147}"/>
                </a:ext>
              </a:extLst>
            </xdr:cNvPr>
            <xdr:cNvCxnSpPr/>
          </xdr:nvCxnSpPr>
          <xdr:spPr>
            <a:xfrm>
              <a:off x="6241560" y="677556"/>
              <a:ext cx="2332938" cy="495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" name="Straight Arrow Connector 22">
              <a:extLst>
                <a:ext uri="{FF2B5EF4-FFF2-40B4-BE49-F238E27FC236}">
                  <a16:creationId xmlns:a16="http://schemas.microsoft.com/office/drawing/2014/main" id="{927D0C7C-FE45-94B9-A0C3-E703171E9B94}"/>
                </a:ext>
              </a:extLst>
            </xdr:cNvPr>
            <xdr:cNvCxnSpPr/>
          </xdr:nvCxnSpPr>
          <xdr:spPr>
            <a:xfrm>
              <a:off x="3366331" y="1012220"/>
              <a:ext cx="2727007" cy="0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" name="Straight Arrow Connector 23">
              <a:extLst>
                <a:ext uri="{FF2B5EF4-FFF2-40B4-BE49-F238E27FC236}">
                  <a16:creationId xmlns:a16="http://schemas.microsoft.com/office/drawing/2014/main" id="{86007EF4-2163-5792-9E70-4BC313B0689B}"/>
                </a:ext>
              </a:extLst>
            </xdr:cNvPr>
            <xdr:cNvCxnSpPr/>
          </xdr:nvCxnSpPr>
          <xdr:spPr>
            <a:xfrm>
              <a:off x="6259247" y="1047205"/>
              <a:ext cx="2315253" cy="4965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5" name="TextBox 160">
              <a:extLst>
                <a:ext uri="{FF2B5EF4-FFF2-40B4-BE49-F238E27FC236}">
                  <a16:creationId xmlns:a16="http://schemas.microsoft.com/office/drawing/2014/main" id="{14C08F3F-FE84-129A-5C64-D910F7653CF4}"/>
                </a:ext>
              </a:extLst>
            </xdr:cNvPr>
            <xdr:cNvSpPr txBox="1"/>
          </xdr:nvSpPr>
          <xdr:spPr>
            <a:xfrm>
              <a:off x="3837482" y="10082"/>
              <a:ext cx="1482209" cy="275443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Low Sedimentation</a:t>
              </a:r>
            </a:p>
          </xdr:txBody>
        </xdr:sp>
        <xdr:sp macro="" textlink="">
          <xdr:nvSpPr>
            <xdr:cNvPr id="26" name="TextBox 161">
              <a:extLst>
                <a:ext uri="{FF2B5EF4-FFF2-40B4-BE49-F238E27FC236}">
                  <a16:creationId xmlns:a16="http://schemas.microsoft.com/office/drawing/2014/main" id="{0F1AB7BB-D0EF-C0E6-60D0-D232C51CF1A6}"/>
                </a:ext>
              </a:extLst>
            </xdr:cNvPr>
            <xdr:cNvSpPr txBox="1"/>
          </xdr:nvSpPr>
          <xdr:spPr>
            <a:xfrm>
              <a:off x="6622030" y="30798"/>
              <a:ext cx="1437748" cy="246579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High Sedimentation</a:t>
              </a:r>
            </a:p>
          </xdr:txBody>
        </xdr:sp>
        <xdr:sp macro="" textlink="">
          <xdr:nvSpPr>
            <xdr:cNvPr id="27" name="TextBox 162">
              <a:extLst>
                <a:ext uri="{FF2B5EF4-FFF2-40B4-BE49-F238E27FC236}">
                  <a16:creationId xmlns:a16="http://schemas.microsoft.com/office/drawing/2014/main" id="{81CB1507-150F-A13D-BCF9-763018858016}"/>
                </a:ext>
              </a:extLst>
            </xdr:cNvPr>
            <xdr:cNvSpPr txBox="1"/>
          </xdr:nvSpPr>
          <xdr:spPr>
            <a:xfrm>
              <a:off x="4142282" y="297230"/>
              <a:ext cx="659284" cy="24741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28" name="TextBox 163">
              <a:extLst>
                <a:ext uri="{FF2B5EF4-FFF2-40B4-BE49-F238E27FC236}">
                  <a16:creationId xmlns:a16="http://schemas.microsoft.com/office/drawing/2014/main" id="{1ACC60DD-3F24-16A3-AAF8-7CC5B3D75E76}"/>
                </a:ext>
              </a:extLst>
            </xdr:cNvPr>
            <xdr:cNvSpPr txBox="1"/>
          </xdr:nvSpPr>
          <xdr:spPr>
            <a:xfrm>
              <a:off x="6906809" y="308599"/>
              <a:ext cx="659283" cy="24741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29" name="TextBox 164">
              <a:extLst>
                <a:ext uri="{FF2B5EF4-FFF2-40B4-BE49-F238E27FC236}">
                  <a16:creationId xmlns:a16="http://schemas.microsoft.com/office/drawing/2014/main" id="{A68C2CE3-CB08-9768-06D7-EC90EB68B4BF}"/>
                </a:ext>
              </a:extLst>
            </xdr:cNvPr>
            <xdr:cNvSpPr txBox="1"/>
          </xdr:nvSpPr>
          <xdr:spPr>
            <a:xfrm>
              <a:off x="4127991" y="565519"/>
              <a:ext cx="659284" cy="24296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30" name="TextBox 165">
              <a:extLst>
                <a:ext uri="{FF2B5EF4-FFF2-40B4-BE49-F238E27FC236}">
                  <a16:creationId xmlns:a16="http://schemas.microsoft.com/office/drawing/2014/main" id="{C13DBDE8-786D-0183-09B7-2CF9FEE97119}"/>
                </a:ext>
              </a:extLst>
            </xdr:cNvPr>
            <xdr:cNvSpPr txBox="1"/>
          </xdr:nvSpPr>
          <xdr:spPr>
            <a:xfrm>
              <a:off x="6908649" y="580167"/>
              <a:ext cx="659283" cy="24296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31" name="TextBox 166">
              <a:extLst>
                <a:ext uri="{FF2B5EF4-FFF2-40B4-BE49-F238E27FC236}">
                  <a16:creationId xmlns:a16="http://schemas.microsoft.com/office/drawing/2014/main" id="{7AF4A60B-35EE-6956-ACF9-A5B40E3EE35F}"/>
                </a:ext>
              </a:extLst>
            </xdr:cNvPr>
            <xdr:cNvSpPr txBox="1"/>
          </xdr:nvSpPr>
          <xdr:spPr>
            <a:xfrm>
              <a:off x="3983366" y="924842"/>
              <a:ext cx="1069571" cy="25266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415/419/419</a:t>
              </a:r>
            </a:p>
          </xdr:txBody>
        </xdr:sp>
        <xdr:sp macro="" textlink="">
          <xdr:nvSpPr>
            <xdr:cNvPr id="32" name="TextBox 167">
              <a:extLst>
                <a:ext uri="{FF2B5EF4-FFF2-40B4-BE49-F238E27FC236}">
                  <a16:creationId xmlns:a16="http://schemas.microsoft.com/office/drawing/2014/main" id="{4D53244C-E7A8-1D94-C57D-019D4A71B998}"/>
                </a:ext>
              </a:extLst>
            </xdr:cNvPr>
            <xdr:cNvSpPr txBox="1"/>
          </xdr:nvSpPr>
          <xdr:spPr>
            <a:xfrm>
              <a:off x="6722571" y="901514"/>
              <a:ext cx="1169906" cy="26554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420/421/423</a:t>
              </a:r>
            </a:p>
          </xdr:txBody>
        </xdr:sp>
      </xdr:grpSp>
    </xdr:grpSp>
    <xdr:clientData/>
  </xdr:twoCellAnchor>
  <xdr:twoCellAnchor>
    <xdr:from>
      <xdr:col>22</xdr:col>
      <xdr:colOff>0</xdr:colOff>
      <xdr:row>2</xdr:row>
      <xdr:rowOff>0</xdr:rowOff>
    </xdr:from>
    <xdr:to>
      <xdr:col>42</xdr:col>
      <xdr:colOff>14768</xdr:colOff>
      <xdr:row>42</xdr:row>
      <xdr:rowOff>116023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21E1238B-D606-47E1-9F69-E975930D20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43</xdr:col>
      <xdr:colOff>236280</xdr:colOff>
      <xdr:row>2</xdr:row>
      <xdr:rowOff>29534</xdr:rowOff>
    </xdr:from>
    <xdr:to>
      <xdr:col>63</xdr:col>
      <xdr:colOff>251048</xdr:colOff>
      <xdr:row>42</xdr:row>
      <xdr:rowOff>145557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FD8E0A07-A6E4-4278-ACF8-A286187F28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64</xdr:col>
      <xdr:colOff>413487</xdr:colOff>
      <xdr:row>2</xdr:row>
      <xdr:rowOff>29535</xdr:rowOff>
    </xdr:from>
    <xdr:to>
      <xdr:col>84</xdr:col>
      <xdr:colOff>428255</xdr:colOff>
      <xdr:row>42</xdr:row>
      <xdr:rowOff>145558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766E62E0-4F1E-4A32-B60B-EC0708937E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8.xml><?xml version="1.0" encoding="utf-8"?>
<c:userShapes xmlns:c="http://schemas.openxmlformats.org/drawingml/2006/chart">
  <cdr:relSizeAnchor xmlns:cdr="http://schemas.openxmlformats.org/drawingml/2006/chartDrawing">
    <cdr:from>
      <cdr:x>0.00415</cdr:x>
      <cdr:y>0.00695</cdr:y>
    </cdr:from>
    <cdr:to>
      <cdr:x>0.99567</cdr:x>
      <cdr:y>0.05548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3FBEEB66-ECAB-774E-3D89-7CBD2BDBF2A8}"/>
            </a:ext>
          </a:extLst>
        </cdr:cNvPr>
        <cdr:cNvSpPr txBox="1"/>
      </cdr:nvSpPr>
      <cdr:spPr>
        <a:xfrm xmlns:a="http://schemas.openxmlformats.org/drawingml/2006/main">
          <a:off x="50777" y="50768"/>
          <a:ext cx="12131766" cy="354474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Metal Conversion(Ni</a:t>
          </a:r>
          <a:r>
            <a:rPr lang="en-US" sz="2400" b="1" baseline="0">
              <a:effectLst/>
            </a:rPr>
            <a:t> &amp; V)</a:t>
          </a:r>
          <a:r>
            <a:rPr lang="en-US" sz="2400" b="1">
              <a:effectLst/>
              <a:latin typeface="+mn-lt"/>
              <a:ea typeface="+mn-ea"/>
              <a:cs typeface="+mn-cs"/>
            </a:rPr>
            <a:t>:</a:t>
          </a:r>
          <a:r>
            <a:rPr lang="en-US" sz="24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2400" b="1" i="0" baseline="0">
              <a:effectLst/>
              <a:latin typeface="+mn-lt"/>
              <a:ea typeface="+mn-ea"/>
              <a:cs typeface="+mn-cs"/>
            </a:rPr>
            <a:t>Low &amp; High Sedimentation</a:t>
          </a:r>
          <a:endParaRPr lang="en-US" sz="2400" b="1">
            <a:effectLst/>
          </a:endParaRPr>
        </a:p>
      </cdr:txBody>
    </cdr:sp>
  </cdr:relSizeAnchor>
</c:userShapes>
</file>

<file path=xl/drawings/drawing59.xml><?xml version="1.0" encoding="utf-8"?>
<c:userShapes xmlns:c="http://schemas.openxmlformats.org/drawingml/2006/chart">
  <cdr:relSizeAnchor xmlns:cdr="http://schemas.openxmlformats.org/drawingml/2006/chartDrawing">
    <cdr:from>
      <cdr:x>0.00415</cdr:x>
      <cdr:y>0.00695</cdr:y>
    </cdr:from>
    <cdr:to>
      <cdr:x>0.99567</cdr:x>
      <cdr:y>0.05548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3FBEEB66-ECAB-774E-3D89-7CBD2BDBF2A8}"/>
            </a:ext>
          </a:extLst>
        </cdr:cNvPr>
        <cdr:cNvSpPr txBox="1"/>
      </cdr:nvSpPr>
      <cdr:spPr>
        <a:xfrm xmlns:a="http://schemas.openxmlformats.org/drawingml/2006/main">
          <a:off x="50777" y="50768"/>
          <a:ext cx="12131766" cy="354474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Metal on Catalyst vs</a:t>
          </a:r>
          <a:r>
            <a:rPr lang="en-US" sz="2400" b="1" baseline="0">
              <a:effectLst/>
            </a:rPr>
            <a:t> </a:t>
          </a:r>
          <a:r>
            <a:rPr lang="en-US" sz="2400" b="1">
              <a:effectLst/>
            </a:rPr>
            <a:t>Conversion</a:t>
          </a:r>
          <a:r>
            <a:rPr lang="en-US" sz="2400" b="1">
              <a:effectLst/>
              <a:latin typeface="+mn-lt"/>
              <a:ea typeface="+mn-ea"/>
              <a:cs typeface="+mn-cs"/>
            </a:rPr>
            <a:t>:</a:t>
          </a:r>
          <a:r>
            <a:rPr lang="en-US" sz="24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2400" b="1" i="0" baseline="0">
              <a:effectLst/>
              <a:latin typeface="+mn-lt"/>
              <a:ea typeface="+mn-ea"/>
              <a:cs typeface="+mn-cs"/>
            </a:rPr>
            <a:t>Low &amp; High Sedimentation</a:t>
          </a:r>
          <a:endParaRPr lang="en-US" sz="2400" b="1">
            <a:effectLst/>
          </a:endParaRPr>
        </a:p>
      </cdr:txBody>
    </cdr:sp>
  </cdr:relSizeAnchor>
  <cdr:relSizeAnchor xmlns:cdr="http://schemas.openxmlformats.org/drawingml/2006/chartDrawing">
    <cdr:from>
      <cdr:x>0.02961</cdr:x>
      <cdr:y>0.06276</cdr:y>
    </cdr:from>
    <cdr:to>
      <cdr:x>0.8852</cdr:x>
      <cdr:y>0.22115</cdr:y>
    </cdr:to>
    <cdr:grpSp>
      <cdr:nvGrpSpPr>
        <cdr:cNvPr id="3" name="Group 2">
          <a:extLst xmlns:a="http://schemas.openxmlformats.org/drawingml/2006/main">
            <a:ext uri="{FF2B5EF4-FFF2-40B4-BE49-F238E27FC236}">
              <a16:creationId xmlns:a16="http://schemas.microsoft.com/office/drawing/2014/main" id="{11595391-CD8E-4AD7-9B26-587DB7020486}"/>
            </a:ext>
          </a:extLst>
        </cdr:cNvPr>
        <cdr:cNvGrpSpPr/>
      </cdr:nvGrpSpPr>
      <cdr:grpSpPr>
        <a:xfrm xmlns:a="http://schemas.openxmlformats.org/drawingml/2006/main">
          <a:off x="350161" y="485513"/>
          <a:ext cx="10118009" cy="1225308"/>
          <a:chOff x="0" y="19099"/>
          <a:chExt cx="5113392" cy="911509"/>
        </a:xfrm>
      </cdr:grpSpPr>
      <cdr:cxnSp macro="">
        <cdr:nvCxnSpPr>
          <cdr:cNvPr id="4" name="Straight Arrow Connector 3">
            <a:extLst xmlns:a="http://schemas.openxmlformats.org/drawingml/2006/main">
              <a:ext uri="{FF2B5EF4-FFF2-40B4-BE49-F238E27FC236}">
                <a16:creationId xmlns:a16="http://schemas.microsoft.com/office/drawing/2014/main" id="{1B5390E4-EA97-AE53-8D62-008576BEF3DC}"/>
              </a:ext>
            </a:extLst>
          </cdr:cNvPr>
          <cdr:cNvCxnSpPr/>
        </cdr:nvCxnSpPr>
        <cdr:spPr>
          <a:xfrm xmlns:a="http://schemas.openxmlformats.org/drawingml/2006/main" flipV="1">
            <a:off x="3288004" y="139322"/>
            <a:ext cx="1807971" cy="10564"/>
          </a:xfrm>
          <a:prstGeom xmlns:a="http://schemas.openxmlformats.org/drawingml/2006/main" prst="straightConnector1">
            <a:avLst/>
          </a:prstGeom>
          <a:ln xmlns:a="http://schemas.openxmlformats.org/drawingml/2006/main">
            <a:solidFill>
              <a:schemeClr val="tx1"/>
            </a:solidFill>
            <a:prstDash val="sysDash"/>
            <a:headEnd type="triangle"/>
            <a:tailEnd type="triangle"/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grpSp>
        <cdr:nvGrpSpPr>
          <cdr:cNvPr id="5" name="Group 4">
            <a:extLst xmlns:a="http://schemas.openxmlformats.org/drawingml/2006/main">
              <a:ext uri="{FF2B5EF4-FFF2-40B4-BE49-F238E27FC236}">
                <a16:creationId xmlns:a16="http://schemas.microsoft.com/office/drawing/2014/main" id="{CBB4DF75-6BD7-F36B-4AB2-9D15F98A6E23}"/>
              </a:ext>
            </a:extLst>
          </cdr:cNvPr>
          <cdr:cNvGrpSpPr/>
        </cdr:nvGrpSpPr>
        <cdr:grpSpPr>
          <a:xfrm xmlns:a="http://schemas.openxmlformats.org/drawingml/2006/main">
            <a:off x="0" y="19099"/>
            <a:ext cx="5113392" cy="911509"/>
            <a:chOff x="0" y="28325"/>
            <a:chExt cx="11099002" cy="1351791"/>
          </a:xfrm>
        </cdr:grpSpPr>
        <cdr:sp macro="" textlink="">
          <cdr:nvSpPr>
            <cdr:cNvPr id="6" name="TextBox 141">
              <a:extLst xmlns:a="http://schemas.openxmlformats.org/drawingml/2006/main">
                <a:ext uri="{FF2B5EF4-FFF2-40B4-BE49-F238E27FC236}">
                  <a16:creationId xmlns:a16="http://schemas.microsoft.com/office/drawing/2014/main" id="{A1F93E80-B3FF-EAC9-B6DC-25AEFCB31D24}"/>
                </a:ext>
              </a:extLst>
            </cdr:cNvPr>
            <cdr:cNvSpPr txBox="1"/>
          </cdr:nvSpPr>
          <cdr:spPr>
            <a:xfrm xmlns:a="http://schemas.openxmlformats.org/drawingml/2006/main">
              <a:off x="15647" y="49518"/>
              <a:ext cx="1143000" cy="234515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Feed</a:t>
              </a:r>
            </a:p>
          </cdr:txBody>
        </cdr:sp>
        <cdr:sp macro="" textlink="">
          <cdr:nvSpPr>
            <cdr:cNvPr id="7" name="TextBox 142">
              <a:extLst xmlns:a="http://schemas.openxmlformats.org/drawingml/2006/main">
                <a:ext uri="{FF2B5EF4-FFF2-40B4-BE49-F238E27FC236}">
                  <a16:creationId xmlns:a16="http://schemas.microsoft.com/office/drawing/2014/main" id="{F9E3BC27-ABA5-A93F-D211-2873067091C0}"/>
                </a:ext>
              </a:extLst>
            </cdr:cNvPr>
            <cdr:cNvSpPr txBox="1"/>
          </cdr:nvSpPr>
          <cdr:spPr>
            <a:xfrm xmlns:a="http://schemas.openxmlformats.org/drawingml/2006/main">
              <a:off x="0" y="338507"/>
              <a:ext cx="1143000" cy="234515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Split</a:t>
              </a:r>
            </a:p>
          </cdr:txBody>
        </cdr:sp>
        <cdr:sp macro="" textlink="">
          <cdr:nvSpPr>
            <cdr:cNvPr id="8" name="TextBox 143">
              <a:extLst xmlns:a="http://schemas.openxmlformats.org/drawingml/2006/main">
                <a:ext uri="{FF2B5EF4-FFF2-40B4-BE49-F238E27FC236}">
                  <a16:creationId xmlns:a16="http://schemas.microsoft.com/office/drawing/2014/main" id="{D7881E62-34F9-6873-FE5D-613BFB1F2008}"/>
                </a:ext>
              </a:extLst>
            </cdr:cNvPr>
            <cdr:cNvSpPr txBox="1"/>
          </cdr:nvSpPr>
          <cdr:spPr>
            <a:xfrm xmlns:a="http://schemas.openxmlformats.org/drawingml/2006/main">
              <a:off x="9412" y="645352"/>
              <a:ext cx="1486151" cy="311272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LCF LHSV</a:t>
              </a:r>
            </a:p>
          </cdr:txBody>
        </cdr:sp>
        <cdr:sp macro="" textlink="">
          <cdr:nvSpPr>
            <cdr:cNvPr id="9" name="TextBox 144">
              <a:extLst xmlns:a="http://schemas.openxmlformats.org/drawingml/2006/main">
                <a:ext uri="{FF2B5EF4-FFF2-40B4-BE49-F238E27FC236}">
                  <a16:creationId xmlns:a16="http://schemas.microsoft.com/office/drawing/2014/main" id="{D191250D-86E4-597F-1CBC-062D34714671}"/>
                </a:ext>
              </a:extLst>
            </cdr:cNvPr>
            <cdr:cNvSpPr txBox="1"/>
          </cdr:nvSpPr>
          <cdr:spPr>
            <a:xfrm xmlns:a="http://schemas.openxmlformats.org/drawingml/2006/main">
              <a:off x="724" y="1029574"/>
              <a:ext cx="1486151" cy="311272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Temperature</a:t>
              </a:r>
              <a:br>
                <a:rPr lang="en-US" sz="1100" b="1"/>
              </a:br>
              <a:r>
                <a:rPr lang="en-US" sz="1100" b="1"/>
                <a:t>(Rx1/2/3)</a:t>
              </a:r>
            </a:p>
          </cdr:txBody>
        </cdr:sp>
        <cdr:cxnSp macro="">
          <cdr:nvCxnSpPr>
            <cdr:cNvPr id="10" name="Straight Arrow Connector 9">
              <a:extLst xmlns:a="http://schemas.openxmlformats.org/drawingml/2006/main">
                <a:ext uri="{FF2B5EF4-FFF2-40B4-BE49-F238E27FC236}">
                  <a16:creationId xmlns:a16="http://schemas.microsoft.com/office/drawing/2014/main" id="{0325F54C-2EF2-B78F-EF8A-F264952A98C8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35361" y="206619"/>
              <a:ext cx="2416691" cy="931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1" name="Straight Arrow Connector 10">
              <a:extLst xmlns:a="http://schemas.openxmlformats.org/drawingml/2006/main">
                <a:ext uri="{FF2B5EF4-FFF2-40B4-BE49-F238E27FC236}">
                  <a16:creationId xmlns:a16="http://schemas.microsoft.com/office/drawing/2014/main" id="{337FB151-6BF4-F330-775B-4C24B1F6D418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52073" y="472590"/>
              <a:ext cx="2387276" cy="20097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2" name="Straight Arrow Connector 11">
              <a:extLst xmlns:a="http://schemas.openxmlformats.org/drawingml/2006/main">
                <a:ext uri="{FF2B5EF4-FFF2-40B4-BE49-F238E27FC236}">
                  <a16:creationId xmlns:a16="http://schemas.microsoft.com/office/drawing/2014/main" id="{495F16F2-E61A-DA80-61CB-35607622468F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40109" y="794556"/>
              <a:ext cx="2411943" cy="35338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3" name="Straight Arrow Connector 12">
              <a:extLst xmlns:a="http://schemas.openxmlformats.org/drawingml/2006/main">
                <a:ext uri="{FF2B5EF4-FFF2-40B4-BE49-F238E27FC236}">
                  <a16:creationId xmlns:a16="http://schemas.microsoft.com/office/drawing/2014/main" id="{47AD3379-AA23-9A4A-11E1-C1E4F2C9504E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45494" y="1200514"/>
              <a:ext cx="2419261" cy="30554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14" name="TextBox 149">
              <a:extLst xmlns:a="http://schemas.openxmlformats.org/drawingml/2006/main">
                <a:ext uri="{FF2B5EF4-FFF2-40B4-BE49-F238E27FC236}">
                  <a16:creationId xmlns:a16="http://schemas.microsoft.com/office/drawing/2014/main" id="{9F9591B2-8807-1F96-5C54-7A1225623E49}"/>
                </a:ext>
              </a:extLst>
            </cdr:cNvPr>
            <cdr:cNvSpPr txBox="1"/>
          </cdr:nvSpPr>
          <cdr:spPr>
            <a:xfrm xmlns:a="http://schemas.openxmlformats.org/drawingml/2006/main">
              <a:off x="1769927" y="41996"/>
              <a:ext cx="849525" cy="275232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ME SR</a:t>
              </a:r>
            </a:p>
          </cdr:txBody>
        </cdr:sp>
        <cdr:sp macro="" textlink="">
          <cdr:nvSpPr>
            <cdr:cNvPr id="15" name="TextBox 150">
              <a:extLst xmlns:a="http://schemas.openxmlformats.org/drawingml/2006/main">
                <a:ext uri="{FF2B5EF4-FFF2-40B4-BE49-F238E27FC236}">
                  <a16:creationId xmlns:a16="http://schemas.microsoft.com/office/drawing/2014/main" id="{AD04A6E8-B876-D6BA-BEA9-8AA1AEC8A959}"/>
                </a:ext>
              </a:extLst>
            </cdr:cNvPr>
            <cdr:cNvSpPr txBox="1"/>
          </cdr:nvSpPr>
          <cdr:spPr>
            <a:xfrm xmlns:a="http://schemas.openxmlformats.org/drawingml/2006/main">
              <a:off x="1764002" y="366505"/>
              <a:ext cx="850974" cy="262892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70/30</a:t>
              </a:r>
            </a:p>
          </cdr:txBody>
        </cdr:sp>
        <cdr:sp macro="" textlink="">
          <cdr:nvSpPr>
            <cdr:cNvPr id="16" name="TextBox 151">
              <a:extLst xmlns:a="http://schemas.openxmlformats.org/drawingml/2006/main">
                <a:ext uri="{FF2B5EF4-FFF2-40B4-BE49-F238E27FC236}">
                  <a16:creationId xmlns:a16="http://schemas.microsoft.com/office/drawing/2014/main" id="{2B4D8C09-8711-1621-B085-A8B5E5355433}"/>
                </a:ext>
              </a:extLst>
            </cdr:cNvPr>
            <cdr:cNvSpPr txBox="1"/>
          </cdr:nvSpPr>
          <cdr:spPr>
            <a:xfrm xmlns:a="http://schemas.openxmlformats.org/drawingml/2006/main">
              <a:off x="1773543" y="659525"/>
              <a:ext cx="853389" cy="284823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0.378</a:t>
              </a:r>
            </a:p>
          </cdr:txBody>
        </cdr:sp>
        <cdr:sp macro="" textlink="">
          <cdr:nvSpPr>
            <cdr:cNvPr id="17" name="TextBox 152">
              <a:extLst xmlns:a="http://schemas.openxmlformats.org/drawingml/2006/main">
                <a:ext uri="{FF2B5EF4-FFF2-40B4-BE49-F238E27FC236}">
                  <a16:creationId xmlns:a16="http://schemas.microsoft.com/office/drawing/2014/main" id="{84ACC7EA-23DE-5479-6336-5A48F355E973}"/>
                </a:ext>
              </a:extLst>
            </cdr:cNvPr>
            <cdr:cNvSpPr txBox="1"/>
          </cdr:nvSpPr>
          <cdr:spPr>
            <a:xfrm xmlns:a="http://schemas.openxmlformats.org/drawingml/2006/main">
              <a:off x="1611846" y="1062235"/>
              <a:ext cx="1378398" cy="29520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399/405/407</a:t>
              </a:r>
            </a:p>
          </cdr:txBody>
        </cdr:sp>
        <cdr:cxnSp macro="">
          <cdr:nvCxnSpPr>
            <cdr:cNvPr id="18" name="Straight Arrow Connector 17">
              <a:extLst xmlns:a="http://schemas.openxmlformats.org/drawingml/2006/main">
                <a:ext uri="{FF2B5EF4-FFF2-40B4-BE49-F238E27FC236}">
                  <a16:creationId xmlns:a16="http://schemas.microsoft.com/office/drawing/2014/main" id="{AA3350E5-71F8-2B29-EE79-CE23D2C46C91}"/>
                </a:ext>
              </a:extLst>
            </cdr:cNvPr>
            <cdr:cNvCxnSpPr/>
          </cdr:nvCxnSpPr>
          <cdr:spPr>
            <a:xfrm xmlns:a="http://schemas.openxmlformats.org/drawingml/2006/main">
              <a:off x="3570287" y="215212"/>
              <a:ext cx="3430937" cy="6902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9" name="Straight Arrow Connector 18">
              <a:extLst xmlns:a="http://schemas.openxmlformats.org/drawingml/2006/main">
                <a:ext uri="{FF2B5EF4-FFF2-40B4-BE49-F238E27FC236}">
                  <a16:creationId xmlns:a16="http://schemas.microsoft.com/office/drawing/2014/main" id="{08ED64E7-C40C-3BAE-47E2-2280AC2405E6}"/>
                </a:ext>
              </a:extLst>
            </cdr:cNvPr>
            <cdr:cNvCxnSpPr/>
          </cdr:nvCxnSpPr>
          <cdr:spPr>
            <a:xfrm xmlns:a="http://schemas.openxmlformats.org/drawingml/2006/main">
              <a:off x="3550140" y="452008"/>
              <a:ext cx="3451084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0" name="Straight Arrow Connector 19">
              <a:extLst xmlns:a="http://schemas.openxmlformats.org/drawingml/2006/main">
                <a:ext uri="{FF2B5EF4-FFF2-40B4-BE49-F238E27FC236}">
                  <a16:creationId xmlns:a16="http://schemas.microsoft.com/office/drawing/2014/main" id="{699DFEC5-6EA7-4C5F-7504-FC17802404BD}"/>
                </a:ext>
              </a:extLst>
            </cdr:cNvPr>
            <cdr:cNvCxnSpPr/>
          </cdr:nvCxnSpPr>
          <cdr:spPr>
            <a:xfrm xmlns:a="http://schemas.openxmlformats.org/drawingml/2006/main">
              <a:off x="7136861" y="465484"/>
              <a:ext cx="3951145" cy="452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1" name="Straight Arrow Connector 20">
              <a:extLst xmlns:a="http://schemas.openxmlformats.org/drawingml/2006/main">
                <a:ext uri="{FF2B5EF4-FFF2-40B4-BE49-F238E27FC236}">
                  <a16:creationId xmlns:a16="http://schemas.microsoft.com/office/drawing/2014/main" id="{A2B4E669-95DC-B0F9-8411-BD29F6599FDD}"/>
                </a:ext>
              </a:extLst>
            </cdr:cNvPr>
            <cdr:cNvCxnSpPr/>
          </cdr:nvCxnSpPr>
          <cdr:spPr>
            <a:xfrm xmlns:a="http://schemas.openxmlformats.org/drawingml/2006/main" flipV="1">
              <a:off x="3562227" y="774704"/>
              <a:ext cx="3448963" cy="8594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2" name="Straight Arrow Connector 21">
              <a:extLst xmlns:a="http://schemas.openxmlformats.org/drawingml/2006/main">
                <a:ext uri="{FF2B5EF4-FFF2-40B4-BE49-F238E27FC236}">
                  <a16:creationId xmlns:a16="http://schemas.microsoft.com/office/drawing/2014/main" id="{9E7052C0-6CFE-C0EA-03AD-CF3736EC5147}"/>
                </a:ext>
              </a:extLst>
            </cdr:cNvPr>
            <cdr:cNvCxnSpPr/>
          </cdr:nvCxnSpPr>
          <cdr:spPr>
            <a:xfrm xmlns:a="http://schemas.openxmlformats.org/drawingml/2006/main">
              <a:off x="7116616" y="763953"/>
              <a:ext cx="3982383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3" name="Straight Arrow Connector 22">
              <a:extLst xmlns:a="http://schemas.openxmlformats.org/drawingml/2006/main">
                <a:ext uri="{FF2B5EF4-FFF2-40B4-BE49-F238E27FC236}">
                  <a16:creationId xmlns:a16="http://schemas.microsoft.com/office/drawing/2014/main" id="{927D0C7C-FE45-94B9-A0C3-E703171E9B94}"/>
                </a:ext>
              </a:extLst>
            </cdr:cNvPr>
            <cdr:cNvCxnSpPr/>
          </cdr:nvCxnSpPr>
          <cdr:spPr>
            <a:xfrm xmlns:a="http://schemas.openxmlformats.org/drawingml/2006/main" flipV="1">
              <a:off x="3569885" y="1158520"/>
              <a:ext cx="3426185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4" name="Straight Arrow Connector 23">
              <a:extLst xmlns:a="http://schemas.openxmlformats.org/drawingml/2006/main">
                <a:ext uri="{FF2B5EF4-FFF2-40B4-BE49-F238E27FC236}">
                  <a16:creationId xmlns:a16="http://schemas.microsoft.com/office/drawing/2014/main" id="{86007EF4-2163-5792-9E70-4BC313B0689B}"/>
                </a:ext>
              </a:extLst>
            </cdr:cNvPr>
            <cdr:cNvCxnSpPr/>
          </cdr:nvCxnSpPr>
          <cdr:spPr>
            <a:xfrm xmlns:a="http://schemas.openxmlformats.org/drawingml/2006/main">
              <a:off x="7136861" y="1184022"/>
              <a:ext cx="3962141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25" name="TextBox 160">
              <a:extLst xmlns:a="http://schemas.openxmlformats.org/drawingml/2006/main">
                <a:ext uri="{FF2B5EF4-FFF2-40B4-BE49-F238E27FC236}">
                  <a16:creationId xmlns:a16="http://schemas.microsoft.com/office/drawing/2014/main" id="{14C08F3F-FE84-129A-5C64-D910F7653CF4}"/>
                </a:ext>
              </a:extLst>
            </cdr:cNvPr>
            <cdr:cNvSpPr txBox="1"/>
          </cdr:nvSpPr>
          <cdr:spPr>
            <a:xfrm xmlns:a="http://schemas.openxmlformats.org/drawingml/2006/main">
              <a:off x="4498876" y="28325"/>
              <a:ext cx="1918601" cy="321823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Low Sedimentation</a:t>
              </a:r>
            </a:p>
          </cdr:txBody>
        </cdr:sp>
        <cdr:sp macro="" textlink="">
          <cdr:nvSpPr>
            <cdr:cNvPr id="26" name="TextBox 161">
              <a:extLst xmlns:a="http://schemas.openxmlformats.org/drawingml/2006/main">
                <a:ext uri="{FF2B5EF4-FFF2-40B4-BE49-F238E27FC236}">
                  <a16:creationId xmlns:a16="http://schemas.microsoft.com/office/drawing/2014/main" id="{0F1AB7BB-D0EF-C0E6-60D0-D232C51CF1A6}"/>
                </a:ext>
              </a:extLst>
            </cdr:cNvPr>
            <cdr:cNvSpPr txBox="1"/>
          </cdr:nvSpPr>
          <cdr:spPr>
            <a:xfrm xmlns:a="http://schemas.openxmlformats.org/drawingml/2006/main">
              <a:off x="8571686" y="52529"/>
              <a:ext cx="1861049" cy="288099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High Sedimentation</a:t>
              </a:r>
            </a:p>
          </cdr:txBody>
        </cdr:sp>
        <cdr:sp macro="" textlink="">
          <cdr:nvSpPr>
            <cdr:cNvPr id="27" name="TextBox 162">
              <a:extLst xmlns:a="http://schemas.openxmlformats.org/drawingml/2006/main">
                <a:ext uri="{FF2B5EF4-FFF2-40B4-BE49-F238E27FC236}">
                  <a16:creationId xmlns:a16="http://schemas.microsoft.com/office/drawing/2014/main" id="{81CB1507-150F-A13D-BCF9-763018858016}"/>
                </a:ext>
              </a:extLst>
            </cdr:cNvPr>
            <cdr:cNvSpPr txBox="1"/>
          </cdr:nvSpPr>
          <cdr:spPr>
            <a:xfrm xmlns:a="http://schemas.openxmlformats.org/drawingml/2006/main">
              <a:off x="4853548" y="385927"/>
              <a:ext cx="853390" cy="28907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8" name="TextBox 163">
              <a:extLst xmlns:a="http://schemas.openxmlformats.org/drawingml/2006/main">
                <a:ext uri="{FF2B5EF4-FFF2-40B4-BE49-F238E27FC236}">
                  <a16:creationId xmlns:a16="http://schemas.microsoft.com/office/drawing/2014/main" id="{1ACC60DD-3F24-16A3-AAF8-7CC5B3D75E76}"/>
                </a:ext>
              </a:extLst>
            </cdr:cNvPr>
            <cdr:cNvSpPr txBox="1"/>
          </cdr:nvSpPr>
          <cdr:spPr>
            <a:xfrm xmlns:a="http://schemas.openxmlformats.org/drawingml/2006/main">
              <a:off x="8940310" y="377107"/>
              <a:ext cx="853389" cy="28907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9" name="TextBox 164">
              <a:extLst xmlns:a="http://schemas.openxmlformats.org/drawingml/2006/main">
                <a:ext uri="{FF2B5EF4-FFF2-40B4-BE49-F238E27FC236}">
                  <a16:creationId xmlns:a16="http://schemas.microsoft.com/office/drawing/2014/main" id="{A68C2CE3-CB08-9768-06D7-EC90EB68B4BF}"/>
                </a:ext>
              </a:extLst>
            </cdr:cNvPr>
            <cdr:cNvSpPr txBox="1"/>
          </cdr:nvSpPr>
          <cdr:spPr>
            <a:xfrm xmlns:a="http://schemas.openxmlformats.org/drawingml/2006/main">
              <a:off x="4864950" y="688341"/>
              <a:ext cx="853390" cy="28387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0.21</a:t>
              </a:r>
            </a:p>
          </cdr:txBody>
        </cdr:sp>
        <cdr:sp macro="" textlink="">
          <cdr:nvSpPr>
            <cdr:cNvPr id="30" name="TextBox 165">
              <a:extLst xmlns:a="http://schemas.openxmlformats.org/drawingml/2006/main">
                <a:ext uri="{FF2B5EF4-FFF2-40B4-BE49-F238E27FC236}">
                  <a16:creationId xmlns:a16="http://schemas.microsoft.com/office/drawing/2014/main" id="{C13DBDE8-786D-0183-09B7-2CF9FEE97119}"/>
                </a:ext>
              </a:extLst>
            </cdr:cNvPr>
            <cdr:cNvSpPr txBox="1"/>
          </cdr:nvSpPr>
          <cdr:spPr>
            <a:xfrm xmlns:a="http://schemas.openxmlformats.org/drawingml/2006/main">
              <a:off x="8942692" y="694402"/>
              <a:ext cx="853389" cy="28387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0.21</a:t>
              </a:r>
            </a:p>
          </cdr:txBody>
        </cdr:sp>
        <cdr:sp macro="" textlink="">
          <cdr:nvSpPr>
            <cdr:cNvPr id="31" name="TextBox 166">
              <a:extLst xmlns:a="http://schemas.openxmlformats.org/drawingml/2006/main">
                <a:ext uri="{FF2B5EF4-FFF2-40B4-BE49-F238E27FC236}">
                  <a16:creationId xmlns:a16="http://schemas.microsoft.com/office/drawing/2014/main" id="{7AF4A60B-35EE-6956-ACF9-A5B40E3EE35F}"/>
                </a:ext>
              </a:extLst>
            </cdr:cNvPr>
            <cdr:cNvSpPr txBox="1"/>
          </cdr:nvSpPr>
          <cdr:spPr>
            <a:xfrm xmlns:a="http://schemas.openxmlformats.org/drawingml/2006/main">
              <a:off x="4648045" y="1027121"/>
              <a:ext cx="1384474" cy="29520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415/419/419</a:t>
              </a:r>
            </a:p>
          </cdr:txBody>
        </cdr:sp>
        <cdr:sp macro="" textlink="">
          <cdr:nvSpPr>
            <cdr:cNvPr id="32" name="TextBox 167">
              <a:extLst xmlns:a="http://schemas.openxmlformats.org/drawingml/2006/main">
                <a:ext uri="{FF2B5EF4-FFF2-40B4-BE49-F238E27FC236}">
                  <a16:creationId xmlns:a16="http://schemas.microsoft.com/office/drawing/2014/main" id="{4D53244C-E7A8-1D94-C57D-019D4A71B998}"/>
                </a:ext>
              </a:extLst>
            </cdr:cNvPr>
            <cdr:cNvSpPr txBox="1"/>
          </cdr:nvSpPr>
          <cdr:spPr>
            <a:xfrm xmlns:a="http://schemas.openxmlformats.org/drawingml/2006/main">
              <a:off x="8701829" y="1069858"/>
              <a:ext cx="1514349" cy="310258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420/421/423</a:t>
              </a:r>
            </a:p>
          </cdr:txBody>
        </cdr:sp>
      </cdr:grpSp>
    </cdr:grpSp>
  </cdr:relSizeAnchor>
</c:userShapes>
</file>

<file path=xl/drawings/drawing60.xml><?xml version="1.0" encoding="utf-8"?>
<c:userShapes xmlns:c="http://schemas.openxmlformats.org/drawingml/2006/chart">
  <cdr:relSizeAnchor xmlns:cdr="http://schemas.openxmlformats.org/drawingml/2006/chartDrawing">
    <cdr:from>
      <cdr:x>0.00415</cdr:x>
      <cdr:y>0.00695</cdr:y>
    </cdr:from>
    <cdr:to>
      <cdr:x>0.99567</cdr:x>
      <cdr:y>0.05548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3FBEEB66-ECAB-774E-3D89-7CBD2BDBF2A8}"/>
            </a:ext>
          </a:extLst>
        </cdr:cNvPr>
        <cdr:cNvSpPr txBox="1"/>
      </cdr:nvSpPr>
      <cdr:spPr>
        <a:xfrm xmlns:a="http://schemas.openxmlformats.org/drawingml/2006/main">
          <a:off x="50777" y="50768"/>
          <a:ext cx="12131766" cy="354474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Metal on Catalyst vs</a:t>
          </a:r>
          <a:r>
            <a:rPr lang="en-US" sz="2400" b="1" baseline="0">
              <a:effectLst/>
            </a:rPr>
            <a:t> </a:t>
          </a:r>
          <a:r>
            <a:rPr lang="en-US" sz="2400" b="1">
              <a:effectLst/>
            </a:rPr>
            <a:t>Conversion</a:t>
          </a:r>
          <a:r>
            <a:rPr lang="en-US" sz="2400" b="1">
              <a:effectLst/>
              <a:latin typeface="+mn-lt"/>
              <a:ea typeface="+mn-ea"/>
              <a:cs typeface="+mn-cs"/>
            </a:rPr>
            <a:t>:</a:t>
          </a:r>
          <a:r>
            <a:rPr lang="en-US" sz="24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2400" b="1" i="0" baseline="0">
              <a:effectLst/>
              <a:latin typeface="+mn-lt"/>
              <a:ea typeface="+mn-ea"/>
              <a:cs typeface="+mn-cs"/>
            </a:rPr>
            <a:t>Low &amp; High Sedimentation</a:t>
          </a:r>
          <a:endParaRPr lang="en-US" sz="2400" b="1">
            <a:effectLst/>
          </a:endParaRPr>
        </a:p>
      </cdr:txBody>
    </cdr:sp>
  </cdr:relSizeAnchor>
  <cdr:relSizeAnchor xmlns:cdr="http://schemas.openxmlformats.org/drawingml/2006/chartDrawing">
    <cdr:from>
      <cdr:x>0.02961</cdr:x>
      <cdr:y>0.06276</cdr:y>
    </cdr:from>
    <cdr:to>
      <cdr:x>0.8852</cdr:x>
      <cdr:y>0.22115</cdr:y>
    </cdr:to>
    <cdr:grpSp>
      <cdr:nvGrpSpPr>
        <cdr:cNvPr id="3" name="Group 2">
          <a:extLst xmlns:a="http://schemas.openxmlformats.org/drawingml/2006/main">
            <a:ext uri="{FF2B5EF4-FFF2-40B4-BE49-F238E27FC236}">
              <a16:creationId xmlns:a16="http://schemas.microsoft.com/office/drawing/2014/main" id="{11595391-CD8E-4AD7-9B26-587DB7020486}"/>
            </a:ext>
          </a:extLst>
        </cdr:cNvPr>
        <cdr:cNvGrpSpPr/>
      </cdr:nvGrpSpPr>
      <cdr:grpSpPr>
        <a:xfrm xmlns:a="http://schemas.openxmlformats.org/drawingml/2006/main">
          <a:off x="350161" y="485513"/>
          <a:ext cx="10118009" cy="1225308"/>
          <a:chOff x="0" y="19099"/>
          <a:chExt cx="5113392" cy="911509"/>
        </a:xfrm>
      </cdr:grpSpPr>
      <cdr:cxnSp macro="">
        <cdr:nvCxnSpPr>
          <cdr:cNvPr id="4" name="Straight Arrow Connector 3">
            <a:extLst xmlns:a="http://schemas.openxmlformats.org/drawingml/2006/main">
              <a:ext uri="{FF2B5EF4-FFF2-40B4-BE49-F238E27FC236}">
                <a16:creationId xmlns:a16="http://schemas.microsoft.com/office/drawing/2014/main" id="{1B5390E4-EA97-AE53-8D62-008576BEF3DC}"/>
              </a:ext>
            </a:extLst>
          </cdr:cNvPr>
          <cdr:cNvCxnSpPr/>
        </cdr:nvCxnSpPr>
        <cdr:spPr>
          <a:xfrm xmlns:a="http://schemas.openxmlformats.org/drawingml/2006/main" flipV="1">
            <a:off x="3288004" y="139322"/>
            <a:ext cx="1807971" cy="10564"/>
          </a:xfrm>
          <a:prstGeom xmlns:a="http://schemas.openxmlformats.org/drawingml/2006/main" prst="straightConnector1">
            <a:avLst/>
          </a:prstGeom>
          <a:ln xmlns:a="http://schemas.openxmlformats.org/drawingml/2006/main">
            <a:solidFill>
              <a:schemeClr val="tx1"/>
            </a:solidFill>
            <a:prstDash val="sysDash"/>
            <a:headEnd type="triangle"/>
            <a:tailEnd type="triangle"/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grpSp>
        <cdr:nvGrpSpPr>
          <cdr:cNvPr id="5" name="Group 4">
            <a:extLst xmlns:a="http://schemas.openxmlformats.org/drawingml/2006/main">
              <a:ext uri="{FF2B5EF4-FFF2-40B4-BE49-F238E27FC236}">
                <a16:creationId xmlns:a16="http://schemas.microsoft.com/office/drawing/2014/main" id="{CBB4DF75-6BD7-F36B-4AB2-9D15F98A6E23}"/>
              </a:ext>
            </a:extLst>
          </cdr:cNvPr>
          <cdr:cNvGrpSpPr/>
        </cdr:nvGrpSpPr>
        <cdr:grpSpPr>
          <a:xfrm xmlns:a="http://schemas.openxmlformats.org/drawingml/2006/main">
            <a:off x="0" y="19099"/>
            <a:ext cx="5113392" cy="911509"/>
            <a:chOff x="0" y="28325"/>
            <a:chExt cx="11099002" cy="1351791"/>
          </a:xfrm>
        </cdr:grpSpPr>
        <cdr:sp macro="" textlink="">
          <cdr:nvSpPr>
            <cdr:cNvPr id="6" name="TextBox 141">
              <a:extLst xmlns:a="http://schemas.openxmlformats.org/drawingml/2006/main">
                <a:ext uri="{FF2B5EF4-FFF2-40B4-BE49-F238E27FC236}">
                  <a16:creationId xmlns:a16="http://schemas.microsoft.com/office/drawing/2014/main" id="{A1F93E80-B3FF-EAC9-B6DC-25AEFCB31D24}"/>
                </a:ext>
              </a:extLst>
            </cdr:cNvPr>
            <cdr:cNvSpPr txBox="1"/>
          </cdr:nvSpPr>
          <cdr:spPr>
            <a:xfrm xmlns:a="http://schemas.openxmlformats.org/drawingml/2006/main">
              <a:off x="15647" y="49518"/>
              <a:ext cx="1143000" cy="234515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Feed</a:t>
              </a:r>
            </a:p>
          </cdr:txBody>
        </cdr:sp>
        <cdr:sp macro="" textlink="">
          <cdr:nvSpPr>
            <cdr:cNvPr id="7" name="TextBox 142">
              <a:extLst xmlns:a="http://schemas.openxmlformats.org/drawingml/2006/main">
                <a:ext uri="{FF2B5EF4-FFF2-40B4-BE49-F238E27FC236}">
                  <a16:creationId xmlns:a16="http://schemas.microsoft.com/office/drawing/2014/main" id="{F9E3BC27-ABA5-A93F-D211-2873067091C0}"/>
                </a:ext>
              </a:extLst>
            </cdr:cNvPr>
            <cdr:cNvSpPr txBox="1"/>
          </cdr:nvSpPr>
          <cdr:spPr>
            <a:xfrm xmlns:a="http://schemas.openxmlformats.org/drawingml/2006/main">
              <a:off x="0" y="338507"/>
              <a:ext cx="1143000" cy="234515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Split</a:t>
              </a:r>
            </a:p>
          </cdr:txBody>
        </cdr:sp>
        <cdr:sp macro="" textlink="">
          <cdr:nvSpPr>
            <cdr:cNvPr id="8" name="TextBox 143">
              <a:extLst xmlns:a="http://schemas.openxmlformats.org/drawingml/2006/main">
                <a:ext uri="{FF2B5EF4-FFF2-40B4-BE49-F238E27FC236}">
                  <a16:creationId xmlns:a16="http://schemas.microsoft.com/office/drawing/2014/main" id="{D7881E62-34F9-6873-FE5D-613BFB1F2008}"/>
                </a:ext>
              </a:extLst>
            </cdr:cNvPr>
            <cdr:cNvSpPr txBox="1"/>
          </cdr:nvSpPr>
          <cdr:spPr>
            <a:xfrm xmlns:a="http://schemas.openxmlformats.org/drawingml/2006/main">
              <a:off x="9412" y="645352"/>
              <a:ext cx="1486151" cy="311272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LCF LHSV</a:t>
              </a:r>
            </a:p>
          </cdr:txBody>
        </cdr:sp>
        <cdr:sp macro="" textlink="">
          <cdr:nvSpPr>
            <cdr:cNvPr id="9" name="TextBox 144">
              <a:extLst xmlns:a="http://schemas.openxmlformats.org/drawingml/2006/main">
                <a:ext uri="{FF2B5EF4-FFF2-40B4-BE49-F238E27FC236}">
                  <a16:creationId xmlns:a16="http://schemas.microsoft.com/office/drawing/2014/main" id="{D191250D-86E4-597F-1CBC-062D34714671}"/>
                </a:ext>
              </a:extLst>
            </cdr:cNvPr>
            <cdr:cNvSpPr txBox="1"/>
          </cdr:nvSpPr>
          <cdr:spPr>
            <a:xfrm xmlns:a="http://schemas.openxmlformats.org/drawingml/2006/main">
              <a:off x="724" y="1029574"/>
              <a:ext cx="1486151" cy="311272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Temperature</a:t>
              </a:r>
              <a:br>
                <a:rPr lang="en-US" sz="1100" b="1"/>
              </a:br>
              <a:r>
                <a:rPr lang="en-US" sz="1100" b="1"/>
                <a:t>(Rx1/2/3)</a:t>
              </a:r>
            </a:p>
          </cdr:txBody>
        </cdr:sp>
        <cdr:cxnSp macro="">
          <cdr:nvCxnSpPr>
            <cdr:cNvPr id="10" name="Straight Arrow Connector 9">
              <a:extLst xmlns:a="http://schemas.openxmlformats.org/drawingml/2006/main">
                <a:ext uri="{FF2B5EF4-FFF2-40B4-BE49-F238E27FC236}">
                  <a16:creationId xmlns:a16="http://schemas.microsoft.com/office/drawing/2014/main" id="{0325F54C-2EF2-B78F-EF8A-F264952A98C8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35361" y="206619"/>
              <a:ext cx="2416691" cy="931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1" name="Straight Arrow Connector 10">
              <a:extLst xmlns:a="http://schemas.openxmlformats.org/drawingml/2006/main">
                <a:ext uri="{FF2B5EF4-FFF2-40B4-BE49-F238E27FC236}">
                  <a16:creationId xmlns:a16="http://schemas.microsoft.com/office/drawing/2014/main" id="{337FB151-6BF4-F330-775B-4C24B1F6D418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52073" y="472590"/>
              <a:ext cx="2387276" cy="20097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2" name="Straight Arrow Connector 11">
              <a:extLst xmlns:a="http://schemas.openxmlformats.org/drawingml/2006/main">
                <a:ext uri="{FF2B5EF4-FFF2-40B4-BE49-F238E27FC236}">
                  <a16:creationId xmlns:a16="http://schemas.microsoft.com/office/drawing/2014/main" id="{495F16F2-E61A-DA80-61CB-35607622468F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40109" y="794556"/>
              <a:ext cx="2411943" cy="35338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3" name="Straight Arrow Connector 12">
              <a:extLst xmlns:a="http://schemas.openxmlformats.org/drawingml/2006/main">
                <a:ext uri="{FF2B5EF4-FFF2-40B4-BE49-F238E27FC236}">
                  <a16:creationId xmlns:a16="http://schemas.microsoft.com/office/drawing/2014/main" id="{47AD3379-AA23-9A4A-11E1-C1E4F2C9504E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45494" y="1200514"/>
              <a:ext cx="2419261" cy="30554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14" name="TextBox 149">
              <a:extLst xmlns:a="http://schemas.openxmlformats.org/drawingml/2006/main">
                <a:ext uri="{FF2B5EF4-FFF2-40B4-BE49-F238E27FC236}">
                  <a16:creationId xmlns:a16="http://schemas.microsoft.com/office/drawing/2014/main" id="{9F9591B2-8807-1F96-5C54-7A1225623E49}"/>
                </a:ext>
              </a:extLst>
            </cdr:cNvPr>
            <cdr:cNvSpPr txBox="1"/>
          </cdr:nvSpPr>
          <cdr:spPr>
            <a:xfrm xmlns:a="http://schemas.openxmlformats.org/drawingml/2006/main">
              <a:off x="1769927" y="41996"/>
              <a:ext cx="849525" cy="275232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ME SR</a:t>
              </a:r>
            </a:p>
          </cdr:txBody>
        </cdr:sp>
        <cdr:sp macro="" textlink="">
          <cdr:nvSpPr>
            <cdr:cNvPr id="15" name="TextBox 150">
              <a:extLst xmlns:a="http://schemas.openxmlformats.org/drawingml/2006/main">
                <a:ext uri="{FF2B5EF4-FFF2-40B4-BE49-F238E27FC236}">
                  <a16:creationId xmlns:a16="http://schemas.microsoft.com/office/drawing/2014/main" id="{AD04A6E8-B876-D6BA-BEA9-8AA1AEC8A959}"/>
                </a:ext>
              </a:extLst>
            </cdr:cNvPr>
            <cdr:cNvSpPr txBox="1"/>
          </cdr:nvSpPr>
          <cdr:spPr>
            <a:xfrm xmlns:a="http://schemas.openxmlformats.org/drawingml/2006/main">
              <a:off x="1764002" y="366505"/>
              <a:ext cx="850974" cy="262892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70/30</a:t>
              </a:r>
            </a:p>
          </cdr:txBody>
        </cdr:sp>
        <cdr:sp macro="" textlink="">
          <cdr:nvSpPr>
            <cdr:cNvPr id="16" name="TextBox 151">
              <a:extLst xmlns:a="http://schemas.openxmlformats.org/drawingml/2006/main">
                <a:ext uri="{FF2B5EF4-FFF2-40B4-BE49-F238E27FC236}">
                  <a16:creationId xmlns:a16="http://schemas.microsoft.com/office/drawing/2014/main" id="{2B4D8C09-8711-1621-B085-A8B5E5355433}"/>
                </a:ext>
              </a:extLst>
            </cdr:cNvPr>
            <cdr:cNvSpPr txBox="1"/>
          </cdr:nvSpPr>
          <cdr:spPr>
            <a:xfrm xmlns:a="http://schemas.openxmlformats.org/drawingml/2006/main">
              <a:off x="1773543" y="659525"/>
              <a:ext cx="853389" cy="284823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0.378</a:t>
              </a:r>
            </a:p>
          </cdr:txBody>
        </cdr:sp>
        <cdr:sp macro="" textlink="">
          <cdr:nvSpPr>
            <cdr:cNvPr id="17" name="TextBox 152">
              <a:extLst xmlns:a="http://schemas.openxmlformats.org/drawingml/2006/main">
                <a:ext uri="{FF2B5EF4-FFF2-40B4-BE49-F238E27FC236}">
                  <a16:creationId xmlns:a16="http://schemas.microsoft.com/office/drawing/2014/main" id="{84ACC7EA-23DE-5479-6336-5A48F355E973}"/>
                </a:ext>
              </a:extLst>
            </cdr:cNvPr>
            <cdr:cNvSpPr txBox="1"/>
          </cdr:nvSpPr>
          <cdr:spPr>
            <a:xfrm xmlns:a="http://schemas.openxmlformats.org/drawingml/2006/main">
              <a:off x="1611846" y="1062235"/>
              <a:ext cx="1378398" cy="29520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399/405/407</a:t>
              </a:r>
            </a:p>
          </cdr:txBody>
        </cdr:sp>
        <cdr:cxnSp macro="">
          <cdr:nvCxnSpPr>
            <cdr:cNvPr id="18" name="Straight Arrow Connector 17">
              <a:extLst xmlns:a="http://schemas.openxmlformats.org/drawingml/2006/main">
                <a:ext uri="{FF2B5EF4-FFF2-40B4-BE49-F238E27FC236}">
                  <a16:creationId xmlns:a16="http://schemas.microsoft.com/office/drawing/2014/main" id="{AA3350E5-71F8-2B29-EE79-CE23D2C46C91}"/>
                </a:ext>
              </a:extLst>
            </cdr:cNvPr>
            <cdr:cNvCxnSpPr/>
          </cdr:nvCxnSpPr>
          <cdr:spPr>
            <a:xfrm xmlns:a="http://schemas.openxmlformats.org/drawingml/2006/main">
              <a:off x="3570287" y="215212"/>
              <a:ext cx="3430937" cy="6902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9" name="Straight Arrow Connector 18">
              <a:extLst xmlns:a="http://schemas.openxmlformats.org/drawingml/2006/main">
                <a:ext uri="{FF2B5EF4-FFF2-40B4-BE49-F238E27FC236}">
                  <a16:creationId xmlns:a16="http://schemas.microsoft.com/office/drawing/2014/main" id="{08ED64E7-C40C-3BAE-47E2-2280AC2405E6}"/>
                </a:ext>
              </a:extLst>
            </cdr:cNvPr>
            <cdr:cNvCxnSpPr/>
          </cdr:nvCxnSpPr>
          <cdr:spPr>
            <a:xfrm xmlns:a="http://schemas.openxmlformats.org/drawingml/2006/main">
              <a:off x="3550140" y="452008"/>
              <a:ext cx="3451084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0" name="Straight Arrow Connector 19">
              <a:extLst xmlns:a="http://schemas.openxmlformats.org/drawingml/2006/main">
                <a:ext uri="{FF2B5EF4-FFF2-40B4-BE49-F238E27FC236}">
                  <a16:creationId xmlns:a16="http://schemas.microsoft.com/office/drawing/2014/main" id="{699DFEC5-6EA7-4C5F-7504-FC17802404BD}"/>
                </a:ext>
              </a:extLst>
            </cdr:cNvPr>
            <cdr:cNvCxnSpPr/>
          </cdr:nvCxnSpPr>
          <cdr:spPr>
            <a:xfrm xmlns:a="http://schemas.openxmlformats.org/drawingml/2006/main">
              <a:off x="7136861" y="465484"/>
              <a:ext cx="3951145" cy="452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1" name="Straight Arrow Connector 20">
              <a:extLst xmlns:a="http://schemas.openxmlformats.org/drawingml/2006/main">
                <a:ext uri="{FF2B5EF4-FFF2-40B4-BE49-F238E27FC236}">
                  <a16:creationId xmlns:a16="http://schemas.microsoft.com/office/drawing/2014/main" id="{A2B4E669-95DC-B0F9-8411-BD29F6599FDD}"/>
                </a:ext>
              </a:extLst>
            </cdr:cNvPr>
            <cdr:cNvCxnSpPr/>
          </cdr:nvCxnSpPr>
          <cdr:spPr>
            <a:xfrm xmlns:a="http://schemas.openxmlformats.org/drawingml/2006/main" flipV="1">
              <a:off x="3562227" y="774704"/>
              <a:ext cx="3448963" cy="8594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2" name="Straight Arrow Connector 21">
              <a:extLst xmlns:a="http://schemas.openxmlformats.org/drawingml/2006/main">
                <a:ext uri="{FF2B5EF4-FFF2-40B4-BE49-F238E27FC236}">
                  <a16:creationId xmlns:a16="http://schemas.microsoft.com/office/drawing/2014/main" id="{9E7052C0-6CFE-C0EA-03AD-CF3736EC5147}"/>
                </a:ext>
              </a:extLst>
            </cdr:cNvPr>
            <cdr:cNvCxnSpPr/>
          </cdr:nvCxnSpPr>
          <cdr:spPr>
            <a:xfrm xmlns:a="http://schemas.openxmlformats.org/drawingml/2006/main">
              <a:off x="7116616" y="763953"/>
              <a:ext cx="3982383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3" name="Straight Arrow Connector 22">
              <a:extLst xmlns:a="http://schemas.openxmlformats.org/drawingml/2006/main">
                <a:ext uri="{FF2B5EF4-FFF2-40B4-BE49-F238E27FC236}">
                  <a16:creationId xmlns:a16="http://schemas.microsoft.com/office/drawing/2014/main" id="{927D0C7C-FE45-94B9-A0C3-E703171E9B94}"/>
                </a:ext>
              </a:extLst>
            </cdr:cNvPr>
            <cdr:cNvCxnSpPr/>
          </cdr:nvCxnSpPr>
          <cdr:spPr>
            <a:xfrm xmlns:a="http://schemas.openxmlformats.org/drawingml/2006/main" flipV="1">
              <a:off x="3569885" y="1158520"/>
              <a:ext cx="3426185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4" name="Straight Arrow Connector 23">
              <a:extLst xmlns:a="http://schemas.openxmlformats.org/drawingml/2006/main">
                <a:ext uri="{FF2B5EF4-FFF2-40B4-BE49-F238E27FC236}">
                  <a16:creationId xmlns:a16="http://schemas.microsoft.com/office/drawing/2014/main" id="{86007EF4-2163-5792-9E70-4BC313B0689B}"/>
                </a:ext>
              </a:extLst>
            </cdr:cNvPr>
            <cdr:cNvCxnSpPr/>
          </cdr:nvCxnSpPr>
          <cdr:spPr>
            <a:xfrm xmlns:a="http://schemas.openxmlformats.org/drawingml/2006/main">
              <a:off x="7136861" y="1184022"/>
              <a:ext cx="3962141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25" name="TextBox 160">
              <a:extLst xmlns:a="http://schemas.openxmlformats.org/drawingml/2006/main">
                <a:ext uri="{FF2B5EF4-FFF2-40B4-BE49-F238E27FC236}">
                  <a16:creationId xmlns:a16="http://schemas.microsoft.com/office/drawing/2014/main" id="{14C08F3F-FE84-129A-5C64-D910F7653CF4}"/>
                </a:ext>
              </a:extLst>
            </cdr:cNvPr>
            <cdr:cNvSpPr txBox="1"/>
          </cdr:nvSpPr>
          <cdr:spPr>
            <a:xfrm xmlns:a="http://schemas.openxmlformats.org/drawingml/2006/main">
              <a:off x="4498876" y="28325"/>
              <a:ext cx="1918601" cy="321823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Low Sedimentation</a:t>
              </a:r>
            </a:p>
          </cdr:txBody>
        </cdr:sp>
        <cdr:sp macro="" textlink="">
          <cdr:nvSpPr>
            <cdr:cNvPr id="26" name="TextBox 161">
              <a:extLst xmlns:a="http://schemas.openxmlformats.org/drawingml/2006/main">
                <a:ext uri="{FF2B5EF4-FFF2-40B4-BE49-F238E27FC236}">
                  <a16:creationId xmlns:a16="http://schemas.microsoft.com/office/drawing/2014/main" id="{0F1AB7BB-D0EF-C0E6-60D0-D232C51CF1A6}"/>
                </a:ext>
              </a:extLst>
            </cdr:cNvPr>
            <cdr:cNvSpPr txBox="1"/>
          </cdr:nvSpPr>
          <cdr:spPr>
            <a:xfrm xmlns:a="http://schemas.openxmlformats.org/drawingml/2006/main">
              <a:off x="8571686" y="52529"/>
              <a:ext cx="1861049" cy="288099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High Sedimentation</a:t>
              </a:r>
            </a:p>
          </cdr:txBody>
        </cdr:sp>
        <cdr:sp macro="" textlink="">
          <cdr:nvSpPr>
            <cdr:cNvPr id="27" name="TextBox 162">
              <a:extLst xmlns:a="http://schemas.openxmlformats.org/drawingml/2006/main">
                <a:ext uri="{FF2B5EF4-FFF2-40B4-BE49-F238E27FC236}">
                  <a16:creationId xmlns:a16="http://schemas.microsoft.com/office/drawing/2014/main" id="{81CB1507-150F-A13D-BCF9-763018858016}"/>
                </a:ext>
              </a:extLst>
            </cdr:cNvPr>
            <cdr:cNvSpPr txBox="1"/>
          </cdr:nvSpPr>
          <cdr:spPr>
            <a:xfrm xmlns:a="http://schemas.openxmlformats.org/drawingml/2006/main">
              <a:off x="4853548" y="385927"/>
              <a:ext cx="853390" cy="28907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8" name="TextBox 163">
              <a:extLst xmlns:a="http://schemas.openxmlformats.org/drawingml/2006/main">
                <a:ext uri="{FF2B5EF4-FFF2-40B4-BE49-F238E27FC236}">
                  <a16:creationId xmlns:a16="http://schemas.microsoft.com/office/drawing/2014/main" id="{1ACC60DD-3F24-16A3-AAF8-7CC5B3D75E76}"/>
                </a:ext>
              </a:extLst>
            </cdr:cNvPr>
            <cdr:cNvSpPr txBox="1"/>
          </cdr:nvSpPr>
          <cdr:spPr>
            <a:xfrm xmlns:a="http://schemas.openxmlformats.org/drawingml/2006/main">
              <a:off x="8940310" y="377107"/>
              <a:ext cx="853389" cy="28907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9" name="TextBox 164">
              <a:extLst xmlns:a="http://schemas.openxmlformats.org/drawingml/2006/main">
                <a:ext uri="{FF2B5EF4-FFF2-40B4-BE49-F238E27FC236}">
                  <a16:creationId xmlns:a16="http://schemas.microsoft.com/office/drawing/2014/main" id="{A68C2CE3-CB08-9768-06D7-EC90EB68B4BF}"/>
                </a:ext>
              </a:extLst>
            </cdr:cNvPr>
            <cdr:cNvSpPr txBox="1"/>
          </cdr:nvSpPr>
          <cdr:spPr>
            <a:xfrm xmlns:a="http://schemas.openxmlformats.org/drawingml/2006/main">
              <a:off x="4864950" y="688341"/>
              <a:ext cx="853390" cy="28387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0.21</a:t>
              </a:r>
            </a:p>
          </cdr:txBody>
        </cdr:sp>
        <cdr:sp macro="" textlink="">
          <cdr:nvSpPr>
            <cdr:cNvPr id="30" name="TextBox 165">
              <a:extLst xmlns:a="http://schemas.openxmlformats.org/drawingml/2006/main">
                <a:ext uri="{FF2B5EF4-FFF2-40B4-BE49-F238E27FC236}">
                  <a16:creationId xmlns:a16="http://schemas.microsoft.com/office/drawing/2014/main" id="{C13DBDE8-786D-0183-09B7-2CF9FEE97119}"/>
                </a:ext>
              </a:extLst>
            </cdr:cNvPr>
            <cdr:cNvSpPr txBox="1"/>
          </cdr:nvSpPr>
          <cdr:spPr>
            <a:xfrm xmlns:a="http://schemas.openxmlformats.org/drawingml/2006/main">
              <a:off x="8942692" y="694402"/>
              <a:ext cx="853389" cy="28387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0.21</a:t>
              </a:r>
            </a:p>
          </cdr:txBody>
        </cdr:sp>
        <cdr:sp macro="" textlink="">
          <cdr:nvSpPr>
            <cdr:cNvPr id="31" name="TextBox 166">
              <a:extLst xmlns:a="http://schemas.openxmlformats.org/drawingml/2006/main">
                <a:ext uri="{FF2B5EF4-FFF2-40B4-BE49-F238E27FC236}">
                  <a16:creationId xmlns:a16="http://schemas.microsoft.com/office/drawing/2014/main" id="{7AF4A60B-35EE-6956-ACF9-A5B40E3EE35F}"/>
                </a:ext>
              </a:extLst>
            </cdr:cNvPr>
            <cdr:cNvSpPr txBox="1"/>
          </cdr:nvSpPr>
          <cdr:spPr>
            <a:xfrm xmlns:a="http://schemas.openxmlformats.org/drawingml/2006/main">
              <a:off x="4648045" y="1027121"/>
              <a:ext cx="1384474" cy="29520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415/419/419</a:t>
              </a:r>
            </a:p>
          </cdr:txBody>
        </cdr:sp>
        <cdr:sp macro="" textlink="">
          <cdr:nvSpPr>
            <cdr:cNvPr id="32" name="TextBox 167">
              <a:extLst xmlns:a="http://schemas.openxmlformats.org/drawingml/2006/main">
                <a:ext uri="{FF2B5EF4-FFF2-40B4-BE49-F238E27FC236}">
                  <a16:creationId xmlns:a16="http://schemas.microsoft.com/office/drawing/2014/main" id="{4D53244C-E7A8-1D94-C57D-019D4A71B998}"/>
                </a:ext>
              </a:extLst>
            </cdr:cNvPr>
            <cdr:cNvSpPr txBox="1"/>
          </cdr:nvSpPr>
          <cdr:spPr>
            <a:xfrm xmlns:a="http://schemas.openxmlformats.org/drawingml/2006/main">
              <a:off x="8701829" y="1069858"/>
              <a:ext cx="1514349" cy="310258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420/421/423</a:t>
              </a:r>
            </a:p>
          </cdr:txBody>
        </cdr:sp>
      </cdr:grpSp>
    </cdr:grpSp>
  </cdr:relSizeAnchor>
</c:userShapes>
</file>

<file path=xl/drawings/drawing61.xml><?xml version="1.0" encoding="utf-8"?>
<c:userShapes xmlns:c="http://schemas.openxmlformats.org/drawingml/2006/chart">
  <cdr:relSizeAnchor xmlns:cdr="http://schemas.openxmlformats.org/drawingml/2006/chartDrawing">
    <cdr:from>
      <cdr:x>0.00415</cdr:x>
      <cdr:y>0.00695</cdr:y>
    </cdr:from>
    <cdr:to>
      <cdr:x>0.99567</cdr:x>
      <cdr:y>0.05548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3FBEEB66-ECAB-774E-3D89-7CBD2BDBF2A8}"/>
            </a:ext>
          </a:extLst>
        </cdr:cNvPr>
        <cdr:cNvSpPr txBox="1"/>
      </cdr:nvSpPr>
      <cdr:spPr>
        <a:xfrm xmlns:a="http://schemas.openxmlformats.org/drawingml/2006/main">
          <a:off x="50777" y="50768"/>
          <a:ext cx="12131766" cy="354474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Metal on Catalyst vs</a:t>
          </a:r>
          <a:r>
            <a:rPr lang="en-US" sz="2400" b="1" baseline="0">
              <a:effectLst/>
            </a:rPr>
            <a:t> </a:t>
          </a:r>
          <a:r>
            <a:rPr lang="en-US" sz="2400" b="1">
              <a:effectLst/>
            </a:rPr>
            <a:t>Conversion</a:t>
          </a:r>
          <a:r>
            <a:rPr lang="en-US" sz="2400" b="1">
              <a:effectLst/>
              <a:latin typeface="+mn-lt"/>
              <a:ea typeface="+mn-ea"/>
              <a:cs typeface="+mn-cs"/>
            </a:rPr>
            <a:t>:</a:t>
          </a:r>
          <a:r>
            <a:rPr lang="en-US" sz="24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2400" b="1" i="0" baseline="0">
              <a:effectLst/>
              <a:latin typeface="+mn-lt"/>
              <a:ea typeface="+mn-ea"/>
              <a:cs typeface="+mn-cs"/>
            </a:rPr>
            <a:t>Low &amp; High Sedimentation</a:t>
          </a:r>
          <a:endParaRPr lang="en-US" sz="2400" b="1">
            <a:effectLst/>
          </a:endParaRPr>
        </a:p>
      </cdr:txBody>
    </cdr:sp>
  </cdr:relSizeAnchor>
  <cdr:relSizeAnchor xmlns:cdr="http://schemas.openxmlformats.org/drawingml/2006/chartDrawing">
    <cdr:from>
      <cdr:x>0.02961</cdr:x>
      <cdr:y>0.06276</cdr:y>
    </cdr:from>
    <cdr:to>
      <cdr:x>0.95211</cdr:x>
      <cdr:y>0.22115</cdr:y>
    </cdr:to>
    <cdr:grpSp>
      <cdr:nvGrpSpPr>
        <cdr:cNvPr id="3" name="Group 2">
          <a:extLst xmlns:a="http://schemas.openxmlformats.org/drawingml/2006/main">
            <a:ext uri="{FF2B5EF4-FFF2-40B4-BE49-F238E27FC236}">
              <a16:creationId xmlns:a16="http://schemas.microsoft.com/office/drawing/2014/main" id="{11595391-CD8E-4AD7-9B26-587DB7020486}"/>
            </a:ext>
          </a:extLst>
        </cdr:cNvPr>
        <cdr:cNvGrpSpPr/>
      </cdr:nvGrpSpPr>
      <cdr:grpSpPr>
        <a:xfrm xmlns:a="http://schemas.openxmlformats.org/drawingml/2006/main">
          <a:off x="350161" y="485513"/>
          <a:ext cx="10909271" cy="1225308"/>
          <a:chOff x="0" y="19099"/>
          <a:chExt cx="5307768" cy="911509"/>
        </a:xfrm>
      </cdr:grpSpPr>
      <cdr:cxnSp macro="">
        <cdr:nvCxnSpPr>
          <cdr:cNvPr id="4" name="Straight Arrow Connector 3">
            <a:extLst xmlns:a="http://schemas.openxmlformats.org/drawingml/2006/main">
              <a:ext uri="{FF2B5EF4-FFF2-40B4-BE49-F238E27FC236}">
                <a16:creationId xmlns:a16="http://schemas.microsoft.com/office/drawing/2014/main" id="{1B5390E4-EA97-AE53-8D62-008576BEF3DC}"/>
              </a:ext>
            </a:extLst>
          </cdr:cNvPr>
          <cdr:cNvCxnSpPr/>
        </cdr:nvCxnSpPr>
        <cdr:spPr>
          <a:xfrm xmlns:a="http://schemas.openxmlformats.org/drawingml/2006/main" flipV="1">
            <a:off x="3473929" y="125162"/>
            <a:ext cx="1807971" cy="10564"/>
          </a:xfrm>
          <a:prstGeom xmlns:a="http://schemas.openxmlformats.org/drawingml/2006/main" prst="straightConnector1">
            <a:avLst/>
          </a:prstGeom>
          <a:ln xmlns:a="http://schemas.openxmlformats.org/drawingml/2006/main">
            <a:solidFill>
              <a:schemeClr val="tx1"/>
            </a:solidFill>
            <a:prstDash val="sysDash"/>
            <a:headEnd type="triangle"/>
            <a:tailEnd type="triangle"/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grpSp>
        <cdr:nvGrpSpPr>
          <cdr:cNvPr id="5" name="Group 4">
            <a:extLst xmlns:a="http://schemas.openxmlformats.org/drawingml/2006/main">
              <a:ext uri="{FF2B5EF4-FFF2-40B4-BE49-F238E27FC236}">
                <a16:creationId xmlns:a16="http://schemas.microsoft.com/office/drawing/2014/main" id="{CBB4DF75-6BD7-F36B-4AB2-9D15F98A6E23}"/>
              </a:ext>
            </a:extLst>
          </cdr:cNvPr>
          <cdr:cNvGrpSpPr/>
        </cdr:nvGrpSpPr>
        <cdr:grpSpPr>
          <a:xfrm xmlns:a="http://schemas.openxmlformats.org/drawingml/2006/main">
            <a:off x="0" y="19099"/>
            <a:ext cx="5307768" cy="911509"/>
            <a:chOff x="0" y="28325"/>
            <a:chExt cx="11520909" cy="1351791"/>
          </a:xfrm>
        </cdr:grpSpPr>
        <cdr:sp macro="" textlink="">
          <cdr:nvSpPr>
            <cdr:cNvPr id="6" name="TextBox 141">
              <a:extLst xmlns:a="http://schemas.openxmlformats.org/drawingml/2006/main">
                <a:ext uri="{FF2B5EF4-FFF2-40B4-BE49-F238E27FC236}">
                  <a16:creationId xmlns:a16="http://schemas.microsoft.com/office/drawing/2014/main" id="{A1F93E80-B3FF-EAC9-B6DC-25AEFCB31D24}"/>
                </a:ext>
              </a:extLst>
            </cdr:cNvPr>
            <cdr:cNvSpPr txBox="1"/>
          </cdr:nvSpPr>
          <cdr:spPr>
            <a:xfrm xmlns:a="http://schemas.openxmlformats.org/drawingml/2006/main">
              <a:off x="15647" y="49518"/>
              <a:ext cx="1143000" cy="234515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Feed</a:t>
              </a:r>
            </a:p>
          </cdr:txBody>
        </cdr:sp>
        <cdr:sp macro="" textlink="">
          <cdr:nvSpPr>
            <cdr:cNvPr id="7" name="TextBox 142">
              <a:extLst xmlns:a="http://schemas.openxmlformats.org/drawingml/2006/main">
                <a:ext uri="{FF2B5EF4-FFF2-40B4-BE49-F238E27FC236}">
                  <a16:creationId xmlns:a16="http://schemas.microsoft.com/office/drawing/2014/main" id="{F9E3BC27-ABA5-A93F-D211-2873067091C0}"/>
                </a:ext>
              </a:extLst>
            </cdr:cNvPr>
            <cdr:cNvSpPr txBox="1"/>
          </cdr:nvSpPr>
          <cdr:spPr>
            <a:xfrm xmlns:a="http://schemas.openxmlformats.org/drawingml/2006/main">
              <a:off x="0" y="338507"/>
              <a:ext cx="1143000" cy="234515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Split</a:t>
              </a:r>
            </a:p>
          </cdr:txBody>
        </cdr:sp>
        <cdr:sp macro="" textlink="">
          <cdr:nvSpPr>
            <cdr:cNvPr id="8" name="TextBox 143">
              <a:extLst xmlns:a="http://schemas.openxmlformats.org/drawingml/2006/main">
                <a:ext uri="{FF2B5EF4-FFF2-40B4-BE49-F238E27FC236}">
                  <a16:creationId xmlns:a16="http://schemas.microsoft.com/office/drawing/2014/main" id="{D7881E62-34F9-6873-FE5D-613BFB1F2008}"/>
                </a:ext>
              </a:extLst>
            </cdr:cNvPr>
            <cdr:cNvSpPr txBox="1"/>
          </cdr:nvSpPr>
          <cdr:spPr>
            <a:xfrm xmlns:a="http://schemas.openxmlformats.org/drawingml/2006/main">
              <a:off x="9412" y="645352"/>
              <a:ext cx="1486151" cy="311272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LCF LHSV</a:t>
              </a:r>
            </a:p>
          </cdr:txBody>
        </cdr:sp>
        <cdr:sp macro="" textlink="">
          <cdr:nvSpPr>
            <cdr:cNvPr id="9" name="TextBox 144">
              <a:extLst xmlns:a="http://schemas.openxmlformats.org/drawingml/2006/main">
                <a:ext uri="{FF2B5EF4-FFF2-40B4-BE49-F238E27FC236}">
                  <a16:creationId xmlns:a16="http://schemas.microsoft.com/office/drawing/2014/main" id="{D191250D-86E4-597F-1CBC-062D34714671}"/>
                </a:ext>
              </a:extLst>
            </cdr:cNvPr>
            <cdr:cNvSpPr txBox="1"/>
          </cdr:nvSpPr>
          <cdr:spPr>
            <a:xfrm xmlns:a="http://schemas.openxmlformats.org/drawingml/2006/main">
              <a:off x="724" y="1029574"/>
              <a:ext cx="1486151" cy="311272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Temperature</a:t>
              </a:r>
              <a:br>
                <a:rPr lang="en-US" sz="1100" b="1"/>
              </a:br>
              <a:r>
                <a:rPr lang="en-US" sz="1100" b="1"/>
                <a:t>(Rx1/2/3)</a:t>
              </a:r>
            </a:p>
          </cdr:txBody>
        </cdr:sp>
        <cdr:cxnSp macro="">
          <cdr:nvCxnSpPr>
            <cdr:cNvPr id="10" name="Straight Arrow Connector 9">
              <a:extLst xmlns:a="http://schemas.openxmlformats.org/drawingml/2006/main">
                <a:ext uri="{FF2B5EF4-FFF2-40B4-BE49-F238E27FC236}">
                  <a16:creationId xmlns:a16="http://schemas.microsoft.com/office/drawing/2014/main" id="{0325F54C-2EF2-B78F-EF8A-F264952A98C8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35361" y="206619"/>
              <a:ext cx="2416691" cy="931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1" name="Straight Arrow Connector 10">
              <a:extLst xmlns:a="http://schemas.openxmlformats.org/drawingml/2006/main">
                <a:ext uri="{FF2B5EF4-FFF2-40B4-BE49-F238E27FC236}">
                  <a16:creationId xmlns:a16="http://schemas.microsoft.com/office/drawing/2014/main" id="{337FB151-6BF4-F330-775B-4C24B1F6D418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52073" y="472590"/>
              <a:ext cx="2387276" cy="20097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2" name="Straight Arrow Connector 11">
              <a:extLst xmlns:a="http://schemas.openxmlformats.org/drawingml/2006/main">
                <a:ext uri="{FF2B5EF4-FFF2-40B4-BE49-F238E27FC236}">
                  <a16:creationId xmlns:a16="http://schemas.microsoft.com/office/drawing/2014/main" id="{495F16F2-E61A-DA80-61CB-35607622468F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40109" y="794556"/>
              <a:ext cx="2411943" cy="35338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3" name="Straight Arrow Connector 12">
              <a:extLst xmlns:a="http://schemas.openxmlformats.org/drawingml/2006/main">
                <a:ext uri="{FF2B5EF4-FFF2-40B4-BE49-F238E27FC236}">
                  <a16:creationId xmlns:a16="http://schemas.microsoft.com/office/drawing/2014/main" id="{47AD3379-AA23-9A4A-11E1-C1E4F2C9504E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45494" y="1200514"/>
              <a:ext cx="2419261" cy="30554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14" name="TextBox 149">
              <a:extLst xmlns:a="http://schemas.openxmlformats.org/drawingml/2006/main">
                <a:ext uri="{FF2B5EF4-FFF2-40B4-BE49-F238E27FC236}">
                  <a16:creationId xmlns:a16="http://schemas.microsoft.com/office/drawing/2014/main" id="{9F9591B2-8807-1F96-5C54-7A1225623E49}"/>
                </a:ext>
              </a:extLst>
            </cdr:cNvPr>
            <cdr:cNvSpPr txBox="1"/>
          </cdr:nvSpPr>
          <cdr:spPr>
            <a:xfrm xmlns:a="http://schemas.openxmlformats.org/drawingml/2006/main">
              <a:off x="1769927" y="41996"/>
              <a:ext cx="849525" cy="275232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ME SR</a:t>
              </a:r>
            </a:p>
          </cdr:txBody>
        </cdr:sp>
        <cdr:sp macro="" textlink="">
          <cdr:nvSpPr>
            <cdr:cNvPr id="15" name="TextBox 150">
              <a:extLst xmlns:a="http://schemas.openxmlformats.org/drawingml/2006/main">
                <a:ext uri="{FF2B5EF4-FFF2-40B4-BE49-F238E27FC236}">
                  <a16:creationId xmlns:a16="http://schemas.microsoft.com/office/drawing/2014/main" id="{AD04A6E8-B876-D6BA-BEA9-8AA1AEC8A959}"/>
                </a:ext>
              </a:extLst>
            </cdr:cNvPr>
            <cdr:cNvSpPr txBox="1"/>
          </cdr:nvSpPr>
          <cdr:spPr>
            <a:xfrm xmlns:a="http://schemas.openxmlformats.org/drawingml/2006/main">
              <a:off x="1764002" y="366505"/>
              <a:ext cx="850974" cy="262892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70/30</a:t>
              </a:r>
            </a:p>
          </cdr:txBody>
        </cdr:sp>
        <cdr:sp macro="" textlink="">
          <cdr:nvSpPr>
            <cdr:cNvPr id="16" name="TextBox 151">
              <a:extLst xmlns:a="http://schemas.openxmlformats.org/drawingml/2006/main">
                <a:ext uri="{FF2B5EF4-FFF2-40B4-BE49-F238E27FC236}">
                  <a16:creationId xmlns:a16="http://schemas.microsoft.com/office/drawing/2014/main" id="{2B4D8C09-8711-1621-B085-A8B5E5355433}"/>
                </a:ext>
              </a:extLst>
            </cdr:cNvPr>
            <cdr:cNvSpPr txBox="1"/>
          </cdr:nvSpPr>
          <cdr:spPr>
            <a:xfrm xmlns:a="http://schemas.openxmlformats.org/drawingml/2006/main">
              <a:off x="1773543" y="659525"/>
              <a:ext cx="853389" cy="284823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0.378</a:t>
              </a:r>
            </a:p>
          </cdr:txBody>
        </cdr:sp>
        <cdr:sp macro="" textlink="">
          <cdr:nvSpPr>
            <cdr:cNvPr id="17" name="TextBox 152">
              <a:extLst xmlns:a="http://schemas.openxmlformats.org/drawingml/2006/main">
                <a:ext uri="{FF2B5EF4-FFF2-40B4-BE49-F238E27FC236}">
                  <a16:creationId xmlns:a16="http://schemas.microsoft.com/office/drawing/2014/main" id="{84ACC7EA-23DE-5479-6336-5A48F355E973}"/>
                </a:ext>
              </a:extLst>
            </cdr:cNvPr>
            <cdr:cNvSpPr txBox="1"/>
          </cdr:nvSpPr>
          <cdr:spPr>
            <a:xfrm xmlns:a="http://schemas.openxmlformats.org/drawingml/2006/main">
              <a:off x="1611846" y="1062235"/>
              <a:ext cx="1378398" cy="29520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399/405/407</a:t>
              </a:r>
            </a:p>
          </cdr:txBody>
        </cdr:sp>
        <cdr:cxnSp macro="">
          <cdr:nvCxnSpPr>
            <cdr:cNvPr id="18" name="Straight Arrow Connector 17">
              <a:extLst xmlns:a="http://schemas.openxmlformats.org/drawingml/2006/main">
                <a:ext uri="{FF2B5EF4-FFF2-40B4-BE49-F238E27FC236}">
                  <a16:creationId xmlns:a16="http://schemas.microsoft.com/office/drawing/2014/main" id="{AA3350E5-71F8-2B29-EE79-CE23D2C46C91}"/>
                </a:ext>
              </a:extLst>
            </cdr:cNvPr>
            <cdr:cNvCxnSpPr/>
          </cdr:nvCxnSpPr>
          <cdr:spPr>
            <a:xfrm xmlns:a="http://schemas.openxmlformats.org/drawingml/2006/main">
              <a:off x="3570287" y="215212"/>
              <a:ext cx="3430937" cy="6902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9" name="Straight Arrow Connector 18">
              <a:extLst xmlns:a="http://schemas.openxmlformats.org/drawingml/2006/main">
                <a:ext uri="{FF2B5EF4-FFF2-40B4-BE49-F238E27FC236}">
                  <a16:creationId xmlns:a16="http://schemas.microsoft.com/office/drawing/2014/main" id="{08ED64E7-C40C-3BAE-47E2-2280AC2405E6}"/>
                </a:ext>
              </a:extLst>
            </cdr:cNvPr>
            <cdr:cNvCxnSpPr/>
          </cdr:nvCxnSpPr>
          <cdr:spPr>
            <a:xfrm xmlns:a="http://schemas.openxmlformats.org/drawingml/2006/main">
              <a:off x="3550140" y="452008"/>
              <a:ext cx="3451084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0" name="Straight Arrow Connector 19">
              <a:extLst xmlns:a="http://schemas.openxmlformats.org/drawingml/2006/main">
                <a:ext uri="{FF2B5EF4-FFF2-40B4-BE49-F238E27FC236}">
                  <a16:creationId xmlns:a16="http://schemas.microsoft.com/office/drawing/2014/main" id="{699DFEC5-6EA7-4C5F-7504-FC17802404BD}"/>
                </a:ext>
              </a:extLst>
            </cdr:cNvPr>
            <cdr:cNvCxnSpPr/>
          </cdr:nvCxnSpPr>
          <cdr:spPr>
            <a:xfrm xmlns:a="http://schemas.openxmlformats.org/drawingml/2006/main">
              <a:off x="7540427" y="507484"/>
              <a:ext cx="3951145" cy="452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1" name="Straight Arrow Connector 20">
              <a:extLst xmlns:a="http://schemas.openxmlformats.org/drawingml/2006/main">
                <a:ext uri="{FF2B5EF4-FFF2-40B4-BE49-F238E27FC236}">
                  <a16:creationId xmlns:a16="http://schemas.microsoft.com/office/drawing/2014/main" id="{A2B4E669-95DC-B0F9-8411-BD29F6599FDD}"/>
                </a:ext>
              </a:extLst>
            </cdr:cNvPr>
            <cdr:cNvCxnSpPr/>
          </cdr:nvCxnSpPr>
          <cdr:spPr>
            <a:xfrm xmlns:a="http://schemas.openxmlformats.org/drawingml/2006/main" flipV="1">
              <a:off x="3562227" y="774704"/>
              <a:ext cx="3448963" cy="8594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2" name="Straight Arrow Connector 21">
              <a:extLst xmlns:a="http://schemas.openxmlformats.org/drawingml/2006/main">
                <a:ext uri="{FF2B5EF4-FFF2-40B4-BE49-F238E27FC236}">
                  <a16:creationId xmlns:a16="http://schemas.microsoft.com/office/drawing/2014/main" id="{9E7052C0-6CFE-C0EA-03AD-CF3736EC5147}"/>
                </a:ext>
              </a:extLst>
            </cdr:cNvPr>
            <cdr:cNvCxnSpPr/>
          </cdr:nvCxnSpPr>
          <cdr:spPr>
            <a:xfrm xmlns:a="http://schemas.openxmlformats.org/drawingml/2006/main">
              <a:off x="7538526" y="763953"/>
              <a:ext cx="3982383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3" name="Straight Arrow Connector 22">
              <a:extLst xmlns:a="http://schemas.openxmlformats.org/drawingml/2006/main">
                <a:ext uri="{FF2B5EF4-FFF2-40B4-BE49-F238E27FC236}">
                  <a16:creationId xmlns:a16="http://schemas.microsoft.com/office/drawing/2014/main" id="{927D0C7C-FE45-94B9-A0C3-E703171E9B94}"/>
                </a:ext>
              </a:extLst>
            </cdr:cNvPr>
            <cdr:cNvCxnSpPr/>
          </cdr:nvCxnSpPr>
          <cdr:spPr>
            <a:xfrm xmlns:a="http://schemas.openxmlformats.org/drawingml/2006/main" flipV="1">
              <a:off x="3569885" y="1158520"/>
              <a:ext cx="3426185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4" name="Straight Arrow Connector 23">
              <a:extLst xmlns:a="http://schemas.openxmlformats.org/drawingml/2006/main">
                <a:ext uri="{FF2B5EF4-FFF2-40B4-BE49-F238E27FC236}">
                  <a16:creationId xmlns:a16="http://schemas.microsoft.com/office/drawing/2014/main" id="{86007EF4-2163-5792-9E70-4BC313B0689B}"/>
                </a:ext>
              </a:extLst>
            </cdr:cNvPr>
            <cdr:cNvCxnSpPr/>
          </cdr:nvCxnSpPr>
          <cdr:spPr>
            <a:xfrm xmlns:a="http://schemas.openxmlformats.org/drawingml/2006/main">
              <a:off x="7540428" y="1163021"/>
              <a:ext cx="3962141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25" name="TextBox 160">
              <a:extLst xmlns:a="http://schemas.openxmlformats.org/drawingml/2006/main">
                <a:ext uri="{FF2B5EF4-FFF2-40B4-BE49-F238E27FC236}">
                  <a16:creationId xmlns:a16="http://schemas.microsoft.com/office/drawing/2014/main" id="{14C08F3F-FE84-129A-5C64-D910F7653CF4}"/>
                </a:ext>
              </a:extLst>
            </cdr:cNvPr>
            <cdr:cNvSpPr txBox="1"/>
          </cdr:nvSpPr>
          <cdr:spPr>
            <a:xfrm xmlns:a="http://schemas.openxmlformats.org/drawingml/2006/main">
              <a:off x="4498876" y="28325"/>
              <a:ext cx="1918601" cy="321823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Low Sedimentation</a:t>
              </a:r>
            </a:p>
          </cdr:txBody>
        </cdr:sp>
        <cdr:sp macro="" textlink="">
          <cdr:nvSpPr>
            <cdr:cNvPr id="26" name="TextBox 161">
              <a:extLst xmlns:a="http://schemas.openxmlformats.org/drawingml/2006/main">
                <a:ext uri="{FF2B5EF4-FFF2-40B4-BE49-F238E27FC236}">
                  <a16:creationId xmlns:a16="http://schemas.microsoft.com/office/drawing/2014/main" id="{0F1AB7BB-D0EF-C0E6-60D0-D232C51CF1A6}"/>
                </a:ext>
              </a:extLst>
            </cdr:cNvPr>
            <cdr:cNvSpPr txBox="1"/>
          </cdr:nvSpPr>
          <cdr:spPr>
            <a:xfrm xmlns:a="http://schemas.openxmlformats.org/drawingml/2006/main">
              <a:off x="8571686" y="52529"/>
              <a:ext cx="1861049" cy="288099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High Sedimentation</a:t>
              </a:r>
            </a:p>
          </cdr:txBody>
        </cdr:sp>
        <cdr:sp macro="" textlink="">
          <cdr:nvSpPr>
            <cdr:cNvPr id="27" name="TextBox 162">
              <a:extLst xmlns:a="http://schemas.openxmlformats.org/drawingml/2006/main">
                <a:ext uri="{FF2B5EF4-FFF2-40B4-BE49-F238E27FC236}">
                  <a16:creationId xmlns:a16="http://schemas.microsoft.com/office/drawing/2014/main" id="{81CB1507-150F-A13D-BCF9-763018858016}"/>
                </a:ext>
              </a:extLst>
            </cdr:cNvPr>
            <cdr:cNvSpPr txBox="1"/>
          </cdr:nvSpPr>
          <cdr:spPr>
            <a:xfrm xmlns:a="http://schemas.openxmlformats.org/drawingml/2006/main">
              <a:off x="4853548" y="385927"/>
              <a:ext cx="853390" cy="28907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8" name="TextBox 163">
              <a:extLst xmlns:a="http://schemas.openxmlformats.org/drawingml/2006/main">
                <a:ext uri="{FF2B5EF4-FFF2-40B4-BE49-F238E27FC236}">
                  <a16:creationId xmlns:a16="http://schemas.microsoft.com/office/drawing/2014/main" id="{1ACC60DD-3F24-16A3-AAF8-7CC5B3D75E76}"/>
                </a:ext>
              </a:extLst>
            </cdr:cNvPr>
            <cdr:cNvSpPr txBox="1"/>
          </cdr:nvSpPr>
          <cdr:spPr>
            <a:xfrm xmlns:a="http://schemas.openxmlformats.org/drawingml/2006/main">
              <a:off x="8940310" y="377107"/>
              <a:ext cx="853389" cy="28907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9" name="TextBox 164">
              <a:extLst xmlns:a="http://schemas.openxmlformats.org/drawingml/2006/main">
                <a:ext uri="{FF2B5EF4-FFF2-40B4-BE49-F238E27FC236}">
                  <a16:creationId xmlns:a16="http://schemas.microsoft.com/office/drawing/2014/main" id="{A68C2CE3-CB08-9768-06D7-EC90EB68B4BF}"/>
                </a:ext>
              </a:extLst>
            </cdr:cNvPr>
            <cdr:cNvSpPr txBox="1"/>
          </cdr:nvSpPr>
          <cdr:spPr>
            <a:xfrm xmlns:a="http://schemas.openxmlformats.org/drawingml/2006/main">
              <a:off x="4864950" y="688341"/>
              <a:ext cx="853390" cy="28387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0.21</a:t>
              </a:r>
            </a:p>
          </cdr:txBody>
        </cdr:sp>
        <cdr:sp macro="" textlink="">
          <cdr:nvSpPr>
            <cdr:cNvPr id="30" name="TextBox 165">
              <a:extLst xmlns:a="http://schemas.openxmlformats.org/drawingml/2006/main">
                <a:ext uri="{FF2B5EF4-FFF2-40B4-BE49-F238E27FC236}">
                  <a16:creationId xmlns:a16="http://schemas.microsoft.com/office/drawing/2014/main" id="{C13DBDE8-786D-0183-09B7-2CF9FEE97119}"/>
                </a:ext>
              </a:extLst>
            </cdr:cNvPr>
            <cdr:cNvSpPr txBox="1"/>
          </cdr:nvSpPr>
          <cdr:spPr>
            <a:xfrm xmlns:a="http://schemas.openxmlformats.org/drawingml/2006/main">
              <a:off x="8942692" y="694402"/>
              <a:ext cx="853389" cy="28387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0.21</a:t>
              </a:r>
            </a:p>
          </cdr:txBody>
        </cdr:sp>
        <cdr:sp macro="" textlink="">
          <cdr:nvSpPr>
            <cdr:cNvPr id="31" name="TextBox 166">
              <a:extLst xmlns:a="http://schemas.openxmlformats.org/drawingml/2006/main">
                <a:ext uri="{FF2B5EF4-FFF2-40B4-BE49-F238E27FC236}">
                  <a16:creationId xmlns:a16="http://schemas.microsoft.com/office/drawing/2014/main" id="{7AF4A60B-35EE-6956-ACF9-A5B40E3EE35F}"/>
                </a:ext>
              </a:extLst>
            </cdr:cNvPr>
            <cdr:cNvSpPr txBox="1"/>
          </cdr:nvSpPr>
          <cdr:spPr>
            <a:xfrm xmlns:a="http://schemas.openxmlformats.org/drawingml/2006/main">
              <a:off x="4648045" y="1027121"/>
              <a:ext cx="1384474" cy="29520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415/419/419</a:t>
              </a:r>
            </a:p>
          </cdr:txBody>
        </cdr:sp>
        <cdr:sp macro="" textlink="">
          <cdr:nvSpPr>
            <cdr:cNvPr id="32" name="TextBox 167">
              <a:extLst xmlns:a="http://schemas.openxmlformats.org/drawingml/2006/main">
                <a:ext uri="{FF2B5EF4-FFF2-40B4-BE49-F238E27FC236}">
                  <a16:creationId xmlns:a16="http://schemas.microsoft.com/office/drawing/2014/main" id="{4D53244C-E7A8-1D94-C57D-019D4A71B998}"/>
                </a:ext>
              </a:extLst>
            </cdr:cNvPr>
            <cdr:cNvSpPr txBox="1"/>
          </cdr:nvSpPr>
          <cdr:spPr>
            <a:xfrm xmlns:a="http://schemas.openxmlformats.org/drawingml/2006/main">
              <a:off x="8701829" y="1069858"/>
              <a:ext cx="1514349" cy="310258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420/421/423</a:t>
              </a:r>
            </a:p>
          </cdr:txBody>
        </cdr:sp>
      </cdr:grpSp>
    </cdr:grpSp>
  </cdr:relSizeAnchor>
</c:userShapes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25743</xdr:rowOff>
    </xdr:from>
    <xdr:to>
      <xdr:col>17</xdr:col>
      <xdr:colOff>383396</xdr:colOff>
      <xdr:row>34</xdr:row>
      <xdr:rowOff>1295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7B7A8E-4FE2-2B38-2022-2360342A83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309562</xdr:colOff>
      <xdr:row>0</xdr:row>
      <xdr:rowOff>119063</xdr:rowOff>
    </xdr:from>
    <xdr:to>
      <xdr:col>33</xdr:col>
      <xdr:colOff>476250</xdr:colOff>
      <xdr:row>34</xdr:row>
      <xdr:rowOff>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35AC30A-D6E6-D29C-2E88-47E57724F1A3}"/>
            </a:ext>
          </a:extLst>
        </xdr:cNvPr>
        <xdr:cNvGrpSpPr/>
      </xdr:nvGrpSpPr>
      <xdr:grpSpPr>
        <a:xfrm>
          <a:off x="11316229" y="119063"/>
          <a:ext cx="9338910" cy="6011431"/>
          <a:chOff x="11308241" y="119063"/>
          <a:chExt cx="9332056" cy="5211377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2E0DB3AD-86A8-D89B-11A7-5FE3184B86AB}"/>
              </a:ext>
            </a:extLst>
          </xdr:cNvPr>
          <xdr:cNvGraphicFramePr>
            <a:graphicFrameLocks/>
          </xdr:cNvGraphicFramePr>
        </xdr:nvGraphicFramePr>
        <xdr:xfrm>
          <a:off x="11308241" y="119063"/>
          <a:ext cx="9332056" cy="521137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8" name="TextBox 1">
            <a:extLst>
              <a:ext uri="{FF2B5EF4-FFF2-40B4-BE49-F238E27FC236}">
                <a16:creationId xmlns:a16="http://schemas.microsoft.com/office/drawing/2014/main" id="{DFE41248-9A26-CD46-7840-5E5D3222D701}"/>
              </a:ext>
            </a:extLst>
          </xdr:cNvPr>
          <xdr:cNvSpPr txBox="1"/>
        </xdr:nvSpPr>
        <xdr:spPr>
          <a:xfrm>
            <a:off x="11336487" y="138317"/>
            <a:ext cx="9208852" cy="318639"/>
          </a:xfrm>
          <a:prstGeom prst="rect">
            <a:avLst/>
          </a:prstGeom>
          <a:solidFill>
            <a:srgbClr val="CCFFCC"/>
          </a:solidFill>
          <a:ln>
            <a:noFill/>
          </a:ln>
        </xdr:spPr>
        <xdr:txBody>
          <a:bodyPr wrap="square" rtlCol="0" anchor="ctr" anchorCtr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 sz="2400" b="1">
                <a:effectLst/>
              </a:rPr>
              <a:t>H/C Ratio of Liquid Product:</a:t>
            </a:r>
            <a:r>
              <a:rPr lang="en-US" sz="2400" b="1" baseline="0">
                <a:effectLst/>
              </a:rPr>
              <a:t> </a:t>
            </a:r>
            <a:r>
              <a:rPr lang="en-US" sz="2400" b="1" i="0" baseline="0">
                <a:effectLst/>
                <a:latin typeface="+mn-lt"/>
                <a:ea typeface="+mn-ea"/>
                <a:cs typeface="+mn-cs"/>
              </a:rPr>
              <a:t>Low &amp; High Sedimentation</a:t>
            </a:r>
            <a:endParaRPr lang="en-US" sz="2400" b="1">
              <a:effectLst/>
            </a:endParaRPr>
          </a:p>
        </xdr:txBody>
      </xdr:sp>
    </xdr:grpSp>
    <xdr:clientData/>
  </xdr:twoCellAnchor>
  <xdr:twoCellAnchor>
    <xdr:from>
      <xdr:col>1</xdr:col>
      <xdr:colOff>227641</xdr:colOff>
      <xdr:row>3</xdr:row>
      <xdr:rowOff>70106</xdr:rowOff>
    </xdr:from>
    <xdr:to>
      <xdr:col>15</xdr:col>
      <xdr:colOff>232216</xdr:colOff>
      <xdr:row>8</xdr:row>
      <xdr:rowOff>119811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B45D3D0-AA15-8CF3-6E7D-BA72CD255C59}"/>
            </a:ext>
          </a:extLst>
        </xdr:cNvPr>
        <xdr:cNvGrpSpPr/>
      </xdr:nvGrpSpPr>
      <xdr:grpSpPr>
        <a:xfrm>
          <a:off x="839122" y="611032"/>
          <a:ext cx="8565316" cy="951248"/>
          <a:chOff x="0" y="-27380"/>
          <a:chExt cx="7261946" cy="1011178"/>
        </a:xfrm>
      </xdr:grpSpPr>
      <xdr:cxnSp macro="">
        <xdr:nvCxnSpPr>
          <xdr:cNvPr id="6" name="Straight Arrow Connector 5">
            <a:extLst>
              <a:ext uri="{FF2B5EF4-FFF2-40B4-BE49-F238E27FC236}">
                <a16:creationId xmlns:a16="http://schemas.microsoft.com/office/drawing/2014/main" id="{35B7B353-2B3B-4CCF-2C0E-4828EE1FF4AD}"/>
              </a:ext>
            </a:extLst>
          </xdr:cNvPr>
          <xdr:cNvCxnSpPr/>
        </xdr:nvCxnSpPr>
        <xdr:spPr>
          <a:xfrm>
            <a:off x="5203307" y="125272"/>
            <a:ext cx="2031855" cy="14088"/>
          </a:xfrm>
          <a:prstGeom prst="straightConnector1">
            <a:avLst/>
          </a:prstGeom>
          <a:ln>
            <a:solidFill>
              <a:schemeClr val="tx1"/>
            </a:solidFill>
            <a:prstDash val="sysDash"/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A07D45F5-C226-44DF-A5C9-D0133B5AB9F4}"/>
              </a:ext>
            </a:extLst>
          </xdr:cNvPr>
          <xdr:cNvGrpSpPr/>
        </xdr:nvGrpSpPr>
        <xdr:grpSpPr>
          <a:xfrm>
            <a:off x="0" y="-27380"/>
            <a:ext cx="7261946" cy="1011178"/>
            <a:chOff x="0" y="-31991"/>
            <a:chExt cx="9400014" cy="1181445"/>
          </a:xfrm>
        </xdr:grpSpPr>
        <xdr:sp macro="" textlink="">
          <xdr:nvSpPr>
            <xdr:cNvPr id="9" name="TextBox 141">
              <a:extLst>
                <a:ext uri="{FF2B5EF4-FFF2-40B4-BE49-F238E27FC236}">
                  <a16:creationId xmlns:a16="http://schemas.microsoft.com/office/drawing/2014/main" id="{57B5D4DB-CFC9-2B3A-5CB6-A1E3301BA8EF}"/>
                </a:ext>
              </a:extLst>
            </xdr:cNvPr>
            <xdr:cNvSpPr txBox="1"/>
          </xdr:nvSpPr>
          <xdr:spPr>
            <a:xfrm>
              <a:off x="12088" y="28221"/>
              <a:ext cx="883021" cy="20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SR Feed</a:t>
              </a:r>
            </a:p>
          </xdr:txBody>
        </xdr:sp>
        <xdr:sp macro="" textlink="">
          <xdr:nvSpPr>
            <xdr:cNvPr id="10" name="TextBox 142">
              <a:extLst>
                <a:ext uri="{FF2B5EF4-FFF2-40B4-BE49-F238E27FC236}">
                  <a16:creationId xmlns:a16="http://schemas.microsoft.com/office/drawing/2014/main" id="{BA4558EE-6426-66CC-A5C0-C321A0ABBE7F}"/>
                </a:ext>
              </a:extLst>
            </xdr:cNvPr>
            <xdr:cNvSpPr txBox="1"/>
          </xdr:nvSpPr>
          <xdr:spPr>
            <a:xfrm>
              <a:off x="0" y="275562"/>
              <a:ext cx="883021" cy="20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SR Split</a:t>
              </a:r>
            </a:p>
          </xdr:txBody>
        </xdr:sp>
        <xdr:sp macro="" textlink="">
          <xdr:nvSpPr>
            <xdr:cNvPr id="11" name="TextBox 143">
              <a:extLst>
                <a:ext uri="{FF2B5EF4-FFF2-40B4-BE49-F238E27FC236}">
                  <a16:creationId xmlns:a16="http://schemas.microsoft.com/office/drawing/2014/main" id="{E36A8D55-15DC-128F-C1B3-FFC0A5391C76}"/>
                </a:ext>
              </a:extLst>
            </xdr:cNvPr>
            <xdr:cNvSpPr txBox="1"/>
          </xdr:nvSpPr>
          <xdr:spPr>
            <a:xfrm>
              <a:off x="7271" y="538185"/>
              <a:ext cx="1148121" cy="266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LCF LHSV</a:t>
              </a:r>
            </a:p>
          </xdr:txBody>
        </xdr:sp>
        <xdr:sp macro="" textlink="">
          <xdr:nvSpPr>
            <xdr:cNvPr id="12" name="TextBox 144">
              <a:extLst>
                <a:ext uri="{FF2B5EF4-FFF2-40B4-BE49-F238E27FC236}">
                  <a16:creationId xmlns:a16="http://schemas.microsoft.com/office/drawing/2014/main" id="{257E2ECC-A2E4-89BE-96FD-565CBD61883C}"/>
                </a:ext>
              </a:extLst>
            </xdr:cNvPr>
            <xdr:cNvSpPr txBox="1"/>
          </xdr:nvSpPr>
          <xdr:spPr>
            <a:xfrm>
              <a:off x="559" y="817171"/>
              <a:ext cx="1148121" cy="266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Temperature</a:t>
              </a:r>
            </a:p>
            <a:p>
              <a:r>
                <a:rPr lang="en-US" sz="1100" b="1"/>
                <a:t>(Rx1/2/3)</a:t>
              </a:r>
            </a:p>
          </xdr:txBody>
        </xdr:sp>
        <xdr:cxnSp macro="">
          <xdr:nvCxnSpPr>
            <xdr:cNvPr id="13" name="Straight Arrow Connector 12">
              <a:extLst>
                <a:ext uri="{FF2B5EF4-FFF2-40B4-BE49-F238E27FC236}">
                  <a16:creationId xmlns:a16="http://schemas.microsoft.com/office/drawing/2014/main" id="{815284A4-5F2F-8C1C-83CA-C5F5B74BEF4C}"/>
                </a:ext>
              </a:extLst>
            </xdr:cNvPr>
            <xdr:cNvCxnSpPr/>
          </xdr:nvCxnSpPr>
          <xdr:spPr>
            <a:xfrm>
              <a:off x="1186483" y="149467"/>
              <a:ext cx="2019871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" name="Straight Arrow Connector 13">
              <a:extLst>
                <a:ext uri="{FF2B5EF4-FFF2-40B4-BE49-F238E27FC236}">
                  <a16:creationId xmlns:a16="http://schemas.microsoft.com/office/drawing/2014/main" id="{1F873683-8509-375A-4B72-870DFF0EACF8}"/>
                </a:ext>
              </a:extLst>
            </xdr:cNvPr>
            <xdr:cNvCxnSpPr/>
          </xdr:nvCxnSpPr>
          <xdr:spPr>
            <a:xfrm>
              <a:off x="1179769" y="383561"/>
              <a:ext cx="2019871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" name="Straight Arrow Connector 14">
              <a:extLst>
                <a:ext uri="{FF2B5EF4-FFF2-40B4-BE49-F238E27FC236}">
                  <a16:creationId xmlns:a16="http://schemas.microsoft.com/office/drawing/2014/main" id="{6B6A878C-0009-B692-9B6C-7DD3E3EABF29}"/>
                </a:ext>
              </a:extLst>
            </xdr:cNvPr>
            <xdr:cNvCxnSpPr/>
          </xdr:nvCxnSpPr>
          <xdr:spPr>
            <a:xfrm>
              <a:off x="1215005" y="644147"/>
              <a:ext cx="2019871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" name="Straight Arrow Connector 15">
              <a:extLst>
                <a:ext uri="{FF2B5EF4-FFF2-40B4-BE49-F238E27FC236}">
                  <a16:creationId xmlns:a16="http://schemas.microsoft.com/office/drawing/2014/main" id="{737EEF54-5702-87B8-A50C-591AA2724A1D}"/>
                </a:ext>
              </a:extLst>
            </xdr:cNvPr>
            <xdr:cNvCxnSpPr/>
          </xdr:nvCxnSpPr>
          <xdr:spPr>
            <a:xfrm>
              <a:off x="1194312" y="999487"/>
              <a:ext cx="2019871" cy="0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" name="TextBox 149">
              <a:extLst>
                <a:ext uri="{FF2B5EF4-FFF2-40B4-BE49-F238E27FC236}">
                  <a16:creationId xmlns:a16="http://schemas.microsoft.com/office/drawing/2014/main" id="{07525AAB-C9D9-8AE6-6FB9-4A21CF76C0DF}"/>
                </a:ext>
              </a:extLst>
            </xdr:cNvPr>
            <xdr:cNvSpPr txBox="1"/>
          </xdr:nvSpPr>
          <xdr:spPr>
            <a:xfrm>
              <a:off x="1829196" y="-23137"/>
              <a:ext cx="656298" cy="23556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ME SR</a:t>
              </a:r>
            </a:p>
          </xdr:txBody>
        </xdr:sp>
        <xdr:sp macro="" textlink="">
          <xdr:nvSpPr>
            <xdr:cNvPr id="18" name="TextBox 150">
              <a:extLst>
                <a:ext uri="{FF2B5EF4-FFF2-40B4-BE49-F238E27FC236}">
                  <a16:creationId xmlns:a16="http://schemas.microsoft.com/office/drawing/2014/main" id="{7972AD7C-6E51-C86D-79ED-22F4136F16B5}"/>
                </a:ext>
              </a:extLst>
            </xdr:cNvPr>
            <xdr:cNvSpPr txBox="1"/>
          </xdr:nvSpPr>
          <xdr:spPr>
            <a:xfrm>
              <a:off x="1828076" y="275563"/>
              <a:ext cx="657417" cy="22500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70/30</a:t>
              </a:r>
            </a:p>
          </xdr:txBody>
        </xdr:sp>
        <xdr:sp macro="" textlink="">
          <xdr:nvSpPr>
            <xdr:cNvPr id="19" name="TextBox 151">
              <a:extLst>
                <a:ext uri="{FF2B5EF4-FFF2-40B4-BE49-F238E27FC236}">
                  <a16:creationId xmlns:a16="http://schemas.microsoft.com/office/drawing/2014/main" id="{7B4877CE-B36B-55CD-4570-2E056DDCD0D0}"/>
                </a:ext>
              </a:extLst>
            </xdr:cNvPr>
            <xdr:cNvSpPr txBox="1"/>
          </xdr:nvSpPr>
          <xdr:spPr>
            <a:xfrm>
              <a:off x="1827428" y="550316"/>
              <a:ext cx="659283" cy="24377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0.378</a:t>
              </a:r>
            </a:p>
          </xdr:txBody>
        </xdr:sp>
        <xdr:sp macro="" textlink="">
          <xdr:nvSpPr>
            <xdr:cNvPr id="20" name="TextBox 152">
              <a:extLst>
                <a:ext uri="{FF2B5EF4-FFF2-40B4-BE49-F238E27FC236}">
                  <a16:creationId xmlns:a16="http://schemas.microsoft.com/office/drawing/2014/main" id="{2C0BBE49-3A6D-35DE-6642-04032A616DC6}"/>
                </a:ext>
              </a:extLst>
            </xdr:cNvPr>
            <xdr:cNvSpPr txBox="1"/>
          </xdr:nvSpPr>
          <xdr:spPr>
            <a:xfrm>
              <a:off x="1826781" y="871026"/>
              <a:ext cx="1064877" cy="25266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399/405/407</a:t>
              </a:r>
            </a:p>
          </xdr:txBody>
        </xdr:sp>
        <xdr:cxnSp macro="">
          <xdr:nvCxnSpPr>
            <xdr:cNvPr id="21" name="Straight Arrow Connector 20">
              <a:extLst>
                <a:ext uri="{FF2B5EF4-FFF2-40B4-BE49-F238E27FC236}">
                  <a16:creationId xmlns:a16="http://schemas.microsoft.com/office/drawing/2014/main" id="{58C88EF8-FC55-EF88-511F-1F40287BEBDB}"/>
                </a:ext>
              </a:extLst>
            </xdr:cNvPr>
            <xdr:cNvCxnSpPr/>
          </xdr:nvCxnSpPr>
          <xdr:spPr>
            <a:xfrm>
              <a:off x="3638054" y="163026"/>
              <a:ext cx="2856230" cy="8248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" name="Straight Arrow Connector 21">
              <a:extLst>
                <a:ext uri="{FF2B5EF4-FFF2-40B4-BE49-F238E27FC236}">
                  <a16:creationId xmlns:a16="http://schemas.microsoft.com/office/drawing/2014/main" id="{E0AA5328-992E-4E38-6F45-9810E3140062}"/>
                </a:ext>
              </a:extLst>
            </xdr:cNvPr>
            <xdr:cNvCxnSpPr/>
          </xdr:nvCxnSpPr>
          <xdr:spPr>
            <a:xfrm>
              <a:off x="3645668" y="374071"/>
              <a:ext cx="2854730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" name="Straight Arrow Connector 22">
              <a:extLst>
                <a:ext uri="{FF2B5EF4-FFF2-40B4-BE49-F238E27FC236}">
                  <a16:creationId xmlns:a16="http://schemas.microsoft.com/office/drawing/2014/main" id="{66C4B1E7-4259-4E11-447D-B8DBE5661925}"/>
                </a:ext>
              </a:extLst>
            </xdr:cNvPr>
            <xdr:cNvCxnSpPr/>
          </xdr:nvCxnSpPr>
          <xdr:spPr>
            <a:xfrm>
              <a:off x="6774147" y="367497"/>
              <a:ext cx="2625867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" name="Straight Arrow Connector 23">
              <a:extLst>
                <a:ext uri="{FF2B5EF4-FFF2-40B4-BE49-F238E27FC236}">
                  <a16:creationId xmlns:a16="http://schemas.microsoft.com/office/drawing/2014/main" id="{F2C3C8CF-7944-D28F-24A7-638BFBF599D2}"/>
                </a:ext>
              </a:extLst>
            </xdr:cNvPr>
            <xdr:cNvCxnSpPr/>
          </xdr:nvCxnSpPr>
          <xdr:spPr>
            <a:xfrm>
              <a:off x="3647532" y="649034"/>
              <a:ext cx="2854730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" name="Straight Arrow Connector 24">
              <a:extLst>
                <a:ext uri="{FF2B5EF4-FFF2-40B4-BE49-F238E27FC236}">
                  <a16:creationId xmlns:a16="http://schemas.microsoft.com/office/drawing/2014/main" id="{B595D8FB-4567-A11D-22D5-60CDF0F0C66A}"/>
                </a:ext>
              </a:extLst>
            </xdr:cNvPr>
            <xdr:cNvCxnSpPr/>
          </xdr:nvCxnSpPr>
          <xdr:spPr>
            <a:xfrm>
              <a:off x="6751310" y="649506"/>
              <a:ext cx="2627944" cy="41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" name="Straight Arrow Connector 25">
              <a:extLst>
                <a:ext uri="{FF2B5EF4-FFF2-40B4-BE49-F238E27FC236}">
                  <a16:creationId xmlns:a16="http://schemas.microsoft.com/office/drawing/2014/main" id="{C6C48A37-2A95-36DE-EFB4-A55CA360EDA1}"/>
                </a:ext>
              </a:extLst>
            </xdr:cNvPr>
            <xdr:cNvCxnSpPr/>
          </xdr:nvCxnSpPr>
          <xdr:spPr>
            <a:xfrm>
              <a:off x="3649153" y="970588"/>
              <a:ext cx="2822038" cy="1414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" name="Straight Arrow Connector 26">
              <a:extLst>
                <a:ext uri="{FF2B5EF4-FFF2-40B4-BE49-F238E27FC236}">
                  <a16:creationId xmlns:a16="http://schemas.microsoft.com/office/drawing/2014/main" id="{A47C7767-C270-DC74-A86A-5AF7BF277D24}"/>
                </a:ext>
              </a:extLst>
            </xdr:cNvPr>
            <xdr:cNvCxnSpPr/>
          </xdr:nvCxnSpPr>
          <xdr:spPr>
            <a:xfrm flipV="1">
              <a:off x="6743670" y="949034"/>
              <a:ext cx="2634311" cy="21081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8" name="TextBox 160">
              <a:extLst>
                <a:ext uri="{FF2B5EF4-FFF2-40B4-BE49-F238E27FC236}">
                  <a16:creationId xmlns:a16="http://schemas.microsoft.com/office/drawing/2014/main" id="{7A7A260D-B639-E669-D0A8-64946DD753CA}"/>
                </a:ext>
              </a:extLst>
            </xdr:cNvPr>
            <xdr:cNvSpPr txBox="1"/>
          </xdr:nvSpPr>
          <xdr:spPr>
            <a:xfrm>
              <a:off x="4242657" y="-31991"/>
              <a:ext cx="1482209" cy="27544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Low Sedimentation</a:t>
              </a:r>
            </a:p>
          </xdr:txBody>
        </xdr:sp>
        <xdr:sp macro="" textlink="">
          <xdr:nvSpPr>
            <xdr:cNvPr id="29" name="TextBox 161">
              <a:extLst>
                <a:ext uri="{FF2B5EF4-FFF2-40B4-BE49-F238E27FC236}">
                  <a16:creationId xmlns:a16="http://schemas.microsoft.com/office/drawing/2014/main" id="{8FBF86EB-4C46-FCC3-15D3-B3ACFCE15AF8}"/>
                </a:ext>
              </a:extLst>
            </xdr:cNvPr>
            <xdr:cNvSpPr txBox="1"/>
          </xdr:nvSpPr>
          <xdr:spPr>
            <a:xfrm>
              <a:off x="7293101" y="2752"/>
              <a:ext cx="1437748" cy="246579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HighSedimentation</a:t>
              </a:r>
            </a:p>
          </xdr:txBody>
        </xdr:sp>
        <xdr:sp macro="" textlink="">
          <xdr:nvSpPr>
            <xdr:cNvPr id="30" name="TextBox 162">
              <a:extLst>
                <a:ext uri="{FF2B5EF4-FFF2-40B4-BE49-F238E27FC236}">
                  <a16:creationId xmlns:a16="http://schemas.microsoft.com/office/drawing/2014/main" id="{B9DFD569-9F18-6EDE-94D4-67EAC45E8CFA}"/>
                </a:ext>
              </a:extLst>
            </xdr:cNvPr>
            <xdr:cNvSpPr txBox="1"/>
          </xdr:nvSpPr>
          <xdr:spPr>
            <a:xfrm>
              <a:off x="4572780" y="269181"/>
              <a:ext cx="659284" cy="24741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31" name="TextBox 163">
              <a:extLst>
                <a:ext uri="{FF2B5EF4-FFF2-40B4-BE49-F238E27FC236}">
                  <a16:creationId xmlns:a16="http://schemas.microsoft.com/office/drawing/2014/main" id="{18E314DF-C2D6-936C-65D1-58799F3B1AD4}"/>
                </a:ext>
              </a:extLst>
            </xdr:cNvPr>
            <xdr:cNvSpPr txBox="1"/>
          </xdr:nvSpPr>
          <xdr:spPr>
            <a:xfrm>
              <a:off x="7628527" y="266526"/>
              <a:ext cx="659283" cy="24741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32" name="TextBox 164">
              <a:extLst>
                <a:ext uri="{FF2B5EF4-FFF2-40B4-BE49-F238E27FC236}">
                  <a16:creationId xmlns:a16="http://schemas.microsoft.com/office/drawing/2014/main" id="{67104742-7F73-F02B-9466-D9A528611154}"/>
                </a:ext>
              </a:extLst>
            </xdr:cNvPr>
            <xdr:cNvSpPr txBox="1"/>
          </xdr:nvSpPr>
          <xdr:spPr>
            <a:xfrm>
              <a:off x="4571151" y="565519"/>
              <a:ext cx="659284" cy="24296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33" name="TextBox 165">
              <a:extLst>
                <a:ext uri="{FF2B5EF4-FFF2-40B4-BE49-F238E27FC236}">
                  <a16:creationId xmlns:a16="http://schemas.microsoft.com/office/drawing/2014/main" id="{077280A2-E959-FD01-4307-F4BBD81CE006}"/>
                </a:ext>
              </a:extLst>
            </xdr:cNvPr>
            <xdr:cNvSpPr txBox="1"/>
          </xdr:nvSpPr>
          <xdr:spPr>
            <a:xfrm>
              <a:off x="7617706" y="552119"/>
              <a:ext cx="659283" cy="24296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34" name="TextBox 166">
              <a:extLst>
                <a:ext uri="{FF2B5EF4-FFF2-40B4-BE49-F238E27FC236}">
                  <a16:creationId xmlns:a16="http://schemas.microsoft.com/office/drawing/2014/main" id="{E57D85C6-F95F-043E-96BD-BC6EAAC3CAA8}"/>
                </a:ext>
              </a:extLst>
            </xdr:cNvPr>
            <xdr:cNvSpPr txBox="1"/>
          </xdr:nvSpPr>
          <xdr:spPr>
            <a:xfrm>
              <a:off x="4312571" y="896793"/>
              <a:ext cx="1069571" cy="25266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415/419/419</a:t>
              </a:r>
            </a:p>
          </xdr:txBody>
        </xdr:sp>
        <xdr:sp macro="" textlink="">
          <xdr:nvSpPr>
            <xdr:cNvPr id="35" name="TextBox 167">
              <a:extLst>
                <a:ext uri="{FF2B5EF4-FFF2-40B4-BE49-F238E27FC236}">
                  <a16:creationId xmlns:a16="http://schemas.microsoft.com/office/drawing/2014/main" id="{9DF436EE-70AF-3144-64A1-AA7C13F5CCEE}"/>
                </a:ext>
              </a:extLst>
            </xdr:cNvPr>
            <xdr:cNvSpPr txBox="1"/>
          </xdr:nvSpPr>
          <xdr:spPr>
            <a:xfrm>
              <a:off x="7368320" y="845417"/>
              <a:ext cx="1169906" cy="26554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420/421/423</a:t>
              </a:r>
            </a:p>
          </xdr:txBody>
        </xdr:sp>
      </xdr:grpSp>
    </xdr:grpSp>
    <xdr:clientData/>
  </xdr:twoCellAnchor>
  <xdr:twoCellAnchor>
    <xdr:from>
      <xdr:col>18</xdr:col>
      <xdr:colOff>317500</xdr:colOff>
      <xdr:row>3</xdr:row>
      <xdr:rowOff>15414</xdr:rowOff>
    </xdr:from>
    <xdr:to>
      <xdr:col>30</xdr:col>
      <xdr:colOff>542075</xdr:colOff>
      <xdr:row>8</xdr:row>
      <xdr:rowOff>72795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27EA598E-9AB1-4744-9296-892FB1572556}"/>
            </a:ext>
          </a:extLst>
        </xdr:cNvPr>
        <xdr:cNvGrpSpPr/>
      </xdr:nvGrpSpPr>
      <xdr:grpSpPr>
        <a:xfrm>
          <a:off x="11324167" y="556340"/>
          <a:ext cx="7562352" cy="958924"/>
          <a:chOff x="0" y="-12120"/>
          <a:chExt cx="6411532" cy="1019925"/>
        </a:xfrm>
      </xdr:grpSpPr>
      <xdr:cxnSp macro="">
        <xdr:nvCxnSpPr>
          <xdr:cNvPr id="37" name="Straight Arrow Connector 36">
            <a:extLst>
              <a:ext uri="{FF2B5EF4-FFF2-40B4-BE49-F238E27FC236}">
                <a16:creationId xmlns:a16="http://schemas.microsoft.com/office/drawing/2014/main" id="{DFCEA434-6E92-F08E-05A9-16CAA3E89FDE}"/>
              </a:ext>
            </a:extLst>
          </xdr:cNvPr>
          <xdr:cNvCxnSpPr/>
        </xdr:nvCxnSpPr>
        <xdr:spPr>
          <a:xfrm>
            <a:off x="4616402" y="161283"/>
            <a:ext cx="1795129" cy="2785"/>
          </a:xfrm>
          <a:prstGeom prst="straightConnector1">
            <a:avLst/>
          </a:prstGeom>
          <a:ln>
            <a:solidFill>
              <a:schemeClr val="tx1"/>
            </a:solidFill>
            <a:prstDash val="sysDash"/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38" name="Group 37">
            <a:extLst>
              <a:ext uri="{FF2B5EF4-FFF2-40B4-BE49-F238E27FC236}">
                <a16:creationId xmlns:a16="http://schemas.microsoft.com/office/drawing/2014/main" id="{26BBE02E-AB5B-7199-9CDD-DEB4E7C047D5}"/>
              </a:ext>
            </a:extLst>
          </xdr:cNvPr>
          <xdr:cNvGrpSpPr/>
        </xdr:nvGrpSpPr>
        <xdr:grpSpPr>
          <a:xfrm>
            <a:off x="0" y="-12120"/>
            <a:ext cx="6411532" cy="1019925"/>
            <a:chOff x="0" y="-14161"/>
            <a:chExt cx="8299220" cy="1191664"/>
          </a:xfrm>
        </xdr:grpSpPr>
        <xdr:sp macro="" textlink="">
          <xdr:nvSpPr>
            <xdr:cNvPr id="39" name="TextBox 141">
              <a:extLst>
                <a:ext uri="{FF2B5EF4-FFF2-40B4-BE49-F238E27FC236}">
                  <a16:creationId xmlns:a16="http://schemas.microsoft.com/office/drawing/2014/main" id="{2450623E-27D7-F869-2729-D17794E0611E}"/>
                </a:ext>
              </a:extLst>
            </xdr:cNvPr>
            <xdr:cNvSpPr txBox="1"/>
          </xdr:nvSpPr>
          <xdr:spPr>
            <a:xfrm>
              <a:off x="12088" y="28221"/>
              <a:ext cx="883021" cy="20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SR Feed</a:t>
              </a:r>
            </a:p>
          </xdr:txBody>
        </xdr:sp>
        <xdr:sp macro="" textlink="">
          <xdr:nvSpPr>
            <xdr:cNvPr id="40" name="TextBox 142">
              <a:extLst>
                <a:ext uri="{FF2B5EF4-FFF2-40B4-BE49-F238E27FC236}">
                  <a16:creationId xmlns:a16="http://schemas.microsoft.com/office/drawing/2014/main" id="{C809D72F-917F-16CF-6C75-80CA8BCE6B48}"/>
                </a:ext>
              </a:extLst>
            </xdr:cNvPr>
            <xdr:cNvSpPr txBox="1"/>
          </xdr:nvSpPr>
          <xdr:spPr>
            <a:xfrm>
              <a:off x="0" y="275562"/>
              <a:ext cx="883021" cy="20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SR Split</a:t>
              </a:r>
            </a:p>
          </xdr:txBody>
        </xdr:sp>
        <xdr:sp macro="" textlink="">
          <xdr:nvSpPr>
            <xdr:cNvPr id="41" name="TextBox 143">
              <a:extLst>
                <a:ext uri="{FF2B5EF4-FFF2-40B4-BE49-F238E27FC236}">
                  <a16:creationId xmlns:a16="http://schemas.microsoft.com/office/drawing/2014/main" id="{AC64F489-2C2A-5C60-7D76-4035E1B79AE0}"/>
                </a:ext>
              </a:extLst>
            </xdr:cNvPr>
            <xdr:cNvSpPr txBox="1"/>
          </xdr:nvSpPr>
          <xdr:spPr>
            <a:xfrm>
              <a:off x="7271" y="538185"/>
              <a:ext cx="1148121" cy="266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LCF LHSV</a:t>
              </a:r>
            </a:p>
          </xdr:txBody>
        </xdr:sp>
        <xdr:sp macro="" textlink="">
          <xdr:nvSpPr>
            <xdr:cNvPr id="42" name="TextBox 144">
              <a:extLst>
                <a:ext uri="{FF2B5EF4-FFF2-40B4-BE49-F238E27FC236}">
                  <a16:creationId xmlns:a16="http://schemas.microsoft.com/office/drawing/2014/main" id="{D986086B-74C1-3799-3BB7-31DAD02E06A8}"/>
                </a:ext>
              </a:extLst>
            </xdr:cNvPr>
            <xdr:cNvSpPr txBox="1"/>
          </xdr:nvSpPr>
          <xdr:spPr>
            <a:xfrm>
              <a:off x="559" y="804652"/>
              <a:ext cx="1148122" cy="266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Temperature</a:t>
              </a:r>
            </a:p>
            <a:p>
              <a:r>
                <a:rPr lang="en-US" sz="1100" b="1"/>
                <a:t>(Rx1/2/3)</a:t>
              </a:r>
            </a:p>
          </xdr:txBody>
        </xdr:sp>
        <xdr:cxnSp macro="">
          <xdr:nvCxnSpPr>
            <xdr:cNvPr id="43" name="Straight Arrow Connector 42">
              <a:extLst>
                <a:ext uri="{FF2B5EF4-FFF2-40B4-BE49-F238E27FC236}">
                  <a16:creationId xmlns:a16="http://schemas.microsoft.com/office/drawing/2014/main" id="{F2FE926C-8966-A01D-0154-0BD3D8CDEEDB}"/>
                </a:ext>
              </a:extLst>
            </xdr:cNvPr>
            <xdr:cNvCxnSpPr/>
          </xdr:nvCxnSpPr>
          <xdr:spPr>
            <a:xfrm>
              <a:off x="1074638" y="163478"/>
              <a:ext cx="2019871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4" name="Straight Arrow Connector 43">
              <a:extLst>
                <a:ext uri="{FF2B5EF4-FFF2-40B4-BE49-F238E27FC236}">
                  <a16:creationId xmlns:a16="http://schemas.microsoft.com/office/drawing/2014/main" id="{41EFF5BB-36A4-7E9F-4CD1-F24EAE783F99}"/>
                </a:ext>
              </a:extLst>
            </xdr:cNvPr>
            <xdr:cNvCxnSpPr/>
          </xdr:nvCxnSpPr>
          <xdr:spPr>
            <a:xfrm>
              <a:off x="1067923" y="383561"/>
              <a:ext cx="2019871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5" name="Straight Arrow Connector 44">
              <a:extLst>
                <a:ext uri="{FF2B5EF4-FFF2-40B4-BE49-F238E27FC236}">
                  <a16:creationId xmlns:a16="http://schemas.microsoft.com/office/drawing/2014/main" id="{18D0C624-2A81-151B-7BD3-E41AF50116CD}"/>
                </a:ext>
              </a:extLst>
            </xdr:cNvPr>
            <xdr:cNvCxnSpPr/>
          </xdr:nvCxnSpPr>
          <xdr:spPr>
            <a:xfrm>
              <a:off x="1078306" y="672170"/>
              <a:ext cx="2019871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6" name="Straight Arrow Connector 45">
              <a:extLst>
                <a:ext uri="{FF2B5EF4-FFF2-40B4-BE49-F238E27FC236}">
                  <a16:creationId xmlns:a16="http://schemas.microsoft.com/office/drawing/2014/main" id="{114D0A76-0EA8-A32A-22F9-B6E89C440F3A}"/>
                </a:ext>
              </a:extLst>
            </xdr:cNvPr>
            <xdr:cNvCxnSpPr/>
          </xdr:nvCxnSpPr>
          <xdr:spPr>
            <a:xfrm>
              <a:off x="1082466" y="1027510"/>
              <a:ext cx="2019871" cy="0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7" name="TextBox 149">
              <a:extLst>
                <a:ext uri="{FF2B5EF4-FFF2-40B4-BE49-F238E27FC236}">
                  <a16:creationId xmlns:a16="http://schemas.microsoft.com/office/drawing/2014/main" id="{FF75BBB2-E2D4-09FD-9510-1821BB51FE47}"/>
                </a:ext>
              </a:extLst>
            </xdr:cNvPr>
            <xdr:cNvSpPr txBox="1"/>
          </xdr:nvSpPr>
          <xdr:spPr>
            <a:xfrm>
              <a:off x="1740258" y="-14161"/>
              <a:ext cx="656298" cy="23556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ME SR</a:t>
              </a:r>
            </a:p>
          </xdr:txBody>
        </xdr:sp>
        <xdr:sp macro="" textlink="">
          <xdr:nvSpPr>
            <xdr:cNvPr id="48" name="TextBox 150">
              <a:extLst>
                <a:ext uri="{FF2B5EF4-FFF2-40B4-BE49-F238E27FC236}">
                  <a16:creationId xmlns:a16="http://schemas.microsoft.com/office/drawing/2014/main" id="{BE08E85D-E1C4-A0A6-BF56-6841BFF95BC4}"/>
                </a:ext>
              </a:extLst>
            </xdr:cNvPr>
            <xdr:cNvSpPr txBox="1"/>
          </xdr:nvSpPr>
          <xdr:spPr>
            <a:xfrm>
              <a:off x="1755308" y="275563"/>
              <a:ext cx="657417" cy="22500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70/30</a:t>
              </a:r>
            </a:p>
          </xdr:txBody>
        </xdr:sp>
        <xdr:sp macro="" textlink="">
          <xdr:nvSpPr>
            <xdr:cNvPr id="49" name="TextBox 151">
              <a:extLst>
                <a:ext uri="{FF2B5EF4-FFF2-40B4-BE49-F238E27FC236}">
                  <a16:creationId xmlns:a16="http://schemas.microsoft.com/office/drawing/2014/main" id="{A3DF2434-8C56-A485-D665-8AEA58A467A6}"/>
                </a:ext>
              </a:extLst>
            </xdr:cNvPr>
            <xdr:cNvSpPr txBox="1"/>
          </xdr:nvSpPr>
          <xdr:spPr>
            <a:xfrm>
              <a:off x="1752865" y="550316"/>
              <a:ext cx="659283" cy="24377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0.378</a:t>
              </a:r>
            </a:p>
          </xdr:txBody>
        </xdr:sp>
        <xdr:sp macro="" textlink="">
          <xdr:nvSpPr>
            <xdr:cNvPr id="50" name="TextBox 152">
              <a:extLst>
                <a:ext uri="{FF2B5EF4-FFF2-40B4-BE49-F238E27FC236}">
                  <a16:creationId xmlns:a16="http://schemas.microsoft.com/office/drawing/2014/main" id="{7B3DB129-31CE-B6EC-FD63-889F8ACAACAD}"/>
                </a:ext>
              </a:extLst>
            </xdr:cNvPr>
            <xdr:cNvSpPr txBox="1"/>
          </xdr:nvSpPr>
          <xdr:spPr>
            <a:xfrm>
              <a:off x="1559693" y="871026"/>
              <a:ext cx="1064877" cy="25266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399/405/407</a:t>
              </a:r>
            </a:p>
          </xdr:txBody>
        </xdr:sp>
        <xdr:cxnSp macro="">
          <xdr:nvCxnSpPr>
            <xdr:cNvPr id="51" name="Straight Arrow Connector 50">
              <a:extLst>
                <a:ext uri="{FF2B5EF4-FFF2-40B4-BE49-F238E27FC236}">
                  <a16:creationId xmlns:a16="http://schemas.microsoft.com/office/drawing/2014/main" id="{6547D436-14A4-4525-03E5-B3E573F38E12}"/>
                </a:ext>
              </a:extLst>
            </xdr:cNvPr>
            <xdr:cNvCxnSpPr/>
          </xdr:nvCxnSpPr>
          <xdr:spPr>
            <a:xfrm>
              <a:off x="3258203" y="177050"/>
              <a:ext cx="2540992" cy="27623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2" name="Straight Arrow Connector 51">
              <a:extLst>
                <a:ext uri="{FF2B5EF4-FFF2-40B4-BE49-F238E27FC236}">
                  <a16:creationId xmlns:a16="http://schemas.microsoft.com/office/drawing/2014/main" id="{0C5DA4C6-5AF0-DF51-1324-4A6C05E55AD7}"/>
                </a:ext>
              </a:extLst>
            </xdr:cNvPr>
            <xdr:cNvCxnSpPr/>
          </xdr:nvCxnSpPr>
          <xdr:spPr>
            <a:xfrm flipV="1">
              <a:off x="3253155" y="384536"/>
              <a:ext cx="2545140" cy="356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3" name="Straight Arrow Connector 52">
              <a:extLst>
                <a:ext uri="{FF2B5EF4-FFF2-40B4-BE49-F238E27FC236}">
                  <a16:creationId xmlns:a16="http://schemas.microsoft.com/office/drawing/2014/main" id="{DA72BEAD-F1ED-4EF8-0090-E6E3144C1053}"/>
                </a:ext>
              </a:extLst>
            </xdr:cNvPr>
            <xdr:cNvCxnSpPr/>
          </xdr:nvCxnSpPr>
          <xdr:spPr>
            <a:xfrm flipV="1">
              <a:off x="5963797" y="388108"/>
              <a:ext cx="2326927" cy="7439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4" name="Straight Arrow Connector 53">
              <a:extLst>
                <a:ext uri="{FF2B5EF4-FFF2-40B4-BE49-F238E27FC236}">
                  <a16:creationId xmlns:a16="http://schemas.microsoft.com/office/drawing/2014/main" id="{54749400-1B39-7B40-BE73-4A3D12B6EC14}"/>
                </a:ext>
              </a:extLst>
            </xdr:cNvPr>
            <xdr:cNvCxnSpPr/>
          </xdr:nvCxnSpPr>
          <xdr:spPr>
            <a:xfrm>
              <a:off x="3229695" y="663059"/>
              <a:ext cx="2575704" cy="19307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5" name="Straight Arrow Connector 54">
              <a:extLst>
                <a:ext uri="{FF2B5EF4-FFF2-40B4-BE49-F238E27FC236}">
                  <a16:creationId xmlns:a16="http://schemas.microsoft.com/office/drawing/2014/main" id="{23B6760D-978E-F37C-D25E-CEDEF1002EF7}"/>
                </a:ext>
              </a:extLst>
            </xdr:cNvPr>
            <xdr:cNvCxnSpPr/>
          </xdr:nvCxnSpPr>
          <xdr:spPr>
            <a:xfrm>
              <a:off x="5966282" y="677556"/>
              <a:ext cx="2332938" cy="495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6" name="Straight Arrow Connector 55">
              <a:extLst>
                <a:ext uri="{FF2B5EF4-FFF2-40B4-BE49-F238E27FC236}">
                  <a16:creationId xmlns:a16="http://schemas.microsoft.com/office/drawing/2014/main" id="{F4919F72-26EF-A095-2F15-E93A410B9B72}"/>
                </a:ext>
              </a:extLst>
            </xdr:cNvPr>
            <xdr:cNvCxnSpPr/>
          </xdr:nvCxnSpPr>
          <xdr:spPr>
            <a:xfrm>
              <a:off x="3231316" y="1026686"/>
              <a:ext cx="2586744" cy="20319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7" name="Straight Arrow Connector 56">
              <a:extLst>
                <a:ext uri="{FF2B5EF4-FFF2-40B4-BE49-F238E27FC236}">
                  <a16:creationId xmlns:a16="http://schemas.microsoft.com/office/drawing/2014/main" id="{5B89CFEF-081F-007D-0D6D-CF284DC5E575}"/>
                </a:ext>
              </a:extLst>
            </xdr:cNvPr>
            <xdr:cNvCxnSpPr/>
          </xdr:nvCxnSpPr>
          <xdr:spPr>
            <a:xfrm>
              <a:off x="5983967" y="1047205"/>
              <a:ext cx="2315253" cy="4965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8" name="TextBox 160">
              <a:extLst>
                <a:ext uri="{FF2B5EF4-FFF2-40B4-BE49-F238E27FC236}">
                  <a16:creationId xmlns:a16="http://schemas.microsoft.com/office/drawing/2014/main" id="{8327CC96-8759-9768-6283-DECAF1A670F6}"/>
                </a:ext>
              </a:extLst>
            </xdr:cNvPr>
            <xdr:cNvSpPr txBox="1"/>
          </xdr:nvSpPr>
          <xdr:spPr>
            <a:xfrm>
              <a:off x="3837482" y="10082"/>
              <a:ext cx="1482209" cy="275443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Low Sedimentation</a:t>
              </a:r>
            </a:p>
          </xdr:txBody>
        </xdr:sp>
        <xdr:sp macro="" textlink="">
          <xdr:nvSpPr>
            <xdr:cNvPr id="59" name="TextBox 161">
              <a:extLst>
                <a:ext uri="{FF2B5EF4-FFF2-40B4-BE49-F238E27FC236}">
                  <a16:creationId xmlns:a16="http://schemas.microsoft.com/office/drawing/2014/main" id="{814C4A82-7A45-96D7-283C-C64E5B805629}"/>
                </a:ext>
              </a:extLst>
            </xdr:cNvPr>
            <xdr:cNvSpPr txBox="1"/>
          </xdr:nvSpPr>
          <xdr:spPr>
            <a:xfrm>
              <a:off x="6622030" y="30798"/>
              <a:ext cx="1437748" cy="246579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HighSedimentation</a:t>
              </a:r>
            </a:p>
          </xdr:txBody>
        </xdr:sp>
        <xdr:sp macro="" textlink="">
          <xdr:nvSpPr>
            <xdr:cNvPr id="60" name="TextBox 162">
              <a:extLst>
                <a:ext uri="{FF2B5EF4-FFF2-40B4-BE49-F238E27FC236}">
                  <a16:creationId xmlns:a16="http://schemas.microsoft.com/office/drawing/2014/main" id="{03A226EC-47D1-A58B-DDBE-42FD2B76D1EF}"/>
                </a:ext>
              </a:extLst>
            </xdr:cNvPr>
            <xdr:cNvSpPr txBox="1"/>
          </xdr:nvSpPr>
          <xdr:spPr>
            <a:xfrm>
              <a:off x="4142282" y="297230"/>
              <a:ext cx="659284" cy="24741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61" name="TextBox 163">
              <a:extLst>
                <a:ext uri="{FF2B5EF4-FFF2-40B4-BE49-F238E27FC236}">
                  <a16:creationId xmlns:a16="http://schemas.microsoft.com/office/drawing/2014/main" id="{5B67B3FC-C03D-7C33-DEDC-D9E7979C737B}"/>
                </a:ext>
              </a:extLst>
            </xdr:cNvPr>
            <xdr:cNvSpPr txBox="1"/>
          </xdr:nvSpPr>
          <xdr:spPr>
            <a:xfrm>
              <a:off x="6906809" y="308599"/>
              <a:ext cx="659283" cy="24741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62" name="TextBox 164">
              <a:extLst>
                <a:ext uri="{FF2B5EF4-FFF2-40B4-BE49-F238E27FC236}">
                  <a16:creationId xmlns:a16="http://schemas.microsoft.com/office/drawing/2014/main" id="{4F1331AC-4E4D-D686-1CAB-6ECE830A0D80}"/>
                </a:ext>
              </a:extLst>
            </xdr:cNvPr>
            <xdr:cNvSpPr txBox="1"/>
          </xdr:nvSpPr>
          <xdr:spPr>
            <a:xfrm>
              <a:off x="4127991" y="565519"/>
              <a:ext cx="659284" cy="24296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63" name="TextBox 165">
              <a:extLst>
                <a:ext uri="{FF2B5EF4-FFF2-40B4-BE49-F238E27FC236}">
                  <a16:creationId xmlns:a16="http://schemas.microsoft.com/office/drawing/2014/main" id="{C86535F2-5B19-1223-AFB0-DAA1A169B40D}"/>
                </a:ext>
              </a:extLst>
            </xdr:cNvPr>
            <xdr:cNvSpPr txBox="1"/>
          </xdr:nvSpPr>
          <xdr:spPr>
            <a:xfrm>
              <a:off x="6908649" y="580167"/>
              <a:ext cx="659283" cy="24296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64" name="TextBox 166">
              <a:extLst>
                <a:ext uri="{FF2B5EF4-FFF2-40B4-BE49-F238E27FC236}">
                  <a16:creationId xmlns:a16="http://schemas.microsoft.com/office/drawing/2014/main" id="{EBC3E658-4B2C-7DDC-28C1-8401FA4776B4}"/>
                </a:ext>
              </a:extLst>
            </xdr:cNvPr>
            <xdr:cNvSpPr txBox="1"/>
          </xdr:nvSpPr>
          <xdr:spPr>
            <a:xfrm>
              <a:off x="3983366" y="924842"/>
              <a:ext cx="1069571" cy="25266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415/419/419</a:t>
              </a:r>
            </a:p>
          </xdr:txBody>
        </xdr:sp>
        <xdr:sp macro="" textlink="">
          <xdr:nvSpPr>
            <xdr:cNvPr id="65" name="TextBox 167">
              <a:extLst>
                <a:ext uri="{FF2B5EF4-FFF2-40B4-BE49-F238E27FC236}">
                  <a16:creationId xmlns:a16="http://schemas.microsoft.com/office/drawing/2014/main" id="{174FAA5D-EE27-F1D9-CEC3-1B0629A1CAE3}"/>
                </a:ext>
              </a:extLst>
            </xdr:cNvPr>
            <xdr:cNvSpPr txBox="1"/>
          </xdr:nvSpPr>
          <xdr:spPr>
            <a:xfrm>
              <a:off x="6722571" y="901514"/>
              <a:ext cx="1169906" cy="26554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420/421/423</a:t>
              </a:r>
            </a:p>
          </xdr:txBody>
        </xdr:sp>
      </xdr:grpSp>
    </xdr:grpSp>
    <xdr:clientData/>
  </xdr:twoCellAnchor>
</xdr:wsDr>
</file>

<file path=xl/drawings/drawing63.xml><?xml version="1.0" encoding="utf-8"?>
<c:userShapes xmlns:c="http://schemas.openxmlformats.org/drawingml/2006/chart">
  <cdr:relSizeAnchor xmlns:cdr="http://schemas.openxmlformats.org/drawingml/2006/chartDrawing">
    <cdr:from>
      <cdr:x>0</cdr:x>
      <cdr:y>0.00926</cdr:y>
    </cdr:from>
    <cdr:to>
      <cdr:x>1</cdr:x>
      <cdr:y>0.071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DCC8CD2E-EDCF-76E0-50CC-313CA137B1D4}"/>
            </a:ext>
          </a:extLst>
        </cdr:cNvPr>
        <cdr:cNvSpPr txBox="1"/>
      </cdr:nvSpPr>
      <cdr:spPr>
        <a:xfrm xmlns:a="http://schemas.openxmlformats.org/drawingml/2006/main">
          <a:off x="0" y="54840"/>
          <a:ext cx="10131504" cy="365633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API of Liquid Product</a:t>
          </a:r>
        </a:p>
      </cdr:txBody>
    </cdr:sp>
  </cdr:relSizeAnchor>
  <cdr:relSizeAnchor xmlns:cdr="http://schemas.openxmlformats.org/drawingml/2006/chartDrawing">
    <cdr:from>
      <cdr:x>0</cdr:x>
      <cdr:y>0.00903</cdr:y>
    </cdr:from>
    <cdr:to>
      <cdr:x>1</cdr:x>
      <cdr:y>0.06665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87974DAC-90F4-5685-0C7B-2CD6C93E66AD}"/>
            </a:ext>
          </a:extLst>
        </cdr:cNvPr>
        <cdr:cNvSpPr txBox="1"/>
      </cdr:nvSpPr>
      <cdr:spPr>
        <a:xfrm xmlns:a="http://schemas.openxmlformats.org/drawingml/2006/main">
          <a:off x="0" y="53478"/>
          <a:ext cx="10131504" cy="341251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API of Liquid Product: </a:t>
          </a:r>
          <a:r>
            <a:rPr lang="en-US" sz="2400" b="1" i="0" baseline="0">
              <a:effectLst/>
              <a:latin typeface="+mn-lt"/>
              <a:ea typeface="+mn-ea"/>
              <a:cs typeface="+mn-cs"/>
            </a:rPr>
            <a:t>Low &amp; High Sedimentation</a:t>
          </a:r>
          <a:endParaRPr lang="en-US" sz="2400" b="1">
            <a:effectLst/>
          </a:endParaRPr>
        </a:p>
      </cdr:txBody>
    </cdr:sp>
  </cdr:relSizeAnchor>
</c:userShapes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40704</xdr:colOff>
      <xdr:row>2</xdr:row>
      <xdr:rowOff>144729</xdr:rowOff>
    </xdr:from>
    <xdr:to>
      <xdr:col>22</xdr:col>
      <xdr:colOff>84227</xdr:colOff>
      <xdr:row>42</xdr:row>
      <xdr:rowOff>84408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3131EB-E91E-4BFA-9CE7-7073DB9C1A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5.xml><?xml version="1.0" encoding="utf-8"?>
<c:userShapes xmlns:c="http://schemas.openxmlformats.org/drawingml/2006/chart">
  <cdr:relSizeAnchor xmlns:cdr="http://schemas.openxmlformats.org/drawingml/2006/chartDrawing">
    <cdr:from>
      <cdr:x>0.00415</cdr:x>
      <cdr:y>0.00695</cdr:y>
    </cdr:from>
    <cdr:to>
      <cdr:x>0.99567</cdr:x>
      <cdr:y>0.0522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3FBEEB66-ECAB-774E-3D89-7CBD2BDBF2A8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131782" cy="330480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LTO Split</a:t>
          </a:r>
        </a:p>
      </cdr:txBody>
    </cdr:sp>
  </cdr:relSizeAnchor>
  <cdr:relSizeAnchor xmlns:cdr="http://schemas.openxmlformats.org/drawingml/2006/chartDrawing">
    <cdr:from>
      <cdr:x>0.07091</cdr:x>
      <cdr:y>0.04396</cdr:y>
    </cdr:from>
    <cdr:to>
      <cdr:x>0.87953</cdr:x>
      <cdr:y>0.20795</cdr:y>
    </cdr:to>
    <cdr:grpSp>
      <cdr:nvGrpSpPr>
        <cdr:cNvPr id="3" name="Group 2">
          <a:extLst xmlns:a="http://schemas.openxmlformats.org/drawingml/2006/main">
            <a:ext uri="{FF2B5EF4-FFF2-40B4-BE49-F238E27FC236}">
              <a16:creationId xmlns:a16="http://schemas.microsoft.com/office/drawing/2014/main" id="{11595391-CD8E-4AD7-9B26-587DB7020486}"/>
            </a:ext>
          </a:extLst>
        </cdr:cNvPr>
        <cdr:cNvGrpSpPr/>
      </cdr:nvGrpSpPr>
      <cdr:grpSpPr>
        <a:xfrm xmlns:a="http://schemas.openxmlformats.org/drawingml/2006/main">
          <a:off x="865048" y="316372"/>
          <a:ext cx="9864548" cy="1180207"/>
          <a:chOff x="0" y="0"/>
          <a:chExt cx="5113392" cy="938836"/>
        </a:xfrm>
      </cdr:grpSpPr>
      <cdr:cxnSp macro="">
        <cdr:nvCxnSpPr>
          <cdr:cNvPr id="4" name="Straight Arrow Connector 3">
            <a:extLst xmlns:a="http://schemas.openxmlformats.org/drawingml/2006/main">
              <a:ext uri="{FF2B5EF4-FFF2-40B4-BE49-F238E27FC236}">
                <a16:creationId xmlns:a16="http://schemas.microsoft.com/office/drawing/2014/main" id="{1B5390E4-EA97-AE53-8D62-008576BEF3DC}"/>
              </a:ext>
            </a:extLst>
          </cdr:cNvPr>
          <cdr:cNvCxnSpPr/>
        </cdr:nvCxnSpPr>
        <cdr:spPr>
          <a:xfrm xmlns:a="http://schemas.openxmlformats.org/drawingml/2006/main">
            <a:off x="2879810" y="136613"/>
            <a:ext cx="1070523" cy="2194"/>
          </a:xfrm>
          <a:prstGeom xmlns:a="http://schemas.openxmlformats.org/drawingml/2006/main" prst="straightConnector1">
            <a:avLst/>
          </a:prstGeom>
          <a:ln xmlns:a="http://schemas.openxmlformats.org/drawingml/2006/main">
            <a:solidFill>
              <a:schemeClr val="tx1"/>
            </a:solidFill>
            <a:prstDash val="sysDash"/>
            <a:headEnd type="triangle"/>
            <a:tailEnd type="triangle"/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grpSp>
        <cdr:nvGrpSpPr>
          <cdr:cNvPr id="5" name="Group 4">
            <a:extLst xmlns:a="http://schemas.openxmlformats.org/drawingml/2006/main">
              <a:ext uri="{FF2B5EF4-FFF2-40B4-BE49-F238E27FC236}">
                <a16:creationId xmlns:a16="http://schemas.microsoft.com/office/drawing/2014/main" id="{CBB4DF75-6BD7-F36B-4AB2-9D15F98A6E23}"/>
              </a:ext>
            </a:extLst>
          </cdr:cNvPr>
          <cdr:cNvGrpSpPr/>
        </cdr:nvGrpSpPr>
        <cdr:grpSpPr>
          <a:xfrm xmlns:a="http://schemas.openxmlformats.org/drawingml/2006/main">
            <a:off x="0" y="0"/>
            <a:ext cx="5113392" cy="938836"/>
            <a:chOff x="0" y="0"/>
            <a:chExt cx="11099002" cy="1392319"/>
          </a:xfrm>
        </cdr:grpSpPr>
        <cdr:sp macro="" textlink="">
          <cdr:nvSpPr>
            <cdr:cNvPr id="6" name="TextBox 141">
              <a:extLst xmlns:a="http://schemas.openxmlformats.org/drawingml/2006/main">
                <a:ext uri="{FF2B5EF4-FFF2-40B4-BE49-F238E27FC236}">
                  <a16:creationId xmlns:a16="http://schemas.microsoft.com/office/drawing/2014/main" id="{A1F93E80-B3FF-EAC9-B6DC-25AEFCB31D24}"/>
                </a:ext>
              </a:extLst>
            </cdr:cNvPr>
            <cdr:cNvSpPr txBox="1"/>
          </cdr:nvSpPr>
          <cdr:spPr>
            <a:xfrm xmlns:a="http://schemas.openxmlformats.org/drawingml/2006/main">
              <a:off x="15647" y="49518"/>
              <a:ext cx="1143000" cy="234515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Feed</a:t>
              </a:r>
            </a:p>
          </cdr:txBody>
        </cdr:sp>
        <cdr:sp macro="" textlink="">
          <cdr:nvSpPr>
            <cdr:cNvPr id="7" name="TextBox 142">
              <a:extLst xmlns:a="http://schemas.openxmlformats.org/drawingml/2006/main">
                <a:ext uri="{FF2B5EF4-FFF2-40B4-BE49-F238E27FC236}">
                  <a16:creationId xmlns:a16="http://schemas.microsoft.com/office/drawing/2014/main" id="{F9E3BC27-ABA5-A93F-D211-2873067091C0}"/>
                </a:ext>
              </a:extLst>
            </cdr:cNvPr>
            <cdr:cNvSpPr txBox="1"/>
          </cdr:nvSpPr>
          <cdr:spPr>
            <a:xfrm xmlns:a="http://schemas.openxmlformats.org/drawingml/2006/main">
              <a:off x="0" y="338507"/>
              <a:ext cx="1143000" cy="234515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Split</a:t>
              </a:r>
            </a:p>
          </cdr:txBody>
        </cdr:sp>
        <cdr:sp macro="" textlink="">
          <cdr:nvSpPr>
            <cdr:cNvPr id="8" name="TextBox 143">
              <a:extLst xmlns:a="http://schemas.openxmlformats.org/drawingml/2006/main">
                <a:ext uri="{FF2B5EF4-FFF2-40B4-BE49-F238E27FC236}">
                  <a16:creationId xmlns:a16="http://schemas.microsoft.com/office/drawing/2014/main" id="{D7881E62-34F9-6873-FE5D-613BFB1F2008}"/>
                </a:ext>
              </a:extLst>
            </cdr:cNvPr>
            <cdr:cNvSpPr txBox="1"/>
          </cdr:nvSpPr>
          <cdr:spPr>
            <a:xfrm xmlns:a="http://schemas.openxmlformats.org/drawingml/2006/main">
              <a:off x="9412" y="645352"/>
              <a:ext cx="1486151" cy="311272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LCF LHSV</a:t>
              </a:r>
            </a:p>
          </cdr:txBody>
        </cdr:sp>
        <cdr:sp macro="" textlink="">
          <cdr:nvSpPr>
            <cdr:cNvPr id="9" name="TextBox 144">
              <a:extLst xmlns:a="http://schemas.openxmlformats.org/drawingml/2006/main">
                <a:ext uri="{FF2B5EF4-FFF2-40B4-BE49-F238E27FC236}">
                  <a16:creationId xmlns:a16="http://schemas.microsoft.com/office/drawing/2014/main" id="{D191250D-86E4-597F-1CBC-062D34714671}"/>
                </a:ext>
              </a:extLst>
            </cdr:cNvPr>
            <cdr:cNvSpPr txBox="1"/>
          </cdr:nvSpPr>
          <cdr:spPr>
            <a:xfrm xmlns:a="http://schemas.openxmlformats.org/drawingml/2006/main">
              <a:off x="724" y="1029574"/>
              <a:ext cx="1486151" cy="311272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Temperature</a:t>
              </a:r>
              <a:br>
                <a:rPr lang="en-US" sz="1100" b="1"/>
              </a:br>
              <a:r>
                <a:rPr lang="en-US" sz="1100" b="1"/>
                <a:t>(Rx1/2/3)</a:t>
              </a:r>
            </a:p>
          </cdr:txBody>
        </cdr:sp>
        <cdr:cxnSp macro="">
          <cdr:nvCxnSpPr>
            <cdr:cNvPr id="10" name="Straight Arrow Connector 9">
              <a:extLst xmlns:a="http://schemas.openxmlformats.org/drawingml/2006/main">
                <a:ext uri="{FF2B5EF4-FFF2-40B4-BE49-F238E27FC236}">
                  <a16:creationId xmlns:a16="http://schemas.microsoft.com/office/drawing/2014/main" id="{0325F54C-2EF2-B78F-EF8A-F264952A98C8}"/>
                </a:ext>
              </a:extLst>
            </cdr:cNvPr>
            <cdr:cNvCxnSpPr/>
          </cdr:nvCxnSpPr>
          <cdr:spPr>
            <a:xfrm xmlns:a="http://schemas.openxmlformats.org/drawingml/2006/main">
              <a:off x="1391033" y="207550"/>
              <a:ext cx="2614561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1" name="Straight Arrow Connector 10">
              <a:extLst xmlns:a="http://schemas.openxmlformats.org/drawingml/2006/main">
                <a:ext uri="{FF2B5EF4-FFF2-40B4-BE49-F238E27FC236}">
                  <a16:creationId xmlns:a16="http://schemas.microsoft.com/office/drawing/2014/main" id="{337FB151-6BF4-F330-775B-4C24B1F6D418}"/>
                </a:ext>
              </a:extLst>
            </cdr:cNvPr>
            <cdr:cNvCxnSpPr/>
          </cdr:nvCxnSpPr>
          <cdr:spPr>
            <a:xfrm xmlns:a="http://schemas.openxmlformats.org/drawingml/2006/main">
              <a:off x="1382341" y="464691"/>
              <a:ext cx="2614561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2" name="Straight Arrow Connector 11">
              <a:extLst xmlns:a="http://schemas.openxmlformats.org/drawingml/2006/main">
                <a:ext uri="{FF2B5EF4-FFF2-40B4-BE49-F238E27FC236}">
                  <a16:creationId xmlns:a16="http://schemas.microsoft.com/office/drawing/2014/main" id="{495F16F2-E61A-DA80-61CB-35607622468F}"/>
                </a:ext>
              </a:extLst>
            </cdr:cNvPr>
            <cdr:cNvCxnSpPr/>
          </cdr:nvCxnSpPr>
          <cdr:spPr>
            <a:xfrm xmlns:a="http://schemas.openxmlformats.org/drawingml/2006/main">
              <a:off x="1395781" y="801897"/>
              <a:ext cx="2614561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3" name="Straight Arrow Connector 12">
              <a:extLst xmlns:a="http://schemas.openxmlformats.org/drawingml/2006/main">
                <a:ext uri="{FF2B5EF4-FFF2-40B4-BE49-F238E27FC236}">
                  <a16:creationId xmlns:a16="http://schemas.microsoft.com/office/drawing/2014/main" id="{47AD3379-AA23-9A4A-11E1-C1E4F2C9504E}"/>
                </a:ext>
              </a:extLst>
            </cdr:cNvPr>
            <cdr:cNvCxnSpPr/>
          </cdr:nvCxnSpPr>
          <cdr:spPr>
            <a:xfrm xmlns:a="http://schemas.openxmlformats.org/drawingml/2006/main">
              <a:off x="1401166" y="1217070"/>
              <a:ext cx="2614561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14" name="TextBox 149">
              <a:extLst xmlns:a="http://schemas.openxmlformats.org/drawingml/2006/main">
                <a:ext uri="{FF2B5EF4-FFF2-40B4-BE49-F238E27FC236}">
                  <a16:creationId xmlns:a16="http://schemas.microsoft.com/office/drawing/2014/main" id="{9F9591B2-8807-1F96-5C54-7A1225623E49}"/>
                </a:ext>
              </a:extLst>
            </cdr:cNvPr>
            <cdr:cNvSpPr txBox="1"/>
          </cdr:nvSpPr>
          <cdr:spPr>
            <a:xfrm xmlns:a="http://schemas.openxmlformats.org/drawingml/2006/main">
              <a:off x="2252625" y="0"/>
              <a:ext cx="849525" cy="275232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ME SR</a:t>
              </a:r>
            </a:p>
          </cdr:txBody>
        </cdr:sp>
        <cdr:sp macro="" textlink="">
          <cdr:nvSpPr>
            <cdr:cNvPr id="15" name="TextBox 150">
              <a:extLst xmlns:a="http://schemas.openxmlformats.org/drawingml/2006/main">
                <a:ext uri="{FF2B5EF4-FFF2-40B4-BE49-F238E27FC236}">
                  <a16:creationId xmlns:a16="http://schemas.microsoft.com/office/drawing/2014/main" id="{AD04A6E8-B876-D6BA-BEA9-8AA1AEC8A959}"/>
                </a:ext>
              </a:extLst>
            </cdr:cNvPr>
            <cdr:cNvSpPr txBox="1"/>
          </cdr:nvSpPr>
          <cdr:spPr>
            <a:xfrm xmlns:a="http://schemas.openxmlformats.org/drawingml/2006/main">
              <a:off x="2272106" y="338508"/>
              <a:ext cx="850974" cy="262892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70/30</a:t>
              </a:r>
            </a:p>
          </cdr:txBody>
        </cdr:sp>
        <cdr:sp macro="" textlink="">
          <cdr:nvSpPr>
            <cdr:cNvPr id="16" name="TextBox 151">
              <a:extLst xmlns:a="http://schemas.openxmlformats.org/drawingml/2006/main">
                <a:ext uri="{FF2B5EF4-FFF2-40B4-BE49-F238E27FC236}">
                  <a16:creationId xmlns:a16="http://schemas.microsoft.com/office/drawing/2014/main" id="{2B4D8C09-8711-1621-B085-A8B5E5355433}"/>
                </a:ext>
              </a:extLst>
            </cdr:cNvPr>
            <cdr:cNvSpPr txBox="1"/>
          </cdr:nvSpPr>
          <cdr:spPr>
            <a:xfrm xmlns:a="http://schemas.openxmlformats.org/drawingml/2006/main">
              <a:off x="2268943" y="659525"/>
              <a:ext cx="853389" cy="284824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0.378</a:t>
              </a:r>
            </a:p>
          </cdr:txBody>
        </cdr:sp>
        <cdr:sp macro="" textlink="">
          <cdr:nvSpPr>
            <cdr:cNvPr id="17" name="TextBox 152">
              <a:extLst xmlns:a="http://schemas.openxmlformats.org/drawingml/2006/main">
                <a:ext uri="{FF2B5EF4-FFF2-40B4-BE49-F238E27FC236}">
                  <a16:creationId xmlns:a16="http://schemas.microsoft.com/office/drawing/2014/main" id="{84ACC7EA-23DE-5479-6336-5A48F355E973}"/>
                </a:ext>
              </a:extLst>
            </cdr:cNvPr>
            <cdr:cNvSpPr txBox="1"/>
          </cdr:nvSpPr>
          <cdr:spPr>
            <a:xfrm xmlns:a="http://schemas.openxmlformats.org/drawingml/2006/main">
              <a:off x="2107246" y="1034237"/>
              <a:ext cx="1378398" cy="29520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399/405/407</a:t>
              </a:r>
            </a:p>
          </cdr:txBody>
        </cdr:sp>
        <cdr:cxnSp macro="">
          <cdr:nvCxnSpPr>
            <cdr:cNvPr id="18" name="Straight Arrow Connector 17">
              <a:extLst xmlns:a="http://schemas.openxmlformats.org/drawingml/2006/main">
                <a:ext uri="{FF2B5EF4-FFF2-40B4-BE49-F238E27FC236}">
                  <a16:creationId xmlns:a16="http://schemas.microsoft.com/office/drawing/2014/main" id="{AA3350E5-71F8-2B29-EE79-CE23D2C46C91}"/>
                </a:ext>
              </a:extLst>
            </cdr:cNvPr>
            <cdr:cNvCxnSpPr/>
          </cdr:nvCxnSpPr>
          <cdr:spPr>
            <a:xfrm xmlns:a="http://schemas.openxmlformats.org/drawingml/2006/main">
              <a:off x="4367626" y="226264"/>
              <a:ext cx="3495292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9" name="Straight Arrow Connector 18">
              <a:extLst xmlns:a="http://schemas.openxmlformats.org/drawingml/2006/main">
                <a:ext uri="{FF2B5EF4-FFF2-40B4-BE49-F238E27FC236}">
                  <a16:creationId xmlns:a16="http://schemas.microsoft.com/office/drawing/2014/main" id="{08ED64E7-C40C-3BAE-47E2-2280AC2405E6}"/>
                </a:ext>
              </a:extLst>
            </cdr:cNvPr>
            <cdr:cNvCxnSpPr/>
          </cdr:nvCxnSpPr>
          <cdr:spPr>
            <a:xfrm xmlns:a="http://schemas.openxmlformats.org/drawingml/2006/main">
              <a:off x="4357446" y="429904"/>
              <a:ext cx="3504310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0" name="Straight Arrow Connector 19">
              <a:extLst xmlns:a="http://schemas.openxmlformats.org/drawingml/2006/main">
                <a:ext uri="{FF2B5EF4-FFF2-40B4-BE49-F238E27FC236}">
                  <a16:creationId xmlns:a16="http://schemas.microsoft.com/office/drawing/2014/main" id="{699DFEC5-6EA7-4C5F-7504-FC17802404BD}"/>
                </a:ext>
              </a:extLst>
            </cdr:cNvPr>
            <cdr:cNvCxnSpPr/>
          </cdr:nvCxnSpPr>
          <cdr:spPr>
            <a:xfrm xmlns:a="http://schemas.openxmlformats.org/drawingml/2006/main" flipV="1">
              <a:off x="8075985" y="470004"/>
              <a:ext cx="3012021" cy="8692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1" name="Straight Arrow Connector 20">
              <a:extLst xmlns:a="http://schemas.openxmlformats.org/drawingml/2006/main">
                <a:ext uri="{FF2B5EF4-FFF2-40B4-BE49-F238E27FC236}">
                  <a16:creationId xmlns:a16="http://schemas.microsoft.com/office/drawing/2014/main" id="{A2B4E669-95DC-B0F9-8411-BD29F6599FDD}"/>
                </a:ext>
              </a:extLst>
            </cdr:cNvPr>
            <cdr:cNvCxnSpPr/>
          </cdr:nvCxnSpPr>
          <cdr:spPr>
            <a:xfrm xmlns:a="http://schemas.openxmlformats.org/drawingml/2006/main">
              <a:off x="4337084" y="769301"/>
              <a:ext cx="3533866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2" name="Straight Arrow Connector 21">
              <a:extLst xmlns:a="http://schemas.openxmlformats.org/drawingml/2006/main">
                <a:ext uri="{FF2B5EF4-FFF2-40B4-BE49-F238E27FC236}">
                  <a16:creationId xmlns:a16="http://schemas.microsoft.com/office/drawing/2014/main" id="{9E7052C0-6CFE-C0EA-03AD-CF3736EC5147}"/>
                </a:ext>
              </a:extLst>
            </cdr:cNvPr>
            <cdr:cNvCxnSpPr/>
          </cdr:nvCxnSpPr>
          <cdr:spPr>
            <a:xfrm xmlns:a="http://schemas.openxmlformats.org/drawingml/2006/main">
              <a:off x="8079198" y="808190"/>
              <a:ext cx="3019801" cy="578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3" name="Straight Arrow Connector 22">
              <a:extLst xmlns:a="http://schemas.openxmlformats.org/drawingml/2006/main">
                <a:ext uri="{FF2B5EF4-FFF2-40B4-BE49-F238E27FC236}">
                  <a16:creationId xmlns:a16="http://schemas.microsoft.com/office/drawing/2014/main" id="{927D0C7C-FE45-94B9-A0C3-E703171E9B94}"/>
                </a:ext>
              </a:extLst>
            </cdr:cNvPr>
            <cdr:cNvCxnSpPr/>
          </cdr:nvCxnSpPr>
          <cdr:spPr>
            <a:xfrm xmlns:a="http://schemas.openxmlformats.org/drawingml/2006/main">
              <a:off x="4357445" y="1199205"/>
              <a:ext cx="3529892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4" name="Straight Arrow Connector 23">
              <a:extLst xmlns:a="http://schemas.openxmlformats.org/drawingml/2006/main">
                <a:ext uri="{FF2B5EF4-FFF2-40B4-BE49-F238E27FC236}">
                  <a16:creationId xmlns:a16="http://schemas.microsoft.com/office/drawing/2014/main" id="{86007EF4-2163-5792-9E70-4BC313B0689B}"/>
                </a:ext>
              </a:extLst>
            </cdr:cNvPr>
            <cdr:cNvCxnSpPr/>
          </cdr:nvCxnSpPr>
          <cdr:spPr>
            <a:xfrm xmlns:a="http://schemas.openxmlformats.org/drawingml/2006/main">
              <a:off x="8102093" y="1240081"/>
              <a:ext cx="2996909" cy="5801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25" name="TextBox 160">
              <a:extLst xmlns:a="http://schemas.openxmlformats.org/drawingml/2006/main">
                <a:ext uri="{FF2B5EF4-FFF2-40B4-BE49-F238E27FC236}">
                  <a16:creationId xmlns:a16="http://schemas.microsoft.com/office/drawing/2014/main" id="{14C08F3F-FE84-129A-5C64-D910F7653CF4}"/>
                </a:ext>
              </a:extLst>
            </cdr:cNvPr>
            <cdr:cNvSpPr txBox="1"/>
          </cdr:nvSpPr>
          <cdr:spPr>
            <a:xfrm xmlns:a="http://schemas.openxmlformats.org/drawingml/2006/main">
              <a:off x="4967312" y="28325"/>
              <a:ext cx="1918601" cy="321823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Low Sedimentation</a:t>
              </a:r>
            </a:p>
          </cdr:txBody>
        </cdr:sp>
        <cdr:sp macro="" textlink="">
          <cdr:nvSpPr>
            <cdr:cNvPr id="26" name="TextBox 161">
              <a:extLst xmlns:a="http://schemas.openxmlformats.org/drawingml/2006/main">
                <a:ext uri="{FF2B5EF4-FFF2-40B4-BE49-F238E27FC236}">
                  <a16:creationId xmlns:a16="http://schemas.microsoft.com/office/drawing/2014/main" id="{0F1AB7BB-D0EF-C0E6-60D0-D232C51CF1A6}"/>
                </a:ext>
              </a:extLst>
            </cdr:cNvPr>
            <cdr:cNvSpPr txBox="1"/>
          </cdr:nvSpPr>
          <cdr:spPr>
            <a:xfrm xmlns:a="http://schemas.openxmlformats.org/drawingml/2006/main">
              <a:off x="8571686" y="52529"/>
              <a:ext cx="1861049" cy="288099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HighSedimentation</a:t>
              </a:r>
            </a:p>
          </cdr:txBody>
        </cdr:sp>
        <cdr:sp macro="" textlink="">
          <cdr:nvSpPr>
            <cdr:cNvPr id="27" name="TextBox 162">
              <a:extLst xmlns:a="http://schemas.openxmlformats.org/drawingml/2006/main">
                <a:ext uri="{FF2B5EF4-FFF2-40B4-BE49-F238E27FC236}">
                  <a16:creationId xmlns:a16="http://schemas.microsoft.com/office/drawing/2014/main" id="{81CB1507-150F-A13D-BCF9-763018858016}"/>
                </a:ext>
              </a:extLst>
            </cdr:cNvPr>
            <cdr:cNvSpPr txBox="1"/>
          </cdr:nvSpPr>
          <cdr:spPr>
            <a:xfrm xmlns:a="http://schemas.openxmlformats.org/drawingml/2006/main">
              <a:off x="5361852" y="363824"/>
              <a:ext cx="853390" cy="28907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8" name="TextBox 163">
              <a:extLst xmlns:a="http://schemas.openxmlformats.org/drawingml/2006/main">
                <a:ext uri="{FF2B5EF4-FFF2-40B4-BE49-F238E27FC236}">
                  <a16:creationId xmlns:a16="http://schemas.microsoft.com/office/drawing/2014/main" id="{1ACC60DD-3F24-16A3-AAF8-7CC5B3D75E76}"/>
                </a:ext>
              </a:extLst>
            </cdr:cNvPr>
            <cdr:cNvSpPr txBox="1"/>
          </cdr:nvSpPr>
          <cdr:spPr>
            <a:xfrm xmlns:a="http://schemas.openxmlformats.org/drawingml/2006/main">
              <a:off x="8940310" y="377107"/>
              <a:ext cx="853389" cy="28907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9" name="TextBox 164">
              <a:extLst xmlns:a="http://schemas.openxmlformats.org/drawingml/2006/main">
                <a:ext uri="{FF2B5EF4-FFF2-40B4-BE49-F238E27FC236}">
                  <a16:creationId xmlns:a16="http://schemas.microsoft.com/office/drawing/2014/main" id="{A68C2CE3-CB08-9768-06D7-EC90EB68B4BF}"/>
                </a:ext>
              </a:extLst>
            </cdr:cNvPr>
            <cdr:cNvSpPr txBox="1"/>
          </cdr:nvSpPr>
          <cdr:spPr>
            <a:xfrm xmlns:a="http://schemas.openxmlformats.org/drawingml/2006/main">
              <a:off x="5343353" y="677288"/>
              <a:ext cx="853390" cy="28387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0.21</a:t>
              </a:r>
            </a:p>
          </cdr:txBody>
        </cdr:sp>
        <cdr:sp macro="" textlink="">
          <cdr:nvSpPr>
            <cdr:cNvPr id="30" name="TextBox 165">
              <a:extLst xmlns:a="http://schemas.openxmlformats.org/drawingml/2006/main">
                <a:ext uri="{FF2B5EF4-FFF2-40B4-BE49-F238E27FC236}">
                  <a16:creationId xmlns:a16="http://schemas.microsoft.com/office/drawing/2014/main" id="{C13DBDE8-786D-0183-09B7-2CF9FEE97119}"/>
                </a:ext>
              </a:extLst>
            </cdr:cNvPr>
            <cdr:cNvSpPr txBox="1"/>
          </cdr:nvSpPr>
          <cdr:spPr>
            <a:xfrm xmlns:a="http://schemas.openxmlformats.org/drawingml/2006/main">
              <a:off x="8942692" y="694402"/>
              <a:ext cx="853389" cy="28387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0.21</a:t>
              </a:r>
            </a:p>
          </cdr:txBody>
        </cdr:sp>
        <cdr:sp macro="" textlink="">
          <cdr:nvSpPr>
            <cdr:cNvPr id="31" name="TextBox 166">
              <a:extLst xmlns:a="http://schemas.openxmlformats.org/drawingml/2006/main">
                <a:ext uri="{FF2B5EF4-FFF2-40B4-BE49-F238E27FC236}">
                  <a16:creationId xmlns:a16="http://schemas.microsoft.com/office/drawing/2014/main" id="{7AF4A60B-35EE-6956-ACF9-A5B40E3EE35F}"/>
                </a:ext>
              </a:extLst>
            </cdr:cNvPr>
            <cdr:cNvSpPr txBox="1"/>
          </cdr:nvSpPr>
          <cdr:spPr>
            <a:xfrm xmlns:a="http://schemas.openxmlformats.org/drawingml/2006/main">
              <a:off x="5156148" y="1097114"/>
              <a:ext cx="1384474" cy="29520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415/419/419</a:t>
              </a:r>
            </a:p>
          </cdr:txBody>
        </cdr:sp>
        <cdr:sp macro="" textlink="">
          <cdr:nvSpPr>
            <cdr:cNvPr id="32" name="TextBox 167">
              <a:extLst xmlns:a="http://schemas.openxmlformats.org/drawingml/2006/main">
                <a:ext uri="{FF2B5EF4-FFF2-40B4-BE49-F238E27FC236}">
                  <a16:creationId xmlns:a16="http://schemas.microsoft.com/office/drawing/2014/main" id="{4D53244C-E7A8-1D94-C57D-019D4A71B998}"/>
                </a:ext>
              </a:extLst>
            </cdr:cNvPr>
            <cdr:cNvSpPr txBox="1"/>
          </cdr:nvSpPr>
          <cdr:spPr>
            <a:xfrm xmlns:a="http://schemas.openxmlformats.org/drawingml/2006/main">
              <a:off x="8701829" y="1069858"/>
              <a:ext cx="1514349" cy="310258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420/421/423</a:t>
              </a:r>
            </a:p>
          </cdr:txBody>
        </cdr:sp>
      </cdr:grpSp>
    </cdr:grpSp>
  </cdr:relSizeAnchor>
</c:userShapes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433918</xdr:colOff>
      <xdr:row>1</xdr:row>
      <xdr:rowOff>158750</xdr:rowOff>
    </xdr:from>
    <xdr:to>
      <xdr:col>15</xdr:col>
      <xdr:colOff>63421</xdr:colOff>
      <xdr:row>24</xdr:row>
      <xdr:rowOff>1619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14274E-9174-D6CC-6422-E3CA516C5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0054" y="346364"/>
          <a:ext cx="8469069" cy="4157982"/>
        </a:xfrm>
        <a:prstGeom prst="rect">
          <a:avLst/>
        </a:prstGeom>
      </xdr:spPr>
    </xdr:pic>
    <xdr:clientData/>
  </xdr:twoCellAnchor>
  <xdr:twoCellAnchor editAs="oneCell">
    <xdr:from>
      <xdr:col>16</xdr:col>
      <xdr:colOff>603250</xdr:colOff>
      <xdr:row>1</xdr:row>
      <xdr:rowOff>116416</xdr:rowOff>
    </xdr:from>
    <xdr:to>
      <xdr:col>29</xdr:col>
      <xdr:colOff>347226</xdr:colOff>
      <xdr:row>26</xdr:row>
      <xdr:rowOff>18500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066B9A-F5E3-2545-EE9E-0B25C7464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24583" y="296333"/>
          <a:ext cx="7723809" cy="4400000"/>
        </a:xfrm>
        <a:prstGeom prst="rect">
          <a:avLst/>
        </a:prstGeom>
      </xdr:spPr>
    </xdr:pic>
    <xdr:clientData/>
  </xdr:twoCellAnchor>
  <xdr:twoCellAnchor editAs="oneCell">
    <xdr:from>
      <xdr:col>13</xdr:col>
      <xdr:colOff>137856</xdr:colOff>
      <xdr:row>25</xdr:row>
      <xdr:rowOff>78934</xdr:rowOff>
    </xdr:from>
    <xdr:to>
      <xdr:col>14</xdr:col>
      <xdr:colOff>26957</xdr:colOff>
      <xdr:row>33</xdr:row>
      <xdr:rowOff>92311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CF0E3CF-937A-7524-DAEE-A6173A091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65247" y="4772412"/>
          <a:ext cx="496493" cy="1515290"/>
        </a:xfrm>
        <a:prstGeom prst="rect">
          <a:avLst/>
        </a:prstGeom>
      </xdr:spPr>
    </xdr:pic>
    <xdr:clientData/>
  </xdr:twoCellAnchor>
  <xdr:twoCellAnchor>
    <xdr:from>
      <xdr:col>13</xdr:col>
      <xdr:colOff>461819</xdr:colOff>
      <xdr:row>28</xdr:row>
      <xdr:rowOff>0</xdr:rowOff>
    </xdr:from>
    <xdr:to>
      <xdr:col>15</xdr:col>
      <xdr:colOff>14432</xdr:colOff>
      <xdr:row>28</xdr:row>
      <xdr:rowOff>129886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916153FC-0748-D31C-CBEA-6221DA9D5051}"/>
            </a:ext>
          </a:extLst>
        </xdr:cNvPr>
        <xdr:cNvCxnSpPr/>
      </xdr:nvCxnSpPr>
      <xdr:spPr>
        <a:xfrm flipH="1" flipV="1">
          <a:off x="8442614" y="5253182"/>
          <a:ext cx="764886" cy="12988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591705</xdr:colOff>
      <xdr:row>27</xdr:row>
      <xdr:rowOff>72159</xdr:rowOff>
    </xdr:from>
    <xdr:to>
      <xdr:col>13</xdr:col>
      <xdr:colOff>368012</xdr:colOff>
      <xdr:row>27</xdr:row>
      <xdr:rowOff>79375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A36B6FCB-BDF9-ED5C-BF09-9129B4E43174}"/>
            </a:ext>
          </a:extLst>
        </xdr:cNvPr>
        <xdr:cNvCxnSpPr/>
      </xdr:nvCxnSpPr>
      <xdr:spPr>
        <a:xfrm flipV="1">
          <a:off x="7966364" y="5137727"/>
          <a:ext cx="382443" cy="721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122670</xdr:colOff>
      <xdr:row>10</xdr:row>
      <xdr:rowOff>173182</xdr:rowOff>
    </xdr:from>
    <xdr:to>
      <xdr:col>11</xdr:col>
      <xdr:colOff>288636</xdr:colOff>
      <xdr:row>13</xdr:row>
      <xdr:rowOff>50512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92BCAB75-F604-2163-5B50-3D6A5137E9E5}"/>
            </a:ext>
          </a:extLst>
        </xdr:cNvPr>
        <xdr:cNvSpPr/>
      </xdr:nvSpPr>
      <xdr:spPr>
        <a:xfrm>
          <a:off x="4365625" y="2049318"/>
          <a:ext cx="2691534" cy="440171"/>
        </a:xfrm>
        <a:prstGeom prst="rect">
          <a:avLst/>
        </a:prstGeom>
        <a:solidFill>
          <a:schemeClr val="accent2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469034</xdr:colOff>
      <xdr:row>10</xdr:row>
      <xdr:rowOff>21647</xdr:rowOff>
    </xdr:from>
    <xdr:to>
      <xdr:col>7</xdr:col>
      <xdr:colOff>129886</xdr:colOff>
      <xdr:row>14</xdr:row>
      <xdr:rowOff>7215</xdr:rowOff>
    </xdr:to>
    <xdr:sp macro="" textlink="">
      <xdr:nvSpPr>
        <xdr:cNvPr id="12" name="Trapezoid 11">
          <a:extLst>
            <a:ext uri="{FF2B5EF4-FFF2-40B4-BE49-F238E27FC236}">
              <a16:creationId xmlns:a16="http://schemas.microsoft.com/office/drawing/2014/main" id="{C3AD234C-1145-62BD-DC3C-63B4A964DB7C}"/>
            </a:ext>
          </a:extLst>
        </xdr:cNvPr>
        <xdr:cNvSpPr/>
      </xdr:nvSpPr>
      <xdr:spPr>
        <a:xfrm rot="5400000">
          <a:off x="3871335" y="2132300"/>
          <a:ext cx="736023" cy="266989"/>
        </a:xfrm>
        <a:prstGeom prst="trapezoid">
          <a:avLst>
            <a:gd name="adj" fmla="val 62838"/>
          </a:avLst>
        </a:prstGeom>
        <a:solidFill>
          <a:schemeClr val="accent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12</xdr:col>
      <xdr:colOff>423334</xdr:colOff>
      <xdr:row>36</xdr:row>
      <xdr:rowOff>22280</xdr:rowOff>
    </xdr:from>
    <xdr:to>
      <xdr:col>16</xdr:col>
      <xdr:colOff>1027</xdr:colOff>
      <xdr:row>38</xdr:row>
      <xdr:rowOff>33984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04A5CA8-9C42-7A8B-9158-2E32B571E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65088" y="6840175"/>
          <a:ext cx="2028571" cy="390476"/>
        </a:xfrm>
        <a:prstGeom prst="rect">
          <a:avLst/>
        </a:prstGeom>
      </xdr:spPr>
    </xdr:pic>
    <xdr:clientData/>
  </xdr:twoCellAnchor>
  <xdr:twoCellAnchor>
    <xdr:from>
      <xdr:col>6</xdr:col>
      <xdr:colOff>21896</xdr:colOff>
      <xdr:row>10</xdr:row>
      <xdr:rowOff>10948</xdr:rowOff>
    </xdr:from>
    <xdr:to>
      <xdr:col>6</xdr:col>
      <xdr:colOff>459827</xdr:colOff>
      <xdr:row>14</xdr:row>
      <xdr:rowOff>10948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3EF946D-CC85-A798-1DDA-8B32CBFE520A}"/>
            </a:ext>
          </a:extLst>
        </xdr:cNvPr>
        <xdr:cNvSpPr/>
      </xdr:nvSpPr>
      <xdr:spPr>
        <a:xfrm>
          <a:off x="3700517" y="1872155"/>
          <a:ext cx="437931" cy="744483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18</xdr:col>
      <xdr:colOff>585611</xdr:colOff>
      <xdr:row>29</xdr:row>
      <xdr:rowOff>156449</xdr:rowOff>
    </xdr:from>
    <xdr:to>
      <xdr:col>27</xdr:col>
      <xdr:colOff>162947</xdr:colOff>
      <xdr:row>67</xdr:row>
      <xdr:rowOff>107208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1B7CAAF-A558-29BB-30A5-540E4B034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r="10940"/>
        <a:stretch/>
      </xdr:blipFill>
      <xdr:spPr>
        <a:xfrm>
          <a:off x="11619886" y="5494130"/>
          <a:ext cx="5043857" cy="6944962"/>
        </a:xfrm>
        <a:prstGeom prst="rect">
          <a:avLst/>
        </a:prstGeom>
      </xdr:spPr>
    </xdr:pic>
    <xdr:clientData/>
  </xdr:twoCellAnchor>
  <xdr:twoCellAnchor editAs="oneCell">
    <xdr:from>
      <xdr:col>30</xdr:col>
      <xdr:colOff>249837</xdr:colOff>
      <xdr:row>1</xdr:row>
      <xdr:rowOff>62459</xdr:rowOff>
    </xdr:from>
    <xdr:to>
      <xdr:col>33</xdr:col>
      <xdr:colOff>41640</xdr:colOff>
      <xdr:row>23</xdr:row>
      <xdr:rowOff>647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2247125-4952-5E30-92DB-2949F068B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18771" y="249836"/>
          <a:ext cx="1634344" cy="4060483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absoluteAnchor>
    <xdr:pos x="609600" y="368300"/>
    <xdr:ext cx="8652565" cy="62892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56FD59-A967-4FAD-9687-BBC9493BE2A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twoCellAnchor editAs="oneCell">
    <xdr:from>
      <xdr:col>15</xdr:col>
      <xdr:colOff>227346</xdr:colOff>
      <xdr:row>1</xdr:row>
      <xdr:rowOff>62715</xdr:rowOff>
    </xdr:from>
    <xdr:to>
      <xdr:col>31</xdr:col>
      <xdr:colOff>246235</xdr:colOff>
      <xdr:row>36</xdr:row>
      <xdr:rowOff>49609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A8599C-A2C8-D798-1E2E-F06A94F48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05862" y="251231"/>
          <a:ext cx="9702639" cy="6584941"/>
        </a:xfrm>
        <a:prstGeom prst="rect">
          <a:avLst/>
        </a:prstGeom>
      </xdr:spPr>
    </xdr:pic>
    <xdr:clientData/>
  </xdr:twoCellAnchor>
</xdr:wsDr>
</file>

<file path=xl/drawings/drawing68.xml><?xml version="1.0" encoding="utf-8"?>
<c:userShapes xmlns:c="http://schemas.openxmlformats.org/drawingml/2006/chart">
  <cdr:relSizeAnchor xmlns:cdr="http://schemas.openxmlformats.org/drawingml/2006/chartDrawing">
    <cdr:from>
      <cdr:x>0.00587</cdr:x>
      <cdr:y>0.00809</cdr:y>
    </cdr:from>
    <cdr:to>
      <cdr:x>0.97956</cdr:x>
      <cdr:y>0.19367</cdr:y>
    </cdr:to>
    <cdr:grpSp>
      <cdr:nvGrpSpPr>
        <cdr:cNvPr id="2" name="Group 1">
          <a:extLst xmlns:a="http://schemas.openxmlformats.org/drawingml/2006/main">
            <a:ext uri="{FF2B5EF4-FFF2-40B4-BE49-F238E27FC236}">
              <a16:creationId xmlns:a16="http://schemas.microsoft.com/office/drawing/2014/main" id="{C2285A81-09DD-02A4-4A46-600D448B826B}"/>
            </a:ext>
          </a:extLst>
        </cdr:cNvPr>
        <cdr:cNvGrpSpPr/>
      </cdr:nvGrpSpPr>
      <cdr:grpSpPr>
        <a:xfrm xmlns:a="http://schemas.openxmlformats.org/drawingml/2006/main">
          <a:off x="50791" y="50880"/>
          <a:ext cx="8424916" cy="1167161"/>
          <a:chOff x="0" y="0"/>
          <a:chExt cx="8414311" cy="1159897"/>
        </a:xfrm>
      </cdr:grpSpPr>
      <cdr:sp macro="" textlink="">
        <cdr:nvSpPr>
          <cdr:cNvPr id="3" name="TextBox 2">
            <a:extLst xmlns:a="http://schemas.openxmlformats.org/drawingml/2006/main">
              <a:ext uri="{FF2B5EF4-FFF2-40B4-BE49-F238E27FC236}">
                <a16:creationId xmlns:a16="http://schemas.microsoft.com/office/drawing/2014/main" id="{07CE1087-246E-16A8-4FEC-E29177B38A1E}"/>
              </a:ext>
            </a:extLst>
          </cdr:cNvPr>
          <cdr:cNvSpPr txBox="1"/>
        </cdr:nvSpPr>
        <cdr:spPr>
          <a:xfrm xmlns:a="http://schemas.openxmlformats.org/drawingml/2006/main">
            <a:off x="0" y="836547"/>
            <a:ext cx="8414307" cy="323350"/>
          </a:xfrm>
          <a:prstGeom xmlns:a="http://schemas.openxmlformats.org/drawingml/2006/main" prst="rect">
            <a:avLst/>
          </a:prstGeom>
          <a:solidFill xmlns:a="http://schemas.openxmlformats.org/drawingml/2006/main">
            <a:srgbClr val="FFD9FF"/>
          </a:solidFill>
        </cdr:spPr>
        <cdr:txBody>
          <a:bodyPr xmlns:a="http://schemas.openxmlformats.org/drawingml/2006/main" wrap="square" rtlCol="0" anchor="ctr" anchorCtr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000" b="1" u="sng">
                <a:solidFill>
                  <a:srgbClr val="1F497D"/>
                </a:solidFill>
              </a:rPr>
              <a:t>Condition #</a:t>
            </a:r>
            <a:r>
              <a:rPr lang="en-US" sz="1000" b="1" u="none">
                <a:solidFill>
                  <a:srgbClr val="1F497D"/>
                </a:solidFill>
              </a:rPr>
              <a:t>                                    </a:t>
            </a:r>
            <a:r>
              <a:rPr lang="en-US" sz="1000" b="1" u="sng">
                <a:solidFill>
                  <a:srgbClr val="1F497D"/>
                </a:solidFill>
              </a:rPr>
              <a:t>1 (Aging)</a:t>
            </a:r>
            <a:r>
              <a:rPr lang="en-US" sz="1000" b="1" u="none">
                <a:solidFill>
                  <a:srgbClr val="1F497D"/>
                </a:solidFill>
              </a:rPr>
              <a:t>                                                                                 </a:t>
            </a:r>
            <a:r>
              <a:rPr lang="en-US" sz="1000" b="1" u="sng">
                <a:solidFill>
                  <a:srgbClr val="1F497D"/>
                </a:solidFill>
              </a:rPr>
              <a:t>2</a:t>
            </a:r>
            <a:r>
              <a:rPr lang="en-US" sz="1000" b="1" u="none">
                <a:solidFill>
                  <a:srgbClr val="1F497D"/>
                </a:solidFill>
              </a:rPr>
              <a:t>       </a:t>
            </a:r>
            <a:endParaRPr lang="en-US" sz="1000" b="1" u="sng">
              <a:solidFill>
                <a:srgbClr val="1F497D"/>
              </a:solidFill>
            </a:endParaRPr>
          </a:p>
          <a:p xmlns:a="http://schemas.openxmlformats.org/drawingml/2006/main"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000" b="1" u="none">
                <a:solidFill>
                  <a:srgbClr val="0000FF"/>
                </a:solidFill>
              </a:rPr>
              <a:t>1040</a:t>
            </a:r>
            <a:r>
              <a:rPr lang="en-US" sz="1000" b="1" u="none" baseline="30000">
                <a:solidFill>
                  <a:srgbClr val="0000FF"/>
                </a:solidFill>
              </a:rPr>
              <a:t>o</a:t>
            </a:r>
            <a:r>
              <a:rPr lang="en-US" sz="1000" b="1" u="none">
                <a:solidFill>
                  <a:srgbClr val="0000FF"/>
                </a:solidFill>
              </a:rPr>
              <a:t>F+ Conv.                                  43%</a:t>
            </a:r>
            <a:r>
              <a:rPr lang="en-US" sz="1000" b="1" u="none" baseline="0">
                <a:solidFill>
                  <a:srgbClr val="0000FF"/>
                </a:solidFill>
              </a:rPr>
              <a:t> </a:t>
            </a:r>
            <a:r>
              <a:rPr lang="en-US" sz="1000" b="1" u="none">
                <a:solidFill>
                  <a:srgbClr val="0000FF"/>
                </a:solidFill>
              </a:rPr>
              <a:t>                                                                                    74%           </a:t>
            </a:r>
            <a:endParaRPr lang="en-US" sz="1000" b="1" u="sng">
              <a:solidFill>
                <a:srgbClr val="0000FF"/>
              </a:solidFill>
            </a:endParaRPr>
          </a:p>
        </cdr:txBody>
      </cdr:sp>
      <cdr:sp macro="" textlink="">
        <cdr:nvSpPr>
          <cdr:cNvPr id="4" name="TextBox 2">
            <a:extLst xmlns:a="http://schemas.openxmlformats.org/drawingml/2006/main">
              <a:ext uri="{FF2B5EF4-FFF2-40B4-BE49-F238E27FC236}">
                <a16:creationId xmlns:a16="http://schemas.microsoft.com/office/drawing/2014/main" id="{CEDE49E1-AA10-C69B-C133-EEF0C8232342}"/>
              </a:ext>
            </a:extLst>
          </cdr:cNvPr>
          <cdr:cNvSpPr txBox="1"/>
        </cdr:nvSpPr>
        <cdr:spPr>
          <a:xfrm xmlns:a="http://schemas.openxmlformats.org/drawingml/2006/main">
            <a:off x="3041" y="231885"/>
            <a:ext cx="8404067" cy="604662"/>
          </a:xfrm>
          <a:prstGeom xmlns:a="http://schemas.openxmlformats.org/drawingml/2006/main" prst="rect">
            <a:avLst/>
          </a:prstGeom>
          <a:solidFill xmlns:a="http://schemas.openxmlformats.org/drawingml/2006/main">
            <a:srgbClr val="FFFFCC"/>
          </a:solidFill>
        </cdr:spPr>
        <cdr:txBody>
          <a:bodyPr xmlns:a="http://schemas.openxmlformats.org/drawingml/2006/main" wrap="square" rtlCol="0" anchor="ctr" anchorCtr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n-US" sz="1000" b="0" i="0" u="none">
                <a:solidFill>
                  <a:sysClr val="windowText" lastClr="000000"/>
                </a:solidFill>
                <a:latin typeface="+mn-lt"/>
              </a:rPr>
              <a:t>Feed                   &lt;----------------------------------------------------------------------------------------ME VR-------</a:t>
            </a:r>
            <a:r>
              <a:rPr lang="en-US" sz="1000" b="0" i="0" u="none" baseline="0">
                <a:solidFill>
                  <a:sysClr val="windowText" lastClr="000000"/>
                </a:solidFill>
                <a:latin typeface="+mn-lt"/>
              </a:rPr>
              <a:t>-----------------------------------------------------------------------&gt;</a:t>
            </a:r>
            <a:endParaRPr lang="en-US" sz="1000" b="0" i="0" u="none">
              <a:solidFill>
                <a:sysClr val="windowText" lastClr="000000"/>
              </a:solidFill>
              <a:latin typeface="Agency FB" panose="020B0503020202020204" pitchFamily="34" charset="0"/>
            </a:endParaRPr>
          </a:p>
          <a:p xmlns:a="http://schemas.openxmlformats.org/drawingml/2006/main"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000" b="0" baseline="0">
                <a:solidFill>
                  <a:srgbClr val="FF00FF"/>
                </a:solidFill>
                <a:effectLst/>
                <a:latin typeface="+mn-lt"/>
                <a:ea typeface="+mn-ea"/>
                <a:cs typeface="+mn-cs"/>
              </a:rPr>
              <a:t>VR Split              &lt;-----------------------75/25-----------------&gt; &lt;------------------------------------100/0-------------------------------------------------------------------------------&gt;</a:t>
            </a:r>
            <a:endParaRPr lang="en-US" sz="900" b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endParaRPr>
          </a:p>
          <a:p xmlns:a="http://schemas.openxmlformats.org/drawingml/2006/main"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000" b="0" baseline="0">
                <a:solidFill>
                  <a:srgbClr val="FF00FF"/>
                </a:solidFill>
                <a:effectLst/>
                <a:latin typeface="+mn-lt"/>
                <a:ea typeface="+mn-ea"/>
                <a:cs typeface="+mn-cs"/>
              </a:rPr>
              <a:t>LCF LHSV           &lt;-----------------------0.378-----------------&gt; &lt;-------------------------------------0.230-------------------------------------------------------------------------------&gt;</a:t>
            </a:r>
            <a:endParaRPr lang="en-US" sz="900">
              <a:solidFill>
                <a:srgbClr val="0000FF"/>
              </a:solidFill>
              <a:effectLst/>
              <a:latin typeface="+mn-lt"/>
            </a:endParaRPr>
          </a:p>
          <a:p xmlns:a="http://schemas.openxmlformats.org/drawingml/2006/main"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000" b="0" u="none" baseline="0">
                <a:solidFill>
                  <a:srgbClr val="FF0000"/>
                </a:solidFill>
                <a:latin typeface="+mn-lt"/>
              </a:rPr>
              <a:t>Temp., </a:t>
            </a:r>
            <a:r>
              <a:rPr lang="en-US" sz="1000" b="0" u="none" baseline="30000">
                <a:solidFill>
                  <a:srgbClr val="FF0000"/>
                </a:solidFill>
                <a:latin typeface="+mn-lt"/>
              </a:rPr>
              <a:t>o</a:t>
            </a:r>
            <a:r>
              <a:rPr lang="en-US" sz="1000" b="0" u="none" baseline="0">
                <a:solidFill>
                  <a:srgbClr val="FF0000"/>
                </a:solidFill>
                <a:latin typeface="+mn-lt"/>
              </a:rPr>
              <a:t>C          &lt;------------------399/405/407------------&gt; &lt;--------------------------------</a:t>
            </a:r>
            <a:r>
              <a:rPr lang="en-US" sz="1000" b="0" baseline="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423/423/423</a:t>
            </a:r>
            <a:r>
              <a:rPr lang="en-US" sz="1000" b="0" u="none" baseline="0">
                <a:solidFill>
                  <a:srgbClr val="FF0000"/>
                </a:solidFill>
                <a:latin typeface="+mn-lt"/>
              </a:rPr>
              <a:t>-</a:t>
            </a:r>
            <a:r>
              <a:rPr lang="en-US" sz="1000" b="0" baseline="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-------------------------------------------------------------------------&gt;</a:t>
            </a:r>
            <a:endParaRPr lang="en-US" sz="1000" b="0" u="none" baseline="0">
              <a:solidFill>
                <a:srgbClr val="FF0000"/>
              </a:solidFill>
              <a:latin typeface="+mn-lt"/>
            </a:endParaRPr>
          </a:p>
        </cdr:txBody>
      </cdr:sp>
      <cdr:sp macro="" textlink="">
        <cdr:nvSpPr>
          <cdr:cNvPr id="5" name="TextBox 2">
            <a:extLst xmlns:a="http://schemas.openxmlformats.org/drawingml/2006/main">
              <a:ext uri="{FF2B5EF4-FFF2-40B4-BE49-F238E27FC236}">
                <a16:creationId xmlns:a16="http://schemas.microsoft.com/office/drawing/2014/main" id="{0DDD9282-0942-06C9-94F7-07230BB193A7}"/>
              </a:ext>
            </a:extLst>
          </cdr:cNvPr>
          <cdr:cNvSpPr txBox="1"/>
        </cdr:nvSpPr>
        <cdr:spPr>
          <a:xfrm xmlns:a="http://schemas.openxmlformats.org/drawingml/2006/main">
            <a:off x="7412" y="0"/>
            <a:ext cx="8406899" cy="245550"/>
          </a:xfrm>
          <a:prstGeom xmlns:a="http://schemas.openxmlformats.org/drawingml/2006/main" prst="rect">
            <a:avLst/>
          </a:prstGeom>
          <a:solidFill xmlns:a="http://schemas.openxmlformats.org/drawingml/2006/main">
            <a:srgbClr val="CCFFCC"/>
          </a:solidFill>
        </cdr:spPr>
        <cdr:txBody>
          <a:bodyPr xmlns:a="http://schemas.openxmlformats.org/drawingml/2006/main" wrap="square" rtlCol="0" anchor="ctr" anchorCtr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 rtl="0"/>
            <a:r>
              <a:rPr lang="en-US" sz="1600" b="1" i="0" baseline="0">
                <a:effectLst/>
                <a:latin typeface="+mn-lt"/>
                <a:ea typeface="+mn-ea"/>
                <a:cs typeface="+mn-cs"/>
              </a:rPr>
              <a:t>Run 91-376: GR611/HSLS/HSLS 2023 Thai Oil MEBU Reference Test</a:t>
            </a:r>
            <a:endParaRPr lang="en-US" sz="1600">
              <a:effectLst/>
            </a:endParaRPr>
          </a:p>
        </cdr:txBody>
      </cdr:sp>
    </cdr:grpSp>
  </cdr:relSizeAnchor>
</c:userShapes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24947</xdr:colOff>
      <xdr:row>4</xdr:row>
      <xdr:rowOff>296333</xdr:rowOff>
    </xdr:from>
    <xdr:to>
      <xdr:col>12</xdr:col>
      <xdr:colOff>0</xdr:colOff>
      <xdr:row>4</xdr:row>
      <xdr:rowOff>671285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536F382-5EE4-4D84-BD9B-3E9AEE659204}"/>
            </a:ext>
          </a:extLst>
        </xdr:cNvPr>
        <xdr:cNvSpPr txBox="1"/>
      </xdr:nvSpPr>
      <xdr:spPr>
        <a:xfrm>
          <a:off x="3537767" y="1698413"/>
          <a:ext cx="8913313" cy="374952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alpha val="84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600">
              <a:effectLst/>
            </a:rPr>
            <a:t>LIMS: -</a:t>
          </a:r>
          <a:endParaRPr lang="th-TH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26</xdr:col>
      <xdr:colOff>507973</xdr:colOff>
      <xdr:row>5</xdr:row>
      <xdr:rowOff>331333</xdr:rowOff>
    </xdr:from>
    <xdr:to>
      <xdr:col>38</xdr:col>
      <xdr:colOff>559325</xdr:colOff>
      <xdr:row>26</xdr:row>
      <xdr:rowOff>100785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FC93DD-6A5F-460E-AA3E-6F60A8F3D3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482057</xdr:colOff>
      <xdr:row>27</xdr:row>
      <xdr:rowOff>175218</xdr:rowOff>
    </xdr:from>
    <xdr:to>
      <xdr:col>33</xdr:col>
      <xdr:colOff>140174</xdr:colOff>
      <xdr:row>40</xdr:row>
      <xdr:rowOff>146694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F637B3-0FBB-1942-41FF-1E9BD8DD3C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158512</xdr:colOff>
      <xdr:row>27</xdr:row>
      <xdr:rowOff>175219</xdr:rowOff>
    </xdr:from>
    <xdr:to>
      <xdr:col>41</xdr:col>
      <xdr:colOff>318654</xdr:colOff>
      <xdr:row>40</xdr:row>
      <xdr:rowOff>146695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3FF7E14-7115-3747-BC97-03C64CB11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561283</xdr:colOff>
      <xdr:row>40</xdr:row>
      <xdr:rowOff>153448</xdr:rowOff>
    </xdr:from>
    <xdr:to>
      <xdr:col>33</xdr:col>
      <xdr:colOff>155369</xdr:colOff>
      <xdr:row>53</xdr:row>
      <xdr:rowOff>124924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AD1A1EB-954A-44D4-838B-B5E0C23815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135256</xdr:colOff>
      <xdr:row>40</xdr:row>
      <xdr:rowOff>139594</xdr:rowOff>
    </xdr:from>
    <xdr:to>
      <xdr:col>41</xdr:col>
      <xdr:colOff>319892</xdr:colOff>
      <xdr:row>53</xdr:row>
      <xdr:rowOff>111070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931D2F7-3C98-A250-6647-421F8F8C37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51</xdr:col>
      <xdr:colOff>476249</xdr:colOff>
      <xdr:row>6</xdr:row>
      <xdr:rowOff>11339</xdr:rowOff>
    </xdr:from>
    <xdr:to>
      <xdr:col>68</xdr:col>
      <xdr:colOff>175157</xdr:colOff>
      <xdr:row>31</xdr:row>
      <xdr:rowOff>178193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2BB12AB-DF6C-4540-9444-0F4482F162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808182</xdr:colOff>
      <xdr:row>56</xdr:row>
      <xdr:rowOff>202045</xdr:rowOff>
    </xdr:from>
    <xdr:to>
      <xdr:col>39</xdr:col>
      <xdr:colOff>224534</xdr:colOff>
      <xdr:row>82</xdr:row>
      <xdr:rowOff>43656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2053B17-3FCB-4962-84E0-A35CE85CE4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25346</xdr:colOff>
      <xdr:row>0</xdr:row>
      <xdr:rowOff>340113</xdr:rowOff>
    </xdr:from>
    <xdr:to>
      <xdr:col>19</xdr:col>
      <xdr:colOff>312964</xdr:colOff>
      <xdr:row>3</xdr:row>
      <xdr:rowOff>63409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C3A9D78-E668-4494-B7F6-971753B40EFF}"/>
            </a:ext>
          </a:extLst>
        </xdr:cNvPr>
        <xdr:cNvSpPr txBox="1"/>
      </xdr:nvSpPr>
      <xdr:spPr>
        <a:xfrm>
          <a:off x="25346" y="340113"/>
          <a:ext cx="17722178" cy="485296"/>
        </a:xfrm>
        <a:prstGeom prst="rect">
          <a:avLst/>
        </a:prstGeom>
        <a:solidFill>
          <a:schemeClr val="bg1">
            <a:lumMod val="95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u="sng"/>
            <a:t>Remark</a:t>
          </a:r>
        </a:p>
        <a:p>
          <a:r>
            <a:rPr lang="en-US" sz="1200" b="1"/>
            <a:t>	Request</a:t>
          </a:r>
          <a:r>
            <a:rPr lang="en-US" sz="1200" b="1" baseline="0"/>
            <a:t> by SCEP</a:t>
          </a:r>
          <a:endParaRPr lang="en-US" sz="12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01_Master_MEBU%20Result%20(Repeat%20Acceptance%20Test)_Feb-Mar'26_0.5uL.xlsx" TargetMode="External"/><Relationship Id="rId1" Type="http://schemas.openxmlformats.org/officeDocument/2006/relationships/externalLinkPath" Target="file:///Z:\01_Master_MEBU%20Result%20(Repeat%20Acceptance%20Test)_Feb-Mar'26_0.5u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haioilgroup0-my.sharepoint.com/personal/nikomc_thaioilgroup_com/Documents/Desktop/RHCU%20Pilot%20Unit/MEBU%20Acceptance%20Test/Copy%20of%20For%20Thai%20Oil_91-376_Data%20Spreadsheet_TOP%20MEBU%20Reference%20Test%20(005).xlsm" TargetMode="External"/><Relationship Id="rId1" Type="http://schemas.openxmlformats.org/officeDocument/2006/relationships/externalLinkPath" Target="https://thaioilgroup0-my.sharepoint.com/personal/nikomc_thaioilgroup_com/Documents/Desktop/RHCU%20Pilot%20Unit/MEBU%20Acceptance%20Test/Copy%20of%20For%20Thai%20Oil_91-376_Data%20Spreadsheet_TOP%20MEBU%20Reference%20Test%20(005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b Results Summary"/>
      <sheetName val="LTO DAILY"/>
      <sheetName val="ISV"/>
      <sheetName val="HPS DAILY"/>
      <sheetName val="HPS LTO DAILY "/>
      <sheetName val="Master Template"/>
      <sheetName val="CrkConv"/>
      <sheetName val="MetConv(Ni+V)"/>
      <sheetName val="SConv"/>
      <sheetName val="MCRConv"/>
      <sheetName val="SedM"/>
      <sheetName val="MoC"/>
      <sheetName val="Breakdown Yld"/>
      <sheetName val="Sheet1"/>
      <sheetName val="LSHS Master Template"/>
      <sheetName val="LSHS LTO DAILY"/>
      <sheetName val="LSHS HPS DAILY"/>
      <sheetName val="CONVERSION D0"/>
      <sheetName val="Condition"/>
      <sheetName val="ABQ3358"/>
      <sheetName val="LCF R1 Products"/>
      <sheetName val="LCF R2 Products"/>
      <sheetName val="Kinetic"/>
      <sheetName val="CII"/>
      <sheetName val="FeedStock_Summ"/>
      <sheetName val="MetConv_Ni_V"/>
      <sheetName val="API"/>
      <sheetName val="LTO Split"/>
      <sheetName val="560+"/>
      <sheetName val="Rx"/>
      <sheetName val="To do list"/>
      <sheetName val="Sheet3"/>
      <sheetName val="HPS Comparing"/>
      <sheetName val="SCEP FULL TEST"/>
      <sheetName val="Master Template (repro-)"/>
      <sheetName val="Master Template (repro+)"/>
      <sheetName val="HPS DAILY (repro-)"/>
      <sheetName val="HPS DAILY (repro+)"/>
      <sheetName val="LTO DAILY (repro-)"/>
      <sheetName val="LTO DAILY (repro+)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komC"/>
      <sheetName val="1"/>
      <sheetName val="TOP HVGO"/>
      <sheetName val="Protocol"/>
      <sheetName val="Inter-Rx"/>
      <sheetName val="Simdist of Product"/>
      <sheetName val="Cutpoint"/>
      <sheetName val="P091R0376"/>
      <sheetName val="91_376_Calcs"/>
      <sheetName val="91_376_Feeds"/>
      <sheetName val="BreakdownYld"/>
      <sheetName val="MoC"/>
      <sheetName val="Crk"/>
      <sheetName val="CatConv"/>
      <sheetName val="HDM"/>
      <sheetName val="500Yld"/>
      <sheetName val="SedM"/>
      <sheetName val="SedMCrk"/>
      <sheetName val="MCR in product"/>
      <sheetName val="AsphalteneinHPS"/>
      <sheetName val="560+inProduct"/>
      <sheetName val="S Product"/>
      <sheetName val="N in Product"/>
      <sheetName val="Metal in product"/>
      <sheetName val="RxTempC"/>
      <sheetName val="LHSV"/>
      <sheetName val="Chart9"/>
      <sheetName val="Chart10"/>
      <sheetName val="Chart11"/>
      <sheetName val="RxTempF"/>
      <sheetName val="Chart15"/>
      <sheetName val="Chart16"/>
      <sheetName val="Chart17"/>
      <sheetName val="Chart18"/>
      <sheetName val="Chart19"/>
      <sheetName val="Chart20"/>
      <sheetName val="Chart21"/>
      <sheetName val="LTO split"/>
      <sheetName val="Chart23"/>
      <sheetName val="Chart24"/>
      <sheetName val="Chart25"/>
      <sheetName val="Chart26"/>
      <sheetName val="Chart30"/>
      <sheetName val="Chart33"/>
      <sheetName val="Chart3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D4">
            <v>1</v>
          </cell>
          <cell r="NG4">
            <v>400.11111111111109</v>
          </cell>
          <cell r="NH4">
            <v>405.28703703703712</v>
          </cell>
          <cell r="NI4">
            <v>409</v>
          </cell>
          <cell r="NJ4">
            <v>404.79938271604948</v>
          </cell>
        </row>
        <row r="5">
          <cell r="D5">
            <v>2</v>
          </cell>
          <cell r="GA5"/>
          <cell r="GC5"/>
          <cell r="NG5">
            <v>399.11111111111114</v>
          </cell>
          <cell r="NH5">
            <v>405.62037037037044</v>
          </cell>
          <cell r="NI5">
            <v>408.75925925925924</v>
          </cell>
          <cell r="NJ5">
            <v>404.49691358024694</v>
          </cell>
        </row>
        <row r="6">
          <cell r="D6">
            <v>3</v>
          </cell>
          <cell r="GA6"/>
          <cell r="GC6"/>
          <cell r="NG6">
            <v>399.11111111111114</v>
          </cell>
          <cell r="NH6">
            <v>405.83333333333331</v>
          </cell>
          <cell r="NI6">
            <v>407.22222222222223</v>
          </cell>
          <cell r="NJ6">
            <v>404.0555555555556</v>
          </cell>
        </row>
        <row r="7">
          <cell r="D7">
            <v>4</v>
          </cell>
          <cell r="GA7">
            <v>4.5</v>
          </cell>
          <cell r="GC7">
            <v>-20</v>
          </cell>
          <cell r="NG7">
            <v>399.11111111111114</v>
          </cell>
          <cell r="NH7">
            <v>405.72222222222229</v>
          </cell>
          <cell r="NI7">
            <v>407.22222222222223</v>
          </cell>
          <cell r="NJ7">
            <v>404.01851851851859</v>
          </cell>
        </row>
        <row r="8">
          <cell r="D8">
            <v>5</v>
          </cell>
          <cell r="GA8">
            <v>4.51</v>
          </cell>
          <cell r="GC8">
            <v>18000</v>
          </cell>
          <cell r="NG8">
            <v>420.65740740740745</v>
          </cell>
          <cell r="NH8">
            <v>421.6018518518519</v>
          </cell>
          <cell r="NI8">
            <v>421.77777777777777</v>
          </cell>
          <cell r="NJ8">
            <v>421.34567901234573</v>
          </cell>
        </row>
        <row r="9">
          <cell r="D9">
            <v>6</v>
          </cell>
          <cell r="GA9"/>
          <cell r="GC9"/>
          <cell r="NG9">
            <v>423.24074074074076</v>
          </cell>
          <cell r="NH9">
            <v>423.03703703703712</v>
          </cell>
          <cell r="NI9">
            <v>423.00000000000006</v>
          </cell>
          <cell r="NJ9">
            <v>423.09259259259261</v>
          </cell>
        </row>
        <row r="10">
          <cell r="D10">
            <v>7</v>
          </cell>
          <cell r="GA10"/>
          <cell r="GC10"/>
          <cell r="NG10">
            <v>423.44444444444446</v>
          </cell>
          <cell r="NH10">
            <v>423.0555555555556</v>
          </cell>
          <cell r="NI10">
            <v>423.00000000000006</v>
          </cell>
          <cell r="NJ10">
            <v>423.16666666666674</v>
          </cell>
        </row>
        <row r="11">
          <cell r="D11">
            <v>8</v>
          </cell>
          <cell r="GA11"/>
          <cell r="GC11"/>
          <cell r="NG11">
            <v>423.44444444444446</v>
          </cell>
          <cell r="NH11">
            <v>423.22222222222229</v>
          </cell>
          <cell r="NI11">
            <v>423.00000000000006</v>
          </cell>
          <cell r="NJ11">
            <v>423.22222222222229</v>
          </cell>
        </row>
        <row r="12">
          <cell r="D12">
            <v>9</v>
          </cell>
          <cell r="GA12"/>
          <cell r="GC12"/>
          <cell r="NG12">
            <v>423.44444444444446</v>
          </cell>
          <cell r="NH12">
            <v>423.22222222222229</v>
          </cell>
          <cell r="NI12">
            <v>423.00000000000006</v>
          </cell>
          <cell r="NJ12">
            <v>423.22222222222229</v>
          </cell>
        </row>
        <row r="13">
          <cell r="D13">
            <v>10</v>
          </cell>
          <cell r="GA13"/>
          <cell r="GC13"/>
          <cell r="NG13">
            <v>423.46296296296305</v>
          </cell>
          <cell r="NH13">
            <v>423.24074074074076</v>
          </cell>
          <cell r="NI13">
            <v>423.00000000000006</v>
          </cell>
          <cell r="NJ13">
            <v>423.2345679012347</v>
          </cell>
        </row>
        <row r="14">
          <cell r="D14">
            <v>11</v>
          </cell>
          <cell r="GA14"/>
          <cell r="GC14"/>
          <cell r="NG14">
            <v>423.2592592592593</v>
          </cell>
          <cell r="NH14">
            <v>423.42592592592598</v>
          </cell>
          <cell r="NI14">
            <v>423.00000000000006</v>
          </cell>
          <cell r="NJ14">
            <v>423.22839506172841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TOP EOSL-A-ST-Krongkiat" id="{A3DA0FFC-5377-46BB-A874-FB2E428598F8}" userId="S::krongkiat@thaioilgroup.com::8be363cb-14e6-4581-84c5-ff3b19c1c152" providerId="AD"/>
</personList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56</v>
    <v>8</v>
    <v>50</v>
    <v>6</v>
  </rv>
  <rv s="1">
    <v>8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8" dT="2024-12-25T06:58:12.22" personId="{A3DA0FFC-5377-46BB-A874-FB2E428598F8}" id="{A3C03ADD-A0FD-4BB3-96B6-B676146E0AA2}">
    <text>ASTM D2622 0.1560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T18" dT="2024-12-25T06:58:12.22" personId="{A3DA0FFC-5377-46BB-A874-FB2E428598F8}" id="{49ED0550-414B-4B91-B945-E5EF9ADE7D0D}">
    <text>ASTM D2622 0.1560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T18" dT="2024-12-25T06:58:12.22" personId="{A3DA0FFC-5377-46BB-A874-FB2E428598F8}" id="{06E53C49-46E7-4073-9583-DFCB8A8F96DC}">
    <text>ASTM D2622 0.1560</text>
  </threadedComment>
</ThreadedComments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50" row="5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4E52AA77-1DA2-4ADF-8BD4-827EBE59CA28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cjLpKp--3kij5fhtrDvXI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FC74A0A5-D40B-4245-8F40-DAD94E122D43}">
  <we:reference id="WA104100404" version="3.0.0.1" store="Omex" storeType="OMEX"/>
  <we:alternateReferences>
    <we:reference id="WA104100404" version="3.0.0.1" store="WA10410040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BAE721D7-0191-4F08-8F98-B50F7C3836F5}">
  <we:reference id="WA200009404" version="1.0.0.5" store="Omex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1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9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21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11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23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24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26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7.bin"/><Relationship Id="rId4" Type="http://schemas.microsoft.com/office/2017/10/relationships/threadedComment" Target="../threadedComments/threadedComment2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8.bin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1029E-561A-432E-8319-0C66AE763BA6}">
  <sheetPr codeName="Sheet2">
    <tabColor theme="6" tint="0.59999389629810485"/>
    <pageSetUpPr fitToPage="1"/>
  </sheetPr>
  <dimension ref="D35:M172"/>
  <sheetViews>
    <sheetView topLeftCell="Z10" zoomScaleNormal="100" zoomScaleSheetLayoutView="69" zoomScalePageLayoutView="70" workbookViewId="0">
      <selection activeCell="AN3" sqref="AN3"/>
    </sheetView>
  </sheetViews>
  <sheetFormatPr defaultColWidth="8.7265625" defaultRowHeight="14.5" x14ac:dyDescent="0.35"/>
  <cols>
    <col min="1" max="2" width="8.7265625" style="142"/>
    <col min="3" max="3" width="12.7265625" style="142" customWidth="1"/>
    <col min="4" max="6" width="10.81640625" style="142" bestFit="1" customWidth="1"/>
    <col min="7" max="8" width="8.7265625" style="142"/>
    <col min="9" max="9" width="11.54296875" style="142" customWidth="1"/>
    <col min="10" max="10" width="8.7265625" style="142" customWidth="1"/>
    <col min="11" max="16384" width="8.7265625" style="142"/>
  </cols>
  <sheetData>
    <row r="35" spans="8:8" x14ac:dyDescent="0.35">
      <c r="H35" s="171"/>
    </row>
    <row r="157" spans="4:13" x14ac:dyDescent="0.35">
      <c r="D157" s="179" t="s">
        <v>1058</v>
      </c>
      <c r="E157" s="179" t="s">
        <v>922</v>
      </c>
      <c r="F157" s="179" t="s">
        <v>923</v>
      </c>
      <c r="G157" s="179" t="s">
        <v>924</v>
      </c>
      <c r="H157" s="179" t="s">
        <v>925</v>
      </c>
      <c r="I157" s="179" t="s">
        <v>1049</v>
      </c>
      <c r="J157" s="179" t="s">
        <v>922</v>
      </c>
      <c r="K157" s="179" t="s">
        <v>923</v>
      </c>
      <c r="L157" s="179" t="s">
        <v>924</v>
      </c>
      <c r="M157" s="179" t="s">
        <v>925</v>
      </c>
    </row>
    <row r="158" spans="4:13" x14ac:dyDescent="0.35">
      <c r="D158" s="179" t="s">
        <v>160</v>
      </c>
      <c r="E158" s="2601">
        <v>60.116</v>
      </c>
      <c r="F158" s="2601">
        <v>63.283000000000001</v>
      </c>
      <c r="G158" s="2601">
        <v>61.009</v>
      </c>
      <c r="H158" s="2601">
        <v>61.402000000000001</v>
      </c>
      <c r="I158" s="179" t="s">
        <v>160</v>
      </c>
      <c r="J158" s="2601">
        <v>59.673000000000002</v>
      </c>
      <c r="K158" s="2601">
        <v>58.045000000000002</v>
      </c>
      <c r="L158" s="2601">
        <v>59.301000000000002</v>
      </c>
      <c r="M158" s="2601">
        <v>59.833999999999996</v>
      </c>
    </row>
    <row r="159" spans="4:13" x14ac:dyDescent="0.35">
      <c r="D159" s="179" t="s">
        <v>1050</v>
      </c>
      <c r="E159" s="2601">
        <v>38.617032080432409</v>
      </c>
      <c r="F159" s="2601">
        <v>36.960459791175097</v>
      </c>
      <c r="G159" s="2601">
        <v>39.346283596715722</v>
      </c>
      <c r="H159" s="2601">
        <v>39.106101437805535</v>
      </c>
      <c r="I159" s="179" t="s">
        <v>1050</v>
      </c>
      <c r="J159" s="2601">
        <v>39.752163931065411</v>
      </c>
      <c r="K159" s="2601">
        <v>39.575540086785104</v>
      </c>
      <c r="L159" s="2601">
        <v>38.201039222490955</v>
      </c>
      <c r="M159" s="2601">
        <v>38.194674533306959</v>
      </c>
    </row>
    <row r="160" spans="4:13" x14ac:dyDescent="0.35">
      <c r="D160" s="179" t="s">
        <v>157</v>
      </c>
      <c r="E160" s="2601">
        <v>2.34</v>
      </c>
      <c r="F160" s="2601">
        <v>2.27</v>
      </c>
      <c r="G160" s="2601">
        <v>2.3340000000000001</v>
      </c>
      <c r="H160" s="2601">
        <v>2.3660000000000001</v>
      </c>
      <c r="I160" s="179" t="s">
        <v>157</v>
      </c>
      <c r="J160" s="2601">
        <v>2.16</v>
      </c>
      <c r="K160" s="2601">
        <v>2.3140000000000001</v>
      </c>
      <c r="L160" s="2601">
        <v>2.34</v>
      </c>
      <c r="M160" s="2601">
        <v>2.3410000000000002</v>
      </c>
    </row>
    <row r="161" spans="4:13" x14ac:dyDescent="0.35">
      <c r="D161" s="179" t="s">
        <v>1051</v>
      </c>
      <c r="E161" s="2601">
        <v>64.498987612700304</v>
      </c>
      <c r="F161" s="2601">
        <v>66.260538076075704</v>
      </c>
      <c r="G161" s="2601">
        <v>65.200068088983215</v>
      </c>
      <c r="H161" s="2601">
        <v>65.178077797459792</v>
      </c>
      <c r="I161" s="179" t="s">
        <v>1051</v>
      </c>
      <c r="J161" s="2601">
        <v>67.617686959423224</v>
      </c>
      <c r="K161" s="2601">
        <v>64.246703911659267</v>
      </c>
      <c r="L161" s="2601">
        <v>63.811025586716383</v>
      </c>
      <c r="M161" s="2601">
        <v>64.098664157327704</v>
      </c>
    </row>
    <row r="162" spans="4:13" x14ac:dyDescent="0.35">
      <c r="D162" s="179" t="s">
        <v>156</v>
      </c>
      <c r="E162" s="2601">
        <v>0.37859999999999999</v>
      </c>
      <c r="F162" s="2601">
        <v>0.38369999999999999</v>
      </c>
      <c r="G162" s="2601">
        <v>0.35399999999999998</v>
      </c>
      <c r="H162" s="2601">
        <v>0.38159999999999999</v>
      </c>
      <c r="I162" s="179" t="s">
        <v>156</v>
      </c>
      <c r="J162" s="2601">
        <v>0.38516</v>
      </c>
      <c r="K162" s="2601">
        <v>0.40193499999999999</v>
      </c>
      <c r="L162" s="2601">
        <v>0.40989999999999999</v>
      </c>
      <c r="M162" s="2601">
        <v>0.42504500000000001</v>
      </c>
    </row>
    <row r="163" spans="4:13" x14ac:dyDescent="0.35">
      <c r="D163" s="179" t="s">
        <v>1052</v>
      </c>
      <c r="E163" s="2601">
        <v>38.689882177323334</v>
      </c>
      <c r="F163" s="2601">
        <v>39.321934701991587</v>
      </c>
      <c r="G163" s="2601">
        <v>43.4371551972229</v>
      </c>
      <c r="H163" s="2601">
        <v>39.672386452424909</v>
      </c>
      <c r="I163" s="179" t="s">
        <v>1052</v>
      </c>
      <c r="J163" s="2601">
        <v>38.243113838919115</v>
      </c>
      <c r="K163" s="2601">
        <v>33.529645818047953</v>
      </c>
      <c r="L163" s="2601">
        <v>32.081083788810211</v>
      </c>
      <c r="M163" s="2601">
        <v>30.166695440522346</v>
      </c>
    </row>
    <row r="164" spans="4:13" x14ac:dyDescent="0.35">
      <c r="D164" s="179" t="s">
        <v>1053</v>
      </c>
      <c r="E164" s="2601">
        <v>61.019999999999996</v>
      </c>
      <c r="F164" s="2601">
        <v>57.33</v>
      </c>
      <c r="G164" s="2601">
        <v>56.83</v>
      </c>
      <c r="H164" s="2601">
        <v>55.540000000000006</v>
      </c>
      <c r="I164" s="179" t="s">
        <v>1053</v>
      </c>
      <c r="J164" s="2601">
        <v>44.36</v>
      </c>
      <c r="K164" s="2601">
        <v>51.760000000000005</v>
      </c>
      <c r="L164" s="2601">
        <v>56.540000000000006</v>
      </c>
      <c r="M164" s="2601">
        <v>56.510000000000005</v>
      </c>
    </row>
    <row r="165" spans="4:13" x14ac:dyDescent="0.35">
      <c r="D165" s="179" t="s">
        <v>1054</v>
      </c>
      <c r="E165" s="2601">
        <v>78.072269550409914</v>
      </c>
      <c r="F165" s="2601">
        <v>79.901132240931815</v>
      </c>
      <c r="G165" s="2601">
        <v>80.115950339524659</v>
      </c>
      <c r="H165" s="2601">
        <v>80.61522293225029</v>
      </c>
      <c r="I165" s="179" t="s">
        <v>1054</v>
      </c>
      <c r="J165" s="2601">
        <v>84.237728945192984</v>
      </c>
      <c r="K165" s="2601">
        <v>81.037049879809729</v>
      </c>
      <c r="L165" s="2601">
        <v>79.263348335791747</v>
      </c>
      <c r="M165" s="2601">
        <v>79.456859272060996</v>
      </c>
    </row>
    <row r="166" spans="4:13" x14ac:dyDescent="0.35">
      <c r="D166" s="179" t="s">
        <v>1055</v>
      </c>
      <c r="E166" s="2601">
        <v>14.8</v>
      </c>
      <c r="F166" s="2601">
        <v>14.57</v>
      </c>
      <c r="G166" s="2601">
        <v>14.55</v>
      </c>
      <c r="H166" s="2601">
        <v>14.7</v>
      </c>
      <c r="I166" s="179" t="s">
        <v>1055</v>
      </c>
      <c r="J166" s="2601">
        <v>14.1</v>
      </c>
      <c r="K166" s="2601">
        <v>14.67</v>
      </c>
      <c r="L166" s="2601">
        <v>14.73</v>
      </c>
      <c r="M166" s="2601">
        <v>14.91</v>
      </c>
    </row>
    <row r="167" spans="4:13" x14ac:dyDescent="0.35">
      <c r="D167" s="179" t="s">
        <v>1056</v>
      </c>
      <c r="E167" s="2601">
        <v>47.705682757165718</v>
      </c>
      <c r="F167" s="2601">
        <v>49.620880932128486</v>
      </c>
      <c r="G167" s="2601">
        <v>49.683197888870907</v>
      </c>
      <c r="H167" s="2601">
        <v>49.651261793146482</v>
      </c>
      <c r="I167" s="179" t="s">
        <v>1056</v>
      </c>
      <c r="J167" s="2601">
        <v>50.834247825148722</v>
      </c>
      <c r="K167" s="2601">
        <v>47.257820816793476</v>
      </c>
      <c r="L167" s="2601">
        <v>46.984617871384749</v>
      </c>
      <c r="M167" s="2601">
        <v>46.809325399244671</v>
      </c>
    </row>
    <row r="168" spans="4:13" x14ac:dyDescent="0.35">
      <c r="D168" s="179" t="s">
        <v>1048</v>
      </c>
      <c r="E168" s="2601">
        <v>4.5999999999999996</v>
      </c>
      <c r="F168" s="2601">
        <v>4.3</v>
      </c>
      <c r="G168" s="2601">
        <v>4.4000000000000004</v>
      </c>
      <c r="H168" s="2601">
        <v>4.5</v>
      </c>
      <c r="I168" s="179" t="s">
        <v>1048</v>
      </c>
      <c r="J168" s="2601">
        <v>3.65</v>
      </c>
      <c r="K168" s="2601">
        <v>4.173</v>
      </c>
      <c r="L168" s="2601">
        <v>4.2380000000000004</v>
      </c>
      <c r="M168" s="2601">
        <v>4.83</v>
      </c>
    </row>
    <row r="169" spans="4:13" x14ac:dyDescent="0.35">
      <c r="D169" s="179" t="s">
        <v>1057</v>
      </c>
      <c r="E169" s="2601">
        <v>65.846695297983118</v>
      </c>
      <c r="F169" s="2601">
        <v>68.717064372849862</v>
      </c>
      <c r="G169" s="2601">
        <v>67.954365207166219</v>
      </c>
      <c r="H169" s="2601">
        <v>67.635476576008017</v>
      </c>
      <c r="I169" s="179" t="s">
        <v>1057</v>
      </c>
      <c r="J169" s="2601">
        <v>73.274743282466858</v>
      </c>
      <c r="K169" s="2601">
        <v>68.496283773007121</v>
      </c>
      <c r="L169" s="2601">
        <v>67.970840088471419</v>
      </c>
      <c r="M169" s="2601">
        <v>63.818178078105873</v>
      </c>
    </row>
    <row r="171" spans="4:13" x14ac:dyDescent="0.35">
      <c r="D171" s="142" t="s">
        <v>608</v>
      </c>
    </row>
    <row r="172" spans="4:13" x14ac:dyDescent="0.35">
      <c r="D172" s="142" t="s">
        <v>1056</v>
      </c>
      <c r="E172" s="142">
        <v>56</v>
      </c>
      <c r="F172" s="142">
        <v>50</v>
      </c>
      <c r="G172" s="142">
        <v>49</v>
      </c>
      <c r="H172" s="142">
        <v>48</v>
      </c>
    </row>
  </sheetData>
  <pageMargins left="0.7" right="0.7" top="0.75" bottom="0.75" header="0.3" footer="0.3"/>
  <pageSetup paperSize="9" scale="77"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E2A28-ACCA-4B5F-9D2E-8C6F9F6CDA36}">
  <sheetPr codeName="Sheet13">
    <tabColor rgb="FFFFFF00"/>
    <pageSetUpPr fitToPage="1"/>
  </sheetPr>
  <dimension ref="B1:AQ95"/>
  <sheetViews>
    <sheetView showGridLines="0" zoomScale="70" zoomScaleNormal="70" zoomScaleSheetLayoutView="100" workbookViewId="0">
      <pane xSplit="5" ySplit="7" topLeftCell="R29" activePane="bottomRight" state="frozen"/>
      <selection activeCell="J10" sqref="J10"/>
      <selection pane="topRight" activeCell="J10" sqref="J10"/>
      <selection pane="bottomLeft" activeCell="J10" sqref="J10"/>
      <selection pane="bottomRight" activeCell="T40" sqref="T40"/>
    </sheetView>
  </sheetViews>
  <sheetFormatPr defaultColWidth="9.26953125" defaultRowHeight="16" x14ac:dyDescent="0.35"/>
  <cols>
    <col min="1" max="2" width="9.26953125" style="7"/>
    <col min="3" max="3" width="1" style="7" customWidth="1"/>
    <col min="4" max="4" width="31.26953125" style="18" customWidth="1"/>
    <col min="5" max="5" width="31.7265625" style="18" bestFit="1" customWidth="1"/>
    <col min="6" max="6" width="14.453125" style="18" customWidth="1"/>
    <col min="7" max="7" width="22.7265625" style="18" hidden="1" customWidth="1"/>
    <col min="8" max="22" width="26.453125" style="18" customWidth="1"/>
    <col min="23" max="32" width="26.453125" style="13" customWidth="1"/>
    <col min="33" max="35" width="22.7265625" style="13" customWidth="1"/>
    <col min="36" max="37" width="9.26953125" style="7"/>
    <col min="38" max="40" width="26.453125" style="18" customWidth="1"/>
    <col min="41" max="16384" width="9.26953125" style="7"/>
  </cols>
  <sheetData>
    <row r="1" spans="4:43" ht="26.25" customHeight="1" x14ac:dyDescent="0.55000000000000004">
      <c r="D1" s="2676" t="s">
        <v>5</v>
      </c>
      <c r="E1" s="2676"/>
      <c r="F1" s="2676"/>
      <c r="G1" s="2676"/>
      <c r="H1" s="2676"/>
      <c r="I1" s="4"/>
      <c r="J1" s="4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L1" s="5"/>
      <c r="AM1" s="5"/>
      <c r="AN1" s="5"/>
    </row>
    <row r="2" spans="4:43" ht="30.75" customHeight="1" x14ac:dyDescent="0.35">
      <c r="D2" s="8" t="s">
        <v>6</v>
      </c>
      <c r="E2" s="9" t="s">
        <v>1008</v>
      </c>
      <c r="F2" s="10"/>
      <c r="G2" s="10"/>
      <c r="H2" s="11"/>
      <c r="I2" s="11"/>
      <c r="J2" s="11"/>
      <c r="K2" s="11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L2" s="12"/>
      <c r="AM2" s="12"/>
      <c r="AN2" s="12"/>
    </row>
    <row r="3" spans="4:43" ht="26.25" customHeight="1" x14ac:dyDescent="0.45">
      <c r="D3" s="8" t="s">
        <v>8</v>
      </c>
      <c r="E3" s="14"/>
      <c r="F3" s="15"/>
      <c r="G3" s="15"/>
      <c r="H3" s="2685" t="s">
        <v>162</v>
      </c>
      <c r="I3" s="2685"/>
      <c r="J3" s="2685"/>
      <c r="K3" s="2685"/>
      <c r="L3" s="2691" t="s">
        <v>149</v>
      </c>
      <c r="M3" s="2691"/>
      <c r="N3" s="2691"/>
      <c r="O3" s="2691"/>
      <c r="P3" s="2691"/>
      <c r="Q3" s="2691"/>
      <c r="R3" s="2691"/>
      <c r="S3" s="2691"/>
      <c r="T3" s="2691"/>
      <c r="U3" s="2691"/>
      <c r="V3" s="2691"/>
      <c r="W3" s="2691"/>
      <c r="X3" s="2691"/>
      <c r="Y3" s="2691"/>
      <c r="Z3" s="2691"/>
      <c r="AA3" s="2691"/>
      <c r="AB3" s="2691"/>
      <c r="AC3" s="2691"/>
      <c r="AD3" s="2691"/>
      <c r="AE3" s="2691"/>
      <c r="AF3" s="2691"/>
      <c r="AG3" s="1676"/>
      <c r="AH3" s="1676"/>
      <c r="AI3" s="1676"/>
      <c r="AL3" s="7"/>
      <c r="AM3" s="7"/>
      <c r="AN3" s="7"/>
    </row>
    <row r="4" spans="4:43" ht="28.5" customHeight="1" x14ac:dyDescent="0.45">
      <c r="D4" s="8" t="s">
        <v>9</v>
      </c>
      <c r="E4" s="16" t="s">
        <v>1009</v>
      </c>
      <c r="F4" s="15"/>
      <c r="G4" s="15"/>
      <c r="H4" s="187" t="s">
        <v>94</v>
      </c>
      <c r="I4" s="185"/>
      <c r="J4" s="185"/>
      <c r="K4" s="185"/>
      <c r="L4" s="2508" t="s">
        <v>1010</v>
      </c>
      <c r="M4" s="186"/>
      <c r="N4" s="186"/>
      <c r="O4" s="186"/>
      <c r="P4" s="186"/>
      <c r="Q4" s="186"/>
      <c r="R4" s="188"/>
      <c r="S4" s="186"/>
      <c r="T4" s="186"/>
      <c r="U4" s="1372"/>
      <c r="V4" s="186"/>
      <c r="W4" s="576"/>
      <c r="X4" s="18"/>
      <c r="Y4" s="18"/>
      <c r="Z4" s="18"/>
      <c r="AA4" s="1372"/>
      <c r="AB4" s="18"/>
      <c r="AC4" s="2509"/>
      <c r="AD4" s="18"/>
      <c r="AE4" s="18"/>
      <c r="AF4" s="18"/>
      <c r="AG4" s="18"/>
      <c r="AH4" s="18"/>
      <c r="AI4" s="18"/>
      <c r="AL4" s="186"/>
      <c r="AM4" s="186"/>
      <c r="AN4" s="188"/>
    </row>
    <row r="5" spans="4:43" ht="31.5" customHeight="1" x14ac:dyDescent="0.35">
      <c r="D5" s="17"/>
      <c r="G5" s="18" t="s">
        <v>355</v>
      </c>
      <c r="H5" s="712">
        <v>1</v>
      </c>
      <c r="I5" s="212">
        <v>2</v>
      </c>
      <c r="J5" s="212">
        <v>3</v>
      </c>
      <c r="K5" s="212">
        <v>4</v>
      </c>
      <c r="L5" s="190">
        <v>5</v>
      </c>
      <c r="M5" s="191">
        <v>6</v>
      </c>
      <c r="N5" s="191">
        <v>7</v>
      </c>
      <c r="O5" s="212">
        <v>8</v>
      </c>
      <c r="P5" s="212">
        <v>9</v>
      </c>
      <c r="Q5" s="191">
        <v>10</v>
      </c>
      <c r="R5" s="1370">
        <v>11</v>
      </c>
      <c r="S5" s="1371">
        <v>12</v>
      </c>
      <c r="T5" s="1371">
        <v>13</v>
      </c>
      <c r="U5" s="1373">
        <v>14</v>
      </c>
      <c r="V5" s="191">
        <v>15</v>
      </c>
      <c r="W5" s="212">
        <v>16</v>
      </c>
      <c r="X5" s="212">
        <v>17</v>
      </c>
      <c r="Y5" s="212">
        <v>18</v>
      </c>
      <c r="Z5" s="212">
        <v>19</v>
      </c>
      <c r="AA5" s="1375">
        <v>20</v>
      </c>
      <c r="AB5" s="212">
        <v>21</v>
      </c>
      <c r="AC5" s="2510">
        <v>22</v>
      </c>
      <c r="AD5" s="212">
        <v>23</v>
      </c>
      <c r="AE5" s="212">
        <v>24</v>
      </c>
      <c r="AF5" s="212">
        <v>25</v>
      </c>
      <c r="AG5" s="212">
        <v>26</v>
      </c>
      <c r="AH5" s="212">
        <v>27</v>
      </c>
      <c r="AI5" s="212">
        <v>28</v>
      </c>
      <c r="AL5" s="212">
        <v>9</v>
      </c>
      <c r="AM5" s="191">
        <v>10</v>
      </c>
      <c r="AN5" s="1370">
        <v>11</v>
      </c>
    </row>
    <row r="6" spans="4:43" ht="17.25" customHeight="1" thickBot="1" x14ac:dyDescent="0.4">
      <c r="D6" s="17"/>
      <c r="G6" s="18" t="s">
        <v>354</v>
      </c>
      <c r="H6" s="428"/>
      <c r="I6" s="12" t="s">
        <v>1073</v>
      </c>
      <c r="J6" s="2625">
        <v>46086</v>
      </c>
      <c r="K6" s="12"/>
      <c r="L6" s="184"/>
      <c r="M6" s="12"/>
      <c r="N6" s="12"/>
      <c r="O6" s="12"/>
      <c r="P6" s="12"/>
      <c r="Q6" s="12"/>
      <c r="R6" s="184"/>
      <c r="S6" s="12"/>
      <c r="T6" s="12"/>
      <c r="U6" s="1374"/>
      <c r="V6" s="12"/>
      <c r="W6" s="576"/>
      <c r="X6" s="18"/>
      <c r="Y6" s="18"/>
      <c r="Z6" s="18"/>
      <c r="AA6" s="1376"/>
      <c r="AB6" s="18"/>
      <c r="AC6" s="2511"/>
      <c r="AD6" s="18"/>
      <c r="AE6" s="18"/>
      <c r="AF6" s="18"/>
      <c r="AG6" s="18"/>
      <c r="AH6" s="18"/>
      <c r="AI6" s="18"/>
      <c r="AL6" s="12"/>
      <c r="AM6" s="12"/>
      <c r="AN6" s="184"/>
    </row>
    <row r="7" spans="4:43" ht="16.5" thickBot="1" x14ac:dyDescent="0.4">
      <c r="D7" s="19" t="s">
        <v>11</v>
      </c>
      <c r="E7" s="20" t="s">
        <v>12</v>
      </c>
      <c r="F7" s="21" t="s">
        <v>13</v>
      </c>
      <c r="G7" s="22" t="s">
        <v>14</v>
      </c>
      <c r="H7" s="22" t="s">
        <v>0</v>
      </c>
      <c r="I7" s="22" t="s">
        <v>0</v>
      </c>
      <c r="J7" s="22" t="s">
        <v>0</v>
      </c>
      <c r="K7" s="209" t="s">
        <v>0</v>
      </c>
      <c r="L7" s="111" t="s">
        <v>0</v>
      </c>
      <c r="M7" s="111" t="s">
        <v>0</v>
      </c>
      <c r="N7" s="111" t="s">
        <v>0</v>
      </c>
      <c r="O7" s="111" t="s">
        <v>0</v>
      </c>
      <c r="P7" s="111" t="s">
        <v>0</v>
      </c>
      <c r="Q7" s="111" t="s">
        <v>0</v>
      </c>
      <c r="R7" s="22" t="s">
        <v>0</v>
      </c>
      <c r="S7" s="22" t="s">
        <v>0</v>
      </c>
      <c r="T7" s="22" t="s">
        <v>0</v>
      </c>
      <c r="U7" s="22" t="s">
        <v>0</v>
      </c>
      <c r="V7" s="22" t="s">
        <v>0</v>
      </c>
      <c r="W7" s="22" t="s">
        <v>0</v>
      </c>
      <c r="X7" s="22" t="s">
        <v>0</v>
      </c>
      <c r="Y7" s="22" t="s">
        <v>0</v>
      </c>
      <c r="Z7" s="22" t="s">
        <v>0</v>
      </c>
      <c r="AA7" s="22" t="s">
        <v>0</v>
      </c>
      <c r="AB7" s="22" t="s">
        <v>0</v>
      </c>
      <c r="AC7" s="22" t="s">
        <v>0</v>
      </c>
      <c r="AD7" s="22" t="s">
        <v>0</v>
      </c>
      <c r="AE7" s="22" t="s">
        <v>0</v>
      </c>
      <c r="AF7" s="22" t="s">
        <v>0</v>
      </c>
      <c r="AG7" s="22" t="s">
        <v>0</v>
      </c>
      <c r="AH7" s="22" t="s">
        <v>0</v>
      </c>
      <c r="AI7" s="22" t="s">
        <v>0</v>
      </c>
      <c r="AL7" s="111" t="s">
        <v>0</v>
      </c>
      <c r="AM7" s="111" t="s">
        <v>0</v>
      </c>
      <c r="AN7" s="22" t="s">
        <v>0</v>
      </c>
    </row>
    <row r="8" spans="4:43" ht="19.5" customHeight="1" x14ac:dyDescent="0.35">
      <c r="D8" s="23" t="s">
        <v>16</v>
      </c>
      <c r="E8" s="24" t="s">
        <v>17</v>
      </c>
      <c r="F8" s="25" t="s">
        <v>18</v>
      </c>
      <c r="G8" s="26">
        <v>100</v>
      </c>
      <c r="H8" s="27"/>
      <c r="I8" s="27"/>
      <c r="J8" s="28"/>
      <c r="K8" s="28"/>
      <c r="L8" s="28"/>
      <c r="M8" s="28"/>
      <c r="N8" s="28"/>
      <c r="O8" s="28"/>
      <c r="P8" s="28"/>
      <c r="Q8" s="28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L8" s="28"/>
      <c r="AM8" s="28"/>
      <c r="AN8" s="29"/>
    </row>
    <row r="9" spans="4:43" ht="19.5" customHeight="1" x14ac:dyDescent="0.35">
      <c r="D9" s="30" t="s">
        <v>433</v>
      </c>
      <c r="E9" s="31" t="s">
        <v>17</v>
      </c>
      <c r="F9" s="32" t="s">
        <v>20</v>
      </c>
      <c r="G9" s="33"/>
      <c r="H9" s="34"/>
      <c r="I9" s="34">
        <v>40.72</v>
      </c>
      <c r="J9" s="35">
        <v>42</v>
      </c>
      <c r="K9" s="35">
        <v>42.5</v>
      </c>
      <c r="L9" s="35">
        <v>40.68</v>
      </c>
      <c r="M9" s="35">
        <v>42.6</v>
      </c>
      <c r="N9" s="35">
        <v>40.17</v>
      </c>
      <c r="O9" s="35">
        <v>41.06</v>
      </c>
      <c r="P9" s="35">
        <v>40.409999999999997</v>
      </c>
      <c r="Q9" s="36">
        <v>41.09</v>
      </c>
      <c r="R9" s="36">
        <v>40.409999999999997</v>
      </c>
      <c r="S9" s="36">
        <v>41.33</v>
      </c>
      <c r="T9" s="36">
        <v>41.15</v>
      </c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L9" s="35">
        <v>41.34</v>
      </c>
      <c r="AM9" s="35">
        <v>39.479999999999997</v>
      </c>
      <c r="AN9" s="36">
        <v>41.09</v>
      </c>
      <c r="AQ9" s="2603">
        <f>AVERAGE(AL9:AM9)</f>
        <v>40.409999999999997</v>
      </c>
    </row>
    <row r="10" spans="4:43" ht="19.5" customHeight="1" x14ac:dyDescent="0.35">
      <c r="D10" s="37" t="s">
        <v>21</v>
      </c>
      <c r="E10" s="31" t="s">
        <v>22</v>
      </c>
      <c r="F10" s="32" t="s">
        <v>23</v>
      </c>
      <c r="G10" s="38"/>
      <c r="H10" s="39"/>
      <c r="I10" s="39">
        <v>0.82079999999999997</v>
      </c>
      <c r="J10" s="40">
        <v>0.81459999999999999</v>
      </c>
      <c r="K10" s="40">
        <v>0.81240000000000001</v>
      </c>
      <c r="L10" s="40">
        <v>0.82099999999999995</v>
      </c>
      <c r="M10" s="40">
        <v>0.81200000000000006</v>
      </c>
      <c r="N10" s="40">
        <v>0.82350000000000001</v>
      </c>
      <c r="O10" s="40">
        <v>0.81920000000000004</v>
      </c>
      <c r="P10" s="40">
        <v>0.82234999999999991</v>
      </c>
      <c r="Q10" s="41">
        <v>0.81910000000000005</v>
      </c>
      <c r="R10" s="41">
        <v>0.82230000000000003</v>
      </c>
      <c r="S10" s="41">
        <v>0.81789999999999996</v>
      </c>
      <c r="T10" s="41">
        <v>0.81879999999999997</v>
      </c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L10" s="40">
        <v>0.81789999999999996</v>
      </c>
      <c r="AM10" s="40">
        <v>0.82679999999999998</v>
      </c>
      <c r="AN10" s="41">
        <v>0.81910000000000005</v>
      </c>
      <c r="AQ10" s="2603">
        <f t="shared" ref="AQ10:AQ62" si="0">AVERAGE(AL10:AM10)</f>
        <v>0.82234999999999991</v>
      </c>
    </row>
    <row r="11" spans="4:43" ht="19.5" customHeight="1" x14ac:dyDescent="0.35">
      <c r="D11" s="37" t="s">
        <v>24</v>
      </c>
      <c r="E11" s="31" t="s">
        <v>25</v>
      </c>
      <c r="F11" s="32" t="s">
        <v>17</v>
      </c>
      <c r="G11" s="172"/>
      <c r="H11" s="38"/>
      <c r="I11" s="38"/>
      <c r="J11" s="42"/>
      <c r="K11" s="42"/>
      <c r="L11" s="42"/>
      <c r="M11" s="42"/>
      <c r="N11" s="42"/>
      <c r="O11" s="42"/>
      <c r="P11" s="42"/>
      <c r="Q11" s="42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L11" s="42"/>
      <c r="AM11" s="42"/>
      <c r="AN11" s="43"/>
      <c r="AQ11" s="2603" t="e">
        <f t="shared" si="0"/>
        <v>#DIV/0!</v>
      </c>
    </row>
    <row r="12" spans="4:43" ht="19.5" customHeight="1" x14ac:dyDescent="0.35">
      <c r="D12" s="44" t="s">
        <v>26</v>
      </c>
      <c r="E12" s="2677" t="s">
        <v>27</v>
      </c>
      <c r="F12" s="2680" t="s">
        <v>28</v>
      </c>
      <c r="G12" s="38"/>
      <c r="H12" s="38"/>
      <c r="I12" s="38"/>
      <c r="J12" s="42"/>
      <c r="K12" s="42"/>
      <c r="L12" s="42"/>
      <c r="M12" s="42"/>
      <c r="N12" s="42"/>
      <c r="O12" s="42"/>
      <c r="P12" s="42"/>
      <c r="Q12" s="42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L12" s="42"/>
      <c r="AM12" s="42"/>
      <c r="AN12" s="43"/>
      <c r="AQ12" s="2603" t="e">
        <f t="shared" si="0"/>
        <v>#DIV/0!</v>
      </c>
    </row>
    <row r="13" spans="4:43" ht="19.5" customHeight="1" x14ac:dyDescent="0.35">
      <c r="D13" s="44" t="s">
        <v>29</v>
      </c>
      <c r="E13" s="2678"/>
      <c r="F13" s="2681"/>
      <c r="G13" s="47"/>
      <c r="H13" s="47"/>
      <c r="I13" s="47"/>
      <c r="J13" s="55"/>
      <c r="K13" s="55"/>
      <c r="L13" s="55"/>
      <c r="M13" s="55"/>
      <c r="N13" s="55"/>
      <c r="O13" s="55"/>
      <c r="P13" s="55"/>
      <c r="Q13" s="55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L13" s="55"/>
      <c r="AM13" s="55"/>
      <c r="AN13" s="56"/>
      <c r="AQ13" s="2603" t="e">
        <f t="shared" si="0"/>
        <v>#DIV/0!</v>
      </c>
    </row>
    <row r="14" spans="4:43" ht="19.5" customHeight="1" x14ac:dyDescent="0.35">
      <c r="D14" s="44" t="s">
        <v>30</v>
      </c>
      <c r="E14" s="2678"/>
      <c r="F14" s="2681"/>
      <c r="G14" s="47"/>
      <c r="H14" s="49"/>
      <c r="I14" s="50"/>
      <c r="J14" s="51"/>
      <c r="K14" s="51"/>
      <c r="L14" s="51"/>
      <c r="M14" s="51"/>
      <c r="N14" s="51"/>
      <c r="O14" s="51"/>
      <c r="P14" s="51"/>
      <c r="Q14" s="51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L14" s="51"/>
      <c r="AM14" s="51"/>
      <c r="AN14" s="52"/>
      <c r="AQ14" s="2603" t="e">
        <f t="shared" si="0"/>
        <v>#DIV/0!</v>
      </c>
    </row>
    <row r="15" spans="4:43" ht="19.5" customHeight="1" x14ac:dyDescent="0.35">
      <c r="D15" s="44" t="s">
        <v>31</v>
      </c>
      <c r="E15" s="2678"/>
      <c r="F15" s="2681"/>
      <c r="G15" s="47"/>
      <c r="H15" s="49"/>
      <c r="I15" s="49"/>
      <c r="J15" s="53"/>
      <c r="K15" s="53"/>
      <c r="L15" s="53"/>
      <c r="M15" s="53"/>
      <c r="N15" s="53"/>
      <c r="O15" s="53"/>
      <c r="P15" s="53"/>
      <c r="Q15" s="53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L15" s="53"/>
      <c r="AM15" s="53"/>
      <c r="AN15" s="54"/>
      <c r="AQ15" s="2603" t="e">
        <f t="shared" si="0"/>
        <v>#DIV/0!</v>
      </c>
    </row>
    <row r="16" spans="4:43" ht="19.5" customHeight="1" x14ac:dyDescent="0.35">
      <c r="D16" s="44" t="s">
        <v>32</v>
      </c>
      <c r="E16" s="2678"/>
      <c r="F16" s="2681"/>
      <c r="G16" s="47"/>
      <c r="H16" s="47"/>
      <c r="I16" s="47"/>
      <c r="J16" s="55"/>
      <c r="K16" s="55"/>
      <c r="L16" s="55"/>
      <c r="M16" s="55"/>
      <c r="N16" s="55"/>
      <c r="O16" s="55"/>
      <c r="P16" s="55"/>
      <c r="Q16" s="55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L16" s="55"/>
      <c r="AM16" s="55"/>
      <c r="AN16" s="56"/>
      <c r="AQ16" s="2603" t="e">
        <f t="shared" si="0"/>
        <v>#DIV/0!</v>
      </c>
    </row>
    <row r="17" spans="2:43" ht="19.5" customHeight="1" x14ac:dyDescent="0.35">
      <c r="D17" s="44" t="s">
        <v>33</v>
      </c>
      <c r="E17" s="2679"/>
      <c r="F17" s="2682"/>
      <c r="G17" s="57"/>
      <c r="H17" s="47"/>
      <c r="I17" s="47"/>
      <c r="J17" s="55"/>
      <c r="K17" s="55"/>
      <c r="L17" s="55"/>
      <c r="M17" s="55"/>
      <c r="N17" s="55"/>
      <c r="O17" s="55"/>
      <c r="P17" s="55"/>
      <c r="Q17" s="55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L17" s="55"/>
      <c r="AM17" s="55"/>
      <c r="AN17" s="56"/>
      <c r="AQ17" s="2603" t="e">
        <f t="shared" si="0"/>
        <v>#DIV/0!</v>
      </c>
    </row>
    <row r="18" spans="2:43" ht="19.5" customHeight="1" x14ac:dyDescent="0.35">
      <c r="D18" s="2683" t="s">
        <v>34</v>
      </c>
      <c r="E18" s="58" t="s">
        <v>35</v>
      </c>
      <c r="F18" s="59" t="s">
        <v>36</v>
      </c>
      <c r="G18" s="60">
        <v>5.9859999999999998</v>
      </c>
      <c r="H18" s="60"/>
      <c r="I18" s="61">
        <v>0.16400000000000001</v>
      </c>
      <c r="J18" s="145">
        <v>0.17199999999999999</v>
      </c>
      <c r="K18" s="145">
        <v>0.157</v>
      </c>
      <c r="L18" s="145">
        <v>0.13277</v>
      </c>
      <c r="M18" s="145">
        <v>9.042E-2</v>
      </c>
      <c r="N18" s="145">
        <v>0.10299999999999999</v>
      </c>
      <c r="O18" s="145">
        <v>0.108</v>
      </c>
      <c r="P18" s="145">
        <v>0.16566500000000001</v>
      </c>
      <c r="Q18" s="564">
        <v>0.14560999999999999</v>
      </c>
      <c r="R18" s="564">
        <v>0.13669999999999999</v>
      </c>
      <c r="S18" s="564">
        <v>0.12447</v>
      </c>
      <c r="T18" s="564">
        <v>0.12303</v>
      </c>
      <c r="U18" s="564"/>
      <c r="V18" s="564"/>
      <c r="W18" s="564"/>
      <c r="X18" s="564"/>
      <c r="Y18" s="564"/>
      <c r="Z18" s="564"/>
      <c r="AA18" s="564"/>
      <c r="AB18" s="564"/>
      <c r="AC18" s="564"/>
      <c r="AD18" s="564"/>
      <c r="AE18" s="564"/>
      <c r="AF18" s="564"/>
      <c r="AG18" s="564"/>
      <c r="AH18" s="564"/>
      <c r="AI18" s="564"/>
      <c r="AL18" s="145">
        <v>0.10485999999999999</v>
      </c>
      <c r="AM18" s="145">
        <v>0.22647</v>
      </c>
      <c r="AN18" s="564">
        <v>0.14560999999999999</v>
      </c>
      <c r="AQ18" s="2603">
        <f t="shared" si="0"/>
        <v>0.16566500000000001</v>
      </c>
    </row>
    <row r="19" spans="2:43" ht="19.5" customHeight="1" x14ac:dyDescent="0.35">
      <c r="D19" s="2683"/>
      <c r="E19" s="2684" t="s">
        <v>37</v>
      </c>
      <c r="F19" s="59" t="s">
        <v>36</v>
      </c>
      <c r="G19" s="47"/>
      <c r="H19" s="47"/>
      <c r="I19" s="47"/>
      <c r="J19" s="55"/>
      <c r="K19" s="55"/>
      <c r="L19" s="55"/>
      <c r="M19" s="55"/>
      <c r="N19" s="55"/>
      <c r="O19" s="55"/>
      <c r="P19" s="55"/>
      <c r="Q19" s="55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L19" s="55"/>
      <c r="AM19" s="55"/>
      <c r="AN19" s="56"/>
      <c r="AQ19" s="2603" t="e">
        <f t="shared" si="0"/>
        <v>#DIV/0!</v>
      </c>
    </row>
    <row r="20" spans="2:43" ht="19.5" customHeight="1" x14ac:dyDescent="0.35">
      <c r="D20" s="2683"/>
      <c r="E20" s="2684"/>
      <c r="F20" s="59" t="s">
        <v>38</v>
      </c>
      <c r="G20" s="47"/>
      <c r="H20" s="47"/>
      <c r="I20" s="47"/>
      <c r="J20" s="55"/>
      <c r="K20" s="55"/>
      <c r="L20" s="55"/>
      <c r="M20" s="55"/>
      <c r="N20" s="55"/>
      <c r="O20" s="55"/>
      <c r="P20" s="55"/>
      <c r="Q20" s="55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L20" s="55"/>
      <c r="AM20" s="55"/>
      <c r="AN20" s="56"/>
      <c r="AQ20" s="2603" t="e">
        <f t="shared" si="0"/>
        <v>#DIV/0!</v>
      </c>
    </row>
    <row r="21" spans="2:43" ht="19.5" customHeight="1" x14ac:dyDescent="0.35">
      <c r="D21" s="2686" t="s">
        <v>39</v>
      </c>
      <c r="E21" s="64" t="s">
        <v>40</v>
      </c>
      <c r="F21" s="59" t="s">
        <v>38</v>
      </c>
      <c r="G21" s="65"/>
      <c r="H21" s="47"/>
      <c r="I21" s="47"/>
      <c r="J21" s="55"/>
      <c r="K21" s="55"/>
      <c r="L21" s="55"/>
      <c r="M21" s="55"/>
      <c r="N21" s="55"/>
      <c r="O21" s="55"/>
      <c r="P21" s="55"/>
      <c r="Q21" s="55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L21" s="55"/>
      <c r="AM21" s="55"/>
      <c r="AN21" s="56"/>
      <c r="AQ21" s="2603" t="e">
        <f t="shared" si="0"/>
        <v>#DIV/0!</v>
      </c>
    </row>
    <row r="22" spans="2:43" ht="19.5" customHeight="1" x14ac:dyDescent="0.35">
      <c r="D22" s="2687"/>
      <c r="E22" s="2677" t="s">
        <v>41</v>
      </c>
      <c r="F22" s="66" t="s">
        <v>38</v>
      </c>
      <c r="G22" s="67">
        <v>3301</v>
      </c>
      <c r="H22" s="68"/>
      <c r="I22" s="69">
        <v>458.27</v>
      </c>
      <c r="J22" s="70">
        <v>492</v>
      </c>
      <c r="K22" s="70">
        <v>543.66</v>
      </c>
      <c r="L22" s="70">
        <v>558.52</v>
      </c>
      <c r="M22" s="70">
        <v>474.65</v>
      </c>
      <c r="N22" s="70">
        <v>548.79999999999995</v>
      </c>
      <c r="O22" s="70">
        <v>547.79999999999995</v>
      </c>
      <c r="P22" s="70">
        <v>558.37099999999998</v>
      </c>
      <c r="Q22" s="71">
        <v>572.94000000000005</v>
      </c>
      <c r="R22" s="71">
        <v>611.99</v>
      </c>
      <c r="S22" s="71">
        <v>603.89</v>
      </c>
      <c r="T22" s="71">
        <v>617.05999999999995</v>
      </c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L22" s="70">
        <v>562.822</v>
      </c>
      <c r="AM22" s="70">
        <v>553.91999999999996</v>
      </c>
      <c r="AN22" s="71">
        <v>572.94000000000005</v>
      </c>
      <c r="AQ22" s="2603">
        <f t="shared" si="0"/>
        <v>558.37099999999998</v>
      </c>
    </row>
    <row r="23" spans="2:43" ht="19.5" customHeight="1" x14ac:dyDescent="0.35">
      <c r="B23" s="72">
        <v>0.45190000000000002</v>
      </c>
      <c r="D23" s="2688"/>
      <c r="E23" s="2679"/>
      <c r="F23" s="66" t="s">
        <v>36</v>
      </c>
      <c r="G23" s="73">
        <v>0.3301</v>
      </c>
      <c r="H23" s="74">
        <f>H22/10000</f>
        <v>0</v>
      </c>
      <c r="I23" s="74">
        <f>I22/10000</f>
        <v>4.5827E-2</v>
      </c>
      <c r="J23" s="74">
        <f t="shared" ref="J23:W23" si="1">J22/10000</f>
        <v>4.9200000000000001E-2</v>
      </c>
      <c r="K23" s="74">
        <f t="shared" si="1"/>
        <v>5.4365999999999998E-2</v>
      </c>
      <c r="L23" s="74">
        <f t="shared" si="1"/>
        <v>5.5851999999999999E-2</v>
      </c>
      <c r="M23" s="74">
        <f t="shared" si="1"/>
        <v>4.7465E-2</v>
      </c>
      <c r="N23" s="74">
        <f t="shared" si="1"/>
        <v>5.4879999999999998E-2</v>
      </c>
      <c r="O23" s="74">
        <f t="shared" si="1"/>
        <v>5.4779999999999995E-2</v>
      </c>
      <c r="P23" s="74">
        <f t="shared" si="1"/>
        <v>5.5837100000000001E-2</v>
      </c>
      <c r="Q23" s="74">
        <f t="shared" si="1"/>
        <v>5.7294000000000005E-2</v>
      </c>
      <c r="R23" s="74">
        <f t="shared" si="1"/>
        <v>6.1199000000000003E-2</v>
      </c>
      <c r="S23" s="74">
        <f t="shared" si="1"/>
        <v>6.0388999999999998E-2</v>
      </c>
      <c r="T23" s="74">
        <f t="shared" si="1"/>
        <v>6.1705999999999997E-2</v>
      </c>
      <c r="U23" s="74">
        <f>U22/10000</f>
        <v>0</v>
      </c>
      <c r="V23" s="74">
        <f t="shared" si="1"/>
        <v>0</v>
      </c>
      <c r="W23" s="74">
        <f t="shared" si="1"/>
        <v>0</v>
      </c>
      <c r="X23" s="74">
        <f t="shared" ref="X23:Y23" si="2">X22/10000</f>
        <v>0</v>
      </c>
      <c r="Y23" s="74">
        <f t="shared" si="2"/>
        <v>0</v>
      </c>
      <c r="Z23" s="74">
        <f t="shared" ref="Z23:AF23" si="3">Z22/10000</f>
        <v>0</v>
      </c>
      <c r="AA23" s="74">
        <f t="shared" si="3"/>
        <v>0</v>
      </c>
      <c r="AB23" s="74">
        <f t="shared" si="3"/>
        <v>0</v>
      </c>
      <c r="AC23" s="74">
        <f t="shared" si="3"/>
        <v>0</v>
      </c>
      <c r="AD23" s="74">
        <f t="shared" si="3"/>
        <v>0</v>
      </c>
      <c r="AE23" s="74">
        <f t="shared" si="3"/>
        <v>0</v>
      </c>
      <c r="AF23" s="74">
        <f t="shared" si="3"/>
        <v>0</v>
      </c>
      <c r="AG23" s="74">
        <f t="shared" ref="AG23:AI23" si="4">AG22/10000</f>
        <v>0</v>
      </c>
      <c r="AH23" s="74">
        <f t="shared" si="4"/>
        <v>0</v>
      </c>
      <c r="AI23" s="74">
        <f t="shared" si="4"/>
        <v>0</v>
      </c>
      <c r="AL23" s="74">
        <f t="shared" ref="AL23:AN23" si="5">AL22/10000</f>
        <v>5.6282199999999998E-2</v>
      </c>
      <c r="AM23" s="74">
        <f t="shared" si="5"/>
        <v>5.5391999999999997E-2</v>
      </c>
      <c r="AN23" s="74">
        <f t="shared" si="5"/>
        <v>5.7294000000000005E-2</v>
      </c>
      <c r="AQ23" s="2603">
        <f t="shared" si="0"/>
        <v>5.5837100000000001E-2</v>
      </c>
    </row>
    <row r="24" spans="2:43" ht="19.5" customHeight="1" x14ac:dyDescent="0.35">
      <c r="D24" s="75" t="s">
        <v>42</v>
      </c>
      <c r="E24" s="2677" t="s">
        <v>43</v>
      </c>
      <c r="F24" s="2680" t="s">
        <v>36</v>
      </c>
      <c r="G24" s="47"/>
      <c r="H24" s="47"/>
      <c r="I24" s="47"/>
      <c r="J24" s="55"/>
      <c r="K24" s="55"/>
      <c r="L24" s="55"/>
      <c r="M24" s="55"/>
      <c r="N24" s="55"/>
      <c r="O24" s="55"/>
      <c r="P24" s="55"/>
      <c r="Q24" s="55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L24" s="55"/>
      <c r="AM24" s="55"/>
      <c r="AN24" s="56"/>
      <c r="AQ24" s="2603" t="e">
        <f t="shared" si="0"/>
        <v>#DIV/0!</v>
      </c>
    </row>
    <row r="25" spans="2:43" ht="19.5" customHeight="1" x14ac:dyDescent="0.35">
      <c r="B25" s="76"/>
      <c r="D25" s="44" t="s">
        <v>44</v>
      </c>
      <c r="E25" s="2678"/>
      <c r="F25" s="2681"/>
      <c r="G25" s="60">
        <v>84.31</v>
      </c>
      <c r="H25" s="77"/>
      <c r="I25" s="77">
        <v>86.35</v>
      </c>
      <c r="J25" s="62">
        <v>87.07</v>
      </c>
      <c r="K25" s="62">
        <v>86.62</v>
      </c>
      <c r="L25" s="62">
        <v>87.19</v>
      </c>
      <c r="M25" s="62">
        <v>86.94</v>
      </c>
      <c r="N25" s="62">
        <v>87.53</v>
      </c>
      <c r="O25" s="62">
        <v>87.3</v>
      </c>
      <c r="P25" s="62">
        <v>88.155000000000001</v>
      </c>
      <c r="Q25" s="63">
        <v>87.48</v>
      </c>
      <c r="R25" s="63">
        <v>85.86</v>
      </c>
      <c r="S25" s="63">
        <v>87.48</v>
      </c>
      <c r="T25" s="63">
        <v>87.87</v>
      </c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L25" s="62">
        <v>88.43</v>
      </c>
      <c r="AM25" s="62">
        <v>87.88</v>
      </c>
      <c r="AN25" s="63">
        <v>87.48</v>
      </c>
      <c r="AQ25" s="2603">
        <f t="shared" si="0"/>
        <v>88.155000000000001</v>
      </c>
    </row>
    <row r="26" spans="2:43" ht="19.5" customHeight="1" x14ac:dyDescent="0.35">
      <c r="B26" s="76"/>
      <c r="D26" s="44" t="s">
        <v>45</v>
      </c>
      <c r="E26" s="2678"/>
      <c r="F26" s="2681"/>
      <c r="G26" s="60">
        <v>9.782</v>
      </c>
      <c r="H26" s="77"/>
      <c r="I26" s="77">
        <v>13.34</v>
      </c>
      <c r="J26" s="62">
        <v>13.58</v>
      </c>
      <c r="K26" s="62">
        <v>13.33</v>
      </c>
      <c r="L26" s="62">
        <v>13.11</v>
      </c>
      <c r="M26" s="62">
        <v>13.5</v>
      </c>
      <c r="N26" s="62">
        <v>13.08</v>
      </c>
      <c r="O26" s="62">
        <v>13.36</v>
      </c>
      <c r="P26" s="62">
        <v>13.129999999999999</v>
      </c>
      <c r="Q26" s="63">
        <v>13.26</v>
      </c>
      <c r="R26" s="63">
        <v>13.23</v>
      </c>
      <c r="S26" s="63">
        <v>13.26</v>
      </c>
      <c r="T26" s="63">
        <v>13.28</v>
      </c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L26" s="62">
        <v>13.26</v>
      </c>
      <c r="AM26" s="62">
        <v>13</v>
      </c>
      <c r="AN26" s="63">
        <v>13.26</v>
      </c>
      <c r="AQ26" s="2603">
        <f t="shared" si="0"/>
        <v>13.129999999999999</v>
      </c>
    </row>
    <row r="27" spans="2:43" ht="19.5" customHeight="1" x14ac:dyDescent="0.35">
      <c r="B27" s="76"/>
      <c r="D27" s="44" t="s">
        <v>46</v>
      </c>
      <c r="E27" s="2679"/>
      <c r="F27" s="2682"/>
      <c r="G27" s="60">
        <v>0.45190000000000002</v>
      </c>
      <c r="H27" s="77"/>
      <c r="I27" s="77">
        <v>6.1460000000000001E-2</v>
      </c>
      <c r="J27" s="62">
        <v>0.08</v>
      </c>
      <c r="K27" s="62">
        <v>8.9679999999999996E-2</v>
      </c>
      <c r="L27" s="62">
        <v>0.08</v>
      </c>
      <c r="M27" s="1016">
        <v>1.653E-2</v>
      </c>
      <c r="N27" s="1016">
        <v>1.0869999999999999E-2</v>
      </c>
      <c r="O27" s="1016">
        <v>0.08</v>
      </c>
      <c r="P27" s="1016">
        <v>7.9939999999999997E-2</v>
      </c>
      <c r="Q27" s="1017">
        <v>8.3779999999999993E-2</v>
      </c>
      <c r="R27" s="1017">
        <v>7.3119999999999999E-3</v>
      </c>
      <c r="S27" s="1017">
        <v>8.3779999999999993E-2</v>
      </c>
      <c r="T27" s="1017">
        <v>9.9449999999999997E-2</v>
      </c>
      <c r="U27" s="1017"/>
      <c r="V27" s="1017"/>
      <c r="W27" s="1017"/>
      <c r="X27" s="1017"/>
      <c r="Y27" s="1017"/>
      <c r="Z27" s="1017"/>
      <c r="AA27" s="1017"/>
      <c r="AB27" s="1017"/>
      <c r="AC27" s="1017"/>
      <c r="AD27" s="1017"/>
      <c r="AE27" s="1017"/>
      <c r="AF27" s="1017"/>
      <c r="AG27" s="1017"/>
      <c r="AH27" s="1017"/>
      <c r="AI27" s="1017"/>
      <c r="AL27" s="1016">
        <v>8.6499999999999994E-2</v>
      </c>
      <c r="AM27" s="1016">
        <v>7.3380000000000001E-2</v>
      </c>
      <c r="AN27" s="1017">
        <v>8.3779999999999993E-2</v>
      </c>
      <c r="AQ27" s="2603">
        <f t="shared" si="0"/>
        <v>7.9939999999999997E-2</v>
      </c>
    </row>
    <row r="28" spans="2:43" ht="19.5" customHeight="1" x14ac:dyDescent="0.35">
      <c r="B28" s="76"/>
      <c r="D28" s="78" t="s">
        <v>150</v>
      </c>
      <c r="E28" s="79"/>
      <c r="F28" s="80"/>
      <c r="G28" s="2">
        <f>(G25+G26+G27+G18)</f>
        <v>100.5299</v>
      </c>
      <c r="H28" s="2">
        <f>H$25+H$26+H$23+H$18</f>
        <v>0</v>
      </c>
      <c r="I28" s="2">
        <f t="shared" ref="I28:AI28" si="6">I$25+I$26+I$23+I$18</f>
        <v>99.899827000000002</v>
      </c>
      <c r="J28" s="2">
        <f>J$25+J$26+J$23+J$18</f>
        <v>100.87119999999999</v>
      </c>
      <c r="K28" s="2">
        <f t="shared" si="6"/>
        <v>100.161366</v>
      </c>
      <c r="L28" s="2">
        <f t="shared" si="6"/>
        <v>100.48862199999999</v>
      </c>
      <c r="M28" s="2">
        <f t="shared" si="6"/>
        <v>100.57788499999999</v>
      </c>
      <c r="N28" s="2">
        <f t="shared" si="6"/>
        <v>100.76787999999999</v>
      </c>
      <c r="O28" s="2">
        <f t="shared" si="6"/>
        <v>100.82277999999999</v>
      </c>
      <c r="P28" s="2">
        <f t="shared" si="6"/>
        <v>101.50650210000001</v>
      </c>
      <c r="Q28" s="2">
        <f t="shared" si="6"/>
        <v>100.94290400000001</v>
      </c>
      <c r="R28" s="2">
        <f t="shared" si="6"/>
        <v>99.28789900000001</v>
      </c>
      <c r="S28" s="2">
        <f t="shared" si="6"/>
        <v>100.92485900000001</v>
      </c>
      <c r="T28" s="2">
        <f>T$25+T$26+T$23+T$18</f>
        <v>101.33473600000001</v>
      </c>
      <c r="U28" s="2">
        <f t="shared" si="6"/>
        <v>0</v>
      </c>
      <c r="V28" s="2">
        <f t="shared" si="6"/>
        <v>0</v>
      </c>
      <c r="W28" s="2">
        <f t="shared" si="6"/>
        <v>0</v>
      </c>
      <c r="X28" s="2">
        <f t="shared" si="6"/>
        <v>0</v>
      </c>
      <c r="Y28" s="2">
        <f t="shared" si="6"/>
        <v>0</v>
      </c>
      <c r="Z28" s="2">
        <f t="shared" si="6"/>
        <v>0</v>
      </c>
      <c r="AA28" s="2">
        <f t="shared" si="6"/>
        <v>0</v>
      </c>
      <c r="AB28" s="2">
        <f t="shared" si="6"/>
        <v>0</v>
      </c>
      <c r="AC28" s="2">
        <f t="shared" si="6"/>
        <v>0</v>
      </c>
      <c r="AD28" s="2">
        <f t="shared" si="6"/>
        <v>0</v>
      </c>
      <c r="AE28" s="2">
        <f t="shared" si="6"/>
        <v>0</v>
      </c>
      <c r="AF28" s="2">
        <f t="shared" si="6"/>
        <v>0</v>
      </c>
      <c r="AG28" s="2">
        <f t="shared" si="6"/>
        <v>0</v>
      </c>
      <c r="AH28" s="2">
        <f t="shared" si="6"/>
        <v>0</v>
      </c>
      <c r="AI28" s="2">
        <f t="shared" si="6"/>
        <v>0</v>
      </c>
      <c r="AL28" s="2">
        <f t="shared" ref="AL28:AN28" si="7">AL$25+AL$26+AL$23+AL$18</f>
        <v>101.85114220000001</v>
      </c>
      <c r="AM28" s="2">
        <f t="shared" si="7"/>
        <v>101.161862</v>
      </c>
      <c r="AN28" s="2">
        <f t="shared" si="7"/>
        <v>100.94290400000001</v>
      </c>
      <c r="AQ28" s="2603">
        <f t="shared" si="0"/>
        <v>101.50650210000001</v>
      </c>
    </row>
    <row r="29" spans="2:43" ht="19.5" customHeight="1" x14ac:dyDescent="0.35">
      <c r="D29" s="78" t="s">
        <v>151</v>
      </c>
      <c r="E29" s="79"/>
      <c r="F29" s="80"/>
      <c r="G29" s="2">
        <f>(100-G31-G32)/(1+(G26/G25))</f>
        <v>83.974158353580975</v>
      </c>
      <c r="H29" s="2" t="e">
        <f>(100-H$31-H$32)/(1+(H$26/H$25))</f>
        <v>#DIV/0!</v>
      </c>
      <c r="I29" s="2">
        <f t="shared" ref="I29:AI29" si="8">(100-I$31-I$32)/(1+(I$26/I$25))</f>
        <v>86.436586121415402</v>
      </c>
      <c r="J29" s="2">
        <f>(100-J$31-J$32)/(1+(J$26/J$25))</f>
        <v>86.317997604866406</v>
      </c>
      <c r="K29" s="2">
        <f t="shared" si="8"/>
        <v>86.48044995712219</v>
      </c>
      <c r="L29" s="2">
        <f t="shared" si="8"/>
        <v>86.766042030111635</v>
      </c>
      <c r="M29" s="2">
        <f t="shared" si="8"/>
        <v>86.440473469888545</v>
      </c>
      <c r="N29" s="2">
        <f t="shared" si="8"/>
        <v>86.862996423066548</v>
      </c>
      <c r="O29" s="2">
        <f t="shared" si="8"/>
        <v>86.587574752451786</v>
      </c>
      <c r="P29" s="2">
        <f t="shared" si="8"/>
        <v>86.846653343598973</v>
      </c>
      <c r="Q29" s="2">
        <f t="shared" si="8"/>
        <v>86.662852497288981</v>
      </c>
      <c r="R29" s="2">
        <f t="shared" si="8"/>
        <v>86.475795000959778</v>
      </c>
      <c r="S29" s="2">
        <f t="shared" si="8"/>
        <v>86.678347502075795</v>
      </c>
      <c r="T29" s="2">
        <f>(100-T$31-T$32)/(1+(T$26/T$25))</f>
        <v>86.71261550432223</v>
      </c>
      <c r="U29" s="2" t="e">
        <f t="shared" si="8"/>
        <v>#DIV/0!</v>
      </c>
      <c r="V29" s="2" t="e">
        <f t="shared" si="8"/>
        <v>#DIV/0!</v>
      </c>
      <c r="W29" s="2" t="e">
        <f t="shared" si="8"/>
        <v>#DIV/0!</v>
      </c>
      <c r="X29" s="2" t="e">
        <f t="shared" si="8"/>
        <v>#DIV/0!</v>
      </c>
      <c r="Y29" s="2" t="e">
        <f t="shared" si="8"/>
        <v>#DIV/0!</v>
      </c>
      <c r="Z29" s="2" t="e">
        <f t="shared" si="8"/>
        <v>#DIV/0!</v>
      </c>
      <c r="AA29" s="2" t="e">
        <f t="shared" si="8"/>
        <v>#DIV/0!</v>
      </c>
      <c r="AB29" s="2" t="e">
        <f t="shared" si="8"/>
        <v>#DIV/0!</v>
      </c>
      <c r="AC29" s="2" t="e">
        <f t="shared" si="8"/>
        <v>#DIV/0!</v>
      </c>
      <c r="AD29" s="2" t="e">
        <f t="shared" si="8"/>
        <v>#DIV/0!</v>
      </c>
      <c r="AE29" s="2" t="e">
        <f t="shared" si="8"/>
        <v>#DIV/0!</v>
      </c>
      <c r="AF29" s="2" t="e">
        <f t="shared" si="8"/>
        <v>#DIV/0!</v>
      </c>
      <c r="AG29" s="2" t="e">
        <f t="shared" si="8"/>
        <v>#DIV/0!</v>
      </c>
      <c r="AH29" s="2" t="e">
        <f t="shared" si="8"/>
        <v>#DIV/0!</v>
      </c>
      <c r="AI29" s="2" t="e">
        <f t="shared" si="8"/>
        <v>#DIV/0!</v>
      </c>
      <c r="AL29" s="2">
        <f t="shared" ref="AL29:AN29" si="9">(100-AL$31-AL$32)/(1+(AL$26/AL$25))</f>
        <v>86.822786755159228</v>
      </c>
      <c r="AM29" s="2">
        <f t="shared" si="9"/>
        <v>86.87068255030735</v>
      </c>
      <c r="AN29" s="2">
        <f t="shared" si="9"/>
        <v>86.662852497288981</v>
      </c>
      <c r="AQ29" s="2603">
        <f t="shared" si="0"/>
        <v>86.846734652733289</v>
      </c>
    </row>
    <row r="30" spans="2:43" ht="19.5" customHeight="1" x14ac:dyDescent="0.35">
      <c r="D30" s="78" t="s">
        <v>152</v>
      </c>
      <c r="E30" s="79"/>
      <c r="F30" s="80" t="s">
        <v>36</v>
      </c>
      <c r="G30" s="2">
        <f>G29*(G26/G25)</f>
        <v>9.7430342428505412</v>
      </c>
      <c r="H30" s="2" t="e">
        <f>H$29*(H$26/H$25)</f>
        <v>#DIV/0!</v>
      </c>
      <c r="I30" s="2">
        <f t="shared" ref="I30:AI30" si="10">I$29*(I$26/I$25)</f>
        <v>13.353376477819126</v>
      </c>
      <c r="J30" s="2">
        <f>J$29*(J$26/J$25)</f>
        <v>13.462712845688364</v>
      </c>
      <c r="K30" s="2">
        <f t="shared" si="10"/>
        <v>13.308524566248426</v>
      </c>
      <c r="L30" s="2">
        <f t="shared" si="10"/>
        <v>13.046253136996944</v>
      </c>
      <c r="M30" s="2">
        <f t="shared" si="10"/>
        <v>13.422433768616235</v>
      </c>
      <c r="N30" s="2">
        <f t="shared" si="10"/>
        <v>12.980326667584947</v>
      </c>
      <c r="O30" s="2">
        <f t="shared" si="10"/>
        <v>13.25097363909228</v>
      </c>
      <c r="P30" s="2">
        <f t="shared" si="10"/>
        <v>12.935131965304912</v>
      </c>
      <c r="Q30" s="2">
        <f t="shared" si="10"/>
        <v>13.136138821605531</v>
      </c>
      <c r="R30" s="2">
        <f t="shared" si="10"/>
        <v>13.324886651091285</v>
      </c>
      <c r="S30" s="2">
        <f t="shared" si="10"/>
        <v>13.138487515746743</v>
      </c>
      <c r="T30" s="2">
        <f>T$29*(T$26/T$25)</f>
        <v>13.105081755973588</v>
      </c>
      <c r="U30" s="2" t="e">
        <f t="shared" si="10"/>
        <v>#DIV/0!</v>
      </c>
      <c r="V30" s="2" t="e">
        <f t="shared" si="10"/>
        <v>#DIV/0!</v>
      </c>
      <c r="W30" s="2" t="e">
        <f t="shared" si="10"/>
        <v>#DIV/0!</v>
      </c>
      <c r="X30" s="2" t="e">
        <f t="shared" si="10"/>
        <v>#DIV/0!</v>
      </c>
      <c r="Y30" s="2" t="e">
        <f t="shared" si="10"/>
        <v>#DIV/0!</v>
      </c>
      <c r="Z30" s="2" t="e">
        <f t="shared" si="10"/>
        <v>#DIV/0!</v>
      </c>
      <c r="AA30" s="2" t="e">
        <f t="shared" si="10"/>
        <v>#DIV/0!</v>
      </c>
      <c r="AB30" s="2" t="e">
        <f t="shared" si="10"/>
        <v>#DIV/0!</v>
      </c>
      <c r="AC30" s="2" t="e">
        <f t="shared" si="10"/>
        <v>#DIV/0!</v>
      </c>
      <c r="AD30" s="2" t="e">
        <f t="shared" si="10"/>
        <v>#DIV/0!</v>
      </c>
      <c r="AE30" s="2" t="e">
        <f t="shared" si="10"/>
        <v>#DIV/0!</v>
      </c>
      <c r="AF30" s="2" t="e">
        <f t="shared" si="10"/>
        <v>#DIV/0!</v>
      </c>
      <c r="AG30" s="2" t="e">
        <f t="shared" si="10"/>
        <v>#DIV/0!</v>
      </c>
      <c r="AH30" s="2" t="e">
        <f t="shared" si="10"/>
        <v>#DIV/0!</v>
      </c>
      <c r="AI30" s="2" t="e">
        <f t="shared" si="10"/>
        <v>#DIV/0!</v>
      </c>
      <c r="AL30" s="2">
        <f t="shared" ref="AL30:AN30" si="11">AL$29*(AL$26/AL$25)</f>
        <v>13.018999800671844</v>
      </c>
      <c r="AM30" s="2">
        <f t="shared" si="11"/>
        <v>12.850692684956709</v>
      </c>
      <c r="AN30" s="2">
        <f t="shared" si="11"/>
        <v>13.136138821605531</v>
      </c>
      <c r="AQ30" s="2603">
        <f t="shared" si="0"/>
        <v>12.934846242814277</v>
      </c>
    </row>
    <row r="31" spans="2:43" ht="19.5" customHeight="1" x14ac:dyDescent="0.35">
      <c r="D31" s="78" t="s">
        <v>153</v>
      </c>
      <c r="E31" s="79"/>
      <c r="F31" s="80"/>
      <c r="G31" s="2">
        <f>G23*100/G28</f>
        <v>0.32836002025268102</v>
      </c>
      <c r="H31" s="2" t="e">
        <f>H$23*100/H$28</f>
        <v>#DIV/0!</v>
      </c>
      <c r="I31" s="2">
        <f t="shared" ref="I31:AI31" si="12">I$23*100/I$28</f>
        <v>4.5872952312520018E-2</v>
      </c>
      <c r="J31" s="2">
        <f t="shared" si="12"/>
        <v>4.8775071576426181E-2</v>
      </c>
      <c r="K31" s="2">
        <f t="shared" si="12"/>
        <v>5.4278413095923628E-2</v>
      </c>
      <c r="L31" s="2">
        <f t="shared" si="12"/>
        <v>5.5580421831239755E-2</v>
      </c>
      <c r="M31" s="2">
        <f t="shared" si="12"/>
        <v>4.7192282876101443E-2</v>
      </c>
      <c r="N31" s="2">
        <f t="shared" si="12"/>
        <v>5.4461798739836545E-2</v>
      </c>
      <c r="O31" s="2">
        <f t="shared" si="12"/>
        <v>5.4332959277655309E-2</v>
      </c>
      <c r="P31" s="2">
        <f t="shared" si="12"/>
        <v>5.5008397338912926E-2</v>
      </c>
      <c r="Q31" s="2">
        <f t="shared" si="12"/>
        <v>5.6758818826928133E-2</v>
      </c>
      <c r="R31" s="2">
        <f t="shared" si="12"/>
        <v>6.163792427514253E-2</v>
      </c>
      <c r="S31" s="2">
        <f t="shared" si="12"/>
        <v>5.9835605021751871E-2</v>
      </c>
      <c r="T31" s="2">
        <f t="shared" si="12"/>
        <v>6.0893236056785101E-2</v>
      </c>
      <c r="U31" s="2" t="e">
        <f t="shared" si="12"/>
        <v>#DIV/0!</v>
      </c>
      <c r="V31" s="2" t="e">
        <f t="shared" si="12"/>
        <v>#DIV/0!</v>
      </c>
      <c r="W31" s="2" t="e">
        <f t="shared" si="12"/>
        <v>#DIV/0!</v>
      </c>
      <c r="X31" s="2" t="e">
        <f t="shared" si="12"/>
        <v>#DIV/0!</v>
      </c>
      <c r="Y31" s="2" t="e">
        <f t="shared" si="12"/>
        <v>#DIV/0!</v>
      </c>
      <c r="Z31" s="2" t="e">
        <f t="shared" si="12"/>
        <v>#DIV/0!</v>
      </c>
      <c r="AA31" s="2" t="e">
        <f t="shared" si="12"/>
        <v>#DIV/0!</v>
      </c>
      <c r="AB31" s="2" t="e">
        <f t="shared" si="12"/>
        <v>#DIV/0!</v>
      </c>
      <c r="AC31" s="2" t="e">
        <f t="shared" si="12"/>
        <v>#DIV/0!</v>
      </c>
      <c r="AD31" s="2" t="e">
        <f t="shared" si="12"/>
        <v>#DIV/0!</v>
      </c>
      <c r="AE31" s="2" t="e">
        <f t="shared" si="12"/>
        <v>#DIV/0!</v>
      </c>
      <c r="AF31" s="2" t="e">
        <f t="shared" si="12"/>
        <v>#DIV/0!</v>
      </c>
      <c r="AG31" s="2" t="e">
        <f t="shared" si="12"/>
        <v>#DIV/0!</v>
      </c>
      <c r="AH31" s="2" t="e">
        <f t="shared" si="12"/>
        <v>#DIV/0!</v>
      </c>
      <c r="AI31" s="2" t="e">
        <f t="shared" si="12"/>
        <v>#DIV/0!</v>
      </c>
      <c r="AL31" s="2">
        <f t="shared" ref="AL31:AN31" si="13">AL$23*100/AL$28</f>
        <v>5.5259272291204593E-2</v>
      </c>
      <c r="AM31" s="2">
        <f t="shared" si="13"/>
        <v>5.4755813015778608E-2</v>
      </c>
      <c r="AN31" s="2">
        <f t="shared" si="13"/>
        <v>5.6758818826928133E-2</v>
      </c>
      <c r="AQ31" s="2603">
        <f t="shared" si="0"/>
        <v>5.5007542653491601E-2</v>
      </c>
    </row>
    <row r="32" spans="2:43" ht="19.5" customHeight="1" x14ac:dyDescent="0.35">
      <c r="D32" s="78" t="s">
        <v>154</v>
      </c>
      <c r="E32" s="79"/>
      <c r="F32" s="80"/>
      <c r="G32" s="2">
        <f>G18*100/G28</f>
        <v>5.9544473833158102</v>
      </c>
      <c r="H32" s="2" t="e">
        <f>H$18*100/H$28</f>
        <v>#DIV/0!</v>
      </c>
      <c r="I32" s="2">
        <f t="shared" ref="I32:AI32" si="14">I$18*100/I$28</f>
        <v>0.16416444845294878</v>
      </c>
      <c r="J32" s="2">
        <f t="shared" si="14"/>
        <v>0.17051447786880697</v>
      </c>
      <c r="K32" s="2">
        <f t="shared" si="14"/>
        <v>0.1567470635334586</v>
      </c>
      <c r="L32" s="2">
        <f t="shared" si="14"/>
        <v>0.13212441106018949</v>
      </c>
      <c r="M32" s="2">
        <f t="shared" si="14"/>
        <v>8.9900478619131835E-2</v>
      </c>
      <c r="N32" s="2">
        <f t="shared" si="14"/>
        <v>0.10221511060865823</v>
      </c>
      <c r="O32" s="2">
        <f t="shared" si="14"/>
        <v>0.10711864917829086</v>
      </c>
      <c r="P32" s="2">
        <f t="shared" si="14"/>
        <v>0.16320629375721538</v>
      </c>
      <c r="Q32" s="2">
        <f t="shared" si="14"/>
        <v>0.14424986227858072</v>
      </c>
      <c r="R32" s="2">
        <f t="shared" si="14"/>
        <v>0.13768042367378522</v>
      </c>
      <c r="S32" s="2">
        <f t="shared" si="14"/>
        <v>0.12332937715573125</v>
      </c>
      <c r="T32" s="2">
        <f t="shared" si="14"/>
        <v>0.12140950364739687</v>
      </c>
      <c r="U32" s="2" t="e">
        <f t="shared" si="14"/>
        <v>#DIV/0!</v>
      </c>
      <c r="V32" s="2" t="e">
        <f t="shared" si="14"/>
        <v>#DIV/0!</v>
      </c>
      <c r="W32" s="2" t="e">
        <f t="shared" si="14"/>
        <v>#DIV/0!</v>
      </c>
      <c r="X32" s="2" t="e">
        <f t="shared" si="14"/>
        <v>#DIV/0!</v>
      </c>
      <c r="Y32" s="2" t="e">
        <f t="shared" si="14"/>
        <v>#DIV/0!</v>
      </c>
      <c r="Z32" s="2" t="e">
        <f t="shared" si="14"/>
        <v>#DIV/0!</v>
      </c>
      <c r="AA32" s="2" t="e">
        <f t="shared" si="14"/>
        <v>#DIV/0!</v>
      </c>
      <c r="AB32" s="2" t="e">
        <f t="shared" si="14"/>
        <v>#DIV/0!</v>
      </c>
      <c r="AC32" s="2" t="e">
        <f t="shared" si="14"/>
        <v>#DIV/0!</v>
      </c>
      <c r="AD32" s="2" t="e">
        <f t="shared" si="14"/>
        <v>#DIV/0!</v>
      </c>
      <c r="AE32" s="2" t="e">
        <f t="shared" si="14"/>
        <v>#DIV/0!</v>
      </c>
      <c r="AF32" s="2" t="e">
        <f t="shared" si="14"/>
        <v>#DIV/0!</v>
      </c>
      <c r="AG32" s="2" t="e">
        <f t="shared" si="14"/>
        <v>#DIV/0!</v>
      </c>
      <c r="AH32" s="2" t="e">
        <f t="shared" si="14"/>
        <v>#DIV/0!</v>
      </c>
      <c r="AI32" s="2" t="e">
        <f t="shared" si="14"/>
        <v>#DIV/0!</v>
      </c>
      <c r="AL32" s="2">
        <f t="shared" ref="AL32:AN32" si="15">AL$18*100/AL$28</f>
        <v>0.10295417187771114</v>
      </c>
      <c r="AM32" s="2">
        <f t="shared" si="15"/>
        <v>0.22386895172016508</v>
      </c>
      <c r="AN32" s="2">
        <f t="shared" si="15"/>
        <v>0.14424986227858072</v>
      </c>
      <c r="AQ32" s="2603">
        <f t="shared" si="0"/>
        <v>0.16341156179893812</v>
      </c>
    </row>
    <row r="33" spans="4:43" ht="19.5" customHeight="1" x14ac:dyDescent="0.35">
      <c r="D33" s="78" t="s">
        <v>155</v>
      </c>
      <c r="E33" s="79"/>
      <c r="F33" s="80"/>
      <c r="G33" s="149">
        <f>G30/G29</f>
        <v>0.11602419641798126</v>
      </c>
      <c r="H33" s="149" t="e">
        <f>H$30/H$29</f>
        <v>#DIV/0!</v>
      </c>
      <c r="I33" s="149">
        <f t="shared" ref="I33:AI33" si="16">I$30/I$29</f>
        <v>0.15448755066589462</v>
      </c>
      <c r="J33" s="149">
        <f t="shared" si="16"/>
        <v>0.15596646376478696</v>
      </c>
      <c r="K33" s="149">
        <f t="shared" si="16"/>
        <v>0.15389055645347494</v>
      </c>
      <c r="L33" s="149">
        <f t="shared" si="16"/>
        <v>0.15036127996329854</v>
      </c>
      <c r="M33" s="149">
        <f t="shared" si="16"/>
        <v>0.15527950310559008</v>
      </c>
      <c r="N33" s="149">
        <f t="shared" si="16"/>
        <v>0.14943447960699188</v>
      </c>
      <c r="O33" s="149">
        <f t="shared" si="16"/>
        <v>0.15303550973654068</v>
      </c>
      <c r="P33" s="149">
        <f t="shared" si="16"/>
        <v>0.14894220407237252</v>
      </c>
      <c r="Q33" s="149">
        <f t="shared" si="16"/>
        <v>0.15157750342935528</v>
      </c>
      <c r="R33" s="149">
        <f t="shared" si="16"/>
        <v>0.1540880503144654</v>
      </c>
      <c r="S33" s="149">
        <f t="shared" si="16"/>
        <v>0.15157750342935528</v>
      </c>
      <c r="T33" s="149">
        <f t="shared" si="16"/>
        <v>0.15113235461477181</v>
      </c>
      <c r="U33" s="149" t="e">
        <f t="shared" si="16"/>
        <v>#DIV/0!</v>
      </c>
      <c r="V33" s="149" t="e">
        <f t="shared" si="16"/>
        <v>#DIV/0!</v>
      </c>
      <c r="W33" s="149" t="e">
        <f t="shared" si="16"/>
        <v>#DIV/0!</v>
      </c>
      <c r="X33" s="149" t="e">
        <f t="shared" si="16"/>
        <v>#DIV/0!</v>
      </c>
      <c r="Y33" s="149" t="e">
        <f t="shared" si="16"/>
        <v>#DIV/0!</v>
      </c>
      <c r="Z33" s="149" t="e">
        <f t="shared" si="16"/>
        <v>#DIV/0!</v>
      </c>
      <c r="AA33" s="149" t="e">
        <f t="shared" si="16"/>
        <v>#DIV/0!</v>
      </c>
      <c r="AB33" s="149" t="e">
        <f t="shared" si="16"/>
        <v>#DIV/0!</v>
      </c>
      <c r="AC33" s="149" t="e">
        <f t="shared" si="16"/>
        <v>#DIV/0!</v>
      </c>
      <c r="AD33" s="149" t="e">
        <f t="shared" si="16"/>
        <v>#DIV/0!</v>
      </c>
      <c r="AE33" s="149" t="e">
        <f t="shared" si="16"/>
        <v>#DIV/0!</v>
      </c>
      <c r="AF33" s="149" t="e">
        <f t="shared" si="16"/>
        <v>#DIV/0!</v>
      </c>
      <c r="AG33" s="149" t="e">
        <f t="shared" si="16"/>
        <v>#DIV/0!</v>
      </c>
      <c r="AH33" s="149" t="e">
        <f t="shared" si="16"/>
        <v>#DIV/0!</v>
      </c>
      <c r="AI33" s="149" t="e">
        <f t="shared" si="16"/>
        <v>#DIV/0!</v>
      </c>
      <c r="AL33" s="149">
        <f t="shared" ref="AL33:AN33" si="17">AL$30/AL$29</f>
        <v>0.1499491122922085</v>
      </c>
      <c r="AM33" s="149">
        <f t="shared" si="17"/>
        <v>0.14792899408284024</v>
      </c>
      <c r="AN33" s="149">
        <f t="shared" si="17"/>
        <v>0.15157750342935528</v>
      </c>
      <c r="AQ33" s="2603">
        <f t="shared" si="0"/>
        <v>0.14893905318752437</v>
      </c>
    </row>
    <row r="34" spans="4:43" ht="19.5" hidden="1" customHeight="1" x14ac:dyDescent="0.35">
      <c r="D34" s="81" t="s">
        <v>106</v>
      </c>
      <c r="E34" s="45"/>
      <c r="F34" s="46"/>
      <c r="G34" s="82">
        <f>G25*100/G28</f>
        <v>83.86559620570597</v>
      </c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L34" s="82"/>
      <c r="AM34" s="82"/>
      <c r="AN34" s="82"/>
      <c r="AQ34" s="2603" t="e">
        <f t="shared" si="0"/>
        <v>#DIV/0!</v>
      </c>
    </row>
    <row r="35" spans="4:43" ht="19.5" hidden="1" customHeight="1" x14ac:dyDescent="0.35">
      <c r="D35" s="81" t="s">
        <v>107</v>
      </c>
      <c r="E35" s="45"/>
      <c r="F35" s="46"/>
      <c r="G35" s="82">
        <f>G26*100/G28</f>
        <v>9.7304384068819338</v>
      </c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L35" s="82"/>
      <c r="AM35" s="82"/>
      <c r="AN35" s="82"/>
      <c r="AQ35" s="2603" t="e">
        <f t="shared" si="0"/>
        <v>#DIV/0!</v>
      </c>
    </row>
    <row r="36" spans="4:43" ht="19.5" hidden="1" customHeight="1" x14ac:dyDescent="0.35">
      <c r="D36" s="81" t="s">
        <v>156</v>
      </c>
      <c r="E36" s="45"/>
      <c r="F36" s="46"/>
      <c r="G36" s="82">
        <f>G27*100/G28</f>
        <v>0.44951800409629378</v>
      </c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L36" s="82"/>
      <c r="AM36" s="82"/>
      <c r="AN36" s="82"/>
      <c r="AQ36" s="2603" t="e">
        <f t="shared" si="0"/>
        <v>#DIV/0!</v>
      </c>
    </row>
    <row r="37" spans="4:43" ht="19.5" hidden="1" customHeight="1" x14ac:dyDescent="0.35">
      <c r="D37" s="81" t="s">
        <v>157</v>
      </c>
      <c r="E37" s="45"/>
      <c r="F37" s="46"/>
      <c r="G37" s="82">
        <f>G18*100/G28</f>
        <v>5.9544473833158102</v>
      </c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L37" s="82"/>
      <c r="AM37" s="82"/>
      <c r="AN37" s="82"/>
      <c r="AQ37" s="2603" t="e">
        <f t="shared" si="0"/>
        <v>#DIV/0!</v>
      </c>
    </row>
    <row r="38" spans="4:43" ht="19.5" hidden="1" customHeight="1" x14ac:dyDescent="0.35">
      <c r="D38" s="81" t="s">
        <v>108</v>
      </c>
      <c r="E38" s="45"/>
      <c r="F38" s="46"/>
      <c r="G38" s="82">
        <f>G35/G34</f>
        <v>0.11602419641798127</v>
      </c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L38" s="82"/>
      <c r="AM38" s="82"/>
      <c r="AN38" s="82"/>
      <c r="AQ38" s="2603" t="e">
        <f t="shared" si="0"/>
        <v>#DIV/0!</v>
      </c>
    </row>
    <row r="39" spans="4:43" ht="19.5" customHeight="1" x14ac:dyDescent="0.35">
      <c r="D39" s="75" t="s">
        <v>57</v>
      </c>
      <c r="E39" s="2689" t="s">
        <v>58</v>
      </c>
      <c r="F39" s="2680" t="s">
        <v>59</v>
      </c>
      <c r="G39" s="47"/>
      <c r="H39" s="47"/>
      <c r="I39" s="47"/>
      <c r="J39" s="55"/>
      <c r="K39" s="55"/>
      <c r="L39" s="55"/>
      <c r="M39" s="55"/>
      <c r="N39" s="55"/>
      <c r="O39" s="55"/>
      <c r="P39" s="55"/>
      <c r="Q39" s="55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L39" s="55"/>
      <c r="AM39" s="55"/>
      <c r="AN39" s="56"/>
      <c r="AQ39" s="2603" t="e">
        <f t="shared" si="0"/>
        <v>#DIV/0!</v>
      </c>
    </row>
    <row r="40" spans="4:43" ht="19.5" customHeight="1" x14ac:dyDescent="0.35">
      <c r="D40" s="83" t="s">
        <v>60</v>
      </c>
      <c r="E40" s="2690"/>
      <c r="F40" s="2681"/>
      <c r="G40" s="84">
        <v>376</v>
      </c>
      <c r="H40" s="84">
        <f>'HPS LTO DAILY '!H116</f>
        <v>0</v>
      </c>
      <c r="I40" s="84">
        <f>'HPS LTO DAILY '!I116</f>
        <v>71.400000000000006</v>
      </c>
      <c r="J40" s="84">
        <f>'HPS LTO DAILY '!J116</f>
        <v>39</v>
      </c>
      <c r="K40" s="84">
        <f>'HPS LTO DAILY '!K116</f>
        <v>43.8</v>
      </c>
      <c r="L40" s="84">
        <f>'HPS LTO DAILY '!L116</f>
        <v>69.400000000000006</v>
      </c>
      <c r="M40" s="84">
        <f>'HPS LTO DAILY '!M116</f>
        <v>38.700000000000003</v>
      </c>
      <c r="N40" s="84">
        <f>'HPS LTO DAILY '!N116</f>
        <v>70.2</v>
      </c>
      <c r="O40" s="84">
        <f>'HPS LTO DAILY '!O116</f>
        <v>55.8</v>
      </c>
      <c r="P40" s="84">
        <f>'HPS LTO DAILY '!P116</f>
        <v>69.099999999999994</v>
      </c>
      <c r="Q40" s="84">
        <f>'HPS LTO DAILY '!Q116</f>
        <v>75.8</v>
      </c>
      <c r="R40" s="84">
        <f>'HPS LTO DAILY '!R116</f>
        <v>57.5</v>
      </c>
      <c r="S40" s="84">
        <f>'HPS LTO DAILY '!S116</f>
        <v>60.4</v>
      </c>
      <c r="T40" s="84">
        <f>'HPS LTO DAILY '!T116</f>
        <v>68.099999999999994</v>
      </c>
      <c r="U40" s="84">
        <f>'HPS LTO DAILY '!U116</f>
        <v>0</v>
      </c>
      <c r="V40" s="84">
        <f>'HPS LTO DAILY '!V116</f>
        <v>0</v>
      </c>
      <c r="W40" s="84">
        <f>'HPS LTO DAILY '!W116</f>
        <v>0</v>
      </c>
      <c r="X40" s="84">
        <f>'HPS LTO DAILY '!X116</f>
        <v>0</v>
      </c>
      <c r="Y40" s="84">
        <f>'HPS LTO DAILY '!AG116</f>
        <v>0</v>
      </c>
      <c r="Z40" s="84">
        <f>'HPS LTO DAILY '!AH116</f>
        <v>0</v>
      </c>
      <c r="AA40" s="84">
        <f>'HPS LTO DAILY '!AI116</f>
        <v>0</v>
      </c>
      <c r="AB40" s="84">
        <f>'HPS LTO DAILY '!AJ116</f>
        <v>0</v>
      </c>
      <c r="AC40" s="84">
        <f>'HPS LTO DAILY '!AK116</f>
        <v>0</v>
      </c>
      <c r="AD40" s="84">
        <f>'HPS LTO DAILY '!AL116</f>
        <v>0</v>
      </c>
      <c r="AE40" s="84">
        <f>'HPS LTO DAILY '!AM116</f>
        <v>0</v>
      </c>
      <c r="AF40" s="84">
        <f>'HPS LTO DAILY '!AN116</f>
        <v>0</v>
      </c>
      <c r="AG40" s="84">
        <f>'HPS LTO DAILY '!AO116</f>
        <v>0</v>
      </c>
      <c r="AH40" s="84">
        <f>'HPS LTO DAILY '!AP116</f>
        <v>0</v>
      </c>
      <c r="AI40" s="84">
        <f>'HPS LTO DAILY '!AQ116</f>
        <v>0</v>
      </c>
      <c r="AL40" s="84">
        <f>'HPS LTO DAILY '!AL116</f>
        <v>0</v>
      </c>
      <c r="AM40" s="84">
        <f>'HPS LTO DAILY '!AM116</f>
        <v>0</v>
      </c>
      <c r="AN40" s="84">
        <f>'HPS LTO DAILY '!AN116</f>
        <v>0</v>
      </c>
      <c r="AQ40" s="2603">
        <f t="shared" si="0"/>
        <v>0</v>
      </c>
    </row>
    <row r="41" spans="4:43" ht="19.5" customHeight="1" x14ac:dyDescent="0.35">
      <c r="D41" s="83">
        <v>5</v>
      </c>
      <c r="E41" s="2690"/>
      <c r="F41" s="2681"/>
      <c r="G41" s="84">
        <v>510</v>
      </c>
      <c r="H41" s="84">
        <f>'HPS LTO DAILY '!H121</f>
        <v>0</v>
      </c>
      <c r="I41" s="84">
        <f>'HPS LTO DAILY '!I121</f>
        <v>99.9</v>
      </c>
      <c r="J41" s="84">
        <f>'HPS LTO DAILY '!J121</f>
        <v>95.1</v>
      </c>
      <c r="K41" s="84">
        <f>'HPS LTO DAILY '!K121</f>
        <v>96.1</v>
      </c>
      <c r="L41" s="84">
        <f>'HPS LTO DAILY '!L121</f>
        <v>116.7</v>
      </c>
      <c r="M41" s="84">
        <f>'HPS LTO DAILY '!M121</f>
        <v>97.5</v>
      </c>
      <c r="N41" s="84">
        <f>'HPS LTO DAILY '!N121</f>
        <v>126.6</v>
      </c>
      <c r="O41" s="84">
        <f>'HPS LTO DAILY '!O121</f>
        <v>114.8</v>
      </c>
      <c r="P41" s="84">
        <f>'HPS LTO DAILY '!P121</f>
        <v>115.7</v>
      </c>
      <c r="Q41" s="84">
        <f>'HPS LTO DAILY '!Q121</f>
        <v>126.5</v>
      </c>
      <c r="R41" s="84">
        <f>'HPS LTO DAILY '!R121</f>
        <v>115.5</v>
      </c>
      <c r="S41" s="84">
        <f>'HPS LTO DAILY '!S121</f>
        <v>115.8</v>
      </c>
      <c r="T41" s="84">
        <f>'HPS LTO DAILY '!T121</f>
        <v>117.3</v>
      </c>
      <c r="U41" s="84">
        <f>'HPS LTO DAILY '!U121</f>
        <v>0</v>
      </c>
      <c r="V41" s="84">
        <f>'HPS LTO DAILY '!V121</f>
        <v>0</v>
      </c>
      <c r="W41" s="84">
        <f>'HPS LTO DAILY '!W121</f>
        <v>0</v>
      </c>
      <c r="X41" s="84">
        <f>'HPS LTO DAILY '!X121</f>
        <v>0</v>
      </c>
      <c r="Y41" s="84">
        <f>'HPS LTO DAILY '!AG121</f>
        <v>0</v>
      </c>
      <c r="Z41" s="84">
        <f>'HPS LTO DAILY '!AH121</f>
        <v>0</v>
      </c>
      <c r="AA41" s="84">
        <f>'HPS LTO DAILY '!AI121</f>
        <v>0</v>
      </c>
      <c r="AB41" s="84">
        <f>'HPS LTO DAILY '!AJ121</f>
        <v>0</v>
      </c>
      <c r="AC41" s="84">
        <f>'HPS LTO DAILY '!AK121</f>
        <v>0</v>
      </c>
      <c r="AD41" s="84">
        <f>'HPS LTO DAILY '!AL121</f>
        <v>0</v>
      </c>
      <c r="AE41" s="84">
        <f>'HPS LTO DAILY '!AM121</f>
        <v>0</v>
      </c>
      <c r="AF41" s="84">
        <f>'HPS LTO DAILY '!AN121</f>
        <v>0</v>
      </c>
      <c r="AG41" s="84">
        <f>'HPS LTO DAILY '!AO121</f>
        <v>0</v>
      </c>
      <c r="AH41" s="84">
        <f>'HPS LTO DAILY '!AP121</f>
        <v>0</v>
      </c>
      <c r="AI41" s="84">
        <f>'HPS LTO DAILY '!AQ121</f>
        <v>0</v>
      </c>
      <c r="AL41" s="84">
        <f>'HPS LTO DAILY '!AL121</f>
        <v>0</v>
      </c>
      <c r="AM41" s="84">
        <f>'HPS LTO DAILY '!AM121</f>
        <v>0</v>
      </c>
      <c r="AN41" s="84">
        <f>'HPS LTO DAILY '!AN121</f>
        <v>0</v>
      </c>
      <c r="AQ41" s="2603">
        <f t="shared" si="0"/>
        <v>0</v>
      </c>
    </row>
    <row r="42" spans="4:43" ht="19.5" customHeight="1" x14ac:dyDescent="0.35">
      <c r="D42" s="83">
        <v>10</v>
      </c>
      <c r="E42" s="2690"/>
      <c r="F42" s="2681"/>
      <c r="G42" s="84">
        <v>543.5</v>
      </c>
      <c r="H42" s="84">
        <f>'HPS LTO DAILY '!H126</f>
        <v>0</v>
      </c>
      <c r="I42" s="84">
        <f>'HPS LTO DAILY '!I126</f>
        <v>121.8</v>
      </c>
      <c r="J42" s="84">
        <f>'HPS LTO DAILY '!J126</f>
        <v>117.2</v>
      </c>
      <c r="K42" s="84">
        <f>'HPS LTO DAILY '!K126</f>
        <v>117</v>
      </c>
      <c r="L42" s="84">
        <f>'HPS LTO DAILY '!L126</f>
        <v>135.9</v>
      </c>
      <c r="M42" s="84">
        <f>'HPS LTO DAILY '!M126</f>
        <v>117.6</v>
      </c>
      <c r="N42" s="84">
        <f>'HPS LTO DAILY '!N126</f>
        <v>144.19999999999999</v>
      </c>
      <c r="O42" s="84">
        <f>'HPS LTO DAILY '!O126</f>
        <v>134.69999999999999</v>
      </c>
      <c r="P42" s="84">
        <f>'HPS LTO DAILY '!P126</f>
        <v>133.9</v>
      </c>
      <c r="Q42" s="84">
        <f>'HPS LTO DAILY '!Q126</f>
        <v>144.6</v>
      </c>
      <c r="R42" s="84">
        <f>'HPS LTO DAILY '!R126</f>
        <v>134.9</v>
      </c>
      <c r="S42" s="84">
        <f>'HPS LTO DAILY '!S126</f>
        <v>135.19999999999999</v>
      </c>
      <c r="T42" s="84">
        <f>'HPS LTO DAILY '!T126</f>
        <v>138.80000000000001</v>
      </c>
      <c r="U42" s="84">
        <f>'HPS LTO DAILY '!U126</f>
        <v>0</v>
      </c>
      <c r="V42" s="84">
        <f>'HPS LTO DAILY '!V126</f>
        <v>0</v>
      </c>
      <c r="W42" s="84">
        <f>'HPS LTO DAILY '!W126</f>
        <v>0</v>
      </c>
      <c r="X42" s="84">
        <f>'HPS LTO DAILY '!X126</f>
        <v>0</v>
      </c>
      <c r="Y42" s="84">
        <f>'HPS LTO DAILY '!AG126</f>
        <v>0</v>
      </c>
      <c r="Z42" s="84">
        <f>'HPS LTO DAILY '!AH126</f>
        <v>0</v>
      </c>
      <c r="AA42" s="84">
        <f>'HPS LTO DAILY '!AI126</f>
        <v>0</v>
      </c>
      <c r="AB42" s="84">
        <f>'HPS LTO DAILY '!AJ126</f>
        <v>0</v>
      </c>
      <c r="AC42" s="84">
        <f>'HPS LTO DAILY '!AK126</f>
        <v>0</v>
      </c>
      <c r="AD42" s="84">
        <f>'HPS LTO DAILY '!AL126</f>
        <v>0</v>
      </c>
      <c r="AE42" s="84">
        <f>'HPS LTO DAILY '!AM126</f>
        <v>0</v>
      </c>
      <c r="AF42" s="84">
        <f>'HPS LTO DAILY '!AN126</f>
        <v>0</v>
      </c>
      <c r="AG42" s="84">
        <f>'HPS LTO DAILY '!AO126</f>
        <v>0</v>
      </c>
      <c r="AH42" s="84">
        <f>'HPS LTO DAILY '!AP126</f>
        <v>0</v>
      </c>
      <c r="AI42" s="84">
        <f>'HPS LTO DAILY '!AQ126</f>
        <v>0</v>
      </c>
      <c r="AL42" s="84">
        <f>'HPS LTO DAILY '!AL126</f>
        <v>0</v>
      </c>
      <c r="AM42" s="84">
        <f>'HPS LTO DAILY '!AM126</f>
        <v>0</v>
      </c>
      <c r="AN42" s="84">
        <f>'HPS LTO DAILY '!AN126</f>
        <v>0</v>
      </c>
      <c r="AQ42" s="2603">
        <f t="shared" si="0"/>
        <v>0</v>
      </c>
    </row>
    <row r="43" spans="4:43" ht="19.5" customHeight="1" x14ac:dyDescent="0.35">
      <c r="D43" s="83">
        <v>15</v>
      </c>
      <c r="E43" s="2690"/>
      <c r="F43" s="2681"/>
      <c r="G43" s="84"/>
      <c r="H43" s="84">
        <f>'HPS LTO DAILY '!H131</f>
        <v>0</v>
      </c>
      <c r="I43" s="84">
        <f>'HPS LTO DAILY '!I131</f>
        <v>142.80000000000001</v>
      </c>
      <c r="J43" s="84">
        <f>'HPS LTO DAILY '!J131</f>
        <v>135.1</v>
      </c>
      <c r="K43" s="84">
        <f>'HPS LTO DAILY '!K131</f>
        <v>133.80000000000001</v>
      </c>
      <c r="L43" s="84">
        <f>'HPS LTO DAILY '!L131</f>
        <v>152</v>
      </c>
      <c r="M43" s="84">
        <f>'HPS LTO DAILY '!M131</f>
        <v>134.6</v>
      </c>
      <c r="N43" s="84">
        <f>'HPS LTO DAILY '!N131</f>
        <v>158.19999999999999</v>
      </c>
      <c r="O43" s="84">
        <f>'HPS LTO DAILY '!O131</f>
        <v>151.19999999999999</v>
      </c>
      <c r="P43" s="84">
        <f>'HPS LTO DAILY '!P131</f>
        <v>147.9</v>
      </c>
      <c r="Q43" s="84">
        <f>'HPS LTO DAILY '!Q131</f>
        <v>159.80000000000001</v>
      </c>
      <c r="R43" s="84">
        <f>'HPS LTO DAILY '!R131</f>
        <v>151.9</v>
      </c>
      <c r="S43" s="84">
        <f>'HPS LTO DAILY '!S131</f>
        <v>152</v>
      </c>
      <c r="T43" s="84">
        <f>'HPS LTO DAILY '!T131</f>
        <v>152.6</v>
      </c>
      <c r="U43" s="84">
        <f>'HPS LTO DAILY '!U131</f>
        <v>0</v>
      </c>
      <c r="V43" s="84">
        <f>'HPS LTO DAILY '!V131</f>
        <v>0</v>
      </c>
      <c r="W43" s="84">
        <f>'HPS LTO DAILY '!W131</f>
        <v>0</v>
      </c>
      <c r="X43" s="84">
        <f>'HPS LTO DAILY '!X131</f>
        <v>0</v>
      </c>
      <c r="Y43" s="84">
        <f>'HPS LTO DAILY '!AG131</f>
        <v>0</v>
      </c>
      <c r="Z43" s="84">
        <f>'HPS LTO DAILY '!AH131</f>
        <v>0</v>
      </c>
      <c r="AA43" s="84">
        <f>'HPS LTO DAILY '!AI131</f>
        <v>0</v>
      </c>
      <c r="AB43" s="84">
        <f>'HPS LTO DAILY '!AJ131</f>
        <v>0</v>
      </c>
      <c r="AC43" s="84">
        <f>'HPS LTO DAILY '!AK131</f>
        <v>0</v>
      </c>
      <c r="AD43" s="84">
        <f>'HPS LTO DAILY '!AL131</f>
        <v>0</v>
      </c>
      <c r="AE43" s="84">
        <f>'HPS LTO DAILY '!AM131</f>
        <v>0</v>
      </c>
      <c r="AF43" s="84">
        <f>'HPS LTO DAILY '!AN131</f>
        <v>0</v>
      </c>
      <c r="AG43" s="84">
        <f>'HPS LTO DAILY '!AO131</f>
        <v>0</v>
      </c>
      <c r="AH43" s="84">
        <f>'HPS LTO DAILY '!AP131</f>
        <v>0</v>
      </c>
      <c r="AI43" s="84">
        <f>'HPS LTO DAILY '!AQ131</f>
        <v>0</v>
      </c>
      <c r="AL43" s="84">
        <f>'HPS LTO DAILY '!AL131</f>
        <v>0</v>
      </c>
      <c r="AM43" s="84">
        <f>'HPS LTO DAILY '!AM131</f>
        <v>0</v>
      </c>
      <c r="AN43" s="84">
        <f>'HPS LTO DAILY '!AN131</f>
        <v>0</v>
      </c>
      <c r="AQ43" s="2603">
        <f t="shared" si="0"/>
        <v>0</v>
      </c>
    </row>
    <row r="44" spans="4:43" ht="19.5" customHeight="1" x14ac:dyDescent="0.35">
      <c r="D44" s="83">
        <v>20</v>
      </c>
      <c r="E44" s="2690"/>
      <c r="F44" s="2681"/>
      <c r="G44" s="84">
        <v>578</v>
      </c>
      <c r="H44" s="84">
        <f>'HPS LTO DAILY '!H136</f>
        <v>0</v>
      </c>
      <c r="I44" s="84">
        <f>'HPS LTO DAILY '!I136</f>
        <v>158.6</v>
      </c>
      <c r="J44" s="84">
        <f>'HPS LTO DAILY '!J136</f>
        <v>152.19999999999999</v>
      </c>
      <c r="K44" s="84">
        <f>'HPS LTO DAILY '!K136</f>
        <v>147.80000000000001</v>
      </c>
      <c r="L44" s="84">
        <f>'HPS LTO DAILY '!L136</f>
        <v>163.5</v>
      </c>
      <c r="M44" s="84">
        <f>'HPS LTO DAILY '!M136</f>
        <v>148.9</v>
      </c>
      <c r="N44" s="84">
        <f>'HPS LTO DAILY '!N136</f>
        <v>168.4</v>
      </c>
      <c r="O44" s="84">
        <f>'HPS LTO DAILY '!O136</f>
        <v>163.1</v>
      </c>
      <c r="P44" s="84">
        <f>'HPS LTO DAILY '!P136</f>
        <v>161</v>
      </c>
      <c r="Q44" s="84">
        <f>'HPS LTO DAILY '!Q136</f>
        <v>170.9</v>
      </c>
      <c r="R44" s="84">
        <f>'HPS LTO DAILY '!R136</f>
        <v>163.6</v>
      </c>
      <c r="S44" s="84">
        <f>'HPS LTO DAILY '!S136</f>
        <v>163.4</v>
      </c>
      <c r="T44" s="84">
        <f>'HPS LTO DAILY '!T136</f>
        <v>164.3</v>
      </c>
      <c r="U44" s="84">
        <f>'HPS LTO DAILY '!U136</f>
        <v>0</v>
      </c>
      <c r="V44" s="84">
        <f>'HPS LTO DAILY '!V136</f>
        <v>0</v>
      </c>
      <c r="W44" s="84">
        <f>'HPS LTO DAILY '!W136</f>
        <v>0</v>
      </c>
      <c r="X44" s="84">
        <f>'HPS LTO DAILY '!X136</f>
        <v>0</v>
      </c>
      <c r="Y44" s="84">
        <f>'HPS LTO DAILY '!AG136</f>
        <v>0</v>
      </c>
      <c r="Z44" s="84">
        <f>'HPS LTO DAILY '!AH136</f>
        <v>0</v>
      </c>
      <c r="AA44" s="84">
        <f>'HPS LTO DAILY '!AI136</f>
        <v>0</v>
      </c>
      <c r="AB44" s="84">
        <f>'HPS LTO DAILY '!AJ136</f>
        <v>0</v>
      </c>
      <c r="AC44" s="84">
        <f>'HPS LTO DAILY '!AK136</f>
        <v>0</v>
      </c>
      <c r="AD44" s="84">
        <f>'HPS LTO DAILY '!AL136</f>
        <v>0</v>
      </c>
      <c r="AE44" s="84">
        <f>'HPS LTO DAILY '!AM136</f>
        <v>0</v>
      </c>
      <c r="AF44" s="84">
        <f>'HPS LTO DAILY '!AN136</f>
        <v>0</v>
      </c>
      <c r="AG44" s="84">
        <f>'HPS LTO DAILY '!AO136</f>
        <v>0</v>
      </c>
      <c r="AH44" s="84">
        <f>'HPS LTO DAILY '!AP136</f>
        <v>0</v>
      </c>
      <c r="AI44" s="84">
        <f>'HPS LTO DAILY '!AQ136</f>
        <v>0</v>
      </c>
      <c r="AL44" s="84">
        <f>'HPS LTO DAILY '!AL136</f>
        <v>0</v>
      </c>
      <c r="AM44" s="84">
        <f>'HPS LTO DAILY '!AM136</f>
        <v>0</v>
      </c>
      <c r="AN44" s="84">
        <f>'HPS LTO DAILY '!AN136</f>
        <v>0</v>
      </c>
      <c r="AQ44" s="2603">
        <f t="shared" si="0"/>
        <v>0</v>
      </c>
    </row>
    <row r="45" spans="4:43" ht="19.5" customHeight="1" x14ac:dyDescent="0.35">
      <c r="D45" s="83">
        <v>30</v>
      </c>
      <c r="E45" s="2690"/>
      <c r="F45" s="2681"/>
      <c r="G45" s="84">
        <v>606</v>
      </c>
      <c r="H45" s="84">
        <f>'HPS LTO DAILY '!H146</f>
        <v>0</v>
      </c>
      <c r="I45" s="84">
        <f>'HPS LTO DAILY '!I146</f>
        <v>182.8</v>
      </c>
      <c r="J45" s="84">
        <f>'HPS LTO DAILY '!J146</f>
        <v>176.1</v>
      </c>
      <c r="K45" s="84">
        <f>'HPS LTO DAILY '!K146</f>
        <v>173</v>
      </c>
      <c r="L45" s="84">
        <f>'HPS LTO DAILY '!L146</f>
        <v>183.4</v>
      </c>
      <c r="M45" s="84">
        <f>'HPS LTO DAILY '!M146</f>
        <v>172.3</v>
      </c>
      <c r="N45" s="84">
        <f>'HPS LTO DAILY '!N146</f>
        <v>188.8</v>
      </c>
      <c r="O45" s="84">
        <f>'HPS LTO DAILY '!O146</f>
        <v>181.8</v>
      </c>
      <c r="P45" s="84">
        <f>'HPS LTO DAILY '!P146</f>
        <v>179.8</v>
      </c>
      <c r="Q45" s="84">
        <f>'HPS LTO DAILY '!Q146</f>
        <v>193.1</v>
      </c>
      <c r="R45" s="84">
        <f>'HPS LTO DAILY '!R146</f>
        <v>183.2</v>
      </c>
      <c r="S45" s="84">
        <f>'HPS LTO DAILY '!S146</f>
        <v>182</v>
      </c>
      <c r="T45" s="84">
        <f>'HPS LTO DAILY '!T146</f>
        <v>183.5</v>
      </c>
      <c r="U45" s="84">
        <f>'HPS LTO DAILY '!U146</f>
        <v>0</v>
      </c>
      <c r="V45" s="84">
        <f>'HPS LTO DAILY '!V146</f>
        <v>0</v>
      </c>
      <c r="W45" s="84">
        <f>'HPS LTO DAILY '!W146</f>
        <v>0</v>
      </c>
      <c r="X45" s="84">
        <f>'HPS LTO DAILY '!X146</f>
        <v>0</v>
      </c>
      <c r="Y45" s="84">
        <f>'HPS LTO DAILY '!AG146</f>
        <v>0</v>
      </c>
      <c r="Z45" s="84">
        <f>'HPS LTO DAILY '!AH146</f>
        <v>0</v>
      </c>
      <c r="AA45" s="84">
        <f>'HPS LTO DAILY '!AI146</f>
        <v>0</v>
      </c>
      <c r="AB45" s="84">
        <f>'HPS LTO DAILY '!AJ146</f>
        <v>0</v>
      </c>
      <c r="AC45" s="84">
        <f>'HPS LTO DAILY '!AK146</f>
        <v>0</v>
      </c>
      <c r="AD45" s="84">
        <f>'HPS LTO DAILY '!AL146</f>
        <v>0</v>
      </c>
      <c r="AE45" s="84">
        <f>'HPS LTO DAILY '!AM146</f>
        <v>0</v>
      </c>
      <c r="AF45" s="84">
        <f>'HPS LTO DAILY '!AN146</f>
        <v>0</v>
      </c>
      <c r="AG45" s="84">
        <f>'HPS LTO DAILY '!AO146</f>
        <v>0</v>
      </c>
      <c r="AH45" s="84">
        <f>'HPS LTO DAILY '!AP146</f>
        <v>0</v>
      </c>
      <c r="AI45" s="84">
        <f>'HPS LTO DAILY '!AQ146</f>
        <v>0</v>
      </c>
      <c r="AL45" s="84">
        <f>'HPS LTO DAILY '!AL146</f>
        <v>0</v>
      </c>
      <c r="AM45" s="84">
        <f>'HPS LTO DAILY '!AM146</f>
        <v>0</v>
      </c>
      <c r="AN45" s="84">
        <f>'HPS LTO DAILY '!AN146</f>
        <v>0</v>
      </c>
      <c r="AQ45" s="2603">
        <f t="shared" si="0"/>
        <v>0</v>
      </c>
    </row>
    <row r="46" spans="4:43" ht="19.5" customHeight="1" x14ac:dyDescent="0.35">
      <c r="D46" s="83">
        <v>40</v>
      </c>
      <c r="E46" s="2690"/>
      <c r="F46" s="2681"/>
      <c r="G46" s="84">
        <v>635</v>
      </c>
      <c r="H46" s="84">
        <f>'HPS LTO DAILY '!H156</f>
        <v>0</v>
      </c>
      <c r="I46" s="84">
        <f>'HPS LTO DAILY '!I156</f>
        <v>207.5</v>
      </c>
      <c r="J46" s="84">
        <f>'HPS LTO DAILY '!J156</f>
        <v>199.5</v>
      </c>
      <c r="K46" s="84">
        <f>'HPS LTO DAILY '!K156</f>
        <v>196.8</v>
      </c>
      <c r="L46" s="84">
        <f>'HPS LTO DAILY '!L156</f>
        <v>204</v>
      </c>
      <c r="M46" s="84">
        <f>'HPS LTO DAILY '!M156</f>
        <v>194.2</v>
      </c>
      <c r="N46" s="84">
        <f>'HPS LTO DAILY '!N156</f>
        <v>206.8</v>
      </c>
      <c r="O46" s="84">
        <f>'HPS LTO DAILY '!O156</f>
        <v>201.9</v>
      </c>
      <c r="P46" s="84">
        <f>'HPS LTO DAILY '!P156</f>
        <v>199</v>
      </c>
      <c r="Q46" s="84">
        <f>'HPS LTO DAILY '!Q156</f>
        <v>215.5</v>
      </c>
      <c r="R46" s="84">
        <f>'HPS LTO DAILY '!R156</f>
        <v>203.6</v>
      </c>
      <c r="S46" s="84">
        <f>'HPS LTO DAILY '!S156</f>
        <v>201.8</v>
      </c>
      <c r="T46" s="84">
        <f>'HPS LTO DAILY '!T156</f>
        <v>203</v>
      </c>
      <c r="U46" s="84">
        <f>'HPS LTO DAILY '!U156</f>
        <v>0</v>
      </c>
      <c r="V46" s="84">
        <f>'HPS LTO DAILY '!V156</f>
        <v>0</v>
      </c>
      <c r="W46" s="84">
        <f>'HPS LTO DAILY '!W156</f>
        <v>0</v>
      </c>
      <c r="X46" s="84">
        <f>'HPS LTO DAILY '!X156</f>
        <v>0</v>
      </c>
      <c r="Y46" s="84">
        <f>'HPS LTO DAILY '!AG156</f>
        <v>0</v>
      </c>
      <c r="Z46" s="84">
        <f>'HPS LTO DAILY '!AH156</f>
        <v>0</v>
      </c>
      <c r="AA46" s="84">
        <f>'HPS LTO DAILY '!AI156</f>
        <v>0</v>
      </c>
      <c r="AB46" s="84">
        <f>'HPS LTO DAILY '!AJ156</f>
        <v>0</v>
      </c>
      <c r="AC46" s="84">
        <f>'HPS LTO DAILY '!AK156</f>
        <v>0</v>
      </c>
      <c r="AD46" s="84">
        <f>'HPS LTO DAILY '!AL156</f>
        <v>0</v>
      </c>
      <c r="AE46" s="84">
        <f>'HPS LTO DAILY '!AM156</f>
        <v>0</v>
      </c>
      <c r="AF46" s="84">
        <f>'HPS LTO DAILY '!AN156</f>
        <v>0</v>
      </c>
      <c r="AG46" s="84">
        <f>'HPS LTO DAILY '!AO156</f>
        <v>0</v>
      </c>
      <c r="AH46" s="84">
        <f>'HPS LTO DAILY '!AP156</f>
        <v>0</v>
      </c>
      <c r="AI46" s="84">
        <f>'HPS LTO DAILY '!AQ156</f>
        <v>0</v>
      </c>
      <c r="AL46" s="84">
        <f>'HPS LTO DAILY '!AL156</f>
        <v>0</v>
      </c>
      <c r="AM46" s="84">
        <f>'HPS LTO DAILY '!AM156</f>
        <v>0</v>
      </c>
      <c r="AN46" s="84">
        <f>'HPS LTO DAILY '!AN156</f>
        <v>0</v>
      </c>
      <c r="AQ46" s="2603">
        <f t="shared" si="0"/>
        <v>0</v>
      </c>
    </row>
    <row r="47" spans="4:43" ht="19.5" customHeight="1" x14ac:dyDescent="0.35">
      <c r="D47" s="83">
        <v>50</v>
      </c>
      <c r="E47" s="2690"/>
      <c r="F47" s="2681"/>
      <c r="G47" s="84">
        <v>667</v>
      </c>
      <c r="H47" s="84">
        <f>'HPS LTO DAILY '!H166</f>
        <v>0</v>
      </c>
      <c r="I47" s="84">
        <f>'HPS LTO DAILY '!I166</f>
        <v>233.3</v>
      </c>
      <c r="J47" s="84">
        <f>'HPS LTO DAILY '!J166</f>
        <v>224.2</v>
      </c>
      <c r="K47" s="84">
        <f>'HPS LTO DAILY '!K166</f>
        <v>218.1</v>
      </c>
      <c r="L47" s="84">
        <f>'HPS LTO DAILY '!L166</f>
        <v>225</v>
      </c>
      <c r="M47" s="84">
        <f>'HPS LTO DAILY '!M166</f>
        <v>214.9</v>
      </c>
      <c r="N47" s="84">
        <f>'HPS LTO DAILY '!N166</f>
        <v>226.6</v>
      </c>
      <c r="O47" s="84">
        <f>'HPS LTO DAILY '!O166</f>
        <v>220.9</v>
      </c>
      <c r="P47" s="84">
        <f>'HPS LTO DAILY '!P166</f>
        <v>219.3</v>
      </c>
      <c r="Q47" s="84">
        <f>'HPS LTO DAILY '!Q166</f>
        <v>237.4</v>
      </c>
      <c r="R47" s="84">
        <f>'HPS LTO DAILY '!R166</f>
        <v>223.5</v>
      </c>
      <c r="S47" s="84">
        <f>'HPS LTO DAILY '!S166</f>
        <v>220.6</v>
      </c>
      <c r="T47" s="84">
        <f>'HPS LTO DAILY '!T166</f>
        <v>221.5</v>
      </c>
      <c r="U47" s="84">
        <f>'HPS LTO DAILY '!U166</f>
        <v>0</v>
      </c>
      <c r="V47" s="84">
        <f>'HPS LTO DAILY '!V166</f>
        <v>0</v>
      </c>
      <c r="W47" s="84">
        <f>'HPS LTO DAILY '!W166</f>
        <v>0</v>
      </c>
      <c r="X47" s="84">
        <f>'HPS LTO DAILY '!X166</f>
        <v>0</v>
      </c>
      <c r="Y47" s="84">
        <f>'HPS LTO DAILY '!AG166</f>
        <v>0</v>
      </c>
      <c r="Z47" s="84">
        <f>'HPS LTO DAILY '!AH166</f>
        <v>0</v>
      </c>
      <c r="AA47" s="84">
        <f>'HPS LTO DAILY '!AI166</f>
        <v>0</v>
      </c>
      <c r="AB47" s="84">
        <f>'HPS LTO DAILY '!AJ166</f>
        <v>0</v>
      </c>
      <c r="AC47" s="84">
        <f>'HPS LTO DAILY '!AK166</f>
        <v>0</v>
      </c>
      <c r="AD47" s="84">
        <f>'HPS LTO DAILY '!AL166</f>
        <v>0</v>
      </c>
      <c r="AE47" s="84">
        <f>'HPS LTO DAILY '!AM166</f>
        <v>0</v>
      </c>
      <c r="AF47" s="84">
        <f>'HPS LTO DAILY '!AN166</f>
        <v>0</v>
      </c>
      <c r="AG47" s="84">
        <f>'HPS LTO DAILY '!AO166</f>
        <v>0</v>
      </c>
      <c r="AH47" s="84">
        <f>'HPS LTO DAILY '!AP166</f>
        <v>0</v>
      </c>
      <c r="AI47" s="84">
        <f>'HPS LTO DAILY '!AQ166</f>
        <v>0</v>
      </c>
      <c r="AL47" s="84">
        <f>'HPS LTO DAILY '!AL166</f>
        <v>0</v>
      </c>
      <c r="AM47" s="84">
        <f>'HPS LTO DAILY '!AM166</f>
        <v>0</v>
      </c>
      <c r="AN47" s="84">
        <f>'HPS LTO DAILY '!AN166</f>
        <v>0</v>
      </c>
      <c r="AQ47" s="2603">
        <f t="shared" si="0"/>
        <v>0</v>
      </c>
    </row>
    <row r="48" spans="4:43" ht="19.5" customHeight="1" x14ac:dyDescent="0.35">
      <c r="D48" s="83">
        <v>60</v>
      </c>
      <c r="E48" s="2690"/>
      <c r="F48" s="2681"/>
      <c r="G48" s="84">
        <v>705</v>
      </c>
      <c r="H48" s="84">
        <f>'HPS LTO DAILY '!H176</f>
        <v>0</v>
      </c>
      <c r="I48" s="84">
        <f>'HPS LTO DAILY '!I176</f>
        <v>261.3</v>
      </c>
      <c r="J48" s="84">
        <f>'HPS LTO DAILY '!J176</f>
        <v>251.3</v>
      </c>
      <c r="K48" s="84">
        <f>'HPS LTO DAILY '!K176</f>
        <v>243.8</v>
      </c>
      <c r="L48" s="84">
        <f>'HPS LTO DAILY '!L176</f>
        <v>248.6</v>
      </c>
      <c r="M48" s="84">
        <f>'HPS LTO DAILY '!M176</f>
        <v>237</v>
      </c>
      <c r="N48" s="84">
        <f>'HPS LTO DAILY '!N176</f>
        <v>247.8</v>
      </c>
      <c r="O48" s="84">
        <f>'HPS LTO DAILY '!O176</f>
        <v>242.7</v>
      </c>
      <c r="P48" s="84">
        <f>'HPS LTO DAILY '!P176</f>
        <v>240.7</v>
      </c>
      <c r="Q48" s="84">
        <f>'HPS LTO DAILY '!Q176</f>
        <v>264.39999999999998</v>
      </c>
      <c r="R48" s="84">
        <f>'HPS LTO DAILY '!R176</f>
        <v>246.8</v>
      </c>
      <c r="S48" s="84">
        <f>'HPS LTO DAILY '!S176</f>
        <v>242.1</v>
      </c>
      <c r="T48" s="84">
        <f>'HPS LTO DAILY '!T176</f>
        <v>243.3</v>
      </c>
      <c r="U48" s="84">
        <f>'HPS LTO DAILY '!U176</f>
        <v>0</v>
      </c>
      <c r="V48" s="84">
        <f>'HPS LTO DAILY '!V176</f>
        <v>0</v>
      </c>
      <c r="W48" s="84">
        <f>'HPS LTO DAILY '!W176</f>
        <v>0</v>
      </c>
      <c r="X48" s="84">
        <f>'HPS LTO DAILY '!X176</f>
        <v>0</v>
      </c>
      <c r="Y48" s="84">
        <f>'HPS LTO DAILY '!AG176</f>
        <v>0</v>
      </c>
      <c r="Z48" s="84">
        <f>'HPS LTO DAILY '!AH176</f>
        <v>0</v>
      </c>
      <c r="AA48" s="84">
        <f>'HPS LTO DAILY '!AI176</f>
        <v>0</v>
      </c>
      <c r="AB48" s="84">
        <f>'HPS LTO DAILY '!AJ176</f>
        <v>0</v>
      </c>
      <c r="AC48" s="84">
        <f>'HPS LTO DAILY '!AK176</f>
        <v>0</v>
      </c>
      <c r="AD48" s="84">
        <f>'HPS LTO DAILY '!AL176</f>
        <v>0</v>
      </c>
      <c r="AE48" s="84">
        <f>'HPS LTO DAILY '!AM176</f>
        <v>0</v>
      </c>
      <c r="AF48" s="84">
        <f>'HPS LTO DAILY '!AN176</f>
        <v>0</v>
      </c>
      <c r="AG48" s="84">
        <f>'HPS LTO DAILY '!AO176</f>
        <v>0</v>
      </c>
      <c r="AH48" s="84">
        <f>'HPS LTO DAILY '!AP176</f>
        <v>0</v>
      </c>
      <c r="AI48" s="84">
        <f>'HPS LTO DAILY '!AQ176</f>
        <v>0</v>
      </c>
      <c r="AL48" s="84">
        <f>'HPS LTO DAILY '!AL176</f>
        <v>0</v>
      </c>
      <c r="AM48" s="84">
        <f>'HPS LTO DAILY '!AM176</f>
        <v>0</v>
      </c>
      <c r="AN48" s="84">
        <f>'HPS LTO DAILY '!AN176</f>
        <v>0</v>
      </c>
      <c r="AQ48" s="2603">
        <f t="shared" si="0"/>
        <v>0</v>
      </c>
    </row>
    <row r="49" spans="4:43" ht="19.5" customHeight="1" x14ac:dyDescent="0.35">
      <c r="D49" s="83">
        <v>70</v>
      </c>
      <c r="E49" s="2690"/>
      <c r="F49" s="2681"/>
      <c r="G49" s="47"/>
      <c r="H49" s="60">
        <f>'HPS LTO DAILY '!H186</f>
        <v>0</v>
      </c>
      <c r="I49" s="60">
        <f>'HPS LTO DAILY '!I186</f>
        <v>293.2</v>
      </c>
      <c r="J49" s="60">
        <f>'HPS LTO DAILY '!J186</f>
        <v>280.10000000000002</v>
      </c>
      <c r="K49" s="60">
        <f>'HPS LTO DAILY '!K186</f>
        <v>272.39999999999998</v>
      </c>
      <c r="L49" s="60">
        <f>'HPS LTO DAILY '!L186</f>
        <v>273.60000000000002</v>
      </c>
      <c r="M49" s="60">
        <f>'HPS LTO DAILY '!M186</f>
        <v>263</v>
      </c>
      <c r="N49" s="60">
        <f>'HPS LTO DAILY '!N186</f>
        <v>272.3</v>
      </c>
      <c r="O49" s="60">
        <f>'HPS LTO DAILY '!O186</f>
        <v>267.8</v>
      </c>
      <c r="P49" s="60">
        <f>'HPS LTO DAILY '!P186</f>
        <v>266.60000000000002</v>
      </c>
      <c r="Q49" s="60">
        <f>'HPS LTO DAILY '!Q186</f>
        <v>293.39999999999998</v>
      </c>
      <c r="R49" s="60">
        <f>'HPS LTO DAILY '!R186</f>
        <v>272.60000000000002</v>
      </c>
      <c r="S49" s="60">
        <f>'HPS LTO DAILY '!S186</f>
        <v>267.3</v>
      </c>
      <c r="T49" s="60">
        <f>'HPS LTO DAILY '!T186</f>
        <v>268</v>
      </c>
      <c r="U49" s="60">
        <f>'HPS LTO DAILY '!U186</f>
        <v>0</v>
      </c>
      <c r="V49" s="60">
        <f>'HPS LTO DAILY '!V186</f>
        <v>0</v>
      </c>
      <c r="W49" s="60">
        <f>'HPS LTO DAILY '!W186</f>
        <v>0</v>
      </c>
      <c r="X49" s="60">
        <f>'HPS LTO DAILY '!X186</f>
        <v>0</v>
      </c>
      <c r="Y49" s="60">
        <f>'HPS LTO DAILY '!AG186</f>
        <v>0</v>
      </c>
      <c r="Z49" s="60">
        <f>'HPS LTO DAILY '!AH186</f>
        <v>0</v>
      </c>
      <c r="AA49" s="60">
        <f>'HPS LTO DAILY '!AI186</f>
        <v>0</v>
      </c>
      <c r="AB49" s="60">
        <f>'HPS LTO DAILY '!AJ186</f>
        <v>0</v>
      </c>
      <c r="AC49" s="60">
        <f>'HPS LTO DAILY '!AK186</f>
        <v>0</v>
      </c>
      <c r="AD49" s="60">
        <f>'HPS LTO DAILY '!AL186</f>
        <v>0</v>
      </c>
      <c r="AE49" s="60">
        <f>'HPS LTO DAILY '!AM186</f>
        <v>0</v>
      </c>
      <c r="AF49" s="60">
        <f>'HPS LTO DAILY '!AN186</f>
        <v>0</v>
      </c>
      <c r="AG49" s="60">
        <f>'HPS LTO DAILY '!AO186</f>
        <v>0</v>
      </c>
      <c r="AH49" s="60">
        <f>'HPS LTO DAILY '!AP186</f>
        <v>0</v>
      </c>
      <c r="AI49" s="60">
        <f>'HPS LTO DAILY '!AQ186</f>
        <v>0</v>
      </c>
      <c r="AL49" s="60">
        <f>'HPS LTO DAILY '!AL186</f>
        <v>0</v>
      </c>
      <c r="AM49" s="60">
        <f>'HPS LTO DAILY '!AM186</f>
        <v>0</v>
      </c>
      <c r="AN49" s="60">
        <f>'HPS LTO DAILY '!AN186</f>
        <v>0</v>
      </c>
      <c r="AQ49" s="2603">
        <f t="shared" si="0"/>
        <v>0</v>
      </c>
    </row>
    <row r="50" spans="4:43" ht="19.5" customHeight="1" x14ac:dyDescent="0.35">
      <c r="D50" s="83">
        <v>80</v>
      </c>
      <c r="E50" s="2690"/>
      <c r="F50" s="2681"/>
      <c r="G50" s="47"/>
      <c r="H50" s="60">
        <f>'HPS LTO DAILY '!H196</f>
        <v>0</v>
      </c>
      <c r="I50" s="60">
        <f>'HPS LTO DAILY '!I196</f>
        <v>331.7</v>
      </c>
      <c r="J50" s="60">
        <f>'HPS LTO DAILY '!J196</f>
        <v>315.60000000000002</v>
      </c>
      <c r="K50" s="60">
        <f>'HPS LTO DAILY '!K196</f>
        <v>306</v>
      </c>
      <c r="L50" s="60">
        <f>'HPS LTO DAILY '!L196</f>
        <v>306</v>
      </c>
      <c r="M50" s="60">
        <f>'HPS LTO DAILY '!M196</f>
        <v>294.2</v>
      </c>
      <c r="N50" s="60">
        <f>'HPS LTO DAILY '!N196</f>
        <v>302.10000000000002</v>
      </c>
      <c r="O50" s="60">
        <f>'HPS LTO DAILY '!O196</f>
        <v>298.5</v>
      </c>
      <c r="P50" s="60">
        <f>'HPS LTO DAILY '!P196</f>
        <v>297.39999999999998</v>
      </c>
      <c r="Q50" s="60">
        <f>'HPS LTO DAILY '!Q196</f>
        <v>330.8</v>
      </c>
      <c r="R50" s="60">
        <f>'HPS LTO DAILY '!R196</f>
        <v>304.2</v>
      </c>
      <c r="S50" s="60">
        <f>'HPS LTO DAILY '!S196</f>
        <v>298</v>
      </c>
      <c r="T50" s="60">
        <f>'HPS LTO DAILY '!T196</f>
        <v>298.60000000000002</v>
      </c>
      <c r="U50" s="60">
        <f>'HPS LTO DAILY '!U196</f>
        <v>0</v>
      </c>
      <c r="V50" s="60">
        <f>'HPS LTO DAILY '!V196</f>
        <v>0</v>
      </c>
      <c r="W50" s="60">
        <f>'HPS LTO DAILY '!W196</f>
        <v>0</v>
      </c>
      <c r="X50" s="60">
        <f>'HPS LTO DAILY '!X196</f>
        <v>0</v>
      </c>
      <c r="Y50" s="60">
        <f>'HPS LTO DAILY '!AG196</f>
        <v>0</v>
      </c>
      <c r="Z50" s="60">
        <f>'HPS LTO DAILY '!AH196</f>
        <v>0</v>
      </c>
      <c r="AA50" s="60">
        <f>'HPS LTO DAILY '!AI196</f>
        <v>0</v>
      </c>
      <c r="AB50" s="60">
        <f>'HPS LTO DAILY '!AJ196</f>
        <v>0</v>
      </c>
      <c r="AC50" s="60">
        <f>'HPS LTO DAILY '!AK196</f>
        <v>0</v>
      </c>
      <c r="AD50" s="60">
        <f>'HPS LTO DAILY '!AL196</f>
        <v>0</v>
      </c>
      <c r="AE50" s="60">
        <f>'HPS LTO DAILY '!AM196</f>
        <v>0</v>
      </c>
      <c r="AF50" s="60">
        <f>'HPS LTO DAILY '!AN196</f>
        <v>0</v>
      </c>
      <c r="AG50" s="60">
        <f>'HPS LTO DAILY '!AO196</f>
        <v>0</v>
      </c>
      <c r="AH50" s="60">
        <f>'HPS LTO DAILY '!AP196</f>
        <v>0</v>
      </c>
      <c r="AI50" s="60">
        <f>'HPS LTO DAILY '!AQ196</f>
        <v>0</v>
      </c>
      <c r="AL50" s="60">
        <f>'HPS LTO DAILY '!AL196</f>
        <v>0</v>
      </c>
      <c r="AM50" s="60">
        <f>'HPS LTO DAILY '!AM196</f>
        <v>0</v>
      </c>
      <c r="AN50" s="60">
        <f>'HPS LTO DAILY '!AN196</f>
        <v>0</v>
      </c>
      <c r="AQ50" s="2603">
        <f t="shared" si="0"/>
        <v>0</v>
      </c>
    </row>
    <row r="51" spans="4:43" ht="19.5" customHeight="1" x14ac:dyDescent="0.35">
      <c r="D51" s="83">
        <v>90</v>
      </c>
      <c r="E51" s="2690"/>
      <c r="F51" s="2681"/>
      <c r="G51" s="47"/>
      <c r="H51" s="60">
        <f>'HPS LTO DAILY '!H206</f>
        <v>0</v>
      </c>
      <c r="I51" s="60">
        <f>'HPS LTO DAILY '!I206</f>
        <v>380.5</v>
      </c>
      <c r="J51" s="60">
        <f>'HPS LTO DAILY '!J206</f>
        <v>364.3</v>
      </c>
      <c r="K51" s="60">
        <f>'HPS LTO DAILY '!K206</f>
        <v>355</v>
      </c>
      <c r="L51" s="60">
        <f>'HPS LTO DAILY '!L206</f>
        <v>352.3</v>
      </c>
      <c r="M51" s="60">
        <f>'HPS LTO DAILY '!M206</f>
        <v>337.8</v>
      </c>
      <c r="N51" s="60">
        <f>'HPS LTO DAILY '!N206</f>
        <v>344.3</v>
      </c>
      <c r="O51" s="60">
        <f>'HPS LTO DAILY '!O206</f>
        <v>341</v>
      </c>
      <c r="P51" s="60">
        <f>'HPS LTO DAILY '!P206</f>
        <v>340.2</v>
      </c>
      <c r="Q51" s="60">
        <f>'HPS LTO DAILY '!Q206</f>
        <v>380.1</v>
      </c>
      <c r="R51" s="60">
        <f>'HPS LTO DAILY '!R206</f>
        <v>351.1</v>
      </c>
      <c r="S51" s="60">
        <f>'HPS LTO DAILY '!S206</f>
        <v>340.8</v>
      </c>
      <c r="T51" s="60">
        <f>'HPS LTO DAILY '!T206</f>
        <v>341.3</v>
      </c>
      <c r="U51" s="60">
        <f>'HPS LTO DAILY '!U206</f>
        <v>0</v>
      </c>
      <c r="V51" s="60">
        <f>'HPS LTO DAILY '!V206</f>
        <v>0</v>
      </c>
      <c r="W51" s="60">
        <f>'HPS LTO DAILY '!W206</f>
        <v>0</v>
      </c>
      <c r="X51" s="60">
        <f>'HPS LTO DAILY '!X206</f>
        <v>0</v>
      </c>
      <c r="Y51" s="60">
        <f>'HPS LTO DAILY '!AG206</f>
        <v>0</v>
      </c>
      <c r="Z51" s="60">
        <f>'HPS LTO DAILY '!AH206</f>
        <v>0</v>
      </c>
      <c r="AA51" s="60">
        <f>'HPS LTO DAILY '!AI206</f>
        <v>0</v>
      </c>
      <c r="AB51" s="60">
        <f>'HPS LTO DAILY '!AJ206</f>
        <v>0</v>
      </c>
      <c r="AC51" s="60">
        <f>'HPS LTO DAILY '!AK206</f>
        <v>0</v>
      </c>
      <c r="AD51" s="60">
        <f>'HPS LTO DAILY '!AL206</f>
        <v>0</v>
      </c>
      <c r="AE51" s="60">
        <f>'HPS LTO DAILY '!AM206</f>
        <v>0</v>
      </c>
      <c r="AF51" s="60">
        <f>'HPS LTO DAILY '!AN206</f>
        <v>0</v>
      </c>
      <c r="AG51" s="60">
        <f>'HPS LTO DAILY '!AO206</f>
        <v>0</v>
      </c>
      <c r="AH51" s="60">
        <f>'HPS LTO DAILY '!AP206</f>
        <v>0</v>
      </c>
      <c r="AI51" s="60">
        <f>'HPS LTO DAILY '!AQ206</f>
        <v>0</v>
      </c>
      <c r="AL51" s="60">
        <f>'HPS LTO DAILY '!AL206</f>
        <v>0</v>
      </c>
      <c r="AM51" s="60">
        <f>'HPS LTO DAILY '!AM206</f>
        <v>0</v>
      </c>
      <c r="AN51" s="60">
        <f>'HPS LTO DAILY '!AN206</f>
        <v>0</v>
      </c>
      <c r="AQ51" s="2603">
        <f t="shared" si="0"/>
        <v>0</v>
      </c>
    </row>
    <row r="52" spans="4:43" ht="19.5" customHeight="1" x14ac:dyDescent="0.35">
      <c r="D52" s="83">
        <v>95</v>
      </c>
      <c r="E52" s="2690"/>
      <c r="F52" s="2681"/>
      <c r="G52" s="47"/>
      <c r="H52" s="60">
        <f>'HPS LTO DAILY '!H211</f>
        <v>0</v>
      </c>
      <c r="I52" s="60">
        <f>'HPS LTO DAILY '!I211</f>
        <v>412.1</v>
      </c>
      <c r="J52" s="60">
        <f>'HPS LTO DAILY '!J211</f>
        <v>398.6</v>
      </c>
      <c r="K52" s="60">
        <f>'HPS LTO DAILY '!K211</f>
        <v>392</v>
      </c>
      <c r="L52" s="60">
        <f>'HPS LTO DAILY '!L211</f>
        <v>389</v>
      </c>
      <c r="M52" s="60">
        <f>'HPS LTO DAILY '!M211</f>
        <v>373.3</v>
      </c>
      <c r="N52" s="60">
        <f>'HPS LTO DAILY '!N211</f>
        <v>378.1</v>
      </c>
      <c r="O52" s="60">
        <f>'HPS LTO DAILY '!O211</f>
        <v>375.4</v>
      </c>
      <c r="P52" s="60">
        <f>'HPS LTO DAILY '!P211</f>
        <v>374.8</v>
      </c>
      <c r="Q52" s="60">
        <f>'HPS LTO DAILY '!Q211</f>
        <v>409.6</v>
      </c>
      <c r="R52" s="60">
        <f>'HPS LTO DAILY '!R211</f>
        <v>387.2</v>
      </c>
      <c r="S52" s="60">
        <f>'HPS LTO DAILY '!S211</f>
        <v>375.5</v>
      </c>
      <c r="T52" s="60">
        <f>'HPS LTO DAILY '!T211</f>
        <v>375.8</v>
      </c>
      <c r="U52" s="60">
        <f>'HPS LTO DAILY '!U211</f>
        <v>0</v>
      </c>
      <c r="V52" s="60">
        <f>'HPS LTO DAILY '!V211</f>
        <v>0</v>
      </c>
      <c r="W52" s="60">
        <f>'HPS LTO DAILY '!W211</f>
        <v>0</v>
      </c>
      <c r="X52" s="60">
        <f>'HPS LTO DAILY '!X211</f>
        <v>0</v>
      </c>
      <c r="Y52" s="60">
        <f>'HPS LTO DAILY '!AG211</f>
        <v>0</v>
      </c>
      <c r="Z52" s="60">
        <f>'HPS LTO DAILY '!AH211</f>
        <v>0</v>
      </c>
      <c r="AA52" s="60">
        <f>'HPS LTO DAILY '!AI211</f>
        <v>0</v>
      </c>
      <c r="AB52" s="60">
        <f>'HPS LTO DAILY '!AJ211</f>
        <v>0</v>
      </c>
      <c r="AC52" s="60">
        <f>'HPS LTO DAILY '!AK211</f>
        <v>0</v>
      </c>
      <c r="AD52" s="60">
        <f>'HPS LTO DAILY '!AL211</f>
        <v>0</v>
      </c>
      <c r="AE52" s="60">
        <f>'HPS LTO DAILY '!AM211</f>
        <v>0</v>
      </c>
      <c r="AF52" s="60">
        <f>'HPS LTO DAILY '!AN211</f>
        <v>0</v>
      </c>
      <c r="AG52" s="60">
        <f>'HPS LTO DAILY '!AO211</f>
        <v>0</v>
      </c>
      <c r="AH52" s="60">
        <f>'HPS LTO DAILY '!AP211</f>
        <v>0</v>
      </c>
      <c r="AI52" s="60">
        <f>'HPS LTO DAILY '!AQ211</f>
        <v>0</v>
      </c>
      <c r="AL52" s="60">
        <f>'HPS LTO DAILY '!AL211</f>
        <v>0</v>
      </c>
      <c r="AM52" s="60">
        <f>'HPS LTO DAILY '!AM211</f>
        <v>0</v>
      </c>
      <c r="AN52" s="60">
        <f>'HPS LTO DAILY '!AN211</f>
        <v>0</v>
      </c>
      <c r="AQ52" s="2603">
        <f t="shared" si="0"/>
        <v>0</v>
      </c>
    </row>
    <row r="53" spans="4:43" ht="19.5" customHeight="1" thickBot="1" x14ac:dyDescent="0.4">
      <c r="D53" s="83" t="s">
        <v>61</v>
      </c>
      <c r="E53" s="89" t="s">
        <v>54</v>
      </c>
      <c r="F53" s="2682"/>
      <c r="G53" s="90" t="s">
        <v>158</v>
      </c>
      <c r="H53" s="91">
        <f>'HPS LTO DAILY '!H216</f>
        <v>0</v>
      </c>
      <c r="I53" s="91">
        <f>'HPS LTO DAILY '!I216</f>
        <v>479.3</v>
      </c>
      <c r="J53" s="91">
        <f>'HPS LTO DAILY '!J216</f>
        <v>472</v>
      </c>
      <c r="K53" s="91">
        <f>'HPS LTO DAILY '!K216</f>
        <v>471.4</v>
      </c>
      <c r="L53" s="91">
        <f>'HPS LTO DAILY '!L216</f>
        <v>470.4</v>
      </c>
      <c r="M53" s="91">
        <f>'HPS LTO DAILY '!M216</f>
        <v>454.1</v>
      </c>
      <c r="N53" s="91">
        <f>'HPS LTO DAILY '!N216</f>
        <v>458.4</v>
      </c>
      <c r="O53" s="91">
        <f>'HPS LTO DAILY '!O216</f>
        <v>456.5</v>
      </c>
      <c r="P53" s="91">
        <f>'HPS LTO DAILY '!P216</f>
        <v>456.5</v>
      </c>
      <c r="Q53" s="91">
        <f>'HPS LTO DAILY '!Q216</f>
        <v>471.8</v>
      </c>
      <c r="R53" s="91">
        <f>'HPS LTO DAILY '!R216</f>
        <v>461</v>
      </c>
      <c r="S53" s="91">
        <f>'HPS LTO DAILY '!S216</f>
        <v>456.6</v>
      </c>
      <c r="T53" s="91">
        <f>'HPS LTO DAILY '!T216</f>
        <v>456.9</v>
      </c>
      <c r="U53" s="91">
        <f>'HPS LTO DAILY '!U216</f>
        <v>0</v>
      </c>
      <c r="V53" s="91">
        <f>'HPS LTO DAILY '!V216</f>
        <v>0</v>
      </c>
      <c r="W53" s="91">
        <f>'HPS LTO DAILY '!W216</f>
        <v>0</v>
      </c>
      <c r="X53" s="91">
        <f>'HPS LTO DAILY '!X216</f>
        <v>0</v>
      </c>
      <c r="Y53" s="91">
        <f>'HPS LTO DAILY '!AG216</f>
        <v>0</v>
      </c>
      <c r="Z53" s="91">
        <f>'HPS LTO DAILY '!AH216</f>
        <v>0</v>
      </c>
      <c r="AA53" s="91">
        <f>'HPS LTO DAILY '!AI216</f>
        <v>0</v>
      </c>
      <c r="AB53" s="91">
        <f>'HPS LTO DAILY '!AJ216</f>
        <v>0</v>
      </c>
      <c r="AC53" s="91">
        <f>'HPS LTO DAILY '!AK216</f>
        <v>0</v>
      </c>
      <c r="AD53" s="91">
        <f>'HPS LTO DAILY '!AL216</f>
        <v>0</v>
      </c>
      <c r="AE53" s="91">
        <f>'HPS LTO DAILY '!AM216</f>
        <v>0</v>
      </c>
      <c r="AF53" s="91">
        <f>'HPS LTO DAILY '!AN216</f>
        <v>0</v>
      </c>
      <c r="AG53" s="91">
        <f>'HPS LTO DAILY '!AO216</f>
        <v>0</v>
      </c>
      <c r="AH53" s="91">
        <f>'HPS LTO DAILY '!AP216</f>
        <v>0</v>
      </c>
      <c r="AI53" s="91">
        <f>'HPS LTO DAILY '!AQ216</f>
        <v>0</v>
      </c>
      <c r="AL53" s="91">
        <f>'HPS LTO DAILY '!AL216</f>
        <v>0</v>
      </c>
      <c r="AM53" s="91">
        <f>'HPS LTO DAILY '!AM216</f>
        <v>0</v>
      </c>
      <c r="AN53" s="91">
        <f>'HPS LTO DAILY '!AN216</f>
        <v>0</v>
      </c>
      <c r="AQ53" s="2603">
        <f t="shared" si="0"/>
        <v>0</v>
      </c>
    </row>
    <row r="54" spans="4:43" ht="19.5" customHeight="1" x14ac:dyDescent="0.35">
      <c r="D54" s="92" t="s">
        <v>159</v>
      </c>
      <c r="E54" s="93"/>
      <c r="F54" s="94"/>
      <c r="G54" s="95"/>
      <c r="H54" s="95"/>
      <c r="I54" s="95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  <c r="AC54" s="96"/>
      <c r="AD54" s="96"/>
      <c r="AE54" s="96"/>
      <c r="AF54" s="96"/>
      <c r="AG54" s="96"/>
      <c r="AH54" s="96"/>
      <c r="AI54" s="96"/>
      <c r="AL54" s="96"/>
      <c r="AM54" s="96"/>
      <c r="AN54" s="96"/>
      <c r="AQ54" s="2603" t="e">
        <f t="shared" si="0"/>
        <v>#DIV/0!</v>
      </c>
    </row>
    <row r="55" spans="4:43" ht="19.5" customHeight="1" x14ac:dyDescent="0.35">
      <c r="D55" s="97" t="s">
        <v>101</v>
      </c>
      <c r="E55" s="2692" t="s">
        <v>58</v>
      </c>
      <c r="F55" s="2695" t="s">
        <v>36</v>
      </c>
      <c r="G55" s="98">
        <v>0</v>
      </c>
      <c r="H55" s="3"/>
      <c r="I55" s="3">
        <v>1.2</v>
      </c>
      <c r="J55" s="99">
        <v>4.3</v>
      </c>
      <c r="K55" s="99">
        <v>4.0999999999999996</v>
      </c>
      <c r="L55" s="99">
        <v>1.5</v>
      </c>
      <c r="M55" s="99">
        <v>4.2</v>
      </c>
      <c r="N55" s="99">
        <v>1.1000000000000001</v>
      </c>
      <c r="O55" s="99">
        <v>2.2000000000000002</v>
      </c>
      <c r="P55" s="99">
        <v>1.1000000000000001</v>
      </c>
      <c r="Q55" s="99">
        <v>2.1</v>
      </c>
      <c r="R55" s="99">
        <v>1</v>
      </c>
      <c r="S55" s="99">
        <v>1.9</v>
      </c>
      <c r="T55" s="99">
        <v>1.6</v>
      </c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99"/>
      <c r="AH55" s="99"/>
      <c r="AI55" s="99"/>
      <c r="AL55" s="99">
        <v>1.3</v>
      </c>
      <c r="AM55" s="99">
        <v>0.9</v>
      </c>
      <c r="AN55" s="99">
        <v>2.1</v>
      </c>
      <c r="AQ55" s="2603">
        <f t="shared" si="0"/>
        <v>1.1000000000000001</v>
      </c>
    </row>
    <row r="56" spans="4:43" ht="19.5" customHeight="1" x14ac:dyDescent="0.35">
      <c r="D56" s="97" t="s">
        <v>102</v>
      </c>
      <c r="E56" s="2693"/>
      <c r="F56" s="2696"/>
      <c r="G56" s="98">
        <v>0</v>
      </c>
      <c r="H56" s="3"/>
      <c r="I56" s="3">
        <v>19.2</v>
      </c>
      <c r="J56" s="99">
        <v>18.7</v>
      </c>
      <c r="K56" s="99">
        <v>20.100000000000001</v>
      </c>
      <c r="L56" s="99">
        <v>17</v>
      </c>
      <c r="M56" s="99">
        <v>19.8</v>
      </c>
      <c r="N56" s="99">
        <v>14.5</v>
      </c>
      <c r="O56" s="99">
        <v>16.600000000000001</v>
      </c>
      <c r="P56" s="99">
        <v>15.124999999999998</v>
      </c>
      <c r="Q56" s="99">
        <v>16.399999999999999</v>
      </c>
      <c r="R56" s="99">
        <v>14.7</v>
      </c>
      <c r="S56" s="99">
        <v>16.7</v>
      </c>
      <c r="T56" s="99">
        <v>16.399999999999999</v>
      </c>
      <c r="U56" s="99"/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99"/>
      <c r="AH56" s="99"/>
      <c r="AI56" s="99"/>
      <c r="AL56" s="99">
        <v>16.049999999999997</v>
      </c>
      <c r="AM56" s="99">
        <v>14.2</v>
      </c>
      <c r="AN56" s="99">
        <v>16.399999999999999</v>
      </c>
      <c r="AQ56" s="2603">
        <f t="shared" si="0"/>
        <v>15.124999999999998</v>
      </c>
    </row>
    <row r="57" spans="4:43" ht="19.5" customHeight="1" x14ac:dyDescent="0.35">
      <c r="D57" s="97" t="s">
        <v>103</v>
      </c>
      <c r="E57" s="2693"/>
      <c r="F57" s="2696"/>
      <c r="G57" s="98">
        <v>0</v>
      </c>
      <c r="H57" s="3"/>
      <c r="I57" s="3">
        <v>35.5</v>
      </c>
      <c r="J57" s="99">
        <v>36.6</v>
      </c>
      <c r="K57" s="99">
        <v>37.9</v>
      </c>
      <c r="L57" s="99">
        <v>42.1</v>
      </c>
      <c r="M57" s="99">
        <v>41.1</v>
      </c>
      <c r="N57" s="99">
        <v>45.3</v>
      </c>
      <c r="O57" s="99">
        <v>43.9</v>
      </c>
      <c r="P57" s="99">
        <v>40.549999999999997</v>
      </c>
      <c r="Q57" s="99">
        <v>42.8</v>
      </c>
      <c r="R57" s="99">
        <v>45.3</v>
      </c>
      <c r="S57" s="99">
        <v>44.3</v>
      </c>
      <c r="T57" s="99">
        <v>44.6</v>
      </c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99"/>
      <c r="AH57" s="99"/>
      <c r="AI57" s="99"/>
      <c r="AL57" s="99">
        <v>41.6</v>
      </c>
      <c r="AM57" s="99">
        <v>39.5</v>
      </c>
      <c r="AN57" s="99">
        <v>42.8</v>
      </c>
      <c r="AQ57" s="2603">
        <f t="shared" si="0"/>
        <v>40.549999999999997</v>
      </c>
    </row>
    <row r="58" spans="4:43" ht="19.5" customHeight="1" x14ac:dyDescent="0.35">
      <c r="D58" s="97" t="s">
        <v>104</v>
      </c>
      <c r="E58" s="2693"/>
      <c r="F58" s="2696"/>
      <c r="G58" s="98">
        <v>0</v>
      </c>
      <c r="H58" s="3"/>
      <c r="I58" s="3">
        <v>30.2</v>
      </c>
      <c r="J58" s="99">
        <v>29.7</v>
      </c>
      <c r="K58" s="99">
        <v>28.8</v>
      </c>
      <c r="L58" s="99">
        <v>30.7</v>
      </c>
      <c r="M58" s="99">
        <v>28.3</v>
      </c>
      <c r="N58" s="99">
        <v>31.8</v>
      </c>
      <c r="O58" s="99">
        <v>30.4</v>
      </c>
      <c r="P58" s="99">
        <v>31.25</v>
      </c>
      <c r="Q58" s="99">
        <v>30.2</v>
      </c>
      <c r="R58" s="99">
        <v>31.6</v>
      </c>
      <c r="S58" s="99">
        <v>30.2</v>
      </c>
      <c r="T58" s="99">
        <v>30.5</v>
      </c>
      <c r="U58" s="99"/>
      <c r="V58" s="99"/>
      <c r="W58" s="99"/>
      <c r="X58" s="99"/>
      <c r="Y58" s="99"/>
      <c r="Z58" s="99"/>
      <c r="AA58" s="99"/>
      <c r="AB58" s="99"/>
      <c r="AC58" s="99"/>
      <c r="AD58" s="99"/>
      <c r="AE58" s="99"/>
      <c r="AF58" s="99"/>
      <c r="AG58" s="99"/>
      <c r="AH58" s="99"/>
      <c r="AI58" s="99"/>
      <c r="AL58" s="99">
        <v>30.799999999999997</v>
      </c>
      <c r="AM58" s="99">
        <v>31.7</v>
      </c>
      <c r="AN58" s="99">
        <v>30.2</v>
      </c>
      <c r="AQ58" s="2603">
        <f t="shared" si="0"/>
        <v>31.25</v>
      </c>
    </row>
    <row r="59" spans="4:43" ht="19.5" customHeight="1" x14ac:dyDescent="0.35">
      <c r="D59" s="97" t="s">
        <v>105</v>
      </c>
      <c r="E59" s="2693"/>
      <c r="F59" s="2696"/>
      <c r="G59" s="98">
        <v>4.17</v>
      </c>
      <c r="H59" s="3"/>
      <c r="I59" s="3">
        <v>13.8</v>
      </c>
      <c r="J59" s="99">
        <v>10.7</v>
      </c>
      <c r="K59" s="99">
        <v>9.1</v>
      </c>
      <c r="L59" s="99">
        <v>8.6999999999999993</v>
      </c>
      <c r="M59" s="99">
        <v>6.6</v>
      </c>
      <c r="N59" s="99">
        <v>7.3</v>
      </c>
      <c r="O59" s="99">
        <v>6.9</v>
      </c>
      <c r="P59" s="99">
        <v>11.975</v>
      </c>
      <c r="Q59" s="99">
        <v>8.5</v>
      </c>
      <c r="R59" s="99">
        <v>7.4</v>
      </c>
      <c r="S59" s="99">
        <v>6.9</v>
      </c>
      <c r="T59" s="99">
        <v>6.9</v>
      </c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99"/>
      <c r="AH59" s="99"/>
      <c r="AI59" s="99"/>
      <c r="AL59" s="99">
        <v>10.25</v>
      </c>
      <c r="AM59" s="99">
        <v>13.7</v>
      </c>
      <c r="AN59" s="99">
        <v>8.5</v>
      </c>
      <c r="AQ59" s="2603">
        <f t="shared" si="0"/>
        <v>11.975</v>
      </c>
    </row>
    <row r="60" spans="4:43" ht="19.5" customHeight="1" x14ac:dyDescent="0.35">
      <c r="D60" s="97" t="s">
        <v>100</v>
      </c>
      <c r="E60" s="2693"/>
      <c r="F60" s="2696"/>
      <c r="G60" s="98">
        <f>14.05-G59</f>
        <v>9.8800000000000008</v>
      </c>
      <c r="H60" s="3"/>
      <c r="I60" s="3">
        <v>0.1</v>
      </c>
      <c r="J60" s="99">
        <v>0</v>
      </c>
      <c r="K60" s="99">
        <v>0</v>
      </c>
      <c r="L60" s="99">
        <v>0</v>
      </c>
      <c r="M60" s="99">
        <v>0</v>
      </c>
      <c r="N60" s="99">
        <v>0</v>
      </c>
      <c r="O60" s="99">
        <v>0</v>
      </c>
      <c r="P60" s="99">
        <v>0</v>
      </c>
      <c r="Q60" s="99">
        <v>0</v>
      </c>
      <c r="R60" s="99">
        <v>0</v>
      </c>
      <c r="S60" s="99">
        <v>0</v>
      </c>
      <c r="T60" s="99">
        <v>0</v>
      </c>
      <c r="U60" s="99"/>
      <c r="V60" s="99"/>
      <c r="W60" s="99"/>
      <c r="X60" s="99"/>
      <c r="Y60" s="99"/>
      <c r="Z60" s="99"/>
      <c r="AA60" s="99"/>
      <c r="AB60" s="99"/>
      <c r="AC60" s="99"/>
      <c r="AD60" s="99"/>
      <c r="AE60" s="99"/>
      <c r="AF60" s="99"/>
      <c r="AG60" s="99"/>
      <c r="AH60" s="99"/>
      <c r="AI60" s="99"/>
      <c r="AL60" s="99">
        <v>0</v>
      </c>
      <c r="AM60" s="99">
        <v>0</v>
      </c>
      <c r="AN60" s="99">
        <v>0</v>
      </c>
      <c r="AQ60" s="2603">
        <f t="shared" si="0"/>
        <v>0</v>
      </c>
    </row>
    <row r="61" spans="4:43" ht="19.5" customHeight="1" x14ac:dyDescent="0.35">
      <c r="D61" s="97" t="s">
        <v>160</v>
      </c>
      <c r="E61" s="2694"/>
      <c r="F61" s="2697"/>
      <c r="G61" s="98">
        <f>100-SUM(G55:G60)</f>
        <v>85.95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L61" s="3">
        <v>0</v>
      </c>
      <c r="AM61" s="3">
        <v>0</v>
      </c>
      <c r="AN61" s="3">
        <v>0</v>
      </c>
      <c r="AQ61" s="2603">
        <f t="shared" si="0"/>
        <v>0</v>
      </c>
    </row>
    <row r="62" spans="4:43" ht="19.5" customHeight="1" thickBot="1" x14ac:dyDescent="0.4">
      <c r="D62" s="100" t="s">
        <v>161</v>
      </c>
      <c r="E62" s="93"/>
      <c r="F62" s="94"/>
      <c r="G62" s="101">
        <f>SUM(G55:G61)</f>
        <v>100</v>
      </c>
      <c r="H62" s="443">
        <f>SUM(H55:H61)</f>
        <v>0</v>
      </c>
      <c r="I62" s="443">
        <f t="shared" ref="I62:W62" si="18">SUM(I55:I61)</f>
        <v>99.999999999999986</v>
      </c>
      <c r="J62" s="443">
        <f t="shared" si="18"/>
        <v>100</v>
      </c>
      <c r="K62" s="443">
        <f t="shared" si="18"/>
        <v>100</v>
      </c>
      <c r="L62" s="443">
        <f t="shared" si="18"/>
        <v>100</v>
      </c>
      <c r="M62" s="443">
        <f t="shared" si="18"/>
        <v>99.999999999999986</v>
      </c>
      <c r="N62" s="443">
        <f>SUM(N55:N61)</f>
        <v>100</v>
      </c>
      <c r="O62" s="443">
        <f t="shared" si="18"/>
        <v>100</v>
      </c>
      <c r="P62" s="443">
        <f t="shared" si="18"/>
        <v>99.999999999999986</v>
      </c>
      <c r="Q62" s="443">
        <f t="shared" si="18"/>
        <v>100</v>
      </c>
      <c r="R62" s="443">
        <f t="shared" si="18"/>
        <v>100</v>
      </c>
      <c r="S62" s="443">
        <f t="shared" si="18"/>
        <v>100</v>
      </c>
      <c r="T62" s="443">
        <f t="shared" si="18"/>
        <v>100</v>
      </c>
      <c r="U62" s="443">
        <f t="shared" si="18"/>
        <v>0</v>
      </c>
      <c r="V62" s="443">
        <f t="shared" si="18"/>
        <v>0</v>
      </c>
      <c r="W62" s="443">
        <f t="shared" si="18"/>
        <v>0</v>
      </c>
      <c r="X62" s="443">
        <f t="shared" ref="X62:Y62" si="19">SUM(X55:X61)</f>
        <v>0</v>
      </c>
      <c r="Y62" s="443">
        <f t="shared" si="19"/>
        <v>0</v>
      </c>
      <c r="Z62" s="443">
        <f t="shared" ref="Z62:AF62" si="20">SUM(Z55:Z61)</f>
        <v>0</v>
      </c>
      <c r="AA62" s="443">
        <f t="shared" si="20"/>
        <v>0</v>
      </c>
      <c r="AB62" s="443">
        <f t="shared" si="20"/>
        <v>0</v>
      </c>
      <c r="AC62" s="443">
        <f t="shared" si="20"/>
        <v>0</v>
      </c>
      <c r="AD62" s="443">
        <f t="shared" si="20"/>
        <v>0</v>
      </c>
      <c r="AE62" s="443">
        <f t="shared" si="20"/>
        <v>0</v>
      </c>
      <c r="AF62" s="443">
        <f t="shared" si="20"/>
        <v>0</v>
      </c>
      <c r="AG62" s="443">
        <f t="shared" ref="AG62:AI62" si="21">SUM(AG55:AG61)</f>
        <v>0</v>
      </c>
      <c r="AH62" s="443">
        <f t="shared" si="21"/>
        <v>0</v>
      </c>
      <c r="AI62" s="443">
        <f t="shared" si="21"/>
        <v>0</v>
      </c>
      <c r="AL62" s="443">
        <f t="shared" ref="AL62:AN62" si="22">SUM(AL55:AL61)</f>
        <v>100</v>
      </c>
      <c r="AM62" s="443">
        <f t="shared" si="22"/>
        <v>100</v>
      </c>
      <c r="AN62" s="443">
        <f t="shared" si="22"/>
        <v>100</v>
      </c>
      <c r="AQ62" s="2603">
        <f t="shared" si="0"/>
        <v>100</v>
      </c>
    </row>
    <row r="63" spans="4:43" ht="18.75" customHeight="1" x14ac:dyDescent="0.35">
      <c r="D63" s="75" t="s">
        <v>62</v>
      </c>
      <c r="E63" s="2684" t="s">
        <v>63</v>
      </c>
      <c r="F63" s="2698" t="s">
        <v>55</v>
      </c>
      <c r="G63" s="47"/>
      <c r="H63" s="47"/>
      <c r="I63" s="47"/>
      <c r="J63" s="55"/>
      <c r="K63" s="55"/>
      <c r="L63" s="55"/>
      <c r="M63" s="55"/>
      <c r="N63" s="55"/>
      <c r="O63" s="55"/>
      <c r="P63" s="55"/>
      <c r="Q63" s="55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L63" s="55"/>
      <c r="AM63" s="55"/>
      <c r="AN63" s="56"/>
    </row>
    <row r="64" spans="4:43" ht="18.75" customHeight="1" x14ac:dyDescent="0.35">
      <c r="D64" s="44" t="s">
        <v>64</v>
      </c>
      <c r="E64" s="2684"/>
      <c r="F64" s="2698"/>
      <c r="G64" s="60">
        <v>2.2999999999999998</v>
      </c>
      <c r="H64" s="47"/>
      <c r="I64" s="47"/>
      <c r="J64" s="55"/>
      <c r="K64" s="55"/>
      <c r="L64" s="55"/>
      <c r="M64" s="55"/>
      <c r="N64" s="55"/>
      <c r="O64" s="55"/>
      <c r="P64" s="55"/>
      <c r="Q64" s="55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L64" s="55"/>
      <c r="AM64" s="55"/>
      <c r="AN64" s="56"/>
    </row>
    <row r="65" spans="2:40" ht="18.75" customHeight="1" x14ac:dyDescent="0.35">
      <c r="D65" s="44" t="s">
        <v>65</v>
      </c>
      <c r="E65" s="2684"/>
      <c r="F65" s="2698"/>
      <c r="G65" s="60">
        <v>41.8</v>
      </c>
      <c r="H65" s="47"/>
      <c r="I65" s="47"/>
      <c r="J65" s="55"/>
      <c r="K65" s="55"/>
      <c r="L65" s="55"/>
      <c r="M65" s="55"/>
      <c r="N65" s="55"/>
      <c r="O65" s="55"/>
      <c r="P65" s="55"/>
      <c r="Q65" s="55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L65" s="55"/>
      <c r="AM65" s="55"/>
      <c r="AN65" s="56"/>
    </row>
    <row r="66" spans="2:40" ht="18.75" customHeight="1" x14ac:dyDescent="0.35">
      <c r="D66" s="44" t="s">
        <v>66</v>
      </c>
      <c r="E66" s="2684"/>
      <c r="F66" s="2698"/>
      <c r="G66" s="60">
        <v>24.4</v>
      </c>
      <c r="H66" s="47"/>
      <c r="I66" s="47"/>
      <c r="J66" s="276"/>
      <c r="K66" s="55"/>
      <c r="L66" s="55"/>
      <c r="M66" s="55"/>
      <c r="N66" s="55"/>
      <c r="O66" s="55"/>
      <c r="P66" s="55"/>
      <c r="Q66" s="55"/>
      <c r="R66" s="277"/>
      <c r="S66" s="277"/>
      <c r="T66" s="277"/>
      <c r="U66" s="277"/>
      <c r="V66" s="277"/>
      <c r="W66" s="277"/>
      <c r="X66" s="277"/>
      <c r="Y66" s="277"/>
      <c r="Z66" s="277"/>
      <c r="AA66" s="277"/>
      <c r="AB66" s="277"/>
      <c r="AC66" s="277"/>
      <c r="AD66" s="277"/>
      <c r="AE66" s="277"/>
      <c r="AF66" s="277"/>
      <c r="AG66" s="277"/>
      <c r="AH66" s="277"/>
      <c r="AI66" s="277"/>
      <c r="AL66" s="55"/>
      <c r="AM66" s="55"/>
      <c r="AN66" s="277"/>
    </row>
    <row r="67" spans="2:40" ht="18.75" customHeight="1" x14ac:dyDescent="0.35">
      <c r="D67" s="44" t="s">
        <v>67</v>
      </c>
      <c r="E67" s="2684"/>
      <c r="F67" s="2698"/>
      <c r="G67" s="60">
        <v>31.6</v>
      </c>
      <c r="H67" s="47"/>
      <c r="I67" s="47"/>
      <c r="J67" s="55"/>
      <c r="K67" s="55"/>
      <c r="L67" s="55"/>
      <c r="M67" s="55"/>
      <c r="N67" s="55"/>
      <c r="O67" s="55"/>
      <c r="P67" s="55"/>
      <c r="Q67" s="55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L67" s="55"/>
      <c r="AM67" s="55"/>
      <c r="AN67" s="56"/>
    </row>
    <row r="68" spans="2:40" x14ac:dyDescent="0.35">
      <c r="B68" s="103"/>
      <c r="C68" s="10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09">
        <f>AVERAGE(P55:Q55)</f>
        <v>1.6</v>
      </c>
      <c r="Q68" s="13"/>
      <c r="R68" s="13"/>
      <c r="S68" s="13"/>
      <c r="T68" s="13"/>
      <c r="U68" s="13"/>
      <c r="V68" s="13"/>
      <c r="AL68" s="109">
        <f>AVERAGE(AL55:AM55)</f>
        <v>1.1000000000000001</v>
      </c>
      <c r="AM68" s="13"/>
      <c r="AN68" s="13"/>
    </row>
    <row r="69" spans="2:40" x14ac:dyDescent="0.35">
      <c r="B69" s="103"/>
      <c r="C69" s="103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9">
        <f t="shared" ref="P69:P76" si="23">AVERAGE(P56:Q56)</f>
        <v>15.762499999999999</v>
      </c>
      <c r="Q69" s="104"/>
      <c r="R69" s="104"/>
      <c r="S69" s="104"/>
      <c r="T69" s="104"/>
      <c r="U69" s="104"/>
      <c r="V69" s="104"/>
      <c r="AL69" s="109">
        <f t="shared" ref="AL69:AL76" si="24">AVERAGE(AL56:AM56)</f>
        <v>15.124999999999998</v>
      </c>
      <c r="AM69" s="104"/>
      <c r="AN69" s="104"/>
    </row>
    <row r="70" spans="2:40" s="18" customFormat="1" x14ac:dyDescent="0.35">
      <c r="B70" s="13"/>
      <c r="C70" s="13"/>
      <c r="D70" s="105"/>
      <c r="E70" s="106"/>
      <c r="F70" s="107"/>
      <c r="G70" s="13"/>
      <c r="H70" s="13"/>
      <c r="I70" s="13"/>
      <c r="J70" s="13"/>
      <c r="K70" s="13"/>
      <c r="L70" s="13"/>
      <c r="M70" s="13"/>
      <c r="N70" s="13"/>
      <c r="O70" s="13"/>
      <c r="P70" s="109">
        <f t="shared" si="23"/>
        <v>41.674999999999997</v>
      </c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L70" s="109">
        <f t="shared" si="24"/>
        <v>40.549999999999997</v>
      </c>
      <c r="AM70" s="13"/>
      <c r="AN70" s="13"/>
    </row>
    <row r="71" spans="2:40" x14ac:dyDescent="0.35">
      <c r="B71" s="103"/>
      <c r="C71" s="103"/>
      <c r="D71" s="105"/>
      <c r="E71" s="106"/>
      <c r="F71" s="107"/>
      <c r="G71" s="13"/>
      <c r="H71" s="13"/>
      <c r="I71" s="13"/>
      <c r="J71" s="13"/>
      <c r="K71" s="13"/>
      <c r="L71" s="13"/>
      <c r="M71" s="13"/>
      <c r="N71" s="13"/>
      <c r="O71" s="13"/>
      <c r="P71" s="109">
        <f t="shared" si="23"/>
        <v>30.725000000000001</v>
      </c>
      <c r="Q71" s="13"/>
      <c r="R71" s="13"/>
      <c r="S71" s="13"/>
      <c r="T71" s="13"/>
      <c r="U71" s="13"/>
      <c r="V71" s="13"/>
      <c r="AL71" s="109">
        <f t="shared" si="24"/>
        <v>31.25</v>
      </c>
      <c r="AM71" s="13"/>
      <c r="AN71" s="13"/>
    </row>
    <row r="72" spans="2:40" x14ac:dyDescent="0.35">
      <c r="B72" s="103"/>
      <c r="C72" s="103"/>
      <c r="D72" s="108"/>
      <c r="E72" s="106"/>
      <c r="F72" s="107"/>
      <c r="G72" s="13"/>
      <c r="H72" s="13"/>
      <c r="I72" s="13"/>
      <c r="J72" s="13"/>
      <c r="K72" s="13"/>
      <c r="L72" s="13"/>
      <c r="M72" s="13"/>
      <c r="N72" s="13"/>
      <c r="O72" s="13"/>
      <c r="P72" s="109">
        <f t="shared" si="23"/>
        <v>10.237500000000001</v>
      </c>
      <c r="Q72" s="13"/>
      <c r="R72" s="13"/>
      <c r="S72" s="13"/>
      <c r="T72" s="13"/>
      <c r="U72" s="13"/>
      <c r="V72" s="13"/>
      <c r="AL72" s="109">
        <f t="shared" si="24"/>
        <v>11.975</v>
      </c>
      <c r="AM72" s="13"/>
      <c r="AN72" s="13"/>
    </row>
    <row r="73" spans="2:40" x14ac:dyDescent="0.35">
      <c r="B73" s="103"/>
      <c r="C73" s="103"/>
      <c r="D73" s="108"/>
      <c r="E73" s="106"/>
      <c r="F73" s="107"/>
      <c r="G73" s="13"/>
      <c r="H73" s="13"/>
      <c r="I73" s="13"/>
      <c r="J73" s="13"/>
      <c r="K73" s="13"/>
      <c r="L73" s="13"/>
      <c r="M73" s="13"/>
      <c r="N73" s="13"/>
      <c r="O73" s="13"/>
      <c r="P73" s="109">
        <f t="shared" si="23"/>
        <v>0</v>
      </c>
      <c r="Q73" s="13"/>
      <c r="R73" s="13"/>
      <c r="S73" s="13"/>
      <c r="T73" s="13"/>
      <c r="U73" s="13"/>
      <c r="V73" s="13"/>
      <c r="AL73" s="109">
        <f t="shared" si="24"/>
        <v>0</v>
      </c>
      <c r="AM73" s="13"/>
      <c r="AN73" s="13"/>
    </row>
    <row r="74" spans="2:40" x14ac:dyDescent="0.35">
      <c r="B74" s="103"/>
      <c r="C74" s="103"/>
      <c r="D74" s="108"/>
      <c r="E74" s="106"/>
      <c r="F74" s="107"/>
      <c r="G74" s="13"/>
      <c r="H74" s="13"/>
      <c r="I74" s="13"/>
      <c r="J74" s="13"/>
      <c r="K74" s="13"/>
      <c r="L74" s="13"/>
      <c r="M74" s="13"/>
      <c r="N74" s="13"/>
      <c r="O74" s="13"/>
      <c r="P74" s="109">
        <f t="shared" si="23"/>
        <v>0</v>
      </c>
      <c r="Q74" s="13"/>
      <c r="R74" s="13"/>
      <c r="S74" s="13"/>
      <c r="T74" s="13"/>
      <c r="U74" s="13"/>
      <c r="V74" s="13"/>
      <c r="AL74" s="109">
        <f t="shared" si="24"/>
        <v>0</v>
      </c>
      <c r="AM74" s="13"/>
      <c r="AN74" s="13"/>
    </row>
    <row r="75" spans="2:40" x14ac:dyDescent="0.35">
      <c r="B75" s="103"/>
      <c r="C75" s="103"/>
      <c r="D75" s="105"/>
      <c r="E75" s="106"/>
      <c r="F75" s="107"/>
      <c r="G75" s="13"/>
      <c r="H75" s="13"/>
      <c r="I75" s="13"/>
      <c r="J75" s="13"/>
      <c r="K75" s="13"/>
      <c r="L75" s="13"/>
      <c r="M75" s="13"/>
      <c r="N75" s="13"/>
      <c r="O75" s="13"/>
      <c r="P75" s="109">
        <f t="shared" si="23"/>
        <v>100</v>
      </c>
      <c r="Q75" s="13"/>
      <c r="R75" s="13"/>
      <c r="S75" s="13"/>
      <c r="T75" s="13"/>
      <c r="U75" s="13"/>
      <c r="V75" s="13"/>
      <c r="AL75" s="109">
        <f t="shared" si="24"/>
        <v>100</v>
      </c>
      <c r="AM75" s="13"/>
      <c r="AN75" s="13"/>
    </row>
    <row r="76" spans="2:40" x14ac:dyDescent="0.35">
      <c r="B76" s="103"/>
      <c r="C76" s="103"/>
      <c r="D76" s="105"/>
      <c r="E76" s="106"/>
      <c r="F76" s="107"/>
      <c r="G76" s="13"/>
      <c r="H76" s="13"/>
      <c r="I76" s="13"/>
      <c r="J76" s="13"/>
      <c r="K76" s="13"/>
      <c r="L76" s="13"/>
      <c r="M76" s="13"/>
      <c r="N76" s="13"/>
      <c r="O76" s="13"/>
      <c r="P76" s="109" t="e">
        <f t="shared" si="23"/>
        <v>#DIV/0!</v>
      </c>
      <c r="Q76" s="13"/>
      <c r="R76" s="13"/>
      <c r="S76" s="13"/>
      <c r="T76" s="13"/>
      <c r="U76" s="13"/>
      <c r="V76" s="13"/>
      <c r="AL76" s="109" t="e">
        <f t="shared" si="24"/>
        <v>#DIV/0!</v>
      </c>
      <c r="AM76" s="13"/>
      <c r="AN76" s="13"/>
    </row>
    <row r="77" spans="2:40" x14ac:dyDescent="0.35">
      <c r="B77" s="103"/>
      <c r="C77" s="103"/>
      <c r="D77" s="108"/>
      <c r="E77" s="106"/>
      <c r="F77" s="107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AL77" s="13"/>
      <c r="AM77" s="13"/>
      <c r="AN77" s="13"/>
    </row>
    <row r="78" spans="2:40" x14ac:dyDescent="0.35">
      <c r="B78" s="103"/>
      <c r="C78" s="103"/>
      <c r="D78" s="108"/>
      <c r="E78" s="106"/>
      <c r="F78" s="107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AL78" s="13"/>
      <c r="AM78" s="13"/>
      <c r="AN78" s="13"/>
    </row>
    <row r="79" spans="2:40" x14ac:dyDescent="0.35">
      <c r="B79" s="103"/>
      <c r="C79" s="103"/>
      <c r="D79" s="105"/>
      <c r="E79" s="106"/>
      <c r="F79" s="107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AL79" s="13"/>
      <c r="AM79" s="13"/>
      <c r="AN79" s="13"/>
    </row>
    <row r="80" spans="2:40" x14ac:dyDescent="0.35">
      <c r="B80" s="103"/>
      <c r="C80" s="103"/>
      <c r="D80" s="108"/>
      <c r="E80" s="106"/>
      <c r="F80" s="107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AL80" s="13"/>
      <c r="AM80" s="13"/>
      <c r="AN80" s="13"/>
    </row>
    <row r="81" spans="2:40" x14ac:dyDescent="0.35">
      <c r="B81" s="103"/>
      <c r="C81" s="103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AL81" s="104"/>
      <c r="AM81" s="104"/>
      <c r="AN81" s="104"/>
    </row>
    <row r="82" spans="2:40" x14ac:dyDescent="0.35">
      <c r="B82" s="103"/>
      <c r="C82" s="103"/>
      <c r="D82" s="105"/>
      <c r="E82" s="106"/>
      <c r="F82" s="107"/>
      <c r="G82" s="13"/>
      <c r="H82" s="13"/>
      <c r="I82" s="13"/>
      <c r="J82" s="13"/>
      <c r="K82" s="109"/>
      <c r="L82" s="13"/>
      <c r="M82" s="13"/>
      <c r="N82" s="13"/>
      <c r="O82" s="13"/>
      <c r="P82" s="13"/>
      <c r="Q82" s="13"/>
      <c r="R82" s="109"/>
      <c r="S82" s="109"/>
      <c r="T82" s="109"/>
      <c r="U82" s="109"/>
      <c r="V82" s="109"/>
      <c r="AL82" s="13"/>
      <c r="AM82" s="13"/>
      <c r="AN82" s="109"/>
    </row>
    <row r="83" spans="2:40" x14ac:dyDescent="0.35">
      <c r="B83" s="103"/>
      <c r="C83" s="103"/>
      <c r="D83" s="105"/>
      <c r="E83" s="106"/>
      <c r="F83" s="107"/>
      <c r="G83" s="13"/>
      <c r="H83" s="13"/>
      <c r="I83" s="13"/>
      <c r="J83" s="13"/>
      <c r="K83" s="109"/>
      <c r="L83" s="13"/>
      <c r="M83" s="13"/>
      <c r="N83" s="13"/>
      <c r="O83" s="13"/>
      <c r="P83" s="13"/>
      <c r="Q83" s="13"/>
      <c r="R83" s="109"/>
      <c r="S83" s="109"/>
      <c r="T83" s="109"/>
      <c r="U83" s="109"/>
      <c r="V83" s="109"/>
      <c r="AL83" s="13"/>
      <c r="AM83" s="13"/>
      <c r="AN83" s="109"/>
    </row>
    <row r="84" spans="2:40" x14ac:dyDescent="0.35">
      <c r="B84" s="103"/>
      <c r="C84" s="103"/>
      <c r="D84" s="108"/>
      <c r="E84" s="106"/>
      <c r="F84" s="107"/>
      <c r="G84" s="13"/>
      <c r="H84" s="13"/>
      <c r="I84" s="13"/>
      <c r="J84" s="13"/>
      <c r="K84" s="109"/>
      <c r="L84" s="13"/>
      <c r="M84" s="13"/>
      <c r="N84" s="13"/>
      <c r="O84" s="13"/>
      <c r="P84" s="13"/>
      <c r="Q84" s="13"/>
      <c r="R84" s="109"/>
      <c r="S84" s="109"/>
      <c r="T84" s="109"/>
      <c r="U84" s="109"/>
      <c r="V84" s="109"/>
      <c r="AL84" s="13"/>
      <c r="AM84" s="13"/>
      <c r="AN84" s="109"/>
    </row>
    <row r="85" spans="2:40" x14ac:dyDescent="0.35">
      <c r="B85" s="103"/>
      <c r="C85" s="103"/>
      <c r="D85" s="108"/>
      <c r="E85" s="106"/>
      <c r="F85" s="107"/>
      <c r="G85" s="13"/>
      <c r="H85" s="13"/>
      <c r="I85" s="13"/>
      <c r="J85" s="13"/>
      <c r="K85" s="109"/>
      <c r="L85" s="13"/>
      <c r="M85" s="13"/>
      <c r="N85" s="13"/>
      <c r="O85" s="13"/>
      <c r="P85" s="13"/>
      <c r="Q85" s="13"/>
      <c r="R85" s="109"/>
      <c r="S85" s="109"/>
      <c r="T85" s="109"/>
      <c r="U85" s="109"/>
      <c r="V85" s="109"/>
      <c r="AL85" s="13"/>
      <c r="AM85" s="13"/>
      <c r="AN85" s="109"/>
    </row>
    <row r="86" spans="2:40" x14ac:dyDescent="0.35">
      <c r="B86" s="103"/>
      <c r="C86" s="103"/>
      <c r="D86" s="108"/>
      <c r="E86" s="106"/>
      <c r="F86" s="107"/>
      <c r="G86" s="13"/>
      <c r="H86" s="13"/>
      <c r="I86" s="13"/>
      <c r="J86" s="13"/>
      <c r="K86" s="109"/>
      <c r="L86" s="13"/>
      <c r="M86" s="13"/>
      <c r="N86" s="13"/>
      <c r="O86" s="13"/>
      <c r="P86" s="13"/>
      <c r="Q86" s="13"/>
      <c r="R86" s="109"/>
      <c r="S86" s="109"/>
      <c r="T86" s="109"/>
      <c r="U86" s="109"/>
      <c r="V86" s="109"/>
      <c r="AL86" s="13"/>
      <c r="AM86" s="13"/>
      <c r="AN86" s="109"/>
    </row>
    <row r="87" spans="2:40" x14ac:dyDescent="0.35">
      <c r="B87" s="103"/>
      <c r="C87" s="103"/>
      <c r="D87" s="105"/>
      <c r="E87" s="106"/>
      <c r="F87" s="107"/>
      <c r="G87" s="13"/>
      <c r="H87" s="13"/>
      <c r="I87" s="13"/>
      <c r="J87" s="13"/>
      <c r="K87" s="109"/>
      <c r="L87" s="13"/>
      <c r="M87" s="13"/>
      <c r="N87" s="13"/>
      <c r="O87" s="13"/>
      <c r="P87" s="13"/>
      <c r="Q87" s="13"/>
      <c r="R87" s="109"/>
      <c r="S87" s="109"/>
      <c r="T87" s="109"/>
      <c r="U87" s="109"/>
      <c r="V87" s="109"/>
      <c r="AL87" s="13"/>
      <c r="AM87" s="13"/>
      <c r="AN87" s="109"/>
    </row>
    <row r="88" spans="2:40" x14ac:dyDescent="0.35">
      <c r="B88" s="103"/>
      <c r="C88" s="103"/>
      <c r="D88" s="105"/>
      <c r="E88" s="106"/>
      <c r="F88" s="107"/>
      <c r="G88" s="13"/>
      <c r="H88" s="13"/>
      <c r="I88" s="13"/>
      <c r="J88" s="13"/>
      <c r="K88" s="109"/>
      <c r="L88" s="13"/>
      <c r="M88" s="13"/>
      <c r="N88" s="13"/>
      <c r="O88" s="13"/>
      <c r="P88" s="13"/>
      <c r="Q88" s="13"/>
      <c r="R88" s="109"/>
      <c r="S88" s="109"/>
      <c r="T88" s="109"/>
      <c r="U88" s="109"/>
      <c r="V88" s="109"/>
      <c r="AL88" s="13"/>
      <c r="AM88" s="13"/>
      <c r="AN88" s="109"/>
    </row>
    <row r="89" spans="2:40" x14ac:dyDescent="0.35">
      <c r="B89" s="103"/>
      <c r="C89" s="103"/>
      <c r="D89" s="108"/>
      <c r="E89" s="106"/>
      <c r="F89" s="107"/>
      <c r="G89" s="13"/>
      <c r="H89" s="13"/>
      <c r="I89" s="13"/>
      <c r="J89" s="13"/>
      <c r="K89" s="109"/>
      <c r="L89" s="13"/>
      <c r="M89" s="13"/>
      <c r="N89" s="13"/>
      <c r="O89" s="13"/>
      <c r="P89" s="13"/>
      <c r="Q89" s="13"/>
      <c r="R89" s="109"/>
      <c r="S89" s="109"/>
      <c r="T89" s="109"/>
      <c r="U89" s="109"/>
      <c r="V89" s="109"/>
      <c r="AL89" s="13"/>
      <c r="AM89" s="13"/>
      <c r="AN89" s="109"/>
    </row>
    <row r="90" spans="2:40" x14ac:dyDescent="0.35">
      <c r="B90" s="103"/>
      <c r="C90" s="103"/>
      <c r="D90" s="108"/>
      <c r="E90" s="106"/>
      <c r="F90" s="107"/>
      <c r="G90" s="13"/>
      <c r="H90" s="13"/>
      <c r="I90" s="13"/>
      <c r="J90" s="13"/>
      <c r="K90" s="109"/>
      <c r="L90" s="13"/>
      <c r="M90" s="13"/>
      <c r="N90" s="13"/>
      <c r="O90" s="13"/>
      <c r="P90" s="13"/>
      <c r="Q90" s="13"/>
      <c r="R90" s="109"/>
      <c r="S90" s="109"/>
      <c r="T90" s="109"/>
      <c r="U90" s="109"/>
      <c r="V90" s="109"/>
      <c r="AL90" s="13"/>
      <c r="AM90" s="13"/>
      <c r="AN90" s="109"/>
    </row>
    <row r="91" spans="2:40" x14ac:dyDescent="0.35">
      <c r="B91" s="103"/>
      <c r="C91" s="103"/>
      <c r="D91" s="105"/>
      <c r="E91" s="106"/>
      <c r="F91" s="107"/>
      <c r="G91" s="13"/>
      <c r="H91" s="13"/>
      <c r="I91" s="13"/>
      <c r="J91" s="13"/>
      <c r="K91" s="109"/>
      <c r="L91" s="13"/>
      <c r="M91" s="13"/>
      <c r="N91" s="13"/>
      <c r="O91" s="13"/>
      <c r="P91" s="13"/>
      <c r="Q91" s="13"/>
      <c r="R91" s="109"/>
      <c r="S91" s="109"/>
      <c r="T91" s="109"/>
      <c r="U91" s="109"/>
      <c r="V91" s="109"/>
      <c r="AL91" s="13"/>
      <c r="AM91" s="13"/>
      <c r="AN91" s="109"/>
    </row>
    <row r="92" spans="2:40" x14ac:dyDescent="0.35">
      <c r="B92" s="103"/>
      <c r="C92" s="103"/>
      <c r="D92" s="108"/>
      <c r="E92" s="106"/>
      <c r="F92" s="107"/>
      <c r="G92" s="13"/>
      <c r="H92" s="13"/>
      <c r="I92" s="13"/>
      <c r="J92" s="13"/>
      <c r="K92" s="109"/>
      <c r="L92" s="13"/>
      <c r="M92" s="13"/>
      <c r="N92" s="13"/>
      <c r="O92" s="13"/>
      <c r="P92" s="13"/>
      <c r="Q92" s="13"/>
      <c r="R92" s="109"/>
      <c r="S92" s="109"/>
      <c r="T92" s="109"/>
      <c r="U92" s="109"/>
      <c r="V92" s="109"/>
      <c r="AL92" s="13"/>
      <c r="AM92" s="13"/>
      <c r="AN92" s="109"/>
    </row>
    <row r="93" spans="2:40" x14ac:dyDescent="0.35">
      <c r="B93" s="103"/>
      <c r="C93" s="10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AL93" s="13"/>
      <c r="AM93" s="13"/>
      <c r="AN93" s="13"/>
    </row>
    <row r="94" spans="2:40" x14ac:dyDescent="0.35">
      <c r="B94" s="103"/>
      <c r="C94" s="10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AL94" s="13"/>
      <c r="AM94" s="13"/>
      <c r="AN94" s="13"/>
    </row>
    <row r="95" spans="2:40" x14ac:dyDescent="0.35">
      <c r="B95" s="103"/>
      <c r="C95" s="10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AL95" s="13"/>
      <c r="AM95" s="13"/>
      <c r="AN95" s="13"/>
    </row>
  </sheetData>
  <mergeCells count="17">
    <mergeCell ref="L3:AF3"/>
    <mergeCell ref="E55:E61"/>
    <mergeCell ref="F55:F61"/>
    <mergeCell ref="E63:E67"/>
    <mergeCell ref="F63:F67"/>
    <mergeCell ref="D21:D23"/>
    <mergeCell ref="E22:E23"/>
    <mergeCell ref="E24:E27"/>
    <mergeCell ref="F24:F27"/>
    <mergeCell ref="E39:E52"/>
    <mergeCell ref="F39:F53"/>
    <mergeCell ref="D1:H1"/>
    <mergeCell ref="E12:E17"/>
    <mergeCell ref="F12:F17"/>
    <mergeCell ref="D18:D20"/>
    <mergeCell ref="E19:E20"/>
    <mergeCell ref="H3:K3"/>
  </mergeCells>
  <phoneticPr fontId="29" type="noConversion"/>
  <printOptions horizontalCentered="1"/>
  <pageMargins left="0.24" right="0.17" top="0.52" bottom="0.38" header="0.31496062992126" footer="0.16"/>
  <pageSetup paperSize="9" scale="63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8BED9-9E29-4D78-AD40-528F45E3408F}">
  <sheetPr codeName="Sheet3">
    <tabColor rgb="FFFF0000"/>
    <pageSetUpPr fitToPage="1"/>
  </sheetPr>
  <dimension ref="B1:AH90"/>
  <sheetViews>
    <sheetView showGridLines="0" zoomScale="55" zoomScaleNormal="55" zoomScaleSheetLayoutView="100" workbookViewId="0">
      <pane xSplit="4" ySplit="8" topLeftCell="O9" activePane="bottomRight" state="frozen"/>
      <selection activeCell="J10" sqref="J10"/>
      <selection pane="topRight" activeCell="J10" sqref="J10"/>
      <selection pane="bottomLeft" activeCell="J10" sqref="J10"/>
      <selection pane="bottomRight" activeCell="AA19" sqref="AA19"/>
    </sheetView>
  </sheetViews>
  <sheetFormatPr defaultColWidth="9.26953125" defaultRowHeight="16" x14ac:dyDescent="0.35"/>
  <cols>
    <col min="1" max="2" width="9.26953125" style="7"/>
    <col min="3" max="3" width="1" style="7" customWidth="1"/>
    <col min="4" max="4" width="31.26953125" style="18" customWidth="1"/>
    <col min="5" max="5" width="31.7265625" style="18" bestFit="1" customWidth="1"/>
    <col min="6" max="6" width="14.453125" style="18" customWidth="1"/>
    <col min="7" max="20" width="26.453125" style="18" customWidth="1"/>
    <col min="21" max="34" width="26.453125" style="7" customWidth="1"/>
    <col min="35" max="16384" width="9.26953125" style="7"/>
  </cols>
  <sheetData>
    <row r="1" spans="4:34" ht="26.25" customHeight="1" x14ac:dyDescent="0.55000000000000004">
      <c r="D1" s="2676" t="s">
        <v>5</v>
      </c>
      <c r="E1" s="2676"/>
      <c r="F1" s="2676"/>
      <c r="G1" s="2676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4:34" ht="30.75" customHeight="1" x14ac:dyDescent="0.35">
      <c r="D2" s="8" t="s">
        <v>6</v>
      </c>
      <c r="E2" s="9" t="s">
        <v>1008</v>
      </c>
      <c r="F2" s="10"/>
      <c r="G2" s="11"/>
      <c r="H2" s="11"/>
      <c r="I2" s="11"/>
      <c r="J2" s="1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</row>
    <row r="3" spans="4:34" ht="26.25" customHeight="1" x14ac:dyDescent="0.35">
      <c r="D3" s="8" t="s">
        <v>8</v>
      </c>
      <c r="E3" s="14"/>
      <c r="F3" s="15"/>
      <c r="G3" s="11"/>
      <c r="H3" s="11"/>
      <c r="I3" s="7"/>
      <c r="J3" s="7"/>
      <c r="K3" s="2705"/>
      <c r="L3" s="2705"/>
      <c r="M3" s="2705"/>
      <c r="N3" s="2705"/>
      <c r="O3" s="2705"/>
      <c r="P3" s="2705"/>
      <c r="Q3" s="2705"/>
      <c r="R3" s="2705"/>
      <c r="S3" s="2705"/>
      <c r="T3" s="2705"/>
      <c r="U3" s="2705"/>
      <c r="V3" s="189"/>
    </row>
    <row r="4" spans="4:34" ht="28.5" customHeight="1" x14ac:dyDescent="0.45">
      <c r="D4" s="8" t="s">
        <v>9</v>
      </c>
      <c r="E4" s="16" t="s">
        <v>1009</v>
      </c>
      <c r="F4" s="15"/>
      <c r="G4" s="2685" t="s">
        <v>162</v>
      </c>
      <c r="H4" s="2685"/>
      <c r="I4" s="2685"/>
      <c r="J4" s="2685"/>
      <c r="K4" s="2691" t="s">
        <v>149</v>
      </c>
      <c r="L4" s="2691"/>
      <c r="M4" s="2691"/>
      <c r="N4" s="2691"/>
      <c r="O4" s="2691"/>
      <c r="P4" s="2691"/>
      <c r="Q4" s="2691"/>
      <c r="R4" s="2691"/>
      <c r="S4" s="2691"/>
      <c r="T4" s="2691"/>
      <c r="U4" s="2691"/>
      <c r="V4" s="2691"/>
      <c r="W4" s="2691"/>
      <c r="X4" s="2691"/>
      <c r="Y4" s="2691"/>
      <c r="Z4" s="2691"/>
      <c r="AA4" s="2691"/>
      <c r="AB4" s="2691"/>
      <c r="AC4" s="2691"/>
      <c r="AD4" s="2691"/>
      <c r="AE4" s="2691"/>
    </row>
    <row r="5" spans="4:34" ht="28.5" customHeight="1" x14ac:dyDescent="0.45">
      <c r="D5" s="8"/>
      <c r="E5" s="11"/>
      <c r="F5" s="12"/>
      <c r="G5" s="2508" t="s">
        <v>1010</v>
      </c>
      <c r="H5" s="185"/>
      <c r="I5" s="185"/>
      <c r="J5" s="185"/>
      <c r="K5" s="188"/>
      <c r="L5" s="186"/>
      <c r="M5" s="186"/>
      <c r="N5" s="186"/>
      <c r="O5" s="186"/>
      <c r="P5" s="186"/>
      <c r="Q5" s="188"/>
      <c r="R5" s="186"/>
      <c r="S5" s="186"/>
      <c r="T5" s="1372"/>
      <c r="U5" s="186"/>
      <c r="V5" s="576"/>
      <c r="W5" s="18"/>
      <c r="X5" s="18"/>
      <c r="Y5" s="18"/>
      <c r="Z5" s="1372"/>
      <c r="AA5" s="18"/>
      <c r="AB5" s="2509"/>
      <c r="AD5" s="18"/>
      <c r="AE5" s="18"/>
      <c r="AF5" s="18"/>
      <c r="AG5" s="18"/>
      <c r="AH5" s="18"/>
    </row>
    <row r="6" spans="4:34" ht="21.4" customHeight="1" x14ac:dyDescent="0.35">
      <c r="D6" s="17"/>
      <c r="G6" s="712">
        <v>1</v>
      </c>
      <c r="H6" s="212">
        <v>2</v>
      </c>
      <c r="I6" s="212">
        <v>3</v>
      </c>
      <c r="J6" s="212">
        <v>4</v>
      </c>
      <c r="K6" s="190">
        <v>5</v>
      </c>
      <c r="L6" s="191">
        <v>6</v>
      </c>
      <c r="M6" s="191">
        <v>7</v>
      </c>
      <c r="N6" s="212">
        <v>8</v>
      </c>
      <c r="O6" s="212">
        <v>9</v>
      </c>
      <c r="P6" s="191">
        <v>10</v>
      </c>
      <c r="Q6" s="190">
        <v>11</v>
      </c>
      <c r="R6" s="191">
        <v>12</v>
      </c>
      <c r="S6" s="191">
        <v>13</v>
      </c>
      <c r="T6" s="1373">
        <v>14</v>
      </c>
      <c r="U6" s="191">
        <v>15</v>
      </c>
      <c r="V6" s="212">
        <v>16</v>
      </c>
      <c r="W6" s="212">
        <v>17</v>
      </c>
      <c r="X6" s="212">
        <v>18</v>
      </c>
      <c r="Y6" s="212">
        <v>19</v>
      </c>
      <c r="Z6" s="1375">
        <v>20</v>
      </c>
      <c r="AA6" s="212">
        <v>21</v>
      </c>
      <c r="AB6" s="2510">
        <v>22</v>
      </c>
      <c r="AC6" s="212">
        <v>23</v>
      </c>
      <c r="AD6" s="212">
        <v>24</v>
      </c>
      <c r="AE6" s="212">
        <v>25</v>
      </c>
      <c r="AF6" s="212">
        <v>26</v>
      </c>
      <c r="AG6" s="212">
        <v>27</v>
      </c>
      <c r="AH6" s="212">
        <v>28</v>
      </c>
    </row>
    <row r="7" spans="4:34" ht="16.899999999999999" customHeight="1" thickBot="1" x14ac:dyDescent="0.4">
      <c r="D7" s="17"/>
      <c r="G7" s="428"/>
      <c r="H7" s="12"/>
      <c r="I7" s="12"/>
      <c r="J7" s="12"/>
      <c r="K7" s="184"/>
      <c r="L7" s="12"/>
      <c r="M7" s="12"/>
      <c r="N7" s="12"/>
      <c r="O7" s="12"/>
      <c r="P7" s="12"/>
      <c r="Q7" s="184"/>
      <c r="R7" s="12"/>
      <c r="S7" s="12"/>
      <c r="T7" s="1374"/>
      <c r="U7" s="12"/>
      <c r="V7" s="576"/>
      <c r="W7" s="18"/>
      <c r="X7" s="18"/>
      <c r="Y7" s="18"/>
      <c r="Z7" s="1376"/>
      <c r="AA7" s="18"/>
      <c r="AB7" s="2509"/>
      <c r="AC7" s="18"/>
      <c r="AD7" s="18"/>
      <c r="AE7" s="18"/>
      <c r="AF7" s="18"/>
      <c r="AG7" s="18"/>
      <c r="AH7" s="18"/>
    </row>
    <row r="8" spans="4:34" ht="16.5" thickBot="1" x14ac:dyDescent="0.4">
      <c r="D8" s="19" t="s">
        <v>11</v>
      </c>
      <c r="E8" s="20" t="s">
        <v>12</v>
      </c>
      <c r="F8" s="21" t="s">
        <v>13</v>
      </c>
      <c r="G8" s="22" t="s">
        <v>390</v>
      </c>
      <c r="H8" s="22" t="s">
        <v>390</v>
      </c>
      <c r="I8" s="22" t="s">
        <v>390</v>
      </c>
      <c r="J8" s="22" t="s">
        <v>390</v>
      </c>
      <c r="K8" s="22" t="s">
        <v>390</v>
      </c>
      <c r="L8" s="22" t="s">
        <v>390</v>
      </c>
      <c r="M8" s="22" t="s">
        <v>390</v>
      </c>
      <c r="N8" s="22" t="s">
        <v>390</v>
      </c>
      <c r="O8" s="22" t="s">
        <v>390</v>
      </c>
      <c r="P8" s="22" t="s">
        <v>390</v>
      </c>
      <c r="Q8" s="22" t="s">
        <v>390</v>
      </c>
      <c r="R8" s="22" t="s">
        <v>390</v>
      </c>
      <c r="S8" s="22" t="s">
        <v>390</v>
      </c>
      <c r="T8" s="22" t="s">
        <v>390</v>
      </c>
      <c r="U8" s="22" t="s">
        <v>390</v>
      </c>
      <c r="V8" s="22" t="s">
        <v>390</v>
      </c>
      <c r="W8" s="22" t="s">
        <v>390</v>
      </c>
      <c r="X8" s="22" t="s">
        <v>390</v>
      </c>
      <c r="Y8" s="22" t="s">
        <v>390</v>
      </c>
      <c r="Z8" s="22" t="s">
        <v>390</v>
      </c>
      <c r="AA8" s="22" t="s">
        <v>390</v>
      </c>
      <c r="AB8" s="19" t="s">
        <v>390</v>
      </c>
      <c r="AC8" s="110" t="s">
        <v>390</v>
      </c>
      <c r="AD8" s="22" t="s">
        <v>390</v>
      </c>
      <c r="AE8" s="22" t="s">
        <v>390</v>
      </c>
      <c r="AF8" s="22" t="s">
        <v>390</v>
      </c>
      <c r="AG8" s="22" t="s">
        <v>390</v>
      </c>
      <c r="AH8" s="22" t="s">
        <v>390</v>
      </c>
    </row>
    <row r="9" spans="4:34" ht="19.5" customHeight="1" x14ac:dyDescent="0.35">
      <c r="D9" s="23" t="s">
        <v>16</v>
      </c>
      <c r="E9" s="24" t="s">
        <v>17</v>
      </c>
      <c r="F9" s="25" t="s">
        <v>18</v>
      </c>
      <c r="G9" s="27"/>
      <c r="H9" s="28"/>
      <c r="I9" s="28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192"/>
      <c r="V9" s="207"/>
      <c r="W9" s="207"/>
      <c r="X9" s="207"/>
      <c r="Y9" s="207"/>
      <c r="Z9" s="207"/>
      <c r="AA9" s="207"/>
      <c r="AB9" s="207"/>
      <c r="AC9" s="207"/>
      <c r="AD9" s="207"/>
      <c r="AE9" s="207"/>
      <c r="AF9" s="207"/>
      <c r="AG9" s="207"/>
      <c r="AH9" s="207"/>
    </row>
    <row r="10" spans="4:34" ht="19.5" customHeight="1" x14ac:dyDescent="0.35">
      <c r="D10" s="30" t="s">
        <v>19</v>
      </c>
      <c r="E10" s="31" t="s">
        <v>17</v>
      </c>
      <c r="F10" s="32" t="s">
        <v>20</v>
      </c>
      <c r="G10" s="289"/>
      <c r="H10" s="290"/>
      <c r="I10" s="290"/>
      <c r="J10" s="291"/>
      <c r="K10" s="291"/>
      <c r="L10" s="291"/>
      <c r="M10" s="291"/>
      <c r="N10" s="291"/>
      <c r="O10" s="291"/>
      <c r="P10" s="291"/>
      <c r="Q10" s="291"/>
      <c r="R10" s="291"/>
      <c r="S10" s="291"/>
      <c r="T10" s="291"/>
      <c r="U10" s="292"/>
      <c r="V10" s="275"/>
      <c r="W10" s="275"/>
      <c r="X10" s="275"/>
      <c r="Y10" s="275"/>
      <c r="Z10" s="275"/>
      <c r="AA10" s="275"/>
      <c r="AB10" s="275"/>
      <c r="AC10" s="275"/>
      <c r="AD10" s="275"/>
      <c r="AE10" s="275"/>
      <c r="AF10" s="275"/>
      <c r="AG10" s="275"/>
      <c r="AH10" s="275"/>
    </row>
    <row r="11" spans="4:34" ht="19.5" customHeight="1" x14ac:dyDescent="0.35">
      <c r="D11" s="37" t="s">
        <v>21</v>
      </c>
      <c r="E11" s="31" t="s">
        <v>22</v>
      </c>
      <c r="F11" s="32" t="s">
        <v>23</v>
      </c>
      <c r="G11" s="38"/>
      <c r="H11" s="42"/>
      <c r="I11" s="42"/>
      <c r="J11" s="43"/>
      <c r="K11" s="43"/>
      <c r="L11" s="43"/>
      <c r="M11" s="43"/>
      <c r="N11" s="43"/>
      <c r="O11" s="43"/>
      <c r="P11" s="43"/>
      <c r="Q11" s="43"/>
      <c r="R11" s="435"/>
      <c r="S11" s="43"/>
      <c r="T11" s="43"/>
      <c r="U11" s="194"/>
      <c r="V11" s="275"/>
      <c r="W11" s="275"/>
      <c r="X11" s="275"/>
      <c r="Y11" s="275"/>
      <c r="Z11" s="275"/>
      <c r="AA11" s="275"/>
      <c r="AB11" s="275"/>
      <c r="AC11" s="275"/>
      <c r="AD11" s="275"/>
      <c r="AE11" s="275"/>
      <c r="AF11" s="275"/>
      <c r="AG11" s="275"/>
      <c r="AH11" s="275"/>
    </row>
    <row r="12" spans="4:34" ht="19.5" customHeight="1" x14ac:dyDescent="0.35">
      <c r="D12" s="37" t="s">
        <v>24</v>
      </c>
      <c r="E12" s="31" t="s">
        <v>25</v>
      </c>
      <c r="F12" s="32" t="s">
        <v>17</v>
      </c>
      <c r="G12" s="38"/>
      <c r="H12" s="42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194"/>
      <c r="V12" s="207"/>
      <c r="W12" s="207"/>
      <c r="X12" s="207"/>
      <c r="Y12" s="207"/>
      <c r="Z12" s="207"/>
      <c r="AA12" s="207"/>
      <c r="AB12" s="207"/>
      <c r="AC12" s="207"/>
      <c r="AD12" s="207"/>
      <c r="AE12" s="207"/>
      <c r="AF12" s="207"/>
      <c r="AG12" s="207"/>
      <c r="AH12" s="207"/>
    </row>
    <row r="13" spans="4:34" ht="19.5" customHeight="1" x14ac:dyDescent="0.35">
      <c r="D13" s="44" t="s">
        <v>26</v>
      </c>
      <c r="E13" s="2677" t="s">
        <v>27</v>
      </c>
      <c r="F13" s="2680" t="s">
        <v>28</v>
      </c>
      <c r="G13" s="38"/>
      <c r="H13" s="42"/>
      <c r="I13" s="42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194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</row>
    <row r="14" spans="4:34" ht="19.5" customHeight="1" x14ac:dyDescent="0.35">
      <c r="D14" s="44" t="s">
        <v>29</v>
      </c>
      <c r="E14" s="2678"/>
      <c r="F14" s="2681"/>
      <c r="G14" s="47"/>
      <c r="H14" s="55"/>
      <c r="I14" s="55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195"/>
      <c r="V14" s="207"/>
      <c r="W14" s="207"/>
      <c r="X14" s="207"/>
      <c r="Y14" s="207"/>
      <c r="Z14" s="207"/>
      <c r="AA14" s="207"/>
      <c r="AB14" s="207"/>
      <c r="AC14" s="207"/>
      <c r="AD14" s="207"/>
      <c r="AE14" s="207"/>
      <c r="AF14" s="207"/>
      <c r="AG14" s="207"/>
      <c r="AH14" s="207"/>
    </row>
    <row r="15" spans="4:34" ht="19.5" customHeight="1" x14ac:dyDescent="0.35">
      <c r="D15" s="44" t="s">
        <v>30</v>
      </c>
      <c r="E15" s="2678"/>
      <c r="F15" s="2681"/>
      <c r="G15" s="47"/>
      <c r="H15" s="286"/>
      <c r="I15" s="286"/>
      <c r="J15" s="287"/>
      <c r="K15" s="287"/>
      <c r="L15" s="287"/>
      <c r="M15" s="287"/>
      <c r="N15" s="287"/>
      <c r="O15" s="287"/>
      <c r="P15" s="287"/>
      <c r="Q15" s="287"/>
      <c r="R15" s="287"/>
      <c r="S15" s="287"/>
      <c r="T15" s="287"/>
      <c r="U15" s="288"/>
      <c r="V15" s="275"/>
      <c r="W15" s="275"/>
      <c r="X15" s="275"/>
      <c r="Y15" s="275"/>
      <c r="Z15" s="275"/>
      <c r="AA15" s="275"/>
      <c r="AB15" s="275"/>
      <c r="AC15" s="275"/>
      <c r="AD15" s="275"/>
      <c r="AE15" s="275"/>
      <c r="AF15" s="275"/>
      <c r="AG15" s="275"/>
      <c r="AH15" s="275"/>
    </row>
    <row r="16" spans="4:34" ht="19.5" customHeight="1" x14ac:dyDescent="0.35">
      <c r="D16" s="44" t="s">
        <v>31</v>
      </c>
      <c r="E16" s="2678"/>
      <c r="F16" s="2681"/>
      <c r="G16" s="47"/>
      <c r="H16" s="55"/>
      <c r="I16" s="55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195"/>
      <c r="V16" s="275"/>
      <c r="W16" s="275"/>
      <c r="X16" s="275"/>
      <c r="Y16" s="275"/>
      <c r="Z16" s="275"/>
      <c r="AA16" s="275"/>
      <c r="AB16" s="275"/>
      <c r="AC16" s="275"/>
      <c r="AD16" s="275"/>
      <c r="AE16" s="275"/>
      <c r="AF16" s="275"/>
      <c r="AG16" s="275"/>
      <c r="AH16" s="275"/>
    </row>
    <row r="17" spans="2:34" ht="19.5" customHeight="1" x14ac:dyDescent="0.35">
      <c r="D17" s="44" t="s">
        <v>32</v>
      </c>
      <c r="E17" s="2678"/>
      <c r="F17" s="2681"/>
      <c r="G17" s="47"/>
      <c r="H17" s="55"/>
      <c r="I17" s="55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195"/>
      <c r="V17" s="207"/>
      <c r="W17" s="207"/>
      <c r="X17" s="207"/>
      <c r="Y17" s="207"/>
      <c r="Z17" s="207"/>
      <c r="AA17" s="207"/>
      <c r="AB17" s="207"/>
      <c r="AC17" s="207"/>
      <c r="AD17" s="207"/>
      <c r="AE17" s="207"/>
      <c r="AF17" s="207"/>
      <c r="AG17" s="207"/>
      <c r="AH17" s="207"/>
    </row>
    <row r="18" spans="2:34" ht="19.5" customHeight="1" x14ac:dyDescent="0.35">
      <c r="D18" s="44" t="s">
        <v>33</v>
      </c>
      <c r="E18" s="2679"/>
      <c r="F18" s="2682"/>
      <c r="G18" s="47"/>
      <c r="H18" s="55"/>
      <c r="I18" s="55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195"/>
      <c r="V18" s="207"/>
      <c r="W18" s="207"/>
      <c r="X18" s="207"/>
      <c r="Y18" s="207"/>
      <c r="Z18" s="207"/>
      <c r="AA18" s="207"/>
      <c r="AB18" s="207"/>
      <c r="AC18" s="207"/>
      <c r="AD18" s="207"/>
      <c r="AE18" s="207"/>
      <c r="AF18" s="207"/>
      <c r="AG18" s="207"/>
      <c r="AH18" s="207"/>
    </row>
    <row r="19" spans="2:34" ht="19.5" customHeight="1" x14ac:dyDescent="0.35">
      <c r="D19" s="2683" t="s">
        <v>34</v>
      </c>
      <c r="E19" s="58" t="s">
        <v>35</v>
      </c>
      <c r="F19" s="59" t="s">
        <v>36</v>
      </c>
      <c r="G19" s="60"/>
      <c r="H19" s="62">
        <v>3.6379999999999999</v>
      </c>
      <c r="I19" s="1016"/>
      <c r="J19" s="63"/>
      <c r="K19" s="63">
        <v>4.25</v>
      </c>
      <c r="L19" s="112">
        <v>3.5390000000000001</v>
      </c>
      <c r="M19" s="112"/>
      <c r="N19" s="112"/>
      <c r="O19" s="1403"/>
      <c r="P19" s="112"/>
      <c r="Q19" s="112"/>
      <c r="R19" s="112"/>
      <c r="S19" s="112"/>
      <c r="T19" s="112"/>
      <c r="U19" s="196"/>
      <c r="V19" s="208"/>
      <c r="W19" s="208"/>
      <c r="X19" s="208"/>
      <c r="Y19" s="208"/>
      <c r="Z19" s="208"/>
      <c r="AA19" s="208"/>
      <c r="AB19" s="208"/>
      <c r="AC19" s="208"/>
      <c r="AD19" s="208"/>
      <c r="AE19" s="208"/>
      <c r="AF19" s="208"/>
      <c r="AG19" s="208"/>
      <c r="AH19" s="208"/>
    </row>
    <row r="20" spans="2:34" ht="19.5" customHeight="1" x14ac:dyDescent="0.35">
      <c r="D20" s="2683"/>
      <c r="E20" s="2684" t="s">
        <v>37</v>
      </c>
      <c r="F20" s="59" t="s">
        <v>36</v>
      </c>
      <c r="G20" s="47"/>
      <c r="H20" s="55"/>
      <c r="I20" s="55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195"/>
      <c r="V20" s="207"/>
      <c r="W20" s="207"/>
      <c r="X20" s="207"/>
      <c r="Y20" s="207"/>
      <c r="Z20" s="207"/>
      <c r="AA20" s="207"/>
      <c r="AB20" s="207"/>
      <c r="AC20" s="207"/>
      <c r="AD20" s="207"/>
      <c r="AE20" s="207"/>
      <c r="AF20" s="207"/>
      <c r="AG20" s="207"/>
      <c r="AH20" s="207"/>
    </row>
    <row r="21" spans="2:34" ht="19.5" customHeight="1" x14ac:dyDescent="0.35">
      <c r="D21" s="2683"/>
      <c r="E21" s="2684"/>
      <c r="F21" s="59" t="s">
        <v>38</v>
      </c>
      <c r="G21" s="47"/>
      <c r="H21" s="55"/>
      <c r="I21" s="55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195"/>
      <c r="V21" s="207"/>
      <c r="W21" s="207"/>
      <c r="X21" s="207"/>
      <c r="Y21" s="207"/>
      <c r="Z21" s="207"/>
      <c r="AA21" s="207"/>
      <c r="AB21" s="207"/>
      <c r="AC21" s="207"/>
      <c r="AD21" s="207"/>
      <c r="AE21" s="207"/>
      <c r="AF21" s="207"/>
      <c r="AG21" s="207"/>
      <c r="AH21" s="207"/>
    </row>
    <row r="22" spans="2:34" ht="19.5" customHeight="1" x14ac:dyDescent="0.35">
      <c r="D22" s="2686" t="s">
        <v>39</v>
      </c>
      <c r="E22" s="64" t="s">
        <v>40</v>
      </c>
      <c r="F22" s="59" t="s">
        <v>38</v>
      </c>
      <c r="G22" s="47"/>
      <c r="H22" s="55"/>
      <c r="I22" s="55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195"/>
      <c r="V22" s="207"/>
      <c r="W22" s="207"/>
      <c r="X22" s="207"/>
      <c r="Y22" s="207"/>
      <c r="Z22" s="207"/>
      <c r="AA22" s="207"/>
      <c r="AB22" s="207"/>
      <c r="AC22" s="207"/>
      <c r="AD22" s="207"/>
      <c r="AE22" s="207"/>
      <c r="AF22" s="207"/>
      <c r="AG22" s="207"/>
      <c r="AH22" s="207"/>
    </row>
    <row r="23" spans="2:34" ht="19.5" customHeight="1" x14ac:dyDescent="0.35">
      <c r="D23" s="2687"/>
      <c r="E23" s="2677" t="s">
        <v>41</v>
      </c>
      <c r="F23" s="66" t="s">
        <v>38</v>
      </c>
      <c r="G23" s="68"/>
      <c r="H23" s="1401"/>
      <c r="I23" s="70"/>
      <c r="J23" s="71"/>
      <c r="K23" s="71">
        <v>3469</v>
      </c>
      <c r="L23" s="71"/>
      <c r="M23" s="71"/>
      <c r="N23" s="71"/>
      <c r="O23" s="1404"/>
      <c r="P23" s="71"/>
      <c r="Q23" s="71"/>
      <c r="R23" s="71"/>
      <c r="S23" s="71"/>
      <c r="T23" s="71"/>
      <c r="U23" s="197"/>
      <c r="V23" s="208"/>
      <c r="W23" s="208"/>
      <c r="X23" s="208"/>
      <c r="Y23" s="208"/>
      <c r="Z23" s="208"/>
      <c r="AA23" s="208"/>
      <c r="AB23" s="208"/>
      <c r="AC23" s="208"/>
      <c r="AD23" s="208"/>
      <c r="AE23" s="208"/>
      <c r="AF23" s="208"/>
      <c r="AG23" s="208"/>
      <c r="AH23" s="208"/>
    </row>
    <row r="24" spans="2:34" ht="19.5" customHeight="1" x14ac:dyDescent="0.35">
      <c r="B24" s="72">
        <v>0.45190000000000002</v>
      </c>
      <c r="D24" s="2688"/>
      <c r="E24" s="2679"/>
      <c r="F24" s="66" t="s">
        <v>36</v>
      </c>
      <c r="G24" s="74">
        <f>G23/10000</f>
        <v>0</v>
      </c>
      <c r="H24" s="1402">
        <f t="shared" ref="H24:V24" si="0">H23/10000</f>
        <v>0</v>
      </c>
      <c r="I24" s="74">
        <f t="shared" si="0"/>
        <v>0</v>
      </c>
      <c r="J24" s="74">
        <f t="shared" si="0"/>
        <v>0</v>
      </c>
      <c r="K24" s="74">
        <f t="shared" si="0"/>
        <v>0.34689999999999999</v>
      </c>
      <c r="L24" s="74">
        <f t="shared" si="0"/>
        <v>0</v>
      </c>
      <c r="M24" s="74">
        <f t="shared" si="0"/>
        <v>0</v>
      </c>
      <c r="N24" s="74">
        <f t="shared" si="0"/>
        <v>0</v>
      </c>
      <c r="O24" s="1402">
        <f t="shared" si="0"/>
        <v>0</v>
      </c>
      <c r="P24" s="74">
        <f t="shared" si="0"/>
        <v>0</v>
      </c>
      <c r="Q24" s="74">
        <f t="shared" si="0"/>
        <v>0</v>
      </c>
      <c r="R24" s="74">
        <f t="shared" si="0"/>
        <v>0</v>
      </c>
      <c r="S24" s="74">
        <f t="shared" si="0"/>
        <v>0</v>
      </c>
      <c r="T24" s="74">
        <f t="shared" si="0"/>
        <v>0</v>
      </c>
      <c r="U24" s="74">
        <f t="shared" si="0"/>
        <v>0</v>
      </c>
      <c r="V24" s="74">
        <f t="shared" si="0"/>
        <v>0</v>
      </c>
      <c r="W24" s="74">
        <f t="shared" ref="W24:AE24" si="1">W23/10000</f>
        <v>0</v>
      </c>
      <c r="X24" s="74">
        <f t="shared" si="1"/>
        <v>0</v>
      </c>
      <c r="Y24" s="74">
        <f t="shared" si="1"/>
        <v>0</v>
      </c>
      <c r="Z24" s="74">
        <f t="shared" si="1"/>
        <v>0</v>
      </c>
      <c r="AA24" s="74">
        <f t="shared" si="1"/>
        <v>0</v>
      </c>
      <c r="AB24" s="74">
        <f t="shared" si="1"/>
        <v>0</v>
      </c>
      <c r="AC24" s="74">
        <f t="shared" si="1"/>
        <v>0</v>
      </c>
      <c r="AD24" s="74">
        <f t="shared" si="1"/>
        <v>0</v>
      </c>
      <c r="AE24" s="74">
        <f t="shared" si="1"/>
        <v>0</v>
      </c>
      <c r="AF24" s="74">
        <f t="shared" ref="AF24:AH24" si="2">AF23/10000</f>
        <v>0</v>
      </c>
      <c r="AG24" s="74">
        <f t="shared" si="2"/>
        <v>0</v>
      </c>
      <c r="AH24" s="74">
        <f t="shared" si="2"/>
        <v>0</v>
      </c>
    </row>
    <row r="25" spans="2:34" ht="19.5" customHeight="1" x14ac:dyDescent="0.35">
      <c r="D25" s="75" t="s">
        <v>42</v>
      </c>
      <c r="E25" s="2677" t="s">
        <v>43</v>
      </c>
      <c r="F25" s="2680" t="s">
        <v>36</v>
      </c>
      <c r="G25" s="47"/>
      <c r="H25" s="55"/>
      <c r="I25" s="55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195"/>
      <c r="V25" s="207"/>
      <c r="W25" s="207"/>
      <c r="X25" s="207"/>
      <c r="Y25" s="207"/>
      <c r="Z25" s="207"/>
      <c r="AA25" s="207"/>
      <c r="AB25" s="207"/>
      <c r="AC25" s="207"/>
      <c r="AD25" s="207"/>
      <c r="AE25" s="207"/>
      <c r="AF25" s="207"/>
      <c r="AG25" s="207"/>
      <c r="AH25" s="207"/>
    </row>
    <row r="26" spans="2:34" ht="19.5" customHeight="1" x14ac:dyDescent="0.35">
      <c r="B26" s="76"/>
      <c r="D26" s="44" t="s">
        <v>44</v>
      </c>
      <c r="E26" s="2678"/>
      <c r="F26" s="2681"/>
      <c r="G26" s="77"/>
      <c r="H26" s="62"/>
      <c r="I26" s="62"/>
      <c r="J26" s="63"/>
      <c r="K26" s="63">
        <v>86.31</v>
      </c>
      <c r="L26" s="63">
        <v>86.45</v>
      </c>
      <c r="M26" s="63"/>
      <c r="N26" s="62"/>
      <c r="O26" s="1017"/>
      <c r="P26" s="63"/>
      <c r="Q26" s="63"/>
      <c r="R26" s="63"/>
      <c r="S26" s="63"/>
      <c r="T26" s="63"/>
      <c r="U26" s="19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8"/>
    </row>
    <row r="27" spans="2:34" ht="19.5" customHeight="1" x14ac:dyDescent="0.35">
      <c r="B27" s="76"/>
      <c r="D27" s="44" t="s">
        <v>45</v>
      </c>
      <c r="E27" s="2678"/>
      <c r="F27" s="2681"/>
      <c r="G27" s="77"/>
      <c r="H27" s="62"/>
      <c r="I27" s="62"/>
      <c r="J27" s="63"/>
      <c r="K27" s="63">
        <v>10.210000000000001</v>
      </c>
      <c r="L27" s="63">
        <v>10.57</v>
      </c>
      <c r="M27" s="63"/>
      <c r="N27" s="62"/>
      <c r="O27" s="1017"/>
      <c r="P27" s="63"/>
      <c r="Q27" s="63"/>
      <c r="R27" s="63"/>
      <c r="S27" s="63"/>
      <c r="T27" s="63"/>
      <c r="U27" s="19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208"/>
      <c r="AG27" s="208"/>
      <c r="AH27" s="208"/>
    </row>
    <row r="28" spans="2:34" ht="19.5" customHeight="1" x14ac:dyDescent="0.35">
      <c r="B28" s="76"/>
      <c r="D28" s="44" t="s">
        <v>46</v>
      </c>
      <c r="E28" s="2679"/>
      <c r="F28" s="2682"/>
      <c r="G28" s="77"/>
      <c r="H28" s="62"/>
      <c r="I28" s="62"/>
      <c r="J28" s="63"/>
      <c r="K28" s="63">
        <v>0.41339999999999999</v>
      </c>
      <c r="L28" s="63">
        <v>0.34689999999999999</v>
      </c>
      <c r="M28" s="63"/>
      <c r="N28" s="62"/>
      <c r="O28" s="1017"/>
      <c r="P28" s="63"/>
      <c r="Q28" s="63"/>
      <c r="R28" s="63"/>
      <c r="S28" s="63"/>
      <c r="T28" s="63"/>
      <c r="U28" s="198"/>
      <c r="V28" s="208"/>
      <c r="W28" s="208"/>
      <c r="X28" s="208"/>
      <c r="Y28" s="208"/>
      <c r="Z28" s="208"/>
      <c r="AA28" s="208"/>
      <c r="AB28" s="208"/>
      <c r="AC28" s="208"/>
      <c r="AD28" s="208"/>
      <c r="AE28" s="208"/>
      <c r="AF28" s="208"/>
      <c r="AG28" s="208"/>
      <c r="AH28" s="208"/>
    </row>
    <row r="29" spans="2:34" ht="19.5" customHeight="1" x14ac:dyDescent="0.35">
      <c r="B29" s="76"/>
      <c r="D29" s="78" t="s">
        <v>150</v>
      </c>
      <c r="E29" s="79"/>
      <c r="F29" s="80"/>
      <c r="G29" s="2">
        <f>(G$26+G$27+G$24+G$19)</f>
        <v>0</v>
      </c>
      <c r="H29" s="2">
        <f t="shared" ref="H29:AH29" si="3">(H$26+H$27+H$24+H$19)</f>
        <v>3.6379999999999999</v>
      </c>
      <c r="I29" s="2">
        <f t="shared" si="3"/>
        <v>0</v>
      </c>
      <c r="J29" s="2">
        <f t="shared" si="3"/>
        <v>0</v>
      </c>
      <c r="K29" s="2">
        <f t="shared" si="3"/>
        <v>101.11690000000002</v>
      </c>
      <c r="L29" s="2">
        <f t="shared" si="3"/>
        <v>100.55900000000001</v>
      </c>
      <c r="M29" s="2">
        <f t="shared" si="3"/>
        <v>0</v>
      </c>
      <c r="N29" s="2">
        <f t="shared" si="3"/>
        <v>0</v>
      </c>
      <c r="O29" s="2">
        <f t="shared" si="3"/>
        <v>0</v>
      </c>
      <c r="P29" s="2">
        <f t="shared" si="3"/>
        <v>0</v>
      </c>
      <c r="Q29" s="2">
        <f t="shared" si="3"/>
        <v>0</v>
      </c>
      <c r="R29" s="2">
        <f t="shared" si="3"/>
        <v>0</v>
      </c>
      <c r="S29" s="2">
        <f t="shared" si="3"/>
        <v>0</v>
      </c>
      <c r="T29" s="2">
        <f t="shared" si="3"/>
        <v>0</v>
      </c>
      <c r="U29" s="2">
        <f t="shared" si="3"/>
        <v>0</v>
      </c>
      <c r="V29" s="2">
        <f t="shared" si="3"/>
        <v>0</v>
      </c>
      <c r="W29" s="2">
        <f t="shared" si="3"/>
        <v>0</v>
      </c>
      <c r="X29" s="2">
        <f t="shared" si="3"/>
        <v>0</v>
      </c>
      <c r="Y29" s="2">
        <f t="shared" si="3"/>
        <v>0</v>
      </c>
      <c r="Z29" s="2">
        <f t="shared" si="3"/>
        <v>0</v>
      </c>
      <c r="AA29" s="2">
        <f t="shared" si="3"/>
        <v>0</v>
      </c>
      <c r="AB29" s="2">
        <f t="shared" si="3"/>
        <v>0</v>
      </c>
      <c r="AC29" s="2">
        <f t="shared" si="3"/>
        <v>0</v>
      </c>
      <c r="AD29" s="2">
        <f t="shared" si="3"/>
        <v>0</v>
      </c>
      <c r="AE29" s="2">
        <f t="shared" si="3"/>
        <v>0</v>
      </c>
      <c r="AF29" s="2">
        <f t="shared" si="3"/>
        <v>0</v>
      </c>
      <c r="AG29" s="2">
        <f t="shared" si="3"/>
        <v>0</v>
      </c>
      <c r="AH29" s="2">
        <f t="shared" si="3"/>
        <v>0</v>
      </c>
    </row>
    <row r="30" spans="2:34" ht="19.5" customHeight="1" x14ac:dyDescent="0.35">
      <c r="D30" s="78" t="s">
        <v>151</v>
      </c>
      <c r="E30" s="79"/>
      <c r="F30" s="80"/>
      <c r="G30" s="2" t="e">
        <f>(100-G$32-G$33)/(1+(G$27/G$26))</f>
        <v>#DIV/0!</v>
      </c>
      <c r="H30" s="2" t="e">
        <f t="shared" ref="H30:AH30" si="4">(100-H$32-H$33)/(1+(H$27/H$26))</f>
        <v>#DIV/0!</v>
      </c>
      <c r="I30" s="2" t="e">
        <f t="shared" si="4"/>
        <v>#DIV/0!</v>
      </c>
      <c r="J30" s="2" t="e">
        <f t="shared" si="4"/>
        <v>#DIV/0!</v>
      </c>
      <c r="K30" s="2">
        <f t="shared" si="4"/>
        <v>85.35665155874041</v>
      </c>
      <c r="L30" s="2">
        <f t="shared" si="4"/>
        <v>85.969430881373128</v>
      </c>
      <c r="M30" s="2" t="e">
        <f t="shared" si="4"/>
        <v>#DIV/0!</v>
      </c>
      <c r="N30" s="2" t="e">
        <f t="shared" si="4"/>
        <v>#DIV/0!</v>
      </c>
      <c r="O30" s="2" t="e">
        <f t="shared" si="4"/>
        <v>#DIV/0!</v>
      </c>
      <c r="P30" s="2" t="e">
        <f t="shared" si="4"/>
        <v>#DIV/0!</v>
      </c>
      <c r="Q30" s="2" t="e">
        <f t="shared" si="4"/>
        <v>#DIV/0!</v>
      </c>
      <c r="R30" s="2" t="e">
        <f t="shared" si="4"/>
        <v>#DIV/0!</v>
      </c>
      <c r="S30" s="2" t="e">
        <f t="shared" si="4"/>
        <v>#DIV/0!</v>
      </c>
      <c r="T30" s="2" t="e">
        <f t="shared" si="4"/>
        <v>#DIV/0!</v>
      </c>
      <c r="U30" s="2" t="e">
        <f t="shared" si="4"/>
        <v>#DIV/0!</v>
      </c>
      <c r="V30" s="2" t="e">
        <f t="shared" si="4"/>
        <v>#DIV/0!</v>
      </c>
      <c r="W30" s="2" t="e">
        <f t="shared" si="4"/>
        <v>#DIV/0!</v>
      </c>
      <c r="X30" s="2" t="e">
        <f t="shared" si="4"/>
        <v>#DIV/0!</v>
      </c>
      <c r="Y30" s="2" t="e">
        <f t="shared" si="4"/>
        <v>#DIV/0!</v>
      </c>
      <c r="Z30" s="2" t="e">
        <f t="shared" si="4"/>
        <v>#DIV/0!</v>
      </c>
      <c r="AA30" s="2" t="e">
        <f t="shared" si="4"/>
        <v>#DIV/0!</v>
      </c>
      <c r="AB30" s="2" t="e">
        <f t="shared" si="4"/>
        <v>#DIV/0!</v>
      </c>
      <c r="AC30" s="2" t="e">
        <f t="shared" si="4"/>
        <v>#DIV/0!</v>
      </c>
      <c r="AD30" s="2" t="e">
        <f t="shared" si="4"/>
        <v>#DIV/0!</v>
      </c>
      <c r="AE30" s="2" t="e">
        <f t="shared" si="4"/>
        <v>#DIV/0!</v>
      </c>
      <c r="AF30" s="2" t="e">
        <f t="shared" si="4"/>
        <v>#DIV/0!</v>
      </c>
      <c r="AG30" s="2" t="e">
        <f t="shared" si="4"/>
        <v>#DIV/0!</v>
      </c>
      <c r="AH30" s="2" t="e">
        <f t="shared" si="4"/>
        <v>#DIV/0!</v>
      </c>
    </row>
    <row r="31" spans="2:34" ht="19.5" customHeight="1" x14ac:dyDescent="0.35">
      <c r="D31" s="78" t="s">
        <v>152</v>
      </c>
      <c r="E31" s="79"/>
      <c r="F31" s="80" t="s">
        <v>36</v>
      </c>
      <c r="G31" s="2" t="e">
        <f>G$30*(G$27/G$26)</f>
        <v>#DIV/0!</v>
      </c>
      <c r="H31" s="2" t="e">
        <f t="shared" ref="H31:AH31" si="5">H$30*(H$27/H$26)</f>
        <v>#DIV/0!</v>
      </c>
      <c r="I31" s="2" t="e">
        <f t="shared" si="5"/>
        <v>#DIV/0!</v>
      </c>
      <c r="J31" s="2" t="e">
        <f t="shared" si="5"/>
        <v>#DIV/0!</v>
      </c>
      <c r="K31" s="2">
        <f t="shared" si="5"/>
        <v>10.097224103982617</v>
      </c>
      <c r="L31" s="2">
        <f t="shared" si="5"/>
        <v>10.511242156346025</v>
      </c>
      <c r="M31" s="2" t="e">
        <f t="shared" si="5"/>
        <v>#DIV/0!</v>
      </c>
      <c r="N31" s="2" t="e">
        <f t="shared" si="5"/>
        <v>#DIV/0!</v>
      </c>
      <c r="O31" s="2" t="e">
        <f t="shared" si="5"/>
        <v>#DIV/0!</v>
      </c>
      <c r="P31" s="2" t="e">
        <f t="shared" si="5"/>
        <v>#DIV/0!</v>
      </c>
      <c r="Q31" s="2" t="e">
        <f t="shared" si="5"/>
        <v>#DIV/0!</v>
      </c>
      <c r="R31" s="2" t="e">
        <f t="shared" si="5"/>
        <v>#DIV/0!</v>
      </c>
      <c r="S31" s="2" t="e">
        <f t="shared" si="5"/>
        <v>#DIV/0!</v>
      </c>
      <c r="T31" s="2" t="e">
        <f t="shared" si="5"/>
        <v>#DIV/0!</v>
      </c>
      <c r="U31" s="2" t="e">
        <f t="shared" si="5"/>
        <v>#DIV/0!</v>
      </c>
      <c r="V31" s="2" t="e">
        <f t="shared" si="5"/>
        <v>#DIV/0!</v>
      </c>
      <c r="W31" s="2" t="e">
        <f t="shared" si="5"/>
        <v>#DIV/0!</v>
      </c>
      <c r="X31" s="2" t="e">
        <f t="shared" si="5"/>
        <v>#DIV/0!</v>
      </c>
      <c r="Y31" s="2" t="e">
        <f t="shared" si="5"/>
        <v>#DIV/0!</v>
      </c>
      <c r="Z31" s="2" t="e">
        <f t="shared" si="5"/>
        <v>#DIV/0!</v>
      </c>
      <c r="AA31" s="2" t="e">
        <f t="shared" si="5"/>
        <v>#DIV/0!</v>
      </c>
      <c r="AB31" s="2" t="e">
        <f t="shared" si="5"/>
        <v>#DIV/0!</v>
      </c>
      <c r="AC31" s="2" t="e">
        <f t="shared" si="5"/>
        <v>#DIV/0!</v>
      </c>
      <c r="AD31" s="2" t="e">
        <f t="shared" si="5"/>
        <v>#DIV/0!</v>
      </c>
      <c r="AE31" s="2" t="e">
        <f t="shared" si="5"/>
        <v>#DIV/0!</v>
      </c>
      <c r="AF31" s="2" t="e">
        <f t="shared" si="5"/>
        <v>#DIV/0!</v>
      </c>
      <c r="AG31" s="2" t="e">
        <f t="shared" si="5"/>
        <v>#DIV/0!</v>
      </c>
      <c r="AH31" s="2" t="e">
        <f t="shared" si="5"/>
        <v>#DIV/0!</v>
      </c>
    </row>
    <row r="32" spans="2:34" ht="19.5" customHeight="1" x14ac:dyDescent="0.35">
      <c r="D32" s="78" t="s">
        <v>153</v>
      </c>
      <c r="E32" s="79"/>
      <c r="F32" s="80"/>
      <c r="G32" s="2" t="e">
        <f>G$24*100/G$29</f>
        <v>#DIV/0!</v>
      </c>
      <c r="H32" s="2">
        <f t="shared" ref="H32:AH32" si="6">H$24*100/H$29</f>
        <v>0</v>
      </c>
      <c r="I32" s="2" t="e">
        <f t="shared" si="6"/>
        <v>#DIV/0!</v>
      </c>
      <c r="J32" s="2" t="e">
        <f t="shared" si="6"/>
        <v>#DIV/0!</v>
      </c>
      <c r="K32" s="2">
        <f t="shared" si="6"/>
        <v>0.34306827048693139</v>
      </c>
      <c r="L32" s="2">
        <f t="shared" si="6"/>
        <v>0</v>
      </c>
      <c r="M32" s="2" t="e">
        <f t="shared" si="6"/>
        <v>#DIV/0!</v>
      </c>
      <c r="N32" s="2" t="e">
        <f t="shared" si="6"/>
        <v>#DIV/0!</v>
      </c>
      <c r="O32" s="2" t="e">
        <f t="shared" si="6"/>
        <v>#DIV/0!</v>
      </c>
      <c r="P32" s="2" t="e">
        <f t="shared" si="6"/>
        <v>#DIV/0!</v>
      </c>
      <c r="Q32" s="2" t="e">
        <f t="shared" si="6"/>
        <v>#DIV/0!</v>
      </c>
      <c r="R32" s="2" t="e">
        <f t="shared" si="6"/>
        <v>#DIV/0!</v>
      </c>
      <c r="S32" s="2" t="e">
        <f t="shared" si="6"/>
        <v>#DIV/0!</v>
      </c>
      <c r="T32" s="2" t="e">
        <f t="shared" si="6"/>
        <v>#DIV/0!</v>
      </c>
      <c r="U32" s="2" t="e">
        <f t="shared" si="6"/>
        <v>#DIV/0!</v>
      </c>
      <c r="V32" s="2" t="e">
        <f t="shared" si="6"/>
        <v>#DIV/0!</v>
      </c>
      <c r="W32" s="2" t="e">
        <f t="shared" si="6"/>
        <v>#DIV/0!</v>
      </c>
      <c r="X32" s="2" t="e">
        <f t="shared" si="6"/>
        <v>#DIV/0!</v>
      </c>
      <c r="Y32" s="2" t="e">
        <f t="shared" si="6"/>
        <v>#DIV/0!</v>
      </c>
      <c r="Z32" s="2" t="e">
        <f t="shared" si="6"/>
        <v>#DIV/0!</v>
      </c>
      <c r="AA32" s="2" t="e">
        <f t="shared" si="6"/>
        <v>#DIV/0!</v>
      </c>
      <c r="AB32" s="2" t="e">
        <f t="shared" si="6"/>
        <v>#DIV/0!</v>
      </c>
      <c r="AC32" s="2" t="e">
        <f t="shared" si="6"/>
        <v>#DIV/0!</v>
      </c>
      <c r="AD32" s="2" t="e">
        <f t="shared" si="6"/>
        <v>#DIV/0!</v>
      </c>
      <c r="AE32" s="2" t="e">
        <f t="shared" si="6"/>
        <v>#DIV/0!</v>
      </c>
      <c r="AF32" s="2" t="e">
        <f t="shared" si="6"/>
        <v>#DIV/0!</v>
      </c>
      <c r="AG32" s="2" t="e">
        <f t="shared" si="6"/>
        <v>#DIV/0!</v>
      </c>
      <c r="AH32" s="2" t="e">
        <f t="shared" si="6"/>
        <v>#DIV/0!</v>
      </c>
    </row>
    <row r="33" spans="4:34" ht="19.5" customHeight="1" x14ac:dyDescent="0.35">
      <c r="D33" s="78" t="s">
        <v>154</v>
      </c>
      <c r="E33" s="79"/>
      <c r="F33" s="80"/>
      <c r="G33" s="2" t="e">
        <f>G$19*100/G$29</f>
        <v>#DIV/0!</v>
      </c>
      <c r="H33" s="2">
        <f t="shared" ref="H33:AH33" si="7">H$19*100/H$29</f>
        <v>100</v>
      </c>
      <c r="I33" s="2" t="e">
        <f t="shared" si="7"/>
        <v>#DIV/0!</v>
      </c>
      <c r="J33" s="2" t="e">
        <f t="shared" si="7"/>
        <v>#DIV/0!</v>
      </c>
      <c r="K33" s="2">
        <f t="shared" si="7"/>
        <v>4.2030560667900216</v>
      </c>
      <c r="L33" s="2">
        <f t="shared" si="7"/>
        <v>3.5193269622808501</v>
      </c>
      <c r="M33" s="2" t="e">
        <f t="shared" si="7"/>
        <v>#DIV/0!</v>
      </c>
      <c r="N33" s="2" t="e">
        <f t="shared" si="7"/>
        <v>#DIV/0!</v>
      </c>
      <c r="O33" s="2" t="e">
        <f t="shared" si="7"/>
        <v>#DIV/0!</v>
      </c>
      <c r="P33" s="2" t="e">
        <f t="shared" si="7"/>
        <v>#DIV/0!</v>
      </c>
      <c r="Q33" s="2" t="e">
        <f t="shared" si="7"/>
        <v>#DIV/0!</v>
      </c>
      <c r="R33" s="2" t="e">
        <f t="shared" si="7"/>
        <v>#DIV/0!</v>
      </c>
      <c r="S33" s="2" t="e">
        <f t="shared" si="7"/>
        <v>#DIV/0!</v>
      </c>
      <c r="T33" s="2" t="e">
        <f t="shared" si="7"/>
        <v>#DIV/0!</v>
      </c>
      <c r="U33" s="2" t="e">
        <f t="shared" si="7"/>
        <v>#DIV/0!</v>
      </c>
      <c r="V33" s="2" t="e">
        <f t="shared" si="7"/>
        <v>#DIV/0!</v>
      </c>
      <c r="W33" s="2" t="e">
        <f t="shared" si="7"/>
        <v>#DIV/0!</v>
      </c>
      <c r="X33" s="2" t="e">
        <f t="shared" si="7"/>
        <v>#DIV/0!</v>
      </c>
      <c r="Y33" s="2" t="e">
        <f t="shared" si="7"/>
        <v>#DIV/0!</v>
      </c>
      <c r="Z33" s="2" t="e">
        <f t="shared" si="7"/>
        <v>#DIV/0!</v>
      </c>
      <c r="AA33" s="2" t="e">
        <f t="shared" si="7"/>
        <v>#DIV/0!</v>
      </c>
      <c r="AB33" s="2" t="e">
        <f t="shared" si="7"/>
        <v>#DIV/0!</v>
      </c>
      <c r="AC33" s="2" t="e">
        <f t="shared" si="7"/>
        <v>#DIV/0!</v>
      </c>
      <c r="AD33" s="2" t="e">
        <f t="shared" si="7"/>
        <v>#DIV/0!</v>
      </c>
      <c r="AE33" s="2" t="e">
        <f t="shared" si="7"/>
        <v>#DIV/0!</v>
      </c>
      <c r="AF33" s="2" t="e">
        <f t="shared" si="7"/>
        <v>#DIV/0!</v>
      </c>
      <c r="AG33" s="2" t="e">
        <f t="shared" si="7"/>
        <v>#DIV/0!</v>
      </c>
      <c r="AH33" s="2" t="e">
        <f t="shared" si="7"/>
        <v>#DIV/0!</v>
      </c>
    </row>
    <row r="34" spans="4:34" ht="19.5" customHeight="1" x14ac:dyDescent="0.35">
      <c r="D34" s="78" t="s">
        <v>155</v>
      </c>
      <c r="E34" s="79"/>
      <c r="F34" s="80"/>
      <c r="G34" s="149" t="e">
        <f>G$31/G$30</f>
        <v>#DIV/0!</v>
      </c>
      <c r="H34" s="149" t="e">
        <f t="shared" ref="H34:AH34" si="8">H$31/H$30</f>
        <v>#DIV/0!</v>
      </c>
      <c r="I34" s="149" t="e">
        <f t="shared" si="8"/>
        <v>#DIV/0!</v>
      </c>
      <c r="J34" s="149" t="e">
        <f t="shared" si="8"/>
        <v>#DIV/0!</v>
      </c>
      <c r="K34" s="149">
        <f t="shared" si="8"/>
        <v>0.11829451975437379</v>
      </c>
      <c r="L34" s="149">
        <f t="shared" si="8"/>
        <v>0.12226720647773279</v>
      </c>
      <c r="M34" s="149" t="e">
        <f t="shared" si="8"/>
        <v>#DIV/0!</v>
      </c>
      <c r="N34" s="149" t="e">
        <f t="shared" si="8"/>
        <v>#DIV/0!</v>
      </c>
      <c r="O34" s="149" t="e">
        <f t="shared" si="8"/>
        <v>#DIV/0!</v>
      </c>
      <c r="P34" s="149" t="e">
        <f t="shared" si="8"/>
        <v>#DIV/0!</v>
      </c>
      <c r="Q34" s="149" t="e">
        <f t="shared" si="8"/>
        <v>#DIV/0!</v>
      </c>
      <c r="R34" s="149" t="e">
        <f t="shared" si="8"/>
        <v>#DIV/0!</v>
      </c>
      <c r="S34" s="149" t="e">
        <f t="shared" si="8"/>
        <v>#DIV/0!</v>
      </c>
      <c r="T34" s="149" t="e">
        <f t="shared" si="8"/>
        <v>#DIV/0!</v>
      </c>
      <c r="U34" s="149" t="e">
        <f t="shared" si="8"/>
        <v>#DIV/0!</v>
      </c>
      <c r="V34" s="149" t="e">
        <f t="shared" si="8"/>
        <v>#DIV/0!</v>
      </c>
      <c r="W34" s="149" t="e">
        <f t="shared" si="8"/>
        <v>#DIV/0!</v>
      </c>
      <c r="X34" s="149" t="e">
        <f t="shared" si="8"/>
        <v>#DIV/0!</v>
      </c>
      <c r="Y34" s="149" t="e">
        <f t="shared" si="8"/>
        <v>#DIV/0!</v>
      </c>
      <c r="Z34" s="149" t="e">
        <f t="shared" si="8"/>
        <v>#DIV/0!</v>
      </c>
      <c r="AA34" s="149" t="e">
        <f t="shared" si="8"/>
        <v>#DIV/0!</v>
      </c>
      <c r="AB34" s="149" t="e">
        <f t="shared" si="8"/>
        <v>#DIV/0!</v>
      </c>
      <c r="AC34" s="149" t="e">
        <f t="shared" si="8"/>
        <v>#DIV/0!</v>
      </c>
      <c r="AD34" s="149" t="e">
        <f t="shared" si="8"/>
        <v>#DIV/0!</v>
      </c>
      <c r="AE34" s="149" t="e">
        <f t="shared" si="8"/>
        <v>#DIV/0!</v>
      </c>
      <c r="AF34" s="149" t="e">
        <f t="shared" si="8"/>
        <v>#DIV/0!</v>
      </c>
      <c r="AG34" s="149" t="e">
        <f t="shared" si="8"/>
        <v>#DIV/0!</v>
      </c>
      <c r="AH34" s="149" t="e">
        <f t="shared" si="8"/>
        <v>#DIV/0!</v>
      </c>
    </row>
    <row r="35" spans="4:34" ht="19.5" hidden="1" customHeight="1" x14ac:dyDescent="0.35">
      <c r="D35" s="81" t="s">
        <v>106</v>
      </c>
      <c r="E35" s="45"/>
      <c r="F35" s="46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199"/>
      <c r="V35" s="208"/>
      <c r="W35" s="208"/>
      <c r="X35" s="208"/>
      <c r="Y35" s="208"/>
      <c r="Z35" s="208"/>
      <c r="AA35" s="208"/>
      <c r="AB35" s="208"/>
      <c r="AC35" s="208"/>
      <c r="AD35" s="208"/>
      <c r="AE35" s="208"/>
      <c r="AF35" s="208"/>
      <c r="AG35" s="208"/>
      <c r="AH35" s="208"/>
    </row>
    <row r="36" spans="4:34" ht="19.5" hidden="1" customHeight="1" x14ac:dyDescent="0.35">
      <c r="D36" s="81" t="s">
        <v>107</v>
      </c>
      <c r="E36" s="45"/>
      <c r="F36" s="46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199"/>
      <c r="V36" s="208"/>
      <c r="W36" s="208"/>
      <c r="X36" s="208"/>
      <c r="Y36" s="208"/>
      <c r="Z36" s="208"/>
      <c r="AA36" s="208"/>
      <c r="AB36" s="208"/>
      <c r="AC36" s="208"/>
      <c r="AD36" s="208"/>
      <c r="AE36" s="208"/>
      <c r="AF36" s="208"/>
      <c r="AG36" s="208"/>
      <c r="AH36" s="208"/>
    </row>
    <row r="37" spans="4:34" ht="19.5" hidden="1" customHeight="1" x14ac:dyDescent="0.35">
      <c r="D37" s="81" t="s">
        <v>156</v>
      </c>
      <c r="E37" s="45"/>
      <c r="F37" s="46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199"/>
      <c r="V37" s="208"/>
      <c r="W37" s="208"/>
      <c r="X37" s="208"/>
      <c r="Y37" s="208"/>
      <c r="Z37" s="208"/>
      <c r="AA37" s="208"/>
      <c r="AB37" s="208"/>
      <c r="AC37" s="208"/>
      <c r="AD37" s="208"/>
      <c r="AE37" s="208"/>
      <c r="AF37" s="208"/>
      <c r="AG37" s="208"/>
      <c r="AH37" s="208"/>
    </row>
    <row r="38" spans="4:34" ht="19.5" hidden="1" customHeight="1" x14ac:dyDescent="0.35">
      <c r="D38" s="81" t="s">
        <v>157</v>
      </c>
      <c r="E38" s="45"/>
      <c r="F38" s="46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199"/>
      <c r="V38" s="208"/>
      <c r="W38" s="208"/>
      <c r="X38" s="208"/>
      <c r="Y38" s="208"/>
      <c r="Z38" s="208"/>
      <c r="AA38" s="208"/>
      <c r="AB38" s="208"/>
      <c r="AC38" s="208"/>
      <c r="AD38" s="208"/>
      <c r="AE38" s="208"/>
      <c r="AF38" s="208"/>
      <c r="AG38" s="208"/>
      <c r="AH38" s="208"/>
    </row>
    <row r="39" spans="4:34" ht="19.5" hidden="1" customHeight="1" x14ac:dyDescent="0.35">
      <c r="D39" s="81" t="s">
        <v>108</v>
      </c>
      <c r="E39" s="45"/>
      <c r="F39" s="46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199"/>
      <c r="V39" s="208"/>
      <c r="W39" s="208"/>
      <c r="X39" s="208"/>
      <c r="Y39" s="208"/>
      <c r="Z39" s="208"/>
      <c r="AA39" s="208"/>
      <c r="AB39" s="208"/>
      <c r="AC39" s="208"/>
      <c r="AD39" s="208"/>
      <c r="AE39" s="208"/>
      <c r="AF39" s="208"/>
      <c r="AG39" s="208"/>
      <c r="AH39" s="208"/>
    </row>
    <row r="40" spans="4:34" ht="19.5" customHeight="1" x14ac:dyDescent="0.35">
      <c r="D40" s="75" t="s">
        <v>47</v>
      </c>
      <c r="E40" s="2689" t="s">
        <v>48</v>
      </c>
      <c r="F40" s="2680" t="s">
        <v>38</v>
      </c>
      <c r="G40" s="47"/>
      <c r="H40" s="55"/>
      <c r="I40" s="55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195"/>
      <c r="V40" s="207"/>
      <c r="W40" s="207"/>
      <c r="X40" s="207"/>
      <c r="Y40" s="207"/>
      <c r="Z40" s="207"/>
      <c r="AA40" s="207"/>
      <c r="AB40" s="207"/>
      <c r="AC40" s="207"/>
      <c r="AD40" s="207"/>
      <c r="AE40" s="207"/>
      <c r="AF40" s="207"/>
      <c r="AG40" s="207"/>
      <c r="AH40" s="207"/>
    </row>
    <row r="41" spans="4:34" ht="19.5" customHeight="1" x14ac:dyDescent="0.35">
      <c r="D41" s="44" t="s">
        <v>49</v>
      </c>
      <c r="E41" s="2703"/>
      <c r="F41" s="2681"/>
      <c r="G41" s="60"/>
      <c r="H41" s="62">
        <v>50.42</v>
      </c>
      <c r="I41" s="62"/>
      <c r="J41" s="63"/>
      <c r="K41" s="63">
        <v>94.75</v>
      </c>
      <c r="L41" s="63">
        <v>72.69</v>
      </c>
      <c r="M41" s="63"/>
      <c r="N41" s="63"/>
      <c r="O41" s="1017"/>
      <c r="P41" s="63"/>
      <c r="Q41" s="63">
        <v>64.16</v>
      </c>
      <c r="R41" s="63"/>
      <c r="S41" s="63"/>
      <c r="T41" s="63"/>
      <c r="U41" s="198"/>
      <c r="V41" s="208"/>
      <c r="W41" s="208"/>
      <c r="X41" s="208"/>
      <c r="Y41" s="208"/>
      <c r="Z41" s="208"/>
      <c r="AA41" s="208"/>
      <c r="AB41" s="208"/>
      <c r="AC41" s="208"/>
      <c r="AD41" s="208"/>
      <c r="AE41" s="208"/>
      <c r="AF41" s="208"/>
      <c r="AG41" s="208"/>
      <c r="AH41" s="208"/>
    </row>
    <row r="42" spans="4:34" ht="19.5" customHeight="1" x14ac:dyDescent="0.35">
      <c r="D42" s="44" t="s">
        <v>50</v>
      </c>
      <c r="E42" s="2703"/>
      <c r="F42" s="2681"/>
      <c r="G42" s="60"/>
      <c r="H42" s="62">
        <v>96.82</v>
      </c>
      <c r="I42" s="62"/>
      <c r="J42" s="63"/>
      <c r="K42" s="63">
        <v>148.41</v>
      </c>
      <c r="L42" s="63">
        <v>110.34</v>
      </c>
      <c r="M42" s="63"/>
      <c r="N42" s="63"/>
      <c r="O42" s="1017"/>
      <c r="P42" s="63"/>
      <c r="Q42" s="63">
        <v>167.55</v>
      </c>
      <c r="R42" s="63"/>
      <c r="S42" s="63"/>
      <c r="T42" s="63"/>
      <c r="U42" s="198"/>
      <c r="V42" s="208"/>
      <c r="W42" s="208"/>
      <c r="X42" s="208"/>
      <c r="Y42" s="208"/>
      <c r="Z42" s="208"/>
      <c r="AA42" s="208"/>
      <c r="AB42" s="208"/>
      <c r="AC42" s="208"/>
      <c r="AD42" s="208"/>
      <c r="AE42" s="208"/>
      <c r="AF42" s="208"/>
      <c r="AG42" s="208"/>
      <c r="AH42" s="208"/>
    </row>
    <row r="43" spans="4:34" ht="19.5" customHeight="1" x14ac:dyDescent="0.35">
      <c r="D43" s="44" t="s">
        <v>51</v>
      </c>
      <c r="E43" s="2703"/>
      <c r="F43" s="2681"/>
      <c r="G43" s="60"/>
      <c r="H43" s="62">
        <v>41.13</v>
      </c>
      <c r="I43" s="62"/>
      <c r="J43" s="63"/>
      <c r="K43" s="63">
        <v>68.69</v>
      </c>
      <c r="L43" s="63">
        <v>41.74</v>
      </c>
      <c r="M43" s="63"/>
      <c r="N43" s="63"/>
      <c r="O43" s="1017"/>
      <c r="P43" s="63"/>
      <c r="Q43" s="63">
        <v>68.430000000000007</v>
      </c>
      <c r="R43" s="63"/>
      <c r="S43" s="63"/>
      <c r="T43" s="63"/>
      <c r="U43" s="198"/>
      <c r="V43" s="208"/>
      <c r="W43" s="208"/>
      <c r="X43" s="208"/>
      <c r="Y43" s="208"/>
      <c r="Z43" s="208"/>
      <c r="AA43" s="208"/>
      <c r="AB43" s="208"/>
      <c r="AC43" s="208"/>
      <c r="AD43" s="208"/>
      <c r="AE43" s="208"/>
      <c r="AF43" s="208"/>
      <c r="AG43" s="208"/>
      <c r="AH43" s="208"/>
    </row>
    <row r="44" spans="4:34" ht="19.5" customHeight="1" x14ac:dyDescent="0.35">
      <c r="D44" s="44" t="s">
        <v>52</v>
      </c>
      <c r="E44" s="2703"/>
      <c r="F44" s="2681"/>
      <c r="G44" s="84"/>
      <c r="H44" s="62">
        <v>16.87</v>
      </c>
      <c r="I44" s="62"/>
      <c r="J44" s="63"/>
      <c r="K44" s="63">
        <v>28.95</v>
      </c>
      <c r="L44" s="63">
        <v>17.149999999999999</v>
      </c>
      <c r="M44" s="63"/>
      <c r="N44" s="63"/>
      <c r="O44" s="1017"/>
      <c r="P44" s="63"/>
      <c r="Q44" s="63">
        <v>15.93</v>
      </c>
      <c r="R44" s="63"/>
      <c r="S44" s="63"/>
      <c r="T44" s="63"/>
      <c r="U44" s="198"/>
      <c r="V44" s="208"/>
      <c r="W44" s="208"/>
      <c r="X44" s="208"/>
      <c r="Y44" s="208"/>
      <c r="Z44" s="208"/>
      <c r="AA44" s="208"/>
      <c r="AB44" s="208"/>
      <c r="AC44" s="208"/>
      <c r="AD44" s="208"/>
      <c r="AE44" s="208"/>
      <c r="AF44" s="208"/>
      <c r="AG44" s="208"/>
      <c r="AH44" s="208"/>
    </row>
    <row r="45" spans="4:34" ht="19.5" customHeight="1" x14ac:dyDescent="0.35">
      <c r="D45" s="44" t="s">
        <v>53</v>
      </c>
      <c r="E45" s="2704"/>
      <c r="F45" s="2682"/>
      <c r="G45" s="60"/>
      <c r="H45" s="62">
        <v>42.65</v>
      </c>
      <c r="I45" s="62"/>
      <c r="J45" s="63"/>
      <c r="K45" s="63">
        <v>217</v>
      </c>
      <c r="L45" s="63">
        <v>110.95</v>
      </c>
      <c r="M45" s="63"/>
      <c r="N45" s="63"/>
      <c r="O45" s="1017"/>
      <c r="P45" s="63"/>
      <c r="Q45" s="63">
        <v>174.8</v>
      </c>
      <c r="R45" s="63"/>
      <c r="S45" s="63"/>
      <c r="T45" s="63"/>
      <c r="U45" s="198"/>
      <c r="V45" s="208"/>
      <c r="W45" s="208"/>
      <c r="X45" s="208"/>
      <c r="Y45" s="208"/>
      <c r="Z45" s="208"/>
      <c r="AA45" s="208"/>
      <c r="AB45" s="208"/>
      <c r="AC45" s="208"/>
      <c r="AD45" s="208"/>
      <c r="AE45" s="208"/>
      <c r="AF45" s="208"/>
      <c r="AG45" s="208"/>
      <c r="AH45" s="208"/>
    </row>
    <row r="46" spans="4:34" ht="19.5" customHeight="1" x14ac:dyDescent="0.35">
      <c r="D46" s="113" t="s">
        <v>3</v>
      </c>
      <c r="E46" s="79"/>
      <c r="F46" s="80"/>
      <c r="G46" s="115">
        <f>100-((G$41*100)/'HPS DAILY'!$G$42)</f>
        <v>100</v>
      </c>
      <c r="H46" s="115">
        <f>100-((H$41*100)/'HPS DAILY'!$G$42)</f>
        <v>18.136061048871568</v>
      </c>
      <c r="I46" s="115">
        <f>100-((I$41*100)/'HPS DAILY'!$G$42)</f>
        <v>100</v>
      </c>
      <c r="J46" s="115">
        <f>100-((J$41*100)/'HPS DAILY'!$G$42)</f>
        <v>100</v>
      </c>
      <c r="K46" s="115">
        <f>100-((K$41*100)/'HPS DAILY'!$H$42)</f>
        <v>-46.445131375579592</v>
      </c>
      <c r="L46" s="115">
        <f>100-((L$41*100)/'HPS DAILY'!$H$42)</f>
        <v>-12.349304482225648</v>
      </c>
      <c r="M46" s="115">
        <f>100-((M$41*100)/'HPS DAILY'!$H$42)</f>
        <v>100</v>
      </c>
      <c r="N46" s="115">
        <f>100-((N$41*100)/'HPS DAILY'!$H$42)</f>
        <v>100</v>
      </c>
      <c r="O46" s="115">
        <f>100-((O$41*100)/'HPS DAILY'!$H$42)</f>
        <v>100</v>
      </c>
      <c r="P46" s="115">
        <f>100-((P$41*100)/'HPS DAILY'!$H$42)</f>
        <v>100</v>
      </c>
      <c r="Q46" s="115">
        <f>100-((Q$41*100)/'HPS DAILY'!$I$42)</f>
        <v>0.8346213292117568</v>
      </c>
      <c r="R46" s="115">
        <f>100-((R$41*100)/'HPS DAILY'!$I$42)</f>
        <v>100</v>
      </c>
      <c r="S46" s="115">
        <f>100-((S$41*100)/'HPS DAILY'!$I$42)</f>
        <v>100</v>
      </c>
      <c r="T46" s="115">
        <f>100-((T$41*100)/'HPS DAILY'!$I$42)</f>
        <v>100</v>
      </c>
      <c r="U46" s="115">
        <f>100-((U$41*100)/'HPS DAILY'!$I$42)</f>
        <v>100</v>
      </c>
      <c r="V46" s="115">
        <f>100-((V$41*100)/'HPS DAILY'!$I$42)</f>
        <v>100</v>
      </c>
      <c r="W46" s="115">
        <f>100-((W$41*100)/'HPS DAILY'!$I$42)</f>
        <v>100</v>
      </c>
      <c r="X46" s="115">
        <f>100-((X$41*100)/'HPS DAILY'!$I$42)</f>
        <v>100</v>
      </c>
      <c r="Y46" s="115">
        <f>100-((Y$41*100)/'HPS DAILY'!$I$42)</f>
        <v>100</v>
      </c>
      <c r="Z46" s="115">
        <f>100-((Z$41*100)/'HPS DAILY'!$I$42)</f>
        <v>100</v>
      </c>
      <c r="AA46" s="115">
        <f>100-((AA$41*100)/'HPS DAILY'!$I$42)</f>
        <v>100</v>
      </c>
      <c r="AB46" s="115">
        <f>100-((AB$41*100)/'HPS DAILY'!$I$42)</f>
        <v>100</v>
      </c>
      <c r="AC46" s="115">
        <f>100-((AC$41*100)/'HPS DAILY'!$I$42)</f>
        <v>100</v>
      </c>
      <c r="AD46" s="115">
        <f>100-((AD$41*100)/'HPS DAILY'!$I$42)</f>
        <v>100</v>
      </c>
      <c r="AE46" s="115">
        <f>100-((AE$41*100)/'HPS DAILY'!$I$42)</f>
        <v>100</v>
      </c>
      <c r="AF46" s="115">
        <f>100-((AF$41*100)/'HPS DAILY'!$I$42)</f>
        <v>100</v>
      </c>
      <c r="AG46" s="115">
        <f>100-((AG$41*100)/'HPS DAILY'!$I$42)</f>
        <v>100</v>
      </c>
      <c r="AH46" s="115">
        <f>100-((AH$41*100)/'HPS DAILY'!$I$42)</f>
        <v>100</v>
      </c>
    </row>
    <row r="47" spans="4:34" ht="19.5" customHeight="1" x14ac:dyDescent="0.35">
      <c r="D47" s="113" t="s">
        <v>4</v>
      </c>
      <c r="E47" s="79" t="s">
        <v>163</v>
      </c>
      <c r="F47" s="80" t="s">
        <v>55</v>
      </c>
      <c r="G47" s="115">
        <f>100-((G$42*100)/'HPS DAILY'!$G$43)</f>
        <v>100</v>
      </c>
      <c r="H47" s="115">
        <f>100-((H$42*100)/'HPS DAILY'!$G$43)</f>
        <v>51.592420378981046</v>
      </c>
      <c r="I47" s="115">
        <f>100-((I$42*100)/'HPS DAILY'!$G$43)</f>
        <v>100</v>
      </c>
      <c r="J47" s="115">
        <f>100-((J$42*100)/'HPS DAILY'!$G$43)</f>
        <v>100</v>
      </c>
      <c r="K47" s="115">
        <f>100-((K$42*100)/'HPS DAILY'!$H$43)</f>
        <v>27.886297376093296</v>
      </c>
      <c r="L47" s="115">
        <f>100-((L$42*100)/'HPS DAILY'!$H$43)</f>
        <v>46.384839650145778</v>
      </c>
      <c r="M47" s="115">
        <f>100-((M$42*100)/'HPS DAILY'!$H$43)</f>
        <v>100</v>
      </c>
      <c r="N47" s="115">
        <f>100-((N$42*100)/'HPS DAILY'!$H$43)</f>
        <v>100</v>
      </c>
      <c r="O47" s="115">
        <f>100-((O$42*100)/'HPS DAILY'!$H$43)</f>
        <v>100</v>
      </c>
      <c r="P47" s="115">
        <f>100-((P$42*100)/'HPS DAILY'!$H$43)</f>
        <v>100</v>
      </c>
      <c r="Q47" s="115">
        <f>100-((Q$42*100)/'HPS DAILY'!$I$43)</f>
        <v>18.586005830903801</v>
      </c>
      <c r="R47" s="115">
        <f>100-((R$42*100)/'HPS DAILY'!$I$43)</f>
        <v>100</v>
      </c>
      <c r="S47" s="115">
        <f>100-((S$42*100)/'HPS DAILY'!$I$43)</f>
        <v>100</v>
      </c>
      <c r="T47" s="115">
        <f>100-((T$42*100)/'HPS DAILY'!$I$43)</f>
        <v>100</v>
      </c>
      <c r="U47" s="115">
        <f>100-((U$42*100)/'HPS DAILY'!$I$43)</f>
        <v>100</v>
      </c>
      <c r="V47" s="115">
        <f>100-((V$42*100)/'HPS DAILY'!$I$43)</f>
        <v>100</v>
      </c>
      <c r="W47" s="115">
        <f>100-((W$42*100)/'HPS DAILY'!$I$43)</f>
        <v>100</v>
      </c>
      <c r="X47" s="115">
        <f>100-((X$42*100)/'HPS DAILY'!$I$43)</f>
        <v>100</v>
      </c>
      <c r="Y47" s="115">
        <f>100-((Y$42*100)/'HPS DAILY'!$I$43)</f>
        <v>100</v>
      </c>
      <c r="Z47" s="115">
        <f>100-((Z$42*100)/'HPS DAILY'!$I$43)</f>
        <v>100</v>
      </c>
      <c r="AA47" s="115">
        <f>100-((AA$42*100)/'HPS DAILY'!$I$43)</f>
        <v>100</v>
      </c>
      <c r="AB47" s="115">
        <f>100-((AB$42*100)/'HPS DAILY'!$I$43)</f>
        <v>100</v>
      </c>
      <c r="AC47" s="115">
        <f>100-((AC$42*100)/'HPS DAILY'!$I$43)</f>
        <v>100</v>
      </c>
      <c r="AD47" s="115">
        <f>100-((AD$42*100)/'HPS DAILY'!$I$43)</f>
        <v>100</v>
      </c>
      <c r="AE47" s="115">
        <f>100-((AE$42*100)/'HPS DAILY'!$I$43)</f>
        <v>100</v>
      </c>
      <c r="AF47" s="115">
        <f>100-((AF$42*100)/'HPS DAILY'!$I$43)</f>
        <v>100</v>
      </c>
      <c r="AG47" s="115">
        <f>100-((AG$42*100)/'HPS DAILY'!$I$43)</f>
        <v>100</v>
      </c>
      <c r="AH47" s="115">
        <f>100-((AH$42*100)/'HPS DAILY'!$I$43)</f>
        <v>100</v>
      </c>
    </row>
    <row r="48" spans="4:34" ht="19.5" customHeight="1" x14ac:dyDescent="0.35">
      <c r="D48" s="113" t="s">
        <v>56</v>
      </c>
      <c r="E48" s="79"/>
      <c r="F48" s="80"/>
      <c r="G48" s="115">
        <f>100-((G41+G42)*100/('HPS DAILY'!$G$42+'HPS DAILY'!$G$43))</f>
        <v>100</v>
      </c>
      <c r="H48" s="115">
        <f>100-((H41+H42)*100/('HPS DAILY'!$G$42+'HPS DAILY'!$G$43))</f>
        <v>43.715596330275233</v>
      </c>
      <c r="I48" s="115">
        <f>100-((I41+I42)*100/('HPS DAILY'!$G$42+'HPS DAILY'!$G$43))</f>
        <v>100</v>
      </c>
      <c r="J48" s="115">
        <f>100-((J41+J42)*100/('HPS DAILY'!$G$42+'HPS DAILY'!$G$43))</f>
        <v>100</v>
      </c>
      <c r="K48" s="115">
        <f>100-((K41+K42)*100/('HPS DAILY'!$H$42+'HPS DAILY'!$H$43))</f>
        <v>10.107208872458415</v>
      </c>
      <c r="L48" s="115">
        <f>100-((L41+L42)*100/('HPS DAILY'!$H$42+'HPS DAILY'!$H$43))</f>
        <v>32.336414048059154</v>
      </c>
      <c r="M48" s="115">
        <f>100-((M41+M42)*100/('HPS DAILY'!$H$42+'HPS DAILY'!$H$43))</f>
        <v>100</v>
      </c>
      <c r="N48" s="115">
        <f>100-((N41+N42)*100/('HPS DAILY'!$H$42+'HPS DAILY'!$H$43))</f>
        <v>100</v>
      </c>
      <c r="O48" s="115">
        <f>100-((O41+O42)*100/('HPS DAILY'!$H$42+'HPS DAILY'!$H$43))</f>
        <v>100</v>
      </c>
      <c r="P48" s="115">
        <f>100-((P41+P42)*100/('HPS DAILY'!$H$42+'HPS DAILY'!$H$43))</f>
        <v>100</v>
      </c>
      <c r="Q48" s="115">
        <f>100-((Q41+Q42)*100/('HPS DAILY'!$I$42+'HPS DAILY'!$I$43))</f>
        <v>14.340110905730128</v>
      </c>
      <c r="R48" s="115">
        <f>100-((R41+R42)*100/('HPS DAILY'!$I$42+'HPS DAILY'!$I$43))</f>
        <v>100</v>
      </c>
      <c r="S48" s="115">
        <f>100-((S41+S42)*100/('HPS DAILY'!$I$42+'HPS DAILY'!$I$43))</f>
        <v>100</v>
      </c>
      <c r="T48" s="115">
        <f>100-((T41+T42)*100/('HPS DAILY'!$I$42+'HPS DAILY'!$I$43))</f>
        <v>100</v>
      </c>
      <c r="U48" s="115">
        <f>100-((U41+U42)*100/('HPS DAILY'!$I$42+'HPS DAILY'!$I$43))</f>
        <v>100</v>
      </c>
      <c r="V48" s="115">
        <f>100-((V41+V42)*100/('HPS DAILY'!$I$42+'HPS DAILY'!$I$43))</f>
        <v>100</v>
      </c>
      <c r="W48" s="115">
        <f>100-((W41+W42)*100/('HPS DAILY'!$I$42+'HPS DAILY'!$I$43))</f>
        <v>100</v>
      </c>
      <c r="X48" s="115">
        <f>100-((X41+X42)*100/('HPS DAILY'!$I$42+'HPS DAILY'!$I$43))</f>
        <v>100</v>
      </c>
      <c r="Y48" s="115">
        <f>100-((Y41+Y42)*100/('HPS DAILY'!$I$42+'HPS DAILY'!$I$43))</f>
        <v>100</v>
      </c>
      <c r="Z48" s="115">
        <f>100-((Z41+Z42)*100/('HPS DAILY'!$I$42+'HPS DAILY'!$I$43))</f>
        <v>100</v>
      </c>
      <c r="AA48" s="115">
        <f>100-((AA41+AA42)*100/('HPS DAILY'!$I$42+'HPS DAILY'!$I$43))</f>
        <v>100</v>
      </c>
      <c r="AB48" s="115">
        <f>100-((AB41+AB42)*100/('HPS DAILY'!$I$42+'HPS DAILY'!$I$43))</f>
        <v>100</v>
      </c>
      <c r="AC48" s="115">
        <f>100-((AC41+AC42)*100/('HPS DAILY'!$I$42+'HPS DAILY'!$I$43))</f>
        <v>100</v>
      </c>
      <c r="AD48" s="115">
        <f>100-((AD41+AD42)*100/('HPS DAILY'!$I$42+'HPS DAILY'!$I$43))</f>
        <v>100</v>
      </c>
      <c r="AE48" s="115">
        <f>100-((AE41+AE42)*100/('HPS DAILY'!$I$42+'HPS DAILY'!$I$43))</f>
        <v>100</v>
      </c>
      <c r="AF48" s="115">
        <f>100-((AF41+AF42)*100/('HPS DAILY'!$I$42+'HPS DAILY'!$I$43))</f>
        <v>100</v>
      </c>
      <c r="AG48" s="115">
        <f>100-((AG41+AG42)*100/('HPS DAILY'!$I$42+'HPS DAILY'!$I$43))</f>
        <v>100</v>
      </c>
      <c r="AH48" s="115">
        <f>100-((AH41+AH42)*100/('HPS DAILY'!$I$42+'HPS DAILY'!$I$43))</f>
        <v>100</v>
      </c>
    </row>
    <row r="49" spans="4:34" ht="19.5" customHeight="1" x14ac:dyDescent="0.35">
      <c r="D49" s="75" t="s">
        <v>57</v>
      </c>
      <c r="E49" s="2689" t="s">
        <v>58</v>
      </c>
      <c r="F49" s="2680" t="s">
        <v>59</v>
      </c>
      <c r="G49" s="47"/>
      <c r="H49" s="55"/>
      <c r="I49" s="55"/>
      <c r="J49" s="56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200"/>
      <c r="V49" s="207"/>
      <c r="W49" s="207"/>
      <c r="X49" s="207"/>
      <c r="Y49" s="207"/>
      <c r="Z49" s="207"/>
      <c r="AA49" s="207"/>
      <c r="AB49" s="207"/>
      <c r="AC49" s="207"/>
      <c r="AD49" s="207"/>
      <c r="AE49" s="207"/>
      <c r="AF49" s="207"/>
      <c r="AG49" s="207"/>
      <c r="AH49" s="207"/>
    </row>
    <row r="50" spans="4:34" ht="19.5" customHeight="1" x14ac:dyDescent="0.35">
      <c r="D50" s="83" t="s">
        <v>60</v>
      </c>
      <c r="E50" s="2690"/>
      <c r="F50" s="2681"/>
      <c r="G50" s="84">
        <f>'HPS LTO DAILY '!H223</f>
        <v>0</v>
      </c>
      <c r="H50" s="84">
        <f>'HPS LTO DAILY '!I223</f>
        <v>99.5</v>
      </c>
      <c r="I50" s="84">
        <f>'HPS LTO DAILY '!J223</f>
        <v>0</v>
      </c>
      <c r="J50" s="84">
        <f>'HPS LTO DAILY '!K223</f>
        <v>0</v>
      </c>
      <c r="K50" s="84">
        <f>'HPS LTO DAILY '!L223</f>
        <v>0</v>
      </c>
      <c r="L50" s="84">
        <f>'HPS LTO DAILY '!M223</f>
        <v>0</v>
      </c>
      <c r="M50" s="84">
        <f>'HPS LTO DAILY '!N223</f>
        <v>0</v>
      </c>
      <c r="N50" s="84">
        <f>'HPS LTO DAILY '!O223</f>
        <v>0</v>
      </c>
      <c r="O50" s="84">
        <f>'HPS LTO DAILY '!P223</f>
        <v>0</v>
      </c>
      <c r="P50" s="84">
        <f>'HPS LTO DAILY '!Q223</f>
        <v>0</v>
      </c>
      <c r="Q50" s="84">
        <f>'HPS LTO DAILY '!R223</f>
        <v>0</v>
      </c>
      <c r="R50" s="84">
        <f>'HPS LTO DAILY '!S223</f>
        <v>0</v>
      </c>
      <c r="S50" s="84">
        <f>'HPS LTO DAILY '!T223</f>
        <v>0</v>
      </c>
      <c r="T50" s="84">
        <f>'HPS LTO DAILY '!U223</f>
        <v>0</v>
      </c>
      <c r="U50" s="84">
        <f>'HPS LTO DAILY '!V223</f>
        <v>0</v>
      </c>
      <c r="V50" s="84">
        <f>'HPS LTO DAILY '!W223</f>
        <v>0</v>
      </c>
      <c r="W50" s="84">
        <f>'HPS LTO DAILY '!X223</f>
        <v>0</v>
      </c>
      <c r="X50" s="84">
        <f>'HPS LTO DAILY '!Y223</f>
        <v>0</v>
      </c>
      <c r="Y50" s="84">
        <f>'HPS LTO DAILY '!Z223</f>
        <v>0</v>
      </c>
      <c r="Z50" s="84">
        <f>'HPS LTO DAILY '!AA223</f>
        <v>0</v>
      </c>
      <c r="AA50" s="84">
        <f>'HPS LTO DAILY '!AB223</f>
        <v>0</v>
      </c>
      <c r="AB50" s="84">
        <f>'HPS LTO DAILY '!AC223</f>
        <v>0</v>
      </c>
      <c r="AC50" s="84">
        <f>'HPS LTO DAILY '!AD223</f>
        <v>0</v>
      </c>
      <c r="AD50" s="84">
        <f>'HPS LTO DAILY '!AE223</f>
        <v>0</v>
      </c>
      <c r="AE50" s="84">
        <f>'HPS LTO DAILY '!AF223</f>
        <v>0</v>
      </c>
      <c r="AF50" s="84">
        <f>'HPS LTO DAILY '!AG223</f>
        <v>0</v>
      </c>
      <c r="AG50" s="84">
        <f>'HPS LTO DAILY '!AH223</f>
        <v>0</v>
      </c>
      <c r="AH50" s="84">
        <f>'HPS LTO DAILY '!AI223</f>
        <v>0</v>
      </c>
    </row>
    <row r="51" spans="4:34" ht="19.5" customHeight="1" x14ac:dyDescent="0.35">
      <c r="D51" s="83">
        <v>5</v>
      </c>
      <c r="E51" s="2690"/>
      <c r="F51" s="2681"/>
      <c r="G51" s="84">
        <f>'HPS LTO DAILY '!H228</f>
        <v>0</v>
      </c>
      <c r="H51" s="84">
        <f>'HPS LTO DAILY '!I228</f>
        <v>108.7</v>
      </c>
      <c r="I51" s="84">
        <f>'HPS LTO DAILY '!J228</f>
        <v>0</v>
      </c>
      <c r="J51" s="84">
        <f>'HPS LTO DAILY '!K228</f>
        <v>0</v>
      </c>
      <c r="K51" s="84">
        <f>'HPS LTO DAILY '!L228</f>
        <v>0</v>
      </c>
      <c r="L51" s="84">
        <f>'HPS LTO DAILY '!M228</f>
        <v>0</v>
      </c>
      <c r="M51" s="84">
        <f>'HPS LTO DAILY '!N228</f>
        <v>0</v>
      </c>
      <c r="N51" s="84">
        <f>'HPS LTO DAILY '!O228</f>
        <v>0</v>
      </c>
      <c r="O51" s="84">
        <f>'HPS LTO DAILY '!P228</f>
        <v>0</v>
      </c>
      <c r="P51" s="84">
        <f>'HPS LTO DAILY '!Q228</f>
        <v>0</v>
      </c>
      <c r="Q51" s="84">
        <f>'HPS LTO DAILY '!R228</f>
        <v>0</v>
      </c>
      <c r="R51" s="84">
        <f>'HPS LTO DAILY '!S228</f>
        <v>0</v>
      </c>
      <c r="S51" s="84">
        <f>'HPS LTO DAILY '!T228</f>
        <v>0</v>
      </c>
      <c r="T51" s="84">
        <f>'HPS LTO DAILY '!U228</f>
        <v>0</v>
      </c>
      <c r="U51" s="84">
        <f>'HPS LTO DAILY '!V228</f>
        <v>0</v>
      </c>
      <c r="V51" s="84">
        <f>'HPS LTO DAILY '!W228</f>
        <v>0</v>
      </c>
      <c r="W51" s="84">
        <f>'HPS LTO DAILY '!X228</f>
        <v>0</v>
      </c>
      <c r="X51" s="84">
        <f>'HPS LTO DAILY '!Y228</f>
        <v>0</v>
      </c>
      <c r="Y51" s="84">
        <f>'HPS LTO DAILY '!Z228</f>
        <v>0</v>
      </c>
      <c r="Z51" s="84">
        <f>'HPS LTO DAILY '!AA228</f>
        <v>0</v>
      </c>
      <c r="AA51" s="84">
        <f>'HPS LTO DAILY '!AB228</f>
        <v>0</v>
      </c>
      <c r="AB51" s="84">
        <f>'HPS LTO DAILY '!AC228</f>
        <v>0</v>
      </c>
      <c r="AC51" s="84">
        <f>'HPS LTO DAILY '!AD228</f>
        <v>0</v>
      </c>
      <c r="AD51" s="84">
        <f>'HPS LTO DAILY '!AE228</f>
        <v>0</v>
      </c>
      <c r="AE51" s="84">
        <f>'HPS LTO DAILY '!AF228</f>
        <v>0</v>
      </c>
      <c r="AF51" s="84">
        <f>'HPS LTO DAILY '!AG228</f>
        <v>0</v>
      </c>
      <c r="AG51" s="84">
        <f>'HPS LTO DAILY '!AH228</f>
        <v>0</v>
      </c>
      <c r="AH51" s="84">
        <f>'HPS LTO DAILY '!AI228</f>
        <v>0</v>
      </c>
    </row>
    <row r="52" spans="4:34" ht="19.5" customHeight="1" x14ac:dyDescent="0.35">
      <c r="D52" s="83">
        <v>10</v>
      </c>
      <c r="E52" s="2690"/>
      <c r="F52" s="2681"/>
      <c r="G52" s="84">
        <f>'HPS LTO DAILY '!H233</f>
        <v>0</v>
      </c>
      <c r="H52" s="84">
        <f>'HPS LTO DAILY '!I233</f>
        <v>112.8</v>
      </c>
      <c r="I52" s="84">
        <f>'HPS LTO DAILY '!J233</f>
        <v>0</v>
      </c>
      <c r="J52" s="84">
        <f>'HPS LTO DAILY '!K233</f>
        <v>0</v>
      </c>
      <c r="K52" s="84">
        <f>'HPS LTO DAILY '!L233</f>
        <v>0</v>
      </c>
      <c r="L52" s="84">
        <f>'HPS LTO DAILY '!M233</f>
        <v>0</v>
      </c>
      <c r="M52" s="84">
        <f>'HPS LTO DAILY '!N233</f>
        <v>0</v>
      </c>
      <c r="N52" s="84">
        <f>'HPS LTO DAILY '!O233</f>
        <v>0</v>
      </c>
      <c r="O52" s="84">
        <f>'HPS LTO DAILY '!P233</f>
        <v>0</v>
      </c>
      <c r="P52" s="84">
        <f>'HPS LTO DAILY '!Q233</f>
        <v>0</v>
      </c>
      <c r="Q52" s="84">
        <f>'HPS LTO DAILY '!R233</f>
        <v>0</v>
      </c>
      <c r="R52" s="84">
        <f>'HPS LTO DAILY '!S233</f>
        <v>0</v>
      </c>
      <c r="S52" s="84">
        <f>'HPS LTO DAILY '!T233</f>
        <v>0</v>
      </c>
      <c r="T52" s="84">
        <f>'HPS LTO DAILY '!U233</f>
        <v>0</v>
      </c>
      <c r="U52" s="84">
        <f>'HPS LTO DAILY '!V233</f>
        <v>0</v>
      </c>
      <c r="V52" s="84">
        <f>'HPS LTO DAILY '!W233</f>
        <v>0</v>
      </c>
      <c r="W52" s="84">
        <f>'HPS LTO DAILY '!X233</f>
        <v>0</v>
      </c>
      <c r="X52" s="84">
        <f>'HPS LTO DAILY '!Y233</f>
        <v>0</v>
      </c>
      <c r="Y52" s="84">
        <f>'HPS LTO DAILY '!Z233</f>
        <v>0</v>
      </c>
      <c r="Z52" s="84">
        <f>'HPS LTO DAILY '!AA233</f>
        <v>0</v>
      </c>
      <c r="AA52" s="84">
        <f>'HPS LTO DAILY '!AB233</f>
        <v>0</v>
      </c>
      <c r="AB52" s="84">
        <f>'HPS LTO DAILY '!AC233</f>
        <v>0</v>
      </c>
      <c r="AC52" s="84">
        <f>'HPS LTO DAILY '!AD233</f>
        <v>0</v>
      </c>
      <c r="AD52" s="84">
        <f>'HPS LTO DAILY '!AE233</f>
        <v>0</v>
      </c>
      <c r="AE52" s="84">
        <f>'HPS LTO DAILY '!AF233</f>
        <v>0</v>
      </c>
      <c r="AF52" s="84">
        <f>'HPS LTO DAILY '!AG233</f>
        <v>0</v>
      </c>
      <c r="AG52" s="84">
        <f>'HPS LTO DAILY '!AH233</f>
        <v>0</v>
      </c>
      <c r="AH52" s="84">
        <f>'HPS LTO DAILY '!AI233</f>
        <v>0</v>
      </c>
    </row>
    <row r="53" spans="4:34" ht="19.5" customHeight="1" x14ac:dyDescent="0.35">
      <c r="D53" s="83">
        <v>15</v>
      </c>
      <c r="E53" s="2690"/>
      <c r="F53" s="2681"/>
      <c r="G53" s="84">
        <f>'HPS LTO DAILY '!H238</f>
        <v>0</v>
      </c>
      <c r="H53" s="84">
        <f>'HPS LTO DAILY '!I238</f>
        <v>289.3</v>
      </c>
      <c r="I53" s="84">
        <f>'HPS LTO DAILY '!J238</f>
        <v>0</v>
      </c>
      <c r="J53" s="84">
        <f>'HPS LTO DAILY '!K238</f>
        <v>0</v>
      </c>
      <c r="K53" s="84">
        <f>'HPS LTO DAILY '!L238</f>
        <v>0</v>
      </c>
      <c r="L53" s="84">
        <f>'HPS LTO DAILY '!M238</f>
        <v>0</v>
      </c>
      <c r="M53" s="84">
        <f>'HPS LTO DAILY '!N238</f>
        <v>0</v>
      </c>
      <c r="N53" s="84">
        <f>'HPS LTO DAILY '!O238</f>
        <v>0</v>
      </c>
      <c r="O53" s="84">
        <f>'HPS LTO DAILY '!P238</f>
        <v>0</v>
      </c>
      <c r="P53" s="84">
        <f>'HPS LTO DAILY '!Q238</f>
        <v>0</v>
      </c>
      <c r="Q53" s="84">
        <f>'HPS LTO DAILY '!R238</f>
        <v>0</v>
      </c>
      <c r="R53" s="84">
        <f>'HPS LTO DAILY '!S238</f>
        <v>0</v>
      </c>
      <c r="S53" s="84">
        <f>'HPS LTO DAILY '!T238</f>
        <v>0</v>
      </c>
      <c r="T53" s="84">
        <f>'HPS LTO DAILY '!U238</f>
        <v>0</v>
      </c>
      <c r="U53" s="84">
        <f>'HPS LTO DAILY '!V238</f>
        <v>0</v>
      </c>
      <c r="V53" s="84">
        <f>'HPS LTO DAILY '!W238</f>
        <v>0</v>
      </c>
      <c r="W53" s="84">
        <f>'HPS LTO DAILY '!X238</f>
        <v>0</v>
      </c>
      <c r="X53" s="84">
        <f>'HPS LTO DAILY '!Y238</f>
        <v>0</v>
      </c>
      <c r="Y53" s="84">
        <f>'HPS LTO DAILY '!Z238</f>
        <v>0</v>
      </c>
      <c r="Z53" s="84">
        <f>'HPS LTO DAILY '!AA238</f>
        <v>0</v>
      </c>
      <c r="AA53" s="84">
        <f>'HPS LTO DAILY '!AB238</f>
        <v>0</v>
      </c>
      <c r="AB53" s="84">
        <f>'HPS LTO DAILY '!AC238</f>
        <v>0</v>
      </c>
      <c r="AC53" s="84">
        <f>'HPS LTO DAILY '!AD238</f>
        <v>0</v>
      </c>
      <c r="AD53" s="84">
        <f>'HPS LTO DAILY '!AE238</f>
        <v>0</v>
      </c>
      <c r="AE53" s="84">
        <f>'HPS LTO DAILY '!AF238</f>
        <v>0</v>
      </c>
      <c r="AF53" s="84">
        <f>'HPS LTO DAILY '!AG238</f>
        <v>0</v>
      </c>
      <c r="AG53" s="84">
        <f>'HPS LTO DAILY '!AH238</f>
        <v>0</v>
      </c>
      <c r="AH53" s="84">
        <f>'HPS LTO DAILY '!AI238</f>
        <v>0</v>
      </c>
    </row>
    <row r="54" spans="4:34" ht="19.5" customHeight="1" x14ac:dyDescent="0.35">
      <c r="D54" s="83">
        <v>20</v>
      </c>
      <c r="E54" s="2690"/>
      <c r="F54" s="2681"/>
      <c r="G54" s="84">
        <f>'HPS LTO DAILY '!H243</f>
        <v>0</v>
      </c>
      <c r="H54" s="84">
        <f>'HPS LTO DAILY '!I243</f>
        <v>408.4</v>
      </c>
      <c r="I54" s="84">
        <f>'HPS LTO DAILY '!J243</f>
        <v>0</v>
      </c>
      <c r="J54" s="84">
        <f>'HPS LTO DAILY '!K243</f>
        <v>0</v>
      </c>
      <c r="K54" s="84">
        <f>'HPS LTO DAILY '!L243</f>
        <v>0</v>
      </c>
      <c r="L54" s="84">
        <f>'HPS LTO DAILY '!M243</f>
        <v>0</v>
      </c>
      <c r="M54" s="84">
        <f>'HPS LTO DAILY '!N243</f>
        <v>0</v>
      </c>
      <c r="N54" s="84">
        <f>'HPS LTO DAILY '!O243</f>
        <v>0</v>
      </c>
      <c r="O54" s="84">
        <f>'HPS LTO DAILY '!P243</f>
        <v>0</v>
      </c>
      <c r="P54" s="84">
        <f>'HPS LTO DAILY '!Q243</f>
        <v>0</v>
      </c>
      <c r="Q54" s="84">
        <f>'HPS LTO DAILY '!R243</f>
        <v>0</v>
      </c>
      <c r="R54" s="84">
        <f>'HPS LTO DAILY '!S243</f>
        <v>0</v>
      </c>
      <c r="S54" s="84">
        <f>'HPS LTO DAILY '!T243</f>
        <v>0</v>
      </c>
      <c r="T54" s="84">
        <f>'HPS LTO DAILY '!U243</f>
        <v>0</v>
      </c>
      <c r="U54" s="84">
        <f>'HPS LTO DAILY '!V243</f>
        <v>0</v>
      </c>
      <c r="V54" s="84">
        <f>'HPS LTO DAILY '!W243</f>
        <v>0</v>
      </c>
      <c r="W54" s="84">
        <f>'HPS LTO DAILY '!X243</f>
        <v>0</v>
      </c>
      <c r="X54" s="84">
        <f>'HPS LTO DAILY '!Y243</f>
        <v>0</v>
      </c>
      <c r="Y54" s="84">
        <f>'HPS LTO DAILY '!Z243</f>
        <v>0</v>
      </c>
      <c r="Z54" s="84">
        <f>'HPS LTO DAILY '!AA243</f>
        <v>0</v>
      </c>
      <c r="AA54" s="84">
        <f>'HPS LTO DAILY '!AB243</f>
        <v>0</v>
      </c>
      <c r="AB54" s="84">
        <f>'HPS LTO DAILY '!AC243</f>
        <v>0</v>
      </c>
      <c r="AC54" s="84">
        <f>'HPS LTO DAILY '!AD243</f>
        <v>0</v>
      </c>
      <c r="AD54" s="84">
        <f>'HPS LTO DAILY '!AE243</f>
        <v>0</v>
      </c>
      <c r="AE54" s="84">
        <f>'HPS LTO DAILY '!AF243</f>
        <v>0</v>
      </c>
      <c r="AF54" s="84">
        <f>'HPS LTO DAILY '!AG243</f>
        <v>0</v>
      </c>
      <c r="AG54" s="84">
        <f>'HPS LTO DAILY '!AH243</f>
        <v>0</v>
      </c>
      <c r="AH54" s="84">
        <f>'HPS LTO DAILY '!AI243</f>
        <v>0</v>
      </c>
    </row>
    <row r="55" spans="4:34" ht="19.5" customHeight="1" x14ac:dyDescent="0.35">
      <c r="D55" s="83">
        <v>30</v>
      </c>
      <c r="E55" s="2690"/>
      <c r="F55" s="2681"/>
      <c r="G55" s="84">
        <f>'HPS LTO DAILY '!H253</f>
        <v>0</v>
      </c>
      <c r="H55" s="84">
        <f>'HPS LTO DAILY '!I253</f>
        <v>519.9</v>
      </c>
      <c r="I55" s="84">
        <f>'HPS LTO DAILY '!J253</f>
        <v>0</v>
      </c>
      <c r="J55" s="84">
        <f>'HPS LTO DAILY '!K253</f>
        <v>0</v>
      </c>
      <c r="K55" s="84">
        <f>'HPS LTO DAILY '!L253</f>
        <v>0</v>
      </c>
      <c r="L55" s="84">
        <f>'HPS LTO DAILY '!M253</f>
        <v>0</v>
      </c>
      <c r="M55" s="84">
        <f>'HPS LTO DAILY '!N253</f>
        <v>0</v>
      </c>
      <c r="N55" s="84">
        <f>'HPS LTO DAILY '!O253</f>
        <v>0</v>
      </c>
      <c r="O55" s="84">
        <f>'HPS LTO DAILY '!P253</f>
        <v>0</v>
      </c>
      <c r="P55" s="84">
        <f>'HPS LTO DAILY '!Q253</f>
        <v>0</v>
      </c>
      <c r="Q55" s="84">
        <f>'HPS LTO DAILY '!R253</f>
        <v>0</v>
      </c>
      <c r="R55" s="84">
        <f>'HPS LTO DAILY '!S253</f>
        <v>0</v>
      </c>
      <c r="S55" s="84">
        <f>'HPS LTO DAILY '!T253</f>
        <v>0</v>
      </c>
      <c r="T55" s="84">
        <f>'HPS LTO DAILY '!U253</f>
        <v>0</v>
      </c>
      <c r="U55" s="84">
        <f>'HPS LTO DAILY '!V253</f>
        <v>0</v>
      </c>
      <c r="V55" s="84">
        <f>'HPS LTO DAILY '!W253</f>
        <v>0</v>
      </c>
      <c r="W55" s="84">
        <f>'HPS LTO DAILY '!X253</f>
        <v>0</v>
      </c>
      <c r="X55" s="84">
        <f>'HPS LTO DAILY '!Y253</f>
        <v>0</v>
      </c>
      <c r="Y55" s="84">
        <f>'HPS LTO DAILY '!Z253</f>
        <v>0</v>
      </c>
      <c r="Z55" s="84">
        <f>'HPS LTO DAILY '!AA253</f>
        <v>0</v>
      </c>
      <c r="AA55" s="84">
        <f>'HPS LTO DAILY '!AB253</f>
        <v>0</v>
      </c>
      <c r="AB55" s="84">
        <f>'HPS LTO DAILY '!AC253</f>
        <v>0</v>
      </c>
      <c r="AC55" s="84">
        <f>'HPS LTO DAILY '!AD253</f>
        <v>0</v>
      </c>
      <c r="AD55" s="84">
        <f>'HPS LTO DAILY '!AE253</f>
        <v>0</v>
      </c>
      <c r="AE55" s="84">
        <f>'HPS LTO DAILY '!AF253</f>
        <v>0</v>
      </c>
      <c r="AF55" s="84">
        <f>'HPS LTO DAILY '!AG253</f>
        <v>0</v>
      </c>
      <c r="AG55" s="84">
        <f>'HPS LTO DAILY '!AH253</f>
        <v>0</v>
      </c>
      <c r="AH55" s="84">
        <f>'HPS LTO DAILY '!AI253</f>
        <v>0</v>
      </c>
    </row>
    <row r="56" spans="4:34" ht="19.5" customHeight="1" x14ac:dyDescent="0.35">
      <c r="D56" s="83">
        <v>40</v>
      </c>
      <c r="E56" s="2690"/>
      <c r="F56" s="2681"/>
      <c r="G56" s="84">
        <f>'HPS LTO DAILY '!H263</f>
        <v>0</v>
      </c>
      <c r="H56" s="84">
        <f>'HPS LTO DAILY '!I263</f>
        <v>570.1</v>
      </c>
      <c r="I56" s="84">
        <f>'HPS LTO DAILY '!J263</f>
        <v>0</v>
      </c>
      <c r="J56" s="84">
        <f>'HPS LTO DAILY '!K263</f>
        <v>0</v>
      </c>
      <c r="K56" s="84">
        <f>'HPS LTO DAILY '!L263</f>
        <v>0</v>
      </c>
      <c r="L56" s="84">
        <f>'HPS LTO DAILY '!M263</f>
        <v>0</v>
      </c>
      <c r="M56" s="84">
        <f>'HPS LTO DAILY '!N263</f>
        <v>0</v>
      </c>
      <c r="N56" s="84">
        <f>'HPS LTO DAILY '!O263</f>
        <v>0</v>
      </c>
      <c r="O56" s="84">
        <f>'HPS LTO DAILY '!P263</f>
        <v>0</v>
      </c>
      <c r="P56" s="84">
        <f>'HPS LTO DAILY '!Q263</f>
        <v>0</v>
      </c>
      <c r="Q56" s="84">
        <f>'HPS LTO DAILY '!R263</f>
        <v>0</v>
      </c>
      <c r="R56" s="84">
        <f>'HPS LTO DAILY '!S263</f>
        <v>0</v>
      </c>
      <c r="S56" s="84">
        <f>'HPS LTO DAILY '!T263</f>
        <v>0</v>
      </c>
      <c r="T56" s="84">
        <f>'HPS LTO DAILY '!U263</f>
        <v>0</v>
      </c>
      <c r="U56" s="84">
        <f>'HPS LTO DAILY '!V263</f>
        <v>0</v>
      </c>
      <c r="V56" s="84">
        <f>'HPS LTO DAILY '!W263</f>
        <v>0</v>
      </c>
      <c r="W56" s="84">
        <f>'HPS LTO DAILY '!X263</f>
        <v>0</v>
      </c>
      <c r="X56" s="84">
        <f>'HPS LTO DAILY '!Y263</f>
        <v>0</v>
      </c>
      <c r="Y56" s="84">
        <f>'HPS LTO DAILY '!Z263</f>
        <v>0</v>
      </c>
      <c r="Z56" s="84">
        <f>'HPS LTO DAILY '!AA263</f>
        <v>0</v>
      </c>
      <c r="AA56" s="84">
        <f>'HPS LTO DAILY '!AB263</f>
        <v>0</v>
      </c>
      <c r="AB56" s="84">
        <f>'HPS LTO DAILY '!AC263</f>
        <v>0</v>
      </c>
      <c r="AC56" s="84">
        <f>'HPS LTO DAILY '!AD263</f>
        <v>0</v>
      </c>
      <c r="AD56" s="84">
        <f>'HPS LTO DAILY '!AE263</f>
        <v>0</v>
      </c>
      <c r="AE56" s="84">
        <f>'HPS LTO DAILY '!AF263</f>
        <v>0</v>
      </c>
      <c r="AF56" s="84">
        <f>'HPS LTO DAILY '!AG263</f>
        <v>0</v>
      </c>
      <c r="AG56" s="84">
        <f>'HPS LTO DAILY '!AH263</f>
        <v>0</v>
      </c>
      <c r="AH56" s="84">
        <f>'HPS LTO DAILY '!AI263</f>
        <v>0</v>
      </c>
    </row>
    <row r="57" spans="4:34" ht="19.5" customHeight="1" x14ac:dyDescent="0.35">
      <c r="D57" s="83">
        <v>50</v>
      </c>
      <c r="E57" s="2690"/>
      <c r="F57" s="2681"/>
      <c r="G57" s="84">
        <f>'HPS LTO DAILY '!H273</f>
        <v>0</v>
      </c>
      <c r="H57" s="84">
        <f>'HPS LTO DAILY '!I273</f>
        <v>605.6</v>
      </c>
      <c r="I57" s="84">
        <f>'HPS LTO DAILY '!J273</f>
        <v>0</v>
      </c>
      <c r="J57" s="84">
        <f>'HPS LTO DAILY '!K273</f>
        <v>0</v>
      </c>
      <c r="K57" s="84">
        <f>'HPS LTO DAILY '!L273</f>
        <v>0</v>
      </c>
      <c r="L57" s="84">
        <f>'HPS LTO DAILY '!M273</f>
        <v>0</v>
      </c>
      <c r="M57" s="84">
        <f>'HPS LTO DAILY '!N273</f>
        <v>0</v>
      </c>
      <c r="N57" s="84">
        <f>'HPS LTO DAILY '!O273</f>
        <v>0</v>
      </c>
      <c r="O57" s="84">
        <f>'HPS LTO DAILY '!P273</f>
        <v>0</v>
      </c>
      <c r="P57" s="84">
        <f>'HPS LTO DAILY '!Q273</f>
        <v>0</v>
      </c>
      <c r="Q57" s="84">
        <f>'HPS LTO DAILY '!R273</f>
        <v>0</v>
      </c>
      <c r="R57" s="84">
        <f>'HPS LTO DAILY '!S273</f>
        <v>0</v>
      </c>
      <c r="S57" s="84">
        <f>'HPS LTO DAILY '!T273</f>
        <v>0</v>
      </c>
      <c r="T57" s="84">
        <f>'HPS LTO DAILY '!U273</f>
        <v>0</v>
      </c>
      <c r="U57" s="84">
        <f>'HPS LTO DAILY '!V273</f>
        <v>0</v>
      </c>
      <c r="V57" s="84">
        <f>'HPS LTO DAILY '!W273</f>
        <v>0</v>
      </c>
      <c r="W57" s="84">
        <f>'HPS LTO DAILY '!X273</f>
        <v>0</v>
      </c>
      <c r="X57" s="84">
        <f>'HPS LTO DAILY '!Y273</f>
        <v>0</v>
      </c>
      <c r="Y57" s="84">
        <f>'HPS LTO DAILY '!Z273</f>
        <v>0</v>
      </c>
      <c r="Z57" s="84">
        <f>'HPS LTO DAILY '!AA273</f>
        <v>0</v>
      </c>
      <c r="AA57" s="84">
        <f>'HPS LTO DAILY '!AB273</f>
        <v>0</v>
      </c>
      <c r="AB57" s="84">
        <f>'HPS LTO DAILY '!AC273</f>
        <v>0</v>
      </c>
      <c r="AC57" s="84">
        <f>'HPS LTO DAILY '!AD273</f>
        <v>0</v>
      </c>
      <c r="AD57" s="84">
        <f>'HPS LTO DAILY '!AE273</f>
        <v>0</v>
      </c>
      <c r="AE57" s="84">
        <f>'HPS LTO DAILY '!AF273</f>
        <v>0</v>
      </c>
      <c r="AF57" s="84">
        <f>'HPS LTO DAILY '!AG273</f>
        <v>0</v>
      </c>
      <c r="AG57" s="84">
        <f>'HPS LTO DAILY '!AH273</f>
        <v>0</v>
      </c>
      <c r="AH57" s="84">
        <f>'HPS LTO DAILY '!AI273</f>
        <v>0</v>
      </c>
    </row>
    <row r="58" spans="4:34" ht="19.5" customHeight="1" x14ac:dyDescent="0.35">
      <c r="D58" s="83">
        <v>60</v>
      </c>
      <c r="E58" s="2690"/>
      <c r="F58" s="2681"/>
      <c r="G58" s="84">
        <f>'HPS LTO DAILY '!H283</f>
        <v>0</v>
      </c>
      <c r="H58" s="84">
        <f>'HPS LTO DAILY '!I283</f>
        <v>644.79999999999995</v>
      </c>
      <c r="I58" s="84">
        <f>'HPS LTO DAILY '!J283</f>
        <v>0</v>
      </c>
      <c r="J58" s="84">
        <f>'HPS LTO DAILY '!K283</f>
        <v>0</v>
      </c>
      <c r="K58" s="84">
        <f>'HPS LTO DAILY '!L283</f>
        <v>0</v>
      </c>
      <c r="L58" s="84">
        <f>'HPS LTO DAILY '!M283</f>
        <v>0</v>
      </c>
      <c r="M58" s="84">
        <f>'HPS LTO DAILY '!N283</f>
        <v>0</v>
      </c>
      <c r="N58" s="84">
        <f>'HPS LTO DAILY '!O283</f>
        <v>0</v>
      </c>
      <c r="O58" s="84">
        <f>'HPS LTO DAILY '!P283</f>
        <v>0</v>
      </c>
      <c r="P58" s="84">
        <f>'HPS LTO DAILY '!Q283</f>
        <v>0</v>
      </c>
      <c r="Q58" s="84">
        <f>'HPS LTO DAILY '!R283</f>
        <v>0</v>
      </c>
      <c r="R58" s="84">
        <f>'HPS LTO DAILY '!S283</f>
        <v>0</v>
      </c>
      <c r="S58" s="84">
        <f>'HPS LTO DAILY '!T283</f>
        <v>0</v>
      </c>
      <c r="T58" s="84">
        <f>'HPS LTO DAILY '!U283</f>
        <v>0</v>
      </c>
      <c r="U58" s="84">
        <f>'HPS LTO DAILY '!V283</f>
        <v>0</v>
      </c>
      <c r="V58" s="84">
        <f>'HPS LTO DAILY '!W283</f>
        <v>0</v>
      </c>
      <c r="W58" s="84">
        <f>'HPS LTO DAILY '!X283</f>
        <v>0</v>
      </c>
      <c r="X58" s="84">
        <f>'HPS LTO DAILY '!Y283</f>
        <v>0</v>
      </c>
      <c r="Y58" s="84">
        <f>'HPS LTO DAILY '!Z283</f>
        <v>0</v>
      </c>
      <c r="Z58" s="84">
        <f>'HPS LTO DAILY '!AA283</f>
        <v>0</v>
      </c>
      <c r="AA58" s="84">
        <f>'HPS LTO DAILY '!AB283</f>
        <v>0</v>
      </c>
      <c r="AB58" s="84">
        <f>'HPS LTO DAILY '!AC283</f>
        <v>0</v>
      </c>
      <c r="AC58" s="84">
        <f>'HPS LTO DAILY '!AD283</f>
        <v>0</v>
      </c>
      <c r="AD58" s="84">
        <f>'HPS LTO DAILY '!AE283</f>
        <v>0</v>
      </c>
      <c r="AE58" s="84">
        <f>'HPS LTO DAILY '!AF283</f>
        <v>0</v>
      </c>
      <c r="AF58" s="84">
        <f>'HPS LTO DAILY '!AG283</f>
        <v>0</v>
      </c>
      <c r="AG58" s="84">
        <f>'HPS LTO DAILY '!AH283</f>
        <v>0</v>
      </c>
      <c r="AH58" s="84">
        <f>'HPS LTO DAILY '!AI283</f>
        <v>0</v>
      </c>
    </row>
    <row r="59" spans="4:34" ht="19.5" customHeight="1" x14ac:dyDescent="0.35">
      <c r="D59" s="83">
        <v>70</v>
      </c>
      <c r="E59" s="2690"/>
      <c r="F59" s="2681"/>
      <c r="G59" s="60">
        <f>'HPS LTO DAILY '!H293</f>
        <v>0</v>
      </c>
      <c r="H59" s="60">
        <f>'HPS LTO DAILY '!I293</f>
        <v>700.5</v>
      </c>
      <c r="I59" s="60">
        <f>'HPS LTO DAILY '!J293</f>
        <v>0</v>
      </c>
      <c r="J59" s="60">
        <f>'HPS LTO DAILY '!K293</f>
        <v>0</v>
      </c>
      <c r="K59" s="60">
        <f>'HPS LTO DAILY '!L293</f>
        <v>0</v>
      </c>
      <c r="L59" s="60">
        <f>'HPS LTO DAILY '!M293</f>
        <v>0</v>
      </c>
      <c r="M59" s="60">
        <f>'HPS LTO DAILY '!N293</f>
        <v>0</v>
      </c>
      <c r="N59" s="60">
        <f>'HPS LTO DAILY '!O293</f>
        <v>0</v>
      </c>
      <c r="O59" s="60">
        <f>'HPS LTO DAILY '!P293</f>
        <v>0</v>
      </c>
      <c r="P59" s="60">
        <f>'HPS LTO DAILY '!Q293</f>
        <v>0</v>
      </c>
      <c r="Q59" s="60">
        <f>'HPS LTO DAILY '!R293</f>
        <v>0</v>
      </c>
      <c r="R59" s="60">
        <f>'HPS LTO DAILY '!S293</f>
        <v>0</v>
      </c>
      <c r="S59" s="60">
        <f>'HPS LTO DAILY '!T293</f>
        <v>0</v>
      </c>
      <c r="T59" s="60">
        <f>'HPS LTO DAILY '!U293</f>
        <v>0</v>
      </c>
      <c r="U59" s="60">
        <f>'HPS LTO DAILY '!V293</f>
        <v>0</v>
      </c>
      <c r="V59" s="60">
        <f>'HPS LTO DAILY '!W293</f>
        <v>0</v>
      </c>
      <c r="W59" s="60">
        <f>'HPS LTO DAILY '!X293</f>
        <v>0</v>
      </c>
      <c r="X59" s="60">
        <f>'HPS LTO DAILY '!Y293</f>
        <v>0</v>
      </c>
      <c r="Y59" s="60">
        <f>'HPS LTO DAILY '!Z293</f>
        <v>0</v>
      </c>
      <c r="Z59" s="60">
        <f>'HPS LTO DAILY '!AA293</f>
        <v>0</v>
      </c>
      <c r="AA59" s="60">
        <f>'HPS LTO DAILY '!AB293</f>
        <v>0</v>
      </c>
      <c r="AB59" s="60">
        <f>'HPS LTO DAILY '!AC293</f>
        <v>0</v>
      </c>
      <c r="AC59" s="60">
        <f>'HPS LTO DAILY '!AD293</f>
        <v>0</v>
      </c>
      <c r="AD59" s="60">
        <f>'HPS LTO DAILY '!AE293</f>
        <v>0</v>
      </c>
      <c r="AE59" s="60">
        <f>'HPS LTO DAILY '!AF293</f>
        <v>0</v>
      </c>
      <c r="AF59" s="60">
        <f>'HPS LTO DAILY '!AG293</f>
        <v>0</v>
      </c>
      <c r="AG59" s="60">
        <f>'HPS LTO DAILY '!AH293</f>
        <v>0</v>
      </c>
      <c r="AH59" s="60">
        <f>'HPS LTO DAILY '!AI293</f>
        <v>0</v>
      </c>
    </row>
    <row r="60" spans="4:34" ht="19.5" customHeight="1" x14ac:dyDescent="0.35">
      <c r="D60" s="83">
        <v>80</v>
      </c>
      <c r="E60" s="2690"/>
      <c r="F60" s="2681"/>
      <c r="G60" s="60">
        <f>'HPS LTO DAILY '!H303</f>
        <v>0</v>
      </c>
      <c r="H60" s="60" t="str">
        <f>'HPS LTO DAILY '!I303</f>
        <v>-</v>
      </c>
      <c r="I60" s="60">
        <f>'HPS LTO DAILY '!J303</f>
        <v>0</v>
      </c>
      <c r="J60" s="60">
        <f>'HPS LTO DAILY '!K303</f>
        <v>0</v>
      </c>
      <c r="K60" s="60">
        <f>'HPS LTO DAILY '!L303</f>
        <v>0</v>
      </c>
      <c r="L60" s="60">
        <f>'HPS LTO DAILY '!M303</f>
        <v>0</v>
      </c>
      <c r="M60" s="60">
        <f>'HPS LTO DAILY '!N303</f>
        <v>0</v>
      </c>
      <c r="N60" s="60">
        <f>'HPS LTO DAILY '!O303</f>
        <v>0</v>
      </c>
      <c r="O60" s="60">
        <f>'HPS LTO DAILY '!P303</f>
        <v>0</v>
      </c>
      <c r="P60" s="60">
        <f>'HPS LTO DAILY '!Q303</f>
        <v>0</v>
      </c>
      <c r="Q60" s="60">
        <f>'HPS LTO DAILY '!R303</f>
        <v>0</v>
      </c>
      <c r="R60" s="60">
        <f>'HPS LTO DAILY '!S303</f>
        <v>0</v>
      </c>
      <c r="S60" s="60">
        <f>'HPS LTO DAILY '!T303</f>
        <v>0</v>
      </c>
      <c r="T60" s="60">
        <f>'HPS LTO DAILY '!U303</f>
        <v>0</v>
      </c>
      <c r="U60" s="60">
        <f>'HPS LTO DAILY '!V303</f>
        <v>0</v>
      </c>
      <c r="V60" s="60">
        <f>'HPS LTO DAILY '!W303</f>
        <v>0</v>
      </c>
      <c r="W60" s="60">
        <f>'HPS LTO DAILY '!X303</f>
        <v>0</v>
      </c>
      <c r="X60" s="60">
        <f>'HPS LTO DAILY '!Y303</f>
        <v>0</v>
      </c>
      <c r="Y60" s="60">
        <f>'HPS LTO DAILY '!Z303</f>
        <v>0</v>
      </c>
      <c r="Z60" s="60">
        <f>'HPS LTO DAILY '!AA303</f>
        <v>0</v>
      </c>
      <c r="AA60" s="60">
        <f>'HPS LTO DAILY '!AB303</f>
        <v>0</v>
      </c>
      <c r="AB60" s="60">
        <f>'HPS LTO DAILY '!AC303</f>
        <v>0</v>
      </c>
      <c r="AC60" s="60">
        <f>'HPS LTO DAILY '!AD303</f>
        <v>0</v>
      </c>
      <c r="AD60" s="60">
        <f>'HPS LTO DAILY '!AE303</f>
        <v>0</v>
      </c>
      <c r="AE60" s="60">
        <f>'HPS LTO DAILY '!AF303</f>
        <v>0</v>
      </c>
      <c r="AF60" s="60">
        <f>'HPS LTO DAILY '!AG303</f>
        <v>0</v>
      </c>
      <c r="AG60" s="60">
        <f>'HPS LTO DAILY '!AH303</f>
        <v>0</v>
      </c>
      <c r="AH60" s="60">
        <f>'HPS LTO DAILY '!AI303</f>
        <v>0</v>
      </c>
    </row>
    <row r="61" spans="4:34" ht="19.5" customHeight="1" x14ac:dyDescent="0.35">
      <c r="D61" s="83">
        <v>90</v>
      </c>
      <c r="E61" s="2690"/>
      <c r="F61" s="2681"/>
      <c r="G61" s="60">
        <f>'HPS LTO DAILY '!H313</f>
        <v>0</v>
      </c>
      <c r="H61" s="60" t="str">
        <f>'HPS LTO DAILY '!I313</f>
        <v>-</v>
      </c>
      <c r="I61" s="60">
        <f>'HPS LTO DAILY '!J313</f>
        <v>0</v>
      </c>
      <c r="J61" s="60">
        <f>'HPS LTO DAILY '!K313</f>
        <v>0</v>
      </c>
      <c r="K61" s="60">
        <f>'HPS LTO DAILY '!L313</f>
        <v>0</v>
      </c>
      <c r="L61" s="60">
        <f>'HPS LTO DAILY '!M313</f>
        <v>0</v>
      </c>
      <c r="M61" s="60">
        <f>'HPS LTO DAILY '!N313</f>
        <v>0</v>
      </c>
      <c r="N61" s="60">
        <f>'HPS LTO DAILY '!O313</f>
        <v>0</v>
      </c>
      <c r="O61" s="60">
        <f>'HPS LTO DAILY '!P313</f>
        <v>0</v>
      </c>
      <c r="P61" s="60">
        <f>'HPS LTO DAILY '!Q313</f>
        <v>0</v>
      </c>
      <c r="Q61" s="60">
        <f>'HPS LTO DAILY '!R313</f>
        <v>0</v>
      </c>
      <c r="R61" s="60">
        <f>'HPS LTO DAILY '!S313</f>
        <v>0</v>
      </c>
      <c r="S61" s="60">
        <f>'HPS LTO DAILY '!T313</f>
        <v>0</v>
      </c>
      <c r="T61" s="60">
        <f>'HPS LTO DAILY '!U313</f>
        <v>0</v>
      </c>
      <c r="U61" s="60">
        <f>'HPS LTO DAILY '!V313</f>
        <v>0</v>
      </c>
      <c r="V61" s="60">
        <f>'HPS LTO DAILY '!W313</f>
        <v>0</v>
      </c>
      <c r="W61" s="60">
        <f>'HPS LTO DAILY '!X313</f>
        <v>0</v>
      </c>
      <c r="X61" s="60">
        <f>'HPS LTO DAILY '!Y313</f>
        <v>0</v>
      </c>
      <c r="Y61" s="60">
        <f>'HPS LTO DAILY '!Z313</f>
        <v>0</v>
      </c>
      <c r="Z61" s="60">
        <f>'HPS LTO DAILY '!AA313</f>
        <v>0</v>
      </c>
      <c r="AA61" s="60">
        <f>'HPS LTO DAILY '!AB313</f>
        <v>0</v>
      </c>
      <c r="AB61" s="60">
        <f>'HPS LTO DAILY '!AC313</f>
        <v>0</v>
      </c>
      <c r="AC61" s="60">
        <f>'HPS LTO DAILY '!AD313</f>
        <v>0</v>
      </c>
      <c r="AD61" s="60">
        <f>'HPS LTO DAILY '!AE313</f>
        <v>0</v>
      </c>
      <c r="AE61" s="60">
        <f>'HPS LTO DAILY '!AF313</f>
        <v>0</v>
      </c>
      <c r="AF61" s="60">
        <f>'HPS LTO DAILY '!AG313</f>
        <v>0</v>
      </c>
      <c r="AG61" s="60">
        <f>'HPS LTO DAILY '!AH313</f>
        <v>0</v>
      </c>
      <c r="AH61" s="60">
        <f>'HPS LTO DAILY '!AI313</f>
        <v>0</v>
      </c>
    </row>
    <row r="62" spans="4:34" ht="19.5" customHeight="1" x14ac:dyDescent="0.35">
      <c r="D62" s="83">
        <v>95</v>
      </c>
      <c r="E62" s="2690"/>
      <c r="F62" s="2681"/>
      <c r="G62" s="60">
        <f>'HPS LTO DAILY '!H318</f>
        <v>0</v>
      </c>
      <c r="H62" s="60" t="str">
        <f>'HPS LTO DAILY '!I318</f>
        <v>-</v>
      </c>
      <c r="I62" s="60">
        <f>'HPS LTO DAILY '!J318</f>
        <v>0</v>
      </c>
      <c r="J62" s="60">
        <f>'HPS LTO DAILY '!K318</f>
        <v>0</v>
      </c>
      <c r="K62" s="60">
        <f>'HPS LTO DAILY '!L318</f>
        <v>0</v>
      </c>
      <c r="L62" s="60">
        <f>'HPS LTO DAILY '!M318</f>
        <v>0</v>
      </c>
      <c r="M62" s="60">
        <f>'HPS LTO DAILY '!N318</f>
        <v>0</v>
      </c>
      <c r="N62" s="60">
        <f>'HPS LTO DAILY '!O318</f>
        <v>0</v>
      </c>
      <c r="O62" s="60">
        <f>'HPS LTO DAILY '!P318</f>
        <v>0</v>
      </c>
      <c r="P62" s="60">
        <f>'HPS LTO DAILY '!Q318</f>
        <v>0</v>
      </c>
      <c r="Q62" s="60">
        <f>'HPS LTO DAILY '!R318</f>
        <v>0</v>
      </c>
      <c r="R62" s="60">
        <f>'HPS LTO DAILY '!S318</f>
        <v>0</v>
      </c>
      <c r="S62" s="60">
        <f>'HPS LTO DAILY '!T318</f>
        <v>0</v>
      </c>
      <c r="T62" s="60">
        <f>'HPS LTO DAILY '!U318</f>
        <v>0</v>
      </c>
      <c r="U62" s="60">
        <f>'HPS LTO DAILY '!V318</f>
        <v>0</v>
      </c>
      <c r="V62" s="60">
        <f>'HPS LTO DAILY '!W318</f>
        <v>0</v>
      </c>
      <c r="W62" s="60">
        <f>'HPS LTO DAILY '!X318</f>
        <v>0</v>
      </c>
      <c r="X62" s="60">
        <f>'HPS LTO DAILY '!Y318</f>
        <v>0</v>
      </c>
      <c r="Y62" s="60">
        <f>'HPS LTO DAILY '!Z318</f>
        <v>0</v>
      </c>
      <c r="Z62" s="60">
        <f>'HPS LTO DAILY '!AA318</f>
        <v>0</v>
      </c>
      <c r="AA62" s="60">
        <f>'HPS LTO DAILY '!AB318</f>
        <v>0</v>
      </c>
      <c r="AB62" s="60">
        <f>'HPS LTO DAILY '!AC318</f>
        <v>0</v>
      </c>
      <c r="AC62" s="60">
        <f>'HPS LTO DAILY '!AD318</f>
        <v>0</v>
      </c>
      <c r="AD62" s="60">
        <f>'HPS LTO DAILY '!AE318</f>
        <v>0</v>
      </c>
      <c r="AE62" s="60">
        <f>'HPS LTO DAILY '!AF318</f>
        <v>0</v>
      </c>
      <c r="AF62" s="60">
        <f>'HPS LTO DAILY '!AG318</f>
        <v>0</v>
      </c>
      <c r="AG62" s="60">
        <f>'HPS LTO DAILY '!AH318</f>
        <v>0</v>
      </c>
      <c r="AH62" s="60">
        <f>'HPS LTO DAILY '!AI318</f>
        <v>0</v>
      </c>
    </row>
    <row r="63" spans="4:34" ht="19.5" customHeight="1" thickBot="1" x14ac:dyDescent="0.4">
      <c r="D63" s="83" t="s">
        <v>61</v>
      </c>
      <c r="E63" s="89"/>
      <c r="F63" s="2682"/>
      <c r="G63" s="91">
        <f>'HPS LTO DAILY '!H323</f>
        <v>0</v>
      </c>
      <c r="H63" s="91" t="str">
        <f>'HPS LTO DAILY '!I323</f>
        <v>-</v>
      </c>
      <c r="I63" s="91">
        <f>'HPS LTO DAILY '!J323</f>
        <v>0</v>
      </c>
      <c r="J63" s="91">
        <f>'HPS LTO DAILY '!K323</f>
        <v>0</v>
      </c>
      <c r="K63" s="91">
        <f>'HPS LTO DAILY '!L323</f>
        <v>0</v>
      </c>
      <c r="L63" s="91">
        <f>'HPS LTO DAILY '!M323</f>
        <v>0</v>
      </c>
      <c r="M63" s="91">
        <f>'HPS LTO DAILY '!N323</f>
        <v>0</v>
      </c>
      <c r="N63" s="91">
        <f>'HPS LTO DAILY '!O323</f>
        <v>0</v>
      </c>
      <c r="O63" s="91">
        <f>'HPS LTO DAILY '!P323</f>
        <v>0</v>
      </c>
      <c r="P63" s="91">
        <f>'HPS LTO DAILY '!Q323</f>
        <v>0</v>
      </c>
      <c r="Q63" s="91">
        <f>'HPS LTO DAILY '!R323</f>
        <v>0</v>
      </c>
      <c r="R63" s="91">
        <f>'HPS LTO DAILY '!S323</f>
        <v>0</v>
      </c>
      <c r="S63" s="91">
        <f>'HPS LTO DAILY '!T323</f>
        <v>0</v>
      </c>
      <c r="T63" s="91">
        <f>'HPS LTO DAILY '!U323</f>
        <v>0</v>
      </c>
      <c r="U63" s="91">
        <f>'HPS LTO DAILY '!V323</f>
        <v>0</v>
      </c>
      <c r="V63" s="91">
        <f>'HPS LTO DAILY '!W323</f>
        <v>0</v>
      </c>
      <c r="W63" s="91">
        <f>'HPS LTO DAILY '!X323</f>
        <v>0</v>
      </c>
      <c r="X63" s="91">
        <f>'HPS LTO DAILY '!Y323</f>
        <v>0</v>
      </c>
      <c r="Y63" s="91">
        <f>'HPS LTO DAILY '!Z323</f>
        <v>0</v>
      </c>
      <c r="Z63" s="91">
        <f>'HPS LTO DAILY '!AA323</f>
        <v>0</v>
      </c>
      <c r="AA63" s="91">
        <f>'HPS LTO DAILY '!AB323</f>
        <v>0</v>
      </c>
      <c r="AB63" s="91">
        <f>'HPS LTO DAILY '!AC323</f>
        <v>0</v>
      </c>
      <c r="AC63" s="91">
        <f>'HPS LTO DAILY '!AD323</f>
        <v>0</v>
      </c>
      <c r="AD63" s="91">
        <f>'HPS LTO DAILY '!AE323</f>
        <v>0</v>
      </c>
      <c r="AE63" s="91">
        <f>'HPS LTO DAILY '!AF323</f>
        <v>0</v>
      </c>
      <c r="AF63" s="91">
        <f>'HPS LTO DAILY '!AG323</f>
        <v>0</v>
      </c>
      <c r="AG63" s="91">
        <f>'HPS LTO DAILY '!AH323</f>
        <v>0</v>
      </c>
      <c r="AH63" s="91">
        <f>'HPS LTO DAILY '!AI323</f>
        <v>0</v>
      </c>
    </row>
    <row r="64" spans="4:34" ht="19.5" customHeight="1" x14ac:dyDescent="0.35">
      <c r="D64" s="92" t="s">
        <v>159</v>
      </c>
      <c r="E64" s="93"/>
      <c r="F64" s="94"/>
      <c r="G64" s="95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201"/>
      <c r="V64" s="201"/>
      <c r="W64" s="201"/>
      <c r="X64" s="201"/>
      <c r="Y64" s="201"/>
      <c r="Z64" s="201"/>
      <c r="AA64" s="201"/>
      <c r="AB64" s="201"/>
      <c r="AC64" s="201"/>
      <c r="AD64" s="201"/>
      <c r="AE64" s="201"/>
      <c r="AF64" s="201"/>
      <c r="AG64" s="201"/>
      <c r="AH64" s="201"/>
    </row>
    <row r="65" spans="4:34" ht="19.5" customHeight="1" x14ac:dyDescent="0.35">
      <c r="D65" s="97" t="s">
        <v>101</v>
      </c>
      <c r="E65" s="2692" t="s">
        <v>58</v>
      </c>
      <c r="F65" s="2695" t="s">
        <v>36</v>
      </c>
      <c r="G65" s="3"/>
      <c r="H65" s="99">
        <v>0.2</v>
      </c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202"/>
      <c r="V65" s="222"/>
      <c r="W65" s="222"/>
      <c r="X65" s="222"/>
      <c r="Y65" s="222"/>
      <c r="Z65" s="222"/>
      <c r="AA65" s="222"/>
      <c r="AB65" s="222"/>
      <c r="AC65" s="222"/>
      <c r="AD65" s="222"/>
      <c r="AE65" s="222"/>
      <c r="AF65" s="222"/>
      <c r="AG65" s="222"/>
      <c r="AH65" s="222"/>
    </row>
    <row r="66" spans="4:34" ht="19.5" customHeight="1" x14ac:dyDescent="0.35">
      <c r="D66" s="97" t="s">
        <v>102</v>
      </c>
      <c r="E66" s="2693"/>
      <c r="F66" s="2696"/>
      <c r="G66" s="3"/>
      <c r="H66" s="99">
        <v>12.388999999999999</v>
      </c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202"/>
      <c r="V66" s="222"/>
      <c r="W66" s="222"/>
      <c r="X66" s="222"/>
      <c r="Y66" s="222"/>
      <c r="Z66" s="222"/>
      <c r="AA66" s="222"/>
      <c r="AB66" s="222"/>
      <c r="AC66" s="222"/>
      <c r="AD66" s="222"/>
      <c r="AE66" s="222"/>
      <c r="AF66" s="222"/>
      <c r="AG66" s="222"/>
      <c r="AH66" s="222"/>
    </row>
    <row r="67" spans="4:34" ht="19.5" customHeight="1" x14ac:dyDescent="0.35">
      <c r="D67" s="97" t="s">
        <v>103</v>
      </c>
      <c r="E67" s="2693"/>
      <c r="F67" s="2696"/>
      <c r="G67" s="3"/>
      <c r="H67" s="99">
        <v>1.609</v>
      </c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202"/>
      <c r="V67" s="222"/>
      <c r="W67" s="222"/>
      <c r="X67" s="222"/>
      <c r="Y67" s="222"/>
      <c r="Z67" s="222"/>
      <c r="AA67" s="222"/>
      <c r="AB67" s="222"/>
      <c r="AC67" s="222"/>
      <c r="AD67" s="222"/>
      <c r="AE67" s="222"/>
      <c r="AF67" s="222"/>
      <c r="AG67" s="222"/>
      <c r="AH67" s="222"/>
    </row>
    <row r="68" spans="4:34" ht="19.5" customHeight="1" x14ac:dyDescent="0.35">
      <c r="D68" s="97" t="s">
        <v>104</v>
      </c>
      <c r="E68" s="2693"/>
      <c r="F68" s="2696"/>
      <c r="G68" s="3"/>
      <c r="H68" s="99">
        <v>22.95</v>
      </c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202"/>
      <c r="V68" s="222"/>
      <c r="W68" s="222"/>
      <c r="X68" s="222"/>
      <c r="Y68" s="222"/>
      <c r="Z68" s="222"/>
      <c r="AA68" s="222"/>
      <c r="AB68" s="222"/>
      <c r="AC68" s="222"/>
      <c r="AD68" s="222"/>
      <c r="AE68" s="222"/>
      <c r="AF68" s="222"/>
      <c r="AG68" s="222"/>
      <c r="AH68" s="222"/>
    </row>
    <row r="69" spans="4:34" ht="19.5" customHeight="1" x14ac:dyDescent="0.35">
      <c r="D69" s="97" t="s">
        <v>105</v>
      </c>
      <c r="E69" s="2693"/>
      <c r="F69" s="2696"/>
      <c r="G69" s="3"/>
      <c r="H69" s="99">
        <v>10.41</v>
      </c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202"/>
      <c r="V69" s="222"/>
      <c r="W69" s="222"/>
      <c r="X69" s="222"/>
      <c r="Y69" s="222"/>
      <c r="Z69" s="222"/>
      <c r="AA69" s="222"/>
      <c r="AB69" s="222"/>
      <c r="AC69" s="222"/>
      <c r="AD69" s="222"/>
      <c r="AE69" s="222"/>
      <c r="AF69" s="222"/>
      <c r="AG69" s="222"/>
      <c r="AH69" s="222"/>
    </row>
    <row r="70" spans="4:34" ht="19.5" customHeight="1" x14ac:dyDescent="0.35">
      <c r="D70" s="97" t="s">
        <v>100</v>
      </c>
      <c r="E70" s="2693"/>
      <c r="F70" s="2696"/>
      <c r="G70" s="3"/>
      <c r="H70" s="99">
        <v>9.7772000000000006</v>
      </c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202"/>
      <c r="V70" s="222"/>
      <c r="W70" s="222"/>
      <c r="X70" s="222"/>
      <c r="Y70" s="222"/>
      <c r="Z70" s="222"/>
      <c r="AA70" s="222"/>
      <c r="AB70" s="222"/>
      <c r="AC70" s="222"/>
      <c r="AD70" s="222"/>
      <c r="AE70" s="222"/>
      <c r="AF70" s="222"/>
      <c r="AG70" s="222"/>
      <c r="AH70" s="222"/>
    </row>
    <row r="71" spans="4:34" ht="19.5" customHeight="1" x14ac:dyDescent="0.35">
      <c r="D71" s="97" t="s">
        <v>160</v>
      </c>
      <c r="E71" s="2694"/>
      <c r="F71" s="2697"/>
      <c r="G71" s="3">
        <f>100-SUM(G65:G70)</f>
        <v>100</v>
      </c>
      <c r="H71" s="3">
        <f t="shared" ref="H71:V71" si="9">100-SUM(H65:H70)</f>
        <v>42.664800000000007</v>
      </c>
      <c r="I71" s="3">
        <f t="shared" si="9"/>
        <v>100</v>
      </c>
      <c r="J71" s="3">
        <f t="shared" si="9"/>
        <v>100</v>
      </c>
      <c r="K71" s="3">
        <f t="shared" si="9"/>
        <v>100</v>
      </c>
      <c r="L71" s="3">
        <f t="shared" si="9"/>
        <v>100</v>
      </c>
      <c r="M71" s="3">
        <f t="shared" si="9"/>
        <v>100</v>
      </c>
      <c r="N71" s="3">
        <f t="shared" si="9"/>
        <v>100</v>
      </c>
      <c r="O71" s="3">
        <f t="shared" si="9"/>
        <v>100</v>
      </c>
      <c r="P71" s="3">
        <f t="shared" si="9"/>
        <v>100</v>
      </c>
      <c r="Q71" s="3">
        <f t="shared" si="9"/>
        <v>100</v>
      </c>
      <c r="R71" s="3">
        <f t="shared" si="9"/>
        <v>100</v>
      </c>
      <c r="S71" s="3">
        <f t="shared" si="9"/>
        <v>100</v>
      </c>
      <c r="T71" s="3">
        <f t="shared" si="9"/>
        <v>100</v>
      </c>
      <c r="U71" s="3">
        <f t="shared" si="9"/>
        <v>100</v>
      </c>
      <c r="V71" s="3">
        <f t="shared" si="9"/>
        <v>100</v>
      </c>
      <c r="W71" s="3">
        <f t="shared" ref="W71:AE71" si="10">100-SUM(W65:W70)</f>
        <v>100</v>
      </c>
      <c r="X71" s="3">
        <f t="shared" si="10"/>
        <v>100</v>
      </c>
      <c r="Y71" s="3">
        <f t="shared" si="10"/>
        <v>100</v>
      </c>
      <c r="Z71" s="3">
        <f t="shared" si="10"/>
        <v>100</v>
      </c>
      <c r="AA71" s="3">
        <f t="shared" si="10"/>
        <v>100</v>
      </c>
      <c r="AB71" s="3">
        <f t="shared" si="10"/>
        <v>100</v>
      </c>
      <c r="AC71" s="3">
        <f t="shared" si="10"/>
        <v>100</v>
      </c>
      <c r="AD71" s="3">
        <f t="shared" si="10"/>
        <v>100</v>
      </c>
      <c r="AE71" s="3">
        <f t="shared" si="10"/>
        <v>100</v>
      </c>
      <c r="AF71" s="3">
        <f t="shared" ref="AF71:AH71" si="11">100-SUM(AF65:AF70)</f>
        <v>100</v>
      </c>
      <c r="AG71" s="3">
        <f t="shared" si="11"/>
        <v>100</v>
      </c>
      <c r="AH71" s="3">
        <f t="shared" si="11"/>
        <v>100</v>
      </c>
    </row>
    <row r="72" spans="4:34" ht="19.5" customHeight="1" thickBot="1" x14ac:dyDescent="0.4">
      <c r="D72" s="100" t="s">
        <v>161</v>
      </c>
      <c r="E72" s="93"/>
      <c r="F72" s="94"/>
      <c r="G72" s="443">
        <f>SUM(G65:G71)</f>
        <v>100</v>
      </c>
      <c r="H72" s="443">
        <f t="shared" ref="H72:V72" si="12">SUM(H65:H71)</f>
        <v>100</v>
      </c>
      <c r="I72" s="443">
        <f t="shared" si="12"/>
        <v>100</v>
      </c>
      <c r="J72" s="443">
        <f t="shared" si="12"/>
        <v>100</v>
      </c>
      <c r="K72" s="443">
        <f t="shared" si="12"/>
        <v>100</v>
      </c>
      <c r="L72" s="443">
        <f t="shared" si="12"/>
        <v>100</v>
      </c>
      <c r="M72" s="443">
        <f t="shared" si="12"/>
        <v>100</v>
      </c>
      <c r="N72" s="443">
        <f t="shared" si="12"/>
        <v>100</v>
      </c>
      <c r="O72" s="443">
        <f t="shared" si="12"/>
        <v>100</v>
      </c>
      <c r="P72" s="443">
        <f t="shared" si="12"/>
        <v>100</v>
      </c>
      <c r="Q72" s="443">
        <f t="shared" si="12"/>
        <v>100</v>
      </c>
      <c r="R72" s="443">
        <f t="shared" si="12"/>
        <v>100</v>
      </c>
      <c r="S72" s="443">
        <f t="shared" si="12"/>
        <v>100</v>
      </c>
      <c r="T72" s="443">
        <f t="shared" si="12"/>
        <v>100</v>
      </c>
      <c r="U72" s="443">
        <f t="shared" si="12"/>
        <v>100</v>
      </c>
      <c r="V72" s="443">
        <f t="shared" si="12"/>
        <v>100</v>
      </c>
      <c r="W72" s="443">
        <f t="shared" ref="W72:AE72" si="13">SUM(W65:W71)</f>
        <v>100</v>
      </c>
      <c r="X72" s="443">
        <f t="shared" si="13"/>
        <v>100</v>
      </c>
      <c r="Y72" s="443">
        <f t="shared" si="13"/>
        <v>100</v>
      </c>
      <c r="Z72" s="443">
        <f t="shared" si="13"/>
        <v>100</v>
      </c>
      <c r="AA72" s="443">
        <f t="shared" si="13"/>
        <v>100</v>
      </c>
      <c r="AB72" s="443">
        <f t="shared" si="13"/>
        <v>100</v>
      </c>
      <c r="AC72" s="443">
        <f t="shared" si="13"/>
        <v>100</v>
      </c>
      <c r="AD72" s="443">
        <f t="shared" si="13"/>
        <v>100</v>
      </c>
      <c r="AE72" s="443">
        <f t="shared" si="13"/>
        <v>100</v>
      </c>
      <c r="AF72" s="443">
        <f t="shared" ref="AF72:AH72" si="14">SUM(AF65:AF71)</f>
        <v>100</v>
      </c>
      <c r="AG72" s="443">
        <f t="shared" si="14"/>
        <v>100</v>
      </c>
      <c r="AH72" s="443">
        <f t="shared" si="14"/>
        <v>100</v>
      </c>
    </row>
    <row r="73" spans="4:34" ht="18.75" customHeight="1" x14ac:dyDescent="0.35">
      <c r="D73" s="75" t="s">
        <v>62</v>
      </c>
      <c r="E73" s="2684" t="s">
        <v>63</v>
      </c>
      <c r="F73" s="2698" t="s">
        <v>55</v>
      </c>
      <c r="G73" s="47"/>
      <c r="H73" s="55"/>
      <c r="I73" s="55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195"/>
      <c r="V73" s="207"/>
      <c r="W73" s="207"/>
      <c r="X73" s="207"/>
      <c r="Y73" s="207"/>
      <c r="Z73" s="207"/>
      <c r="AA73" s="207"/>
      <c r="AB73" s="207"/>
      <c r="AC73" s="207"/>
      <c r="AD73" s="207"/>
      <c r="AE73" s="207"/>
      <c r="AF73" s="207"/>
      <c r="AG73" s="207"/>
      <c r="AH73" s="207"/>
    </row>
    <row r="74" spans="4:34" ht="18.75" customHeight="1" x14ac:dyDescent="0.35">
      <c r="D74" s="44" t="s">
        <v>64</v>
      </c>
      <c r="E74" s="2684"/>
      <c r="F74" s="2698"/>
      <c r="G74" s="47"/>
      <c r="H74" s="55"/>
      <c r="I74" s="55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195"/>
      <c r="V74" s="275"/>
      <c r="W74" s="275"/>
      <c r="X74" s="275"/>
      <c r="Y74" s="275"/>
      <c r="Z74" s="275"/>
      <c r="AA74" s="275"/>
      <c r="AB74" s="275"/>
      <c r="AC74" s="275"/>
      <c r="AD74" s="275"/>
      <c r="AE74" s="275"/>
      <c r="AF74" s="275"/>
      <c r="AG74" s="275"/>
      <c r="AH74" s="275"/>
    </row>
    <row r="75" spans="4:34" ht="18.75" customHeight="1" x14ac:dyDescent="0.35">
      <c r="D75" s="44" t="s">
        <v>65</v>
      </c>
      <c r="E75" s="2684"/>
      <c r="F75" s="2698"/>
      <c r="G75" s="47"/>
      <c r="H75" s="55"/>
      <c r="I75" s="55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195"/>
      <c r="V75" s="275"/>
      <c r="W75" s="275"/>
      <c r="X75" s="275"/>
      <c r="Y75" s="275"/>
      <c r="Z75" s="275"/>
      <c r="AA75" s="275"/>
      <c r="AB75" s="275"/>
      <c r="AC75" s="275"/>
      <c r="AD75" s="275"/>
      <c r="AE75" s="275"/>
      <c r="AF75" s="275"/>
      <c r="AG75" s="275"/>
      <c r="AH75" s="275"/>
    </row>
    <row r="76" spans="4:34" ht="18.75" customHeight="1" x14ac:dyDescent="0.35">
      <c r="D76" s="44" t="s">
        <v>66</v>
      </c>
      <c r="E76" s="2684"/>
      <c r="F76" s="2698"/>
      <c r="G76" s="47"/>
      <c r="H76" s="276"/>
      <c r="I76" s="55"/>
      <c r="J76" s="277"/>
      <c r="K76" s="277"/>
      <c r="L76" s="277"/>
      <c r="M76" s="277"/>
      <c r="N76" s="277"/>
      <c r="O76" s="277"/>
      <c r="P76" s="277"/>
      <c r="Q76" s="277"/>
      <c r="R76" s="277"/>
      <c r="S76" s="277"/>
      <c r="T76" s="277"/>
      <c r="U76" s="278"/>
      <c r="V76" s="275"/>
      <c r="W76" s="275"/>
      <c r="X76" s="275"/>
      <c r="Y76" s="275"/>
      <c r="Z76" s="275"/>
      <c r="AA76" s="275"/>
      <c r="AB76" s="275"/>
      <c r="AC76" s="275"/>
      <c r="AD76" s="275"/>
      <c r="AE76" s="275"/>
      <c r="AF76" s="275"/>
      <c r="AG76" s="275"/>
      <c r="AH76" s="275"/>
    </row>
    <row r="77" spans="4:34" ht="18.75" customHeight="1" x14ac:dyDescent="0.35">
      <c r="D77" s="44" t="s">
        <v>67</v>
      </c>
      <c r="E77" s="2684"/>
      <c r="F77" s="2698"/>
      <c r="G77" s="47"/>
      <c r="H77" s="55"/>
      <c r="I77" s="55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195"/>
      <c r="V77" s="275"/>
      <c r="W77" s="275"/>
      <c r="X77" s="275"/>
      <c r="Y77" s="275"/>
      <c r="Z77" s="275"/>
      <c r="AA77" s="275"/>
      <c r="AB77" s="275"/>
      <c r="AC77" s="275"/>
      <c r="AD77" s="275"/>
      <c r="AE77" s="275"/>
      <c r="AF77" s="275"/>
      <c r="AG77" s="275"/>
      <c r="AH77" s="275"/>
    </row>
    <row r="78" spans="4:34" ht="18.75" customHeight="1" x14ac:dyDescent="0.35">
      <c r="D78" s="44" t="s">
        <v>320</v>
      </c>
      <c r="E78" s="158"/>
      <c r="F78" s="159"/>
      <c r="G78" s="47"/>
      <c r="H78" s="55"/>
      <c r="I78" s="55"/>
      <c r="J78" s="56"/>
      <c r="K78" s="279"/>
      <c r="L78" s="279"/>
      <c r="M78" s="279"/>
      <c r="N78" s="279"/>
      <c r="O78" s="279"/>
      <c r="P78" s="279"/>
      <c r="Q78" s="279"/>
      <c r="R78" s="279"/>
      <c r="S78" s="279"/>
      <c r="T78" s="279"/>
      <c r="U78" s="280"/>
      <c r="V78" s="275"/>
      <c r="W78" s="275"/>
      <c r="X78" s="275"/>
      <c r="Y78" s="275"/>
      <c r="Z78" s="275"/>
      <c r="AA78" s="275"/>
      <c r="AB78" s="275"/>
      <c r="AC78" s="275"/>
      <c r="AD78" s="275"/>
      <c r="AE78" s="275"/>
      <c r="AF78" s="275"/>
      <c r="AG78" s="275"/>
      <c r="AH78" s="275"/>
    </row>
    <row r="79" spans="4:34" ht="18.75" customHeight="1" x14ac:dyDescent="0.35">
      <c r="D79" s="75" t="s">
        <v>68</v>
      </c>
      <c r="E79" s="2699" t="s">
        <v>69</v>
      </c>
      <c r="F79" s="2700" t="s">
        <v>17</v>
      </c>
      <c r="G79" s="47"/>
      <c r="H79" s="55"/>
      <c r="I79" s="55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195"/>
      <c r="V79" s="207"/>
      <c r="W79" s="207"/>
      <c r="X79" s="207"/>
      <c r="Y79" s="207"/>
      <c r="Z79" s="207"/>
      <c r="AA79" s="207"/>
      <c r="AB79" s="207"/>
      <c r="AC79" s="207"/>
      <c r="AD79" s="207"/>
      <c r="AE79" s="207"/>
      <c r="AF79" s="207"/>
      <c r="AG79" s="207"/>
      <c r="AH79" s="207"/>
    </row>
    <row r="80" spans="4:34" ht="18.75" customHeight="1" x14ac:dyDescent="0.35">
      <c r="D80" s="44" t="s">
        <v>70</v>
      </c>
      <c r="E80" s="2678"/>
      <c r="F80" s="2701"/>
      <c r="G80" s="47"/>
      <c r="H80" s="55"/>
      <c r="I80" s="55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195"/>
      <c r="V80" s="207"/>
      <c r="W80" s="207"/>
      <c r="X80" s="207"/>
      <c r="Y80" s="207"/>
      <c r="Z80" s="207"/>
      <c r="AA80" s="207"/>
      <c r="AB80" s="207"/>
      <c r="AC80" s="207"/>
      <c r="AD80" s="207"/>
      <c r="AE80" s="207"/>
      <c r="AF80" s="207"/>
      <c r="AG80" s="207"/>
      <c r="AH80" s="207"/>
    </row>
    <row r="81" spans="4:34" ht="18.75" customHeight="1" x14ac:dyDescent="0.35">
      <c r="D81" s="44" t="s">
        <v>71</v>
      </c>
      <c r="E81" s="2678"/>
      <c r="F81" s="2701"/>
      <c r="G81" s="47"/>
      <c r="H81" s="55"/>
      <c r="I81" s="55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195"/>
      <c r="V81" s="207"/>
      <c r="W81" s="207"/>
      <c r="X81" s="207"/>
      <c r="Y81" s="207"/>
      <c r="Z81" s="207"/>
      <c r="AA81" s="207"/>
      <c r="AB81" s="207"/>
      <c r="AC81" s="207"/>
      <c r="AD81" s="207"/>
      <c r="AE81" s="207"/>
      <c r="AF81" s="207"/>
      <c r="AG81" s="207"/>
      <c r="AH81" s="207"/>
    </row>
    <row r="82" spans="4:34" ht="18.75" customHeight="1" x14ac:dyDescent="0.35">
      <c r="D82" s="44" t="s">
        <v>72</v>
      </c>
      <c r="E82" s="2678"/>
      <c r="F82" s="2701"/>
      <c r="G82" s="47"/>
      <c r="H82" s="55"/>
      <c r="I82" s="55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195"/>
      <c r="V82" s="207"/>
      <c r="W82" s="207"/>
      <c r="X82" s="207"/>
      <c r="Y82" s="207"/>
      <c r="Z82" s="207"/>
      <c r="AA82" s="207"/>
      <c r="AB82" s="207"/>
      <c r="AC82" s="207"/>
      <c r="AD82" s="207"/>
      <c r="AE82" s="207"/>
      <c r="AF82" s="207"/>
      <c r="AG82" s="207"/>
      <c r="AH82" s="207"/>
    </row>
    <row r="83" spans="4:34" ht="18.75" customHeight="1" x14ac:dyDescent="0.35">
      <c r="D83" s="44" t="s">
        <v>73</v>
      </c>
      <c r="E83" s="2678"/>
      <c r="F83" s="2701"/>
      <c r="G83" s="47"/>
      <c r="H83" s="55"/>
      <c r="I83" s="55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195"/>
      <c r="V83" s="207"/>
      <c r="W83" s="207"/>
      <c r="X83" s="207"/>
      <c r="Y83" s="207"/>
      <c r="Z83" s="207"/>
      <c r="AA83" s="207"/>
      <c r="AB83" s="207"/>
      <c r="AC83" s="207"/>
      <c r="AD83" s="207"/>
      <c r="AE83" s="207"/>
      <c r="AF83" s="207"/>
      <c r="AG83" s="207"/>
      <c r="AH83" s="207"/>
    </row>
    <row r="84" spans="4:34" ht="18.75" customHeight="1" x14ac:dyDescent="0.35">
      <c r="D84" s="44" t="s">
        <v>74</v>
      </c>
      <c r="E84" s="2678"/>
      <c r="F84" s="2701"/>
      <c r="G84" s="47"/>
      <c r="H84" s="55"/>
      <c r="I84" s="55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195"/>
      <c r="V84" s="207"/>
      <c r="W84" s="207"/>
      <c r="X84" s="207"/>
      <c r="Y84" s="207"/>
      <c r="Z84" s="207"/>
      <c r="AA84" s="207"/>
      <c r="AB84" s="207"/>
      <c r="AC84" s="207"/>
      <c r="AD84" s="207"/>
      <c r="AE84" s="207"/>
      <c r="AF84" s="207"/>
      <c r="AG84" s="207"/>
      <c r="AH84" s="207"/>
    </row>
    <row r="85" spans="4:34" ht="18.75" customHeight="1" x14ac:dyDescent="0.35">
      <c r="D85" s="44" t="s">
        <v>75</v>
      </c>
      <c r="E85" s="2679"/>
      <c r="F85" s="2702"/>
      <c r="G85" s="47"/>
      <c r="H85" s="55"/>
      <c r="I85" s="55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195"/>
      <c r="V85" s="207"/>
      <c r="W85" s="207"/>
      <c r="X85" s="207"/>
      <c r="Y85" s="207"/>
      <c r="Z85" s="207"/>
      <c r="AA85" s="207"/>
      <c r="AB85" s="207"/>
      <c r="AC85" s="207"/>
      <c r="AD85" s="207"/>
      <c r="AE85" s="207"/>
      <c r="AF85" s="207"/>
      <c r="AG85" s="207"/>
      <c r="AH85" s="207"/>
    </row>
    <row r="86" spans="4:34" ht="19.5" customHeight="1" x14ac:dyDescent="0.35">
      <c r="D86" s="44" t="s">
        <v>76</v>
      </c>
      <c r="E86" s="58" t="s">
        <v>77</v>
      </c>
      <c r="F86" s="102" t="s">
        <v>36</v>
      </c>
      <c r="G86" s="2225"/>
      <c r="H86" s="2241"/>
      <c r="I86" s="2241"/>
      <c r="J86" s="2243"/>
      <c r="K86" s="2243"/>
      <c r="L86" s="2243"/>
      <c r="M86" s="2243"/>
      <c r="N86" s="2243"/>
      <c r="O86" s="2243"/>
      <c r="P86" s="2243"/>
      <c r="Q86" s="2243"/>
      <c r="R86" s="2243"/>
      <c r="S86" s="2243"/>
      <c r="T86" s="2243"/>
      <c r="U86" s="2247"/>
      <c r="V86" s="2248"/>
      <c r="W86" s="2248"/>
      <c r="X86" s="2248"/>
      <c r="Y86" s="2248"/>
      <c r="Z86" s="2248"/>
      <c r="AA86" s="2248"/>
      <c r="AB86" s="2248"/>
      <c r="AC86" s="2248"/>
      <c r="AD86" s="2248"/>
      <c r="AE86" s="2248"/>
      <c r="AF86" s="2248"/>
      <c r="AG86" s="2248"/>
      <c r="AH86" s="2248"/>
    </row>
    <row r="87" spans="4:34" ht="19.5" customHeight="1" x14ac:dyDescent="0.35">
      <c r="D87" s="44" t="s">
        <v>78</v>
      </c>
      <c r="E87" s="58" t="s">
        <v>79</v>
      </c>
      <c r="F87" s="102" t="s">
        <v>36</v>
      </c>
      <c r="G87" s="961"/>
      <c r="H87" s="2242"/>
      <c r="I87" s="2242"/>
      <c r="J87" s="2244"/>
      <c r="K87" s="2244"/>
      <c r="L87" s="2244"/>
      <c r="M87" s="2244"/>
      <c r="N87" s="2244"/>
      <c r="O87" s="2244"/>
      <c r="P87" s="2244"/>
      <c r="Q87" s="2244"/>
      <c r="R87" s="2244"/>
      <c r="S87" s="2244"/>
      <c r="T87" s="2244"/>
      <c r="U87" s="2249"/>
      <c r="V87" s="2248"/>
      <c r="W87" s="2248"/>
      <c r="X87" s="2248"/>
      <c r="Y87" s="2248"/>
      <c r="Z87" s="2248"/>
      <c r="AA87" s="2248"/>
      <c r="AB87" s="2248"/>
      <c r="AC87" s="2248"/>
      <c r="AD87" s="2248"/>
      <c r="AE87" s="2248"/>
      <c r="AF87" s="2248"/>
      <c r="AG87" s="2248"/>
      <c r="AH87" s="2248"/>
    </row>
    <row r="88" spans="4:34" ht="19.5" customHeight="1" x14ac:dyDescent="0.35">
      <c r="D88" s="44" t="s">
        <v>80</v>
      </c>
      <c r="E88" s="161" t="s">
        <v>81</v>
      </c>
      <c r="F88" s="59" t="s">
        <v>36</v>
      </c>
      <c r="G88" s="1019"/>
      <c r="H88" s="1016">
        <v>17.68</v>
      </c>
      <c r="I88" s="1016"/>
      <c r="J88" s="1017"/>
      <c r="K88" s="1017">
        <v>20.8</v>
      </c>
      <c r="L88" s="1017"/>
      <c r="M88" s="1017"/>
      <c r="N88" s="1017"/>
      <c r="O88" s="1017"/>
      <c r="P88" s="1017"/>
      <c r="Q88" s="1017"/>
      <c r="R88" s="1017"/>
      <c r="S88" s="1017"/>
      <c r="T88" s="1017"/>
      <c r="U88" s="1020"/>
      <c r="V88" s="1018"/>
      <c r="W88" s="1018"/>
      <c r="X88" s="1018"/>
      <c r="Y88" s="1018"/>
      <c r="Z88" s="1018"/>
      <c r="AA88" s="1018"/>
      <c r="AB88" s="1018"/>
      <c r="AC88" s="1018"/>
      <c r="AD88" s="1018"/>
      <c r="AE88" s="1018"/>
      <c r="AF88" s="1018"/>
      <c r="AG88" s="1018"/>
      <c r="AH88" s="1018"/>
    </row>
    <row r="89" spans="4:34" ht="19.5" customHeight="1" thickBot="1" x14ac:dyDescent="0.4">
      <c r="D89" s="116" t="s">
        <v>82</v>
      </c>
      <c r="E89" s="117" t="s">
        <v>83</v>
      </c>
      <c r="F89" s="118" t="s">
        <v>36</v>
      </c>
      <c r="G89" s="284"/>
      <c r="H89" s="285"/>
      <c r="I89" s="285"/>
      <c r="J89" s="281"/>
      <c r="K89" s="281"/>
      <c r="L89" s="281"/>
      <c r="M89" s="281"/>
      <c r="N89" s="281"/>
      <c r="O89" s="281"/>
      <c r="P89" s="281"/>
      <c r="Q89" s="282"/>
      <c r="R89" s="281"/>
      <c r="S89" s="281"/>
      <c r="T89" s="281"/>
      <c r="U89" s="283"/>
      <c r="V89" s="1021"/>
      <c r="W89" s="275"/>
      <c r="X89" s="275"/>
      <c r="Y89" s="275"/>
      <c r="Z89" s="275"/>
      <c r="AA89" s="275"/>
      <c r="AB89" s="275"/>
      <c r="AC89" s="275"/>
      <c r="AD89" s="275"/>
      <c r="AE89" s="275"/>
      <c r="AF89" s="275"/>
      <c r="AG89" s="275"/>
      <c r="AH89" s="275"/>
    </row>
    <row r="90" spans="4:34" x14ac:dyDescent="0.35">
      <c r="U90" s="18"/>
      <c r="V90" s="1022"/>
    </row>
  </sheetData>
  <mergeCells count="22">
    <mergeCell ref="F25:F28"/>
    <mergeCell ref="D1:G1"/>
    <mergeCell ref="K3:U3"/>
    <mergeCell ref="G4:J4"/>
    <mergeCell ref="E13:E18"/>
    <mergeCell ref="F13:F18"/>
    <mergeCell ref="D19:D21"/>
    <mergeCell ref="E20:E21"/>
    <mergeCell ref="D22:D24"/>
    <mergeCell ref="E23:E24"/>
    <mergeCell ref="E25:E28"/>
    <mergeCell ref="K4:AE4"/>
    <mergeCell ref="E73:E77"/>
    <mergeCell ref="F73:F77"/>
    <mergeCell ref="E79:E85"/>
    <mergeCell ref="F79:F85"/>
    <mergeCell ref="E40:E45"/>
    <mergeCell ref="F40:F45"/>
    <mergeCell ref="E49:E62"/>
    <mergeCell ref="F49:F63"/>
    <mergeCell ref="E65:E71"/>
    <mergeCell ref="F65:F71"/>
  </mergeCells>
  <printOptions horizontalCentered="1"/>
  <pageMargins left="0.24" right="0.17" top="0.52" bottom="0.38" header="0.31496062992126" footer="0.16"/>
  <pageSetup paperSize="9" scale="47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391B2-32B8-4CE7-963E-DCD4FAFE3249}">
  <sheetPr codeName="Sheet12">
    <tabColor rgb="FFFF0000"/>
    <pageSetUpPr fitToPage="1"/>
  </sheetPr>
  <dimension ref="A1:CA128"/>
  <sheetViews>
    <sheetView showGridLines="0" zoomScale="70" zoomScaleNormal="70" zoomScaleSheetLayoutView="100" workbookViewId="0">
      <pane xSplit="4" ySplit="8" topLeftCell="T75" activePane="bottomRight" state="frozen"/>
      <selection activeCell="N51" sqref="N51"/>
      <selection pane="topRight" activeCell="N51" sqref="N51"/>
      <selection pane="bottomLeft" activeCell="N51" sqref="N51"/>
      <selection pane="bottomRight" activeCell="X42" sqref="X42"/>
    </sheetView>
  </sheetViews>
  <sheetFormatPr defaultColWidth="9.26953125" defaultRowHeight="16" x14ac:dyDescent="0.35"/>
  <cols>
    <col min="1" max="2" width="9.26953125" style="7"/>
    <col min="3" max="3" width="1" style="7" customWidth="1"/>
    <col min="4" max="4" width="31.26953125" style="18" customWidth="1"/>
    <col min="5" max="5" width="31.7265625" style="18" bestFit="1" customWidth="1"/>
    <col min="6" max="6" width="14.453125" style="18" customWidth="1"/>
    <col min="7" max="7" width="22.7265625" style="18" customWidth="1"/>
    <col min="8" max="8" width="22.7265625" style="18" hidden="1" customWidth="1"/>
    <col min="9" max="10" width="22.7265625" style="18" customWidth="1"/>
    <col min="11" max="11" width="26.26953125" style="18" bestFit="1" customWidth="1"/>
    <col min="12" max="14" width="27.26953125" style="18" bestFit="1" customWidth="1"/>
    <col min="15" max="15" width="24.453125" style="18" customWidth="1"/>
    <col min="16" max="19" width="24.81640625" style="18" bestFit="1" customWidth="1"/>
    <col min="20" max="20" width="25.81640625" style="18" bestFit="1" customWidth="1"/>
    <col min="21" max="21" width="25.54296875" style="18" bestFit="1" customWidth="1"/>
    <col min="22" max="23" width="25.81640625" style="18" bestFit="1" customWidth="1"/>
    <col min="24" max="24" width="24" style="18" bestFit="1" customWidth="1"/>
    <col min="25" max="25" width="25.26953125" style="7" customWidth="1"/>
    <col min="26" max="26" width="25.26953125" style="576" bestFit="1" customWidth="1"/>
    <col min="27" max="27" width="25.26953125" style="18" bestFit="1" customWidth="1"/>
    <col min="28" max="28" width="24.453125" style="18" bestFit="1" customWidth="1"/>
    <col min="29" max="29" width="25.26953125" style="18" customWidth="1"/>
    <col min="30" max="30" width="24.81640625" style="18" bestFit="1" customWidth="1"/>
    <col min="31" max="31" width="25.26953125" style="18" bestFit="1" customWidth="1"/>
    <col min="32" max="32" width="24" style="18" bestFit="1" customWidth="1"/>
    <col min="33" max="33" width="25.26953125" style="18" hidden="1" customWidth="1"/>
    <col min="34" max="34" width="24" style="18" hidden="1" customWidth="1"/>
    <col min="35" max="35" width="25.26953125" style="18" hidden="1" customWidth="1"/>
    <col min="36" max="36" width="24" style="18" hidden="1" customWidth="1"/>
    <col min="37" max="37" width="25.26953125" style="18" hidden="1" customWidth="1"/>
    <col min="38" max="38" width="24" style="18" hidden="1" customWidth="1"/>
    <col min="39" max="39" width="9.26953125" style="7"/>
    <col min="40" max="40" width="26.26953125" style="18" bestFit="1" customWidth="1"/>
    <col min="41" max="41" width="27.26953125" style="18" bestFit="1" customWidth="1"/>
    <col min="42" max="75" width="9.26953125" style="7"/>
    <col min="76" max="76" width="24.81640625" style="18" bestFit="1" customWidth="1"/>
    <col min="77" max="77" width="25.81640625" style="18" bestFit="1" customWidth="1"/>
    <col min="78" max="78" width="9.26953125" style="7"/>
    <col min="79" max="79" width="25.54296875" style="18" bestFit="1" customWidth="1"/>
    <col min="80" max="16384" width="9.26953125" style="7"/>
  </cols>
  <sheetData>
    <row r="1" spans="4:79" ht="26.25" customHeight="1" x14ac:dyDescent="0.55000000000000004">
      <c r="D1" s="2676" t="s">
        <v>5</v>
      </c>
      <c r="E1" s="2676"/>
      <c r="F1" s="2676"/>
      <c r="G1" s="2676"/>
      <c r="H1" s="2676"/>
      <c r="I1" s="2676"/>
      <c r="J1" s="2676"/>
      <c r="K1" s="2676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AN1" s="7"/>
      <c r="AO1" s="4"/>
      <c r="BM1" s="7" t="s">
        <v>1080</v>
      </c>
      <c r="BX1" s="5"/>
      <c r="BY1" s="5"/>
      <c r="CA1" s="5"/>
    </row>
    <row r="2" spans="4:79" ht="30.75" customHeight="1" x14ac:dyDescent="0.35">
      <c r="D2" s="8" t="s">
        <v>6</v>
      </c>
      <c r="E2" s="9" t="s">
        <v>1008</v>
      </c>
      <c r="F2" s="10"/>
      <c r="G2" s="10"/>
      <c r="H2" s="12"/>
      <c r="I2" s="12"/>
      <c r="J2" s="12"/>
      <c r="K2" s="11"/>
      <c r="L2" s="11"/>
      <c r="M2" s="11"/>
      <c r="N2" s="11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N2" s="11"/>
      <c r="AO2" s="11"/>
      <c r="BM2" s="2636" t="s">
        <v>160</v>
      </c>
      <c r="BN2" s="2636" t="s">
        <v>1078</v>
      </c>
      <c r="BO2" s="2636" t="s">
        <v>679</v>
      </c>
      <c r="BP2" s="2636" t="s">
        <v>1079</v>
      </c>
      <c r="BX2" s="12"/>
      <c r="BY2" s="12"/>
      <c r="CA2" s="12"/>
    </row>
    <row r="3" spans="4:79" ht="26.25" customHeight="1" x14ac:dyDescent="0.35">
      <c r="D3" s="8" t="s">
        <v>8</v>
      </c>
      <c r="E3" s="14"/>
      <c r="F3" s="15"/>
      <c r="G3" s="15"/>
      <c r="H3" s="12"/>
      <c r="I3" s="12"/>
      <c r="J3" s="12"/>
      <c r="K3" s="11"/>
      <c r="L3" s="11"/>
      <c r="M3" s="7"/>
      <c r="N3" s="7"/>
      <c r="O3" s="1014"/>
      <c r="P3" s="1014"/>
      <c r="Q3" s="1014"/>
      <c r="R3" s="1014"/>
      <c r="S3" s="1014"/>
      <c r="T3" s="1014"/>
      <c r="U3" s="1014"/>
      <c r="V3" s="1014"/>
      <c r="W3" s="1014"/>
      <c r="X3" s="1014"/>
      <c r="Y3" s="1014"/>
      <c r="Z3" s="1012"/>
      <c r="AA3" s="1013"/>
      <c r="AB3" s="1013"/>
      <c r="AC3" s="1013"/>
      <c r="AD3" s="1013"/>
      <c r="AE3" s="1013"/>
      <c r="AF3" s="1013"/>
      <c r="AG3" s="1013"/>
      <c r="AH3" s="1013"/>
      <c r="AI3" s="1013"/>
      <c r="AJ3" s="1013"/>
      <c r="AK3" s="1013"/>
      <c r="AL3" s="1013"/>
      <c r="AN3" s="11"/>
      <c r="AO3" s="11"/>
      <c r="BL3" s="2636">
        <v>24</v>
      </c>
      <c r="BM3" s="2637">
        <f>(BN3*BO3)+BP3</f>
        <v>28.75075199999992</v>
      </c>
      <c r="BN3" s="7">
        <v>630.52</v>
      </c>
      <c r="BO3" s="7">
        <v>0.9476</v>
      </c>
      <c r="BP3" s="7">
        <v>-568.73</v>
      </c>
      <c r="BX3" s="1014"/>
      <c r="BY3" s="1014"/>
      <c r="CA3" s="1014"/>
    </row>
    <row r="4" spans="4:79" ht="28.5" customHeight="1" x14ac:dyDescent="0.45">
      <c r="D4" s="8" t="s">
        <v>9</v>
      </c>
      <c r="E4" s="16" t="s">
        <v>1009</v>
      </c>
      <c r="F4" s="15"/>
      <c r="G4" s="15"/>
      <c r="H4" s="12"/>
      <c r="I4" s="12"/>
      <c r="J4" s="12"/>
      <c r="K4" s="2685" t="s">
        <v>162</v>
      </c>
      <c r="L4" s="2685"/>
      <c r="M4" s="2685"/>
      <c r="N4" s="2685"/>
      <c r="O4" s="2691" t="s">
        <v>149</v>
      </c>
      <c r="P4" s="2691"/>
      <c r="Q4" s="2691"/>
      <c r="R4" s="2691"/>
      <c r="S4" s="2691"/>
      <c r="T4" s="2691"/>
      <c r="U4" s="2691"/>
      <c r="V4" s="2691"/>
      <c r="W4" s="2691"/>
      <c r="X4" s="2691"/>
      <c r="Y4" s="2691"/>
      <c r="Z4" s="2691"/>
      <c r="AA4" s="2691"/>
      <c r="AB4" s="2691"/>
      <c r="AC4" s="2691"/>
      <c r="AD4" s="2691"/>
      <c r="AE4" s="2691"/>
      <c r="AF4" s="2691"/>
      <c r="AG4" s="2691"/>
      <c r="AH4" s="2691"/>
      <c r="AI4" s="2691"/>
      <c r="AJ4" s="1676"/>
      <c r="AK4" s="1676"/>
      <c r="AL4" s="1676"/>
      <c r="AN4" s="7"/>
      <c r="AO4" s="7"/>
      <c r="BL4" s="2636">
        <v>26</v>
      </c>
      <c r="BM4" s="7">
        <f>(BN4*BO4)+BP4</f>
        <v>31.125760000000014</v>
      </c>
      <c r="BN4" s="7">
        <v>697.6</v>
      </c>
      <c r="BO4" s="7">
        <v>0.9476</v>
      </c>
      <c r="BP4" s="7">
        <v>-629.91999999999996</v>
      </c>
      <c r="BX4" s="7"/>
      <c r="BY4" s="7"/>
      <c r="CA4" s="7"/>
    </row>
    <row r="5" spans="4:79" ht="28.5" customHeight="1" x14ac:dyDescent="0.45">
      <c r="D5" s="8" t="s">
        <v>427</v>
      </c>
      <c r="E5" s="11"/>
      <c r="F5" s="12"/>
      <c r="G5" s="12"/>
      <c r="H5" s="12"/>
      <c r="I5" s="12"/>
      <c r="J5" s="12"/>
      <c r="K5" s="2508" t="s">
        <v>1010</v>
      </c>
      <c r="L5" s="185"/>
      <c r="M5" s="185"/>
      <c r="N5" s="185"/>
      <c r="O5" s="188"/>
      <c r="P5" s="186"/>
      <c r="Q5" s="186"/>
      <c r="R5" s="186"/>
      <c r="S5" s="186" t="s">
        <v>1084</v>
      </c>
      <c r="T5" s="186"/>
      <c r="U5" s="188"/>
      <c r="V5" s="186"/>
      <c r="W5" s="186"/>
      <c r="X5" s="1372"/>
      <c r="Y5" s="186"/>
      <c r="AD5" s="1372"/>
      <c r="AF5" s="2509"/>
      <c r="AN5" s="2508" t="s">
        <v>1010</v>
      </c>
      <c r="AO5" s="185"/>
      <c r="BL5" s="2636"/>
      <c r="BX5" s="186" t="s">
        <v>1084</v>
      </c>
      <c r="BY5" s="186"/>
      <c r="CA5" s="188"/>
    </row>
    <row r="6" spans="4:79" ht="21.4" customHeight="1" x14ac:dyDescent="0.35">
      <c r="D6" s="17"/>
      <c r="J6" s="18" t="s">
        <v>355</v>
      </c>
      <c r="K6" s="712">
        <v>1</v>
      </c>
      <c r="L6" s="212">
        <v>2</v>
      </c>
      <c r="M6" s="212">
        <v>3</v>
      </c>
      <c r="N6" s="212">
        <v>4</v>
      </c>
      <c r="O6" s="190">
        <v>5</v>
      </c>
      <c r="P6" s="191">
        <v>6</v>
      </c>
      <c r="Q6" s="191">
        <v>7</v>
      </c>
      <c r="R6" s="212">
        <v>8</v>
      </c>
      <c r="S6" s="212">
        <v>9</v>
      </c>
      <c r="T6" s="191">
        <v>10</v>
      </c>
      <c r="U6" s="190">
        <v>11</v>
      </c>
      <c r="V6" s="191">
        <v>12</v>
      </c>
      <c r="W6" s="191">
        <v>13</v>
      </c>
      <c r="X6" s="1373">
        <v>14</v>
      </c>
      <c r="Y6" s="191">
        <v>15</v>
      </c>
      <c r="Z6" s="212">
        <v>16</v>
      </c>
      <c r="AA6" s="212">
        <v>17</v>
      </c>
      <c r="AB6" s="212">
        <v>18</v>
      </c>
      <c r="AC6" s="212">
        <v>19</v>
      </c>
      <c r="AD6" s="1375">
        <v>20</v>
      </c>
      <c r="AE6" s="212">
        <v>21</v>
      </c>
      <c r="AF6" s="2510">
        <v>22</v>
      </c>
      <c r="AG6" s="212">
        <v>23</v>
      </c>
      <c r="AH6" s="212">
        <v>24</v>
      </c>
      <c r="AI6" s="212">
        <v>25</v>
      </c>
      <c r="AJ6" s="212">
        <v>26</v>
      </c>
      <c r="AK6" s="212">
        <v>27</v>
      </c>
      <c r="AL6" s="212">
        <v>28</v>
      </c>
      <c r="AN6" s="712">
        <v>1</v>
      </c>
      <c r="AO6" s="212">
        <v>1</v>
      </c>
      <c r="AQ6" s="7">
        <v>1.5</v>
      </c>
      <c r="AR6" s="212">
        <v>2</v>
      </c>
      <c r="AU6" s="212">
        <v>3</v>
      </c>
      <c r="AV6" s="7">
        <v>3</v>
      </c>
      <c r="AW6" s="7">
        <v>3</v>
      </c>
      <c r="AY6" s="7">
        <v>4</v>
      </c>
      <c r="AZ6" s="7">
        <v>4</v>
      </c>
      <c r="BA6" s="7">
        <v>4</v>
      </c>
      <c r="BD6" s="7">
        <v>4.5</v>
      </c>
      <c r="BE6" s="7">
        <v>5</v>
      </c>
      <c r="BI6" s="7" t="s">
        <v>921</v>
      </c>
      <c r="BX6" s="212">
        <v>9</v>
      </c>
      <c r="BY6" s="191">
        <v>10</v>
      </c>
      <c r="CA6" s="190">
        <v>11</v>
      </c>
    </row>
    <row r="7" spans="4:79" ht="16.899999999999999" customHeight="1" thickBot="1" x14ac:dyDescent="0.4">
      <c r="D7" s="17"/>
      <c r="J7" s="18" t="s">
        <v>354</v>
      </c>
      <c r="K7" s="428" t="s">
        <v>1061</v>
      </c>
      <c r="L7" s="12" t="s">
        <v>1074</v>
      </c>
      <c r="M7" s="2602"/>
      <c r="N7" s="12"/>
      <c r="O7" s="2633"/>
      <c r="P7" s="2634"/>
      <c r="Q7" s="12"/>
      <c r="R7" s="12"/>
      <c r="S7" s="12" t="s">
        <v>1119</v>
      </c>
      <c r="T7" s="2664" t="s">
        <v>930</v>
      </c>
      <c r="U7" s="184" t="s">
        <v>931</v>
      </c>
      <c r="V7" s="12"/>
      <c r="W7" s="12"/>
      <c r="X7" s="1374"/>
      <c r="Y7" s="12"/>
      <c r="AD7" s="1376"/>
      <c r="AF7" s="2511"/>
      <c r="AN7" s="428" t="s">
        <v>1060</v>
      </c>
      <c r="AO7" s="12" t="s">
        <v>1059</v>
      </c>
      <c r="AR7" s="12" t="s">
        <v>1074</v>
      </c>
      <c r="AU7" s="2621">
        <v>0.58333333333333337</v>
      </c>
      <c r="AV7" s="2622">
        <v>0.83333333333333337</v>
      </c>
      <c r="AW7" s="2622">
        <v>0.33333333333333331</v>
      </c>
      <c r="AY7" s="2622">
        <v>0.54166666666666663</v>
      </c>
      <c r="AZ7" s="2622">
        <v>0.83333333333333337</v>
      </c>
      <c r="BA7" s="2622">
        <v>0.33333333333333331</v>
      </c>
      <c r="BD7" s="2622">
        <v>0.83333333333333337</v>
      </c>
      <c r="BE7" s="2622">
        <v>0.33333333333333331</v>
      </c>
      <c r="BI7" s="2622">
        <v>0.58333333333333337</v>
      </c>
      <c r="BJ7" s="2622">
        <v>0.33333333333333331</v>
      </c>
      <c r="BK7" s="2622"/>
      <c r="BN7" s="2622" t="s">
        <v>1076</v>
      </c>
      <c r="BO7" s="2622" t="s">
        <v>1077</v>
      </c>
      <c r="BR7" s="2622"/>
      <c r="BS7" s="2622"/>
      <c r="BU7" s="2662" t="s">
        <v>1104</v>
      </c>
      <c r="BV7" s="2663" t="s">
        <v>1105</v>
      </c>
      <c r="BX7" s="12" t="s">
        <v>1083</v>
      </c>
      <c r="BY7" s="2664" t="s">
        <v>1105</v>
      </c>
      <c r="CA7" s="184" t="s">
        <v>930</v>
      </c>
    </row>
    <row r="8" spans="4:79" ht="16.5" thickBot="1" x14ac:dyDescent="0.4">
      <c r="D8" s="19" t="s">
        <v>11</v>
      </c>
      <c r="E8" s="20" t="s">
        <v>12</v>
      </c>
      <c r="F8" s="21" t="s">
        <v>13</v>
      </c>
      <c r="G8" s="22" t="s">
        <v>361</v>
      </c>
      <c r="H8" s="22" t="s">
        <v>361</v>
      </c>
      <c r="I8" s="22" t="s">
        <v>361</v>
      </c>
      <c r="J8" s="22" t="s">
        <v>361</v>
      </c>
      <c r="K8" s="22" t="s">
        <v>15</v>
      </c>
      <c r="L8" s="110" t="s">
        <v>15</v>
      </c>
      <c r="M8" s="110" t="s">
        <v>15</v>
      </c>
      <c r="N8" s="111" t="s">
        <v>15</v>
      </c>
      <c r="O8" s="111" t="s">
        <v>15</v>
      </c>
      <c r="P8" s="111" t="s">
        <v>15</v>
      </c>
      <c r="Q8" s="111" t="s">
        <v>15</v>
      </c>
      <c r="R8" s="111" t="s">
        <v>15</v>
      </c>
      <c r="S8" s="111" t="s">
        <v>15</v>
      </c>
      <c r="T8" s="111" t="s">
        <v>15</v>
      </c>
      <c r="U8" s="111" t="s">
        <v>15</v>
      </c>
      <c r="V8" s="111" t="s">
        <v>15</v>
      </c>
      <c r="W8" s="111" t="s">
        <v>15</v>
      </c>
      <c r="X8" s="111" t="s">
        <v>15</v>
      </c>
      <c r="Y8" s="111" t="s">
        <v>15</v>
      </c>
      <c r="Z8" s="111" t="s">
        <v>15</v>
      </c>
      <c r="AA8" s="111" t="s">
        <v>15</v>
      </c>
      <c r="AB8" s="111" t="s">
        <v>15</v>
      </c>
      <c r="AC8" s="111" t="s">
        <v>15</v>
      </c>
      <c r="AD8" s="111" t="s">
        <v>15</v>
      </c>
      <c r="AE8" s="111" t="s">
        <v>15</v>
      </c>
      <c r="AF8" s="111" t="s">
        <v>15</v>
      </c>
      <c r="AG8" s="111" t="s">
        <v>15</v>
      </c>
      <c r="AH8" s="111" t="s">
        <v>15</v>
      </c>
      <c r="AI8" s="111" t="s">
        <v>15</v>
      </c>
      <c r="AJ8" s="111" t="s">
        <v>15</v>
      </c>
      <c r="AK8" s="111" t="s">
        <v>15</v>
      </c>
      <c r="AL8" s="111" t="s">
        <v>15</v>
      </c>
      <c r="AN8" s="22" t="s">
        <v>15</v>
      </c>
      <c r="AO8" s="110" t="s">
        <v>15</v>
      </c>
      <c r="AR8" s="22" t="s">
        <v>15</v>
      </c>
      <c r="AU8" s="22" t="s">
        <v>15</v>
      </c>
      <c r="AV8" s="110"/>
      <c r="AW8" s="110"/>
      <c r="AY8" s="22"/>
      <c r="AZ8" s="110"/>
      <c r="BA8" s="110"/>
      <c r="BD8" s="22"/>
      <c r="BE8" s="110"/>
      <c r="BI8" s="110"/>
      <c r="BJ8" s="110"/>
      <c r="BK8" s="2638"/>
      <c r="BN8" s="110" t="s">
        <v>927</v>
      </c>
      <c r="BO8" s="110" t="s">
        <v>927</v>
      </c>
      <c r="BR8" s="110"/>
      <c r="BS8" s="110" t="s">
        <v>928</v>
      </c>
      <c r="BU8" s="110" t="s">
        <v>929</v>
      </c>
      <c r="BV8" s="110" t="s">
        <v>929</v>
      </c>
      <c r="BX8" s="111" t="s">
        <v>15</v>
      </c>
      <c r="BY8" s="111" t="s">
        <v>15</v>
      </c>
      <c r="CA8" s="111" t="s">
        <v>15</v>
      </c>
    </row>
    <row r="9" spans="4:79" ht="19.5" customHeight="1" x14ac:dyDescent="0.35">
      <c r="D9" s="23" t="s">
        <v>16</v>
      </c>
      <c r="E9" s="24" t="s">
        <v>17</v>
      </c>
      <c r="F9" s="25" t="s">
        <v>18</v>
      </c>
      <c r="G9" s="26"/>
      <c r="H9" s="26"/>
      <c r="I9" s="26"/>
      <c r="J9" s="26"/>
      <c r="K9" s="27"/>
      <c r="L9" s="28"/>
      <c r="M9" s="28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192"/>
      <c r="Z9" s="590"/>
      <c r="AA9" s="172"/>
      <c r="AB9" s="172"/>
      <c r="AC9" s="172"/>
      <c r="AD9" s="172"/>
      <c r="AE9" s="172"/>
      <c r="AF9" s="172"/>
      <c r="AG9" s="172"/>
      <c r="AH9" s="172"/>
      <c r="AI9" s="172"/>
      <c r="AJ9" s="172"/>
      <c r="AK9" s="172"/>
      <c r="AL9" s="172"/>
      <c r="AN9" s="27"/>
      <c r="AO9" s="28"/>
      <c r="AR9" s="27"/>
      <c r="AU9" s="27"/>
      <c r="AV9" s="28"/>
      <c r="AW9" s="28"/>
      <c r="AY9" s="27"/>
      <c r="AZ9" s="28"/>
      <c r="BA9" s="28"/>
      <c r="BD9" s="27"/>
      <c r="BE9" s="28"/>
      <c r="BI9" s="28"/>
      <c r="BJ9" s="28"/>
      <c r="BK9" s="2639"/>
      <c r="BN9" s="28"/>
      <c r="BO9" s="28"/>
      <c r="BR9" s="28"/>
      <c r="BS9" s="28"/>
      <c r="BU9" s="28"/>
      <c r="BV9" s="28"/>
      <c r="BX9" s="29"/>
      <c r="BY9" s="29"/>
      <c r="CA9" s="29"/>
    </row>
    <row r="10" spans="4:79" ht="19.5" customHeight="1" x14ac:dyDescent="0.35">
      <c r="D10" s="30" t="s">
        <v>835</v>
      </c>
      <c r="E10" s="31" t="s">
        <v>17</v>
      </c>
      <c r="F10" s="32"/>
      <c r="G10" s="33">
        <f>(141.5/G11)-131.5</f>
        <v>2.725004742933038</v>
      </c>
      <c r="H10" s="33">
        <f>(141.5/H11)-131.5</f>
        <v>2.725004742933038</v>
      </c>
      <c r="I10" s="33">
        <f>(141.5/I11)-131.5</f>
        <v>2.725004742933038</v>
      </c>
      <c r="J10" s="33">
        <f>(141.5/J11)-131.5</f>
        <v>2.725004742933038</v>
      </c>
      <c r="K10" s="34">
        <v>13.26</v>
      </c>
      <c r="L10" s="35">
        <v>12.63</v>
      </c>
      <c r="M10" s="35">
        <v>11.93</v>
      </c>
      <c r="N10" s="36">
        <v>11.94</v>
      </c>
      <c r="O10" s="36">
        <v>18.440000000000001</v>
      </c>
      <c r="P10" s="36">
        <v>17.690000000000001</v>
      </c>
      <c r="Q10" s="36">
        <v>17.2</v>
      </c>
      <c r="R10" s="36">
        <v>16.96</v>
      </c>
      <c r="S10" s="36">
        <v>16.23</v>
      </c>
      <c r="T10" s="36">
        <v>16.47</v>
      </c>
      <c r="U10" s="36">
        <v>16.18</v>
      </c>
      <c r="V10" s="36">
        <v>16.05</v>
      </c>
      <c r="W10" s="36">
        <v>16</v>
      </c>
      <c r="X10" s="36"/>
      <c r="Y10" s="193"/>
      <c r="Z10" s="577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N10" s="34">
        <v>13.76</v>
      </c>
      <c r="AO10" s="35">
        <v>13.26</v>
      </c>
      <c r="AR10" s="34">
        <v>12.63</v>
      </c>
      <c r="AU10" s="34">
        <v>11.93</v>
      </c>
      <c r="AV10" s="35"/>
      <c r="AW10" s="35"/>
      <c r="AY10" s="34"/>
      <c r="AZ10" s="35"/>
      <c r="BA10" s="35"/>
      <c r="BD10" s="34">
        <v>16.16</v>
      </c>
      <c r="BE10" s="35">
        <v>18.440000000000001</v>
      </c>
      <c r="BI10" s="35"/>
      <c r="BJ10" s="35"/>
      <c r="BK10" s="2640"/>
      <c r="BN10" s="35">
        <v>17.2</v>
      </c>
      <c r="BO10" s="35">
        <v>17.91</v>
      </c>
      <c r="BR10" s="35"/>
      <c r="BS10" s="35"/>
      <c r="BU10" s="35"/>
      <c r="BV10" s="35"/>
      <c r="BX10" s="36">
        <v>16.23</v>
      </c>
      <c r="BY10" s="36">
        <v>16.940000000000001</v>
      </c>
      <c r="CA10" s="36">
        <v>16.47</v>
      </c>
    </row>
    <row r="11" spans="4:79" ht="19.5" customHeight="1" x14ac:dyDescent="0.35">
      <c r="D11" s="37" t="s">
        <v>836</v>
      </c>
      <c r="E11" s="31" t="s">
        <v>22</v>
      </c>
      <c r="F11" s="32" t="s">
        <v>23</v>
      </c>
      <c r="G11" s="39">
        <v>1.0542</v>
      </c>
      <c r="H11" s="39">
        <v>1.0542</v>
      </c>
      <c r="I11" s="39">
        <v>1.0542</v>
      </c>
      <c r="J11" s="39">
        <v>1.0542</v>
      </c>
      <c r="K11" s="39">
        <v>0.97650000000000003</v>
      </c>
      <c r="L11" s="40">
        <v>0.98080000000000001</v>
      </c>
      <c r="M11" s="40">
        <v>0.98560000000000003</v>
      </c>
      <c r="N11" s="41">
        <v>0.98550000000000004</v>
      </c>
      <c r="O11" s="41">
        <v>0.94279999999999997</v>
      </c>
      <c r="P11" s="41">
        <v>0.9476</v>
      </c>
      <c r="Q11" s="41">
        <v>0.95009999999999994</v>
      </c>
      <c r="R11" s="41">
        <v>0.95220000000000005</v>
      </c>
      <c r="S11" s="41">
        <v>0.95689999999999997</v>
      </c>
      <c r="T11" s="41">
        <v>0.95630000000000004</v>
      </c>
      <c r="U11" s="41">
        <v>0.95720000000000005</v>
      </c>
      <c r="V11" s="148">
        <v>0.95799999999999996</v>
      </c>
      <c r="W11" s="148">
        <v>0.95840000000000003</v>
      </c>
      <c r="X11" s="41"/>
      <c r="Y11" s="32"/>
      <c r="Z11" s="577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N11" s="39">
        <v>0.97319999999999995</v>
      </c>
      <c r="AO11" s="40">
        <v>0.97650000000000003</v>
      </c>
      <c r="AR11" s="39">
        <v>0.98080000000000001</v>
      </c>
      <c r="AU11" s="39">
        <v>0.98560000000000003</v>
      </c>
      <c r="AV11" s="40">
        <v>0.98550000000000004</v>
      </c>
      <c r="AW11" s="40">
        <v>0.98560000000000003</v>
      </c>
      <c r="AY11" s="39">
        <v>0.98529999999999995</v>
      </c>
      <c r="AZ11" s="40"/>
      <c r="BA11" s="40">
        <v>0.98550000000000004</v>
      </c>
      <c r="BD11" s="39">
        <v>0.95679999999999998</v>
      </c>
      <c r="BE11" s="40">
        <v>0.94279999999999997</v>
      </c>
      <c r="BI11" s="40">
        <v>0.94640000000000002</v>
      </c>
      <c r="BJ11" s="40">
        <v>0.9476</v>
      </c>
      <c r="BK11" s="18"/>
      <c r="BN11" s="40">
        <v>0.95009999999999994</v>
      </c>
      <c r="BO11" s="40">
        <v>0.9456</v>
      </c>
      <c r="BR11" s="40"/>
      <c r="BS11" s="40"/>
      <c r="BU11" s="40"/>
      <c r="BV11" s="40"/>
      <c r="BX11" s="41">
        <v>0.95689999999999997</v>
      </c>
      <c r="BY11" s="41">
        <v>0.95230000000000004</v>
      </c>
      <c r="CA11" s="41">
        <v>0.95630000000000004</v>
      </c>
    </row>
    <row r="12" spans="4:79" ht="19.5" customHeight="1" x14ac:dyDescent="0.35">
      <c r="D12" s="37" t="s">
        <v>24</v>
      </c>
      <c r="E12" s="31" t="s">
        <v>25</v>
      </c>
      <c r="F12" s="32" t="s">
        <v>17</v>
      </c>
      <c r="G12" s="39">
        <v>1.0509999999999999</v>
      </c>
      <c r="H12" s="39">
        <v>1.0509999999999999</v>
      </c>
      <c r="I12" s="39">
        <v>1.0509999999999999</v>
      </c>
      <c r="J12" s="39">
        <v>1.0509999999999999</v>
      </c>
      <c r="K12" s="38"/>
      <c r="L12" s="42"/>
      <c r="M12" s="42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194"/>
      <c r="Z12" s="591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N12" s="38"/>
      <c r="AO12" s="42"/>
      <c r="AR12" s="38"/>
      <c r="AU12" s="38"/>
      <c r="AV12" s="42"/>
      <c r="AW12" s="42"/>
      <c r="AY12" s="38"/>
      <c r="AZ12" s="42"/>
      <c r="BA12" s="42"/>
      <c r="BD12" s="38"/>
      <c r="BE12" s="42"/>
      <c r="BI12" s="42"/>
      <c r="BJ12" s="42"/>
      <c r="BK12" s="2641"/>
      <c r="BN12" s="42"/>
      <c r="BO12" s="42"/>
      <c r="BR12" s="42"/>
      <c r="BS12" s="42"/>
      <c r="BU12" s="42"/>
      <c r="BV12" s="42"/>
      <c r="BX12" s="43"/>
      <c r="BY12" s="43"/>
      <c r="CA12" s="43"/>
    </row>
    <row r="13" spans="4:79" ht="19.5" customHeight="1" x14ac:dyDescent="0.35">
      <c r="D13" s="44" t="s">
        <v>26</v>
      </c>
      <c r="E13" s="2677" t="s">
        <v>27</v>
      </c>
      <c r="F13" s="2680" t="s">
        <v>28</v>
      </c>
      <c r="G13" s="38"/>
      <c r="H13" s="38"/>
      <c r="I13" s="38"/>
      <c r="J13" s="38"/>
      <c r="K13" s="38"/>
      <c r="L13" s="42"/>
      <c r="M13" s="42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194"/>
      <c r="Z13" s="590"/>
      <c r="AA13" s="172"/>
      <c r="AB13" s="172"/>
      <c r="AC13" s="172"/>
      <c r="AD13" s="172"/>
      <c r="AE13" s="172"/>
      <c r="AF13" s="172"/>
      <c r="AG13" s="172"/>
      <c r="AH13" s="172"/>
      <c r="AI13" s="172"/>
      <c r="AJ13" s="172"/>
      <c r="AK13" s="172"/>
      <c r="AL13" s="172"/>
      <c r="AN13" s="38"/>
      <c r="AO13" s="42"/>
      <c r="AR13" s="38"/>
      <c r="AU13" s="38"/>
      <c r="AV13" s="42"/>
      <c r="AW13" s="42"/>
      <c r="AY13" s="38"/>
      <c r="AZ13" s="42"/>
      <c r="BA13" s="42"/>
      <c r="BD13" s="38"/>
      <c r="BE13" s="42"/>
      <c r="BI13" s="42"/>
      <c r="BJ13" s="42"/>
      <c r="BK13" s="2641"/>
      <c r="BN13" s="42"/>
      <c r="BO13" s="42"/>
      <c r="BR13" s="42"/>
      <c r="BS13" s="42"/>
      <c r="BU13" s="42"/>
      <c r="BV13" s="42"/>
      <c r="BX13" s="43"/>
      <c r="BY13" s="43"/>
      <c r="CA13" s="43"/>
    </row>
    <row r="14" spans="4:79" ht="19.5" customHeight="1" x14ac:dyDescent="0.35">
      <c r="D14" s="44" t="s">
        <v>29</v>
      </c>
      <c r="E14" s="2678"/>
      <c r="F14" s="2681"/>
      <c r="G14" s="47"/>
      <c r="H14" s="47"/>
      <c r="I14" s="47"/>
      <c r="J14" s="47"/>
      <c r="K14" s="47"/>
      <c r="L14" s="55"/>
      <c r="M14" s="55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195"/>
      <c r="Z14" s="590"/>
      <c r="AA14" s="172"/>
      <c r="AB14" s="172"/>
      <c r="AC14" s="172"/>
      <c r="AD14" s="172"/>
      <c r="AE14" s="172"/>
      <c r="AF14" s="172"/>
      <c r="AG14" s="172"/>
      <c r="AH14" s="172"/>
      <c r="AI14" s="172"/>
      <c r="AJ14" s="172"/>
      <c r="AK14" s="172"/>
      <c r="AL14" s="172"/>
      <c r="AN14" s="47"/>
      <c r="AO14" s="55"/>
      <c r="AR14" s="47"/>
      <c r="AU14" s="47"/>
      <c r="AV14" s="55"/>
      <c r="AW14" s="55"/>
      <c r="AY14" s="47"/>
      <c r="AZ14" s="55"/>
      <c r="BA14" s="55"/>
      <c r="BD14" s="47"/>
      <c r="BE14" s="55"/>
      <c r="BI14" s="55"/>
      <c r="BJ14" s="55"/>
      <c r="BK14" s="2642"/>
      <c r="BN14" s="55"/>
      <c r="BO14" s="55"/>
      <c r="BR14" s="55"/>
      <c r="BS14" s="55"/>
      <c r="BU14" s="55"/>
      <c r="BV14" s="55"/>
      <c r="BX14" s="56"/>
      <c r="BY14" s="56"/>
      <c r="CA14" s="56"/>
    </row>
    <row r="15" spans="4:79" ht="19.5" customHeight="1" x14ac:dyDescent="0.35">
      <c r="D15" s="44" t="s">
        <v>30</v>
      </c>
      <c r="E15" s="2678"/>
      <c r="F15" s="2681"/>
      <c r="G15" s="47"/>
      <c r="H15" s="47"/>
      <c r="I15" s="47"/>
      <c r="J15" s="47"/>
      <c r="K15" s="47"/>
      <c r="L15" s="286"/>
      <c r="M15" s="286"/>
      <c r="N15" s="287"/>
      <c r="O15" s="287"/>
      <c r="P15" s="287"/>
      <c r="Q15" s="287"/>
      <c r="R15" s="287"/>
      <c r="S15" s="287"/>
      <c r="T15" s="287"/>
      <c r="U15" s="287"/>
      <c r="V15" s="287"/>
      <c r="W15" s="287"/>
      <c r="X15" s="287"/>
      <c r="Y15" s="288"/>
      <c r="Z15" s="591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N15" s="47"/>
      <c r="AO15" s="286"/>
      <c r="AR15" s="2630"/>
      <c r="AU15" s="2630"/>
      <c r="AV15" s="286"/>
      <c r="AW15" s="286"/>
      <c r="AY15" s="2630"/>
      <c r="AZ15" s="286"/>
      <c r="BA15" s="286"/>
      <c r="BD15" s="2630"/>
      <c r="BE15" s="286"/>
      <c r="BI15" s="286"/>
      <c r="BJ15" s="286"/>
      <c r="BK15" s="2643"/>
      <c r="BN15" s="286"/>
      <c r="BO15" s="286"/>
      <c r="BR15" s="286"/>
      <c r="BS15" s="286"/>
      <c r="BU15" s="286"/>
      <c r="BV15" s="286"/>
      <c r="BX15" s="287"/>
      <c r="BY15" s="287"/>
      <c r="CA15" s="287"/>
    </row>
    <row r="16" spans="4:79" ht="19.5" customHeight="1" x14ac:dyDescent="0.35">
      <c r="D16" s="44" t="s">
        <v>31</v>
      </c>
      <c r="E16" s="2678"/>
      <c r="F16" s="2681"/>
      <c r="G16" s="47"/>
      <c r="H16" s="47"/>
      <c r="I16" s="47"/>
      <c r="J16" s="47"/>
      <c r="K16" s="47"/>
      <c r="L16" s="55"/>
      <c r="M16" s="55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195"/>
      <c r="Z16" s="591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N16" s="47"/>
      <c r="AO16" s="55"/>
      <c r="AR16" s="47"/>
      <c r="AU16" s="47"/>
      <c r="AV16" s="55"/>
      <c r="AW16" s="55"/>
      <c r="AY16" s="47"/>
      <c r="AZ16" s="55"/>
      <c r="BA16" s="55"/>
      <c r="BD16" s="47"/>
      <c r="BE16" s="55"/>
      <c r="BI16" s="55"/>
      <c r="BJ16" s="55"/>
      <c r="BK16" s="2642"/>
      <c r="BN16" s="55"/>
      <c r="BO16" s="55"/>
      <c r="BR16" s="55"/>
      <c r="BS16" s="55"/>
      <c r="BU16" s="55"/>
      <c r="BV16" s="55"/>
      <c r="BX16" s="56"/>
      <c r="BY16" s="56"/>
      <c r="CA16" s="56"/>
    </row>
    <row r="17" spans="2:79" ht="19.5" customHeight="1" x14ac:dyDescent="0.35">
      <c r="D17" s="44" t="s">
        <v>428</v>
      </c>
      <c r="E17" s="2678"/>
      <c r="F17" s="2681"/>
      <c r="G17" s="47"/>
      <c r="H17" s="47"/>
      <c r="I17" s="47"/>
      <c r="J17" s="47"/>
      <c r="K17" s="47"/>
      <c r="L17" s="55"/>
      <c r="M17" s="55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195"/>
      <c r="Z17" s="591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N17" s="47"/>
      <c r="AO17" s="55"/>
      <c r="AR17" s="47"/>
      <c r="AU17" s="47"/>
      <c r="AV17" s="55"/>
      <c r="AW17" s="55"/>
      <c r="AY17" s="47"/>
      <c r="AZ17" s="55"/>
      <c r="BA17" s="55"/>
      <c r="BD17" s="47"/>
      <c r="BE17" s="55"/>
      <c r="BI17" s="55"/>
      <c r="BJ17" s="55"/>
      <c r="BK17" s="2642"/>
      <c r="BN17" s="55"/>
      <c r="BO17" s="55"/>
      <c r="BR17" s="55"/>
      <c r="BS17" s="55"/>
      <c r="BU17" s="55"/>
      <c r="BV17" s="55"/>
      <c r="BX17" s="56"/>
      <c r="BY17" s="56"/>
      <c r="CA17" s="56"/>
    </row>
    <row r="18" spans="2:79" ht="19.5" customHeight="1" x14ac:dyDescent="0.35">
      <c r="D18" s="44" t="s">
        <v>32</v>
      </c>
      <c r="E18" s="2678"/>
      <c r="F18" s="2681"/>
      <c r="G18" s="2527">
        <v>345.24</v>
      </c>
      <c r="H18" s="2527">
        <v>345.24</v>
      </c>
      <c r="I18" s="2527">
        <v>345.24</v>
      </c>
      <c r="J18" s="2527">
        <v>345.24</v>
      </c>
      <c r="K18" s="47"/>
      <c r="L18" s="55"/>
      <c r="M18" s="55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195"/>
      <c r="Z18" s="590"/>
      <c r="AA18" s="172"/>
      <c r="AB18" s="172"/>
      <c r="AC18" s="172"/>
      <c r="AD18" s="172"/>
      <c r="AE18" s="172"/>
      <c r="AF18" s="172"/>
      <c r="AG18" s="172"/>
      <c r="AH18" s="172"/>
      <c r="AI18" s="172"/>
      <c r="AJ18" s="172"/>
      <c r="AK18" s="172"/>
      <c r="AL18" s="172"/>
      <c r="AN18" s="47"/>
      <c r="AO18" s="55"/>
      <c r="AR18" s="47"/>
      <c r="AU18" s="47"/>
      <c r="AV18" s="55"/>
      <c r="AW18" s="55"/>
      <c r="AY18" s="47"/>
      <c r="AZ18" s="55"/>
      <c r="BA18" s="55"/>
      <c r="BD18" s="47"/>
      <c r="BE18" s="55"/>
      <c r="BI18" s="55"/>
      <c r="BJ18" s="55"/>
      <c r="BK18" s="2642"/>
      <c r="BN18" s="55"/>
      <c r="BO18" s="55"/>
      <c r="BR18" s="55"/>
      <c r="BS18" s="55"/>
      <c r="BU18" s="55"/>
      <c r="BV18" s="55"/>
      <c r="BX18" s="56"/>
      <c r="BY18" s="56"/>
      <c r="CA18" s="56"/>
    </row>
    <row r="19" spans="2:79" ht="19.5" customHeight="1" x14ac:dyDescent="0.35">
      <c r="D19" s="44" t="s">
        <v>33</v>
      </c>
      <c r="E19" s="2679"/>
      <c r="F19" s="2682"/>
      <c r="G19" s="2528">
        <v>46.58</v>
      </c>
      <c r="H19" s="2528">
        <v>46.58</v>
      </c>
      <c r="I19" s="2528">
        <v>46.58</v>
      </c>
      <c r="J19" s="2528">
        <v>46.58</v>
      </c>
      <c r="K19" s="47"/>
      <c r="L19" s="55"/>
      <c r="M19" s="55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195"/>
      <c r="Z19" s="590"/>
      <c r="AA19" s="172"/>
      <c r="AB19" s="172"/>
      <c r="AC19" s="172"/>
      <c r="AD19" s="172"/>
      <c r="AE19" s="172"/>
      <c r="AF19" s="172"/>
      <c r="AG19" s="172"/>
      <c r="AH19" s="172"/>
      <c r="AI19" s="172"/>
      <c r="AJ19" s="172"/>
      <c r="AK19" s="172"/>
      <c r="AL19" s="172"/>
      <c r="AN19" s="47"/>
      <c r="AO19" s="55"/>
      <c r="AR19" s="47"/>
      <c r="AU19" s="47"/>
      <c r="AV19" s="55"/>
      <c r="AW19" s="55"/>
      <c r="AY19" s="47"/>
      <c r="AZ19" s="55"/>
      <c r="BA19" s="55"/>
      <c r="BD19" s="47"/>
      <c r="BE19" s="55"/>
      <c r="BI19" s="55"/>
      <c r="BJ19" s="55"/>
      <c r="BK19" s="2642"/>
      <c r="BN19" s="55"/>
      <c r="BO19" s="55"/>
      <c r="BR19" s="55"/>
      <c r="BS19" s="55"/>
      <c r="BU19" s="55"/>
      <c r="BV19" s="55"/>
      <c r="BX19" s="56"/>
      <c r="BY19" s="56"/>
      <c r="CA19" s="56"/>
    </row>
    <row r="20" spans="2:79" ht="19.5" customHeight="1" x14ac:dyDescent="0.35">
      <c r="D20" s="2683" t="s">
        <v>34</v>
      </c>
      <c r="E20" s="58" t="s">
        <v>35</v>
      </c>
      <c r="F20" s="59" t="s">
        <v>36</v>
      </c>
      <c r="G20" s="2529">
        <v>5.9749999999999996</v>
      </c>
      <c r="H20" s="2529">
        <v>5.9279999999999999</v>
      </c>
      <c r="I20" s="2529">
        <v>5.9279999999999999</v>
      </c>
      <c r="J20" s="2529">
        <v>5.9279999999999999</v>
      </c>
      <c r="K20" s="60">
        <v>1.9584999999999999</v>
      </c>
      <c r="L20" s="62">
        <v>2.0884999999999998</v>
      </c>
      <c r="M20" s="62">
        <v>2.2799999999999998</v>
      </c>
      <c r="N20" s="63">
        <v>2.2450000000000001</v>
      </c>
      <c r="O20" s="112">
        <v>0.86699999999999999</v>
      </c>
      <c r="P20" s="112">
        <v>0.94099999999999995</v>
      </c>
      <c r="Q20" s="112">
        <v>1.0369999999999999</v>
      </c>
      <c r="R20" s="112">
        <v>1.121</v>
      </c>
      <c r="S20" s="112">
        <v>1.17</v>
      </c>
      <c r="T20" s="112">
        <v>1.214</v>
      </c>
      <c r="U20" s="112">
        <v>1.2669999999999999</v>
      </c>
      <c r="V20" s="112">
        <v>1.2909999999999999</v>
      </c>
      <c r="W20" s="112">
        <v>1.3149999999999999</v>
      </c>
      <c r="X20" s="112"/>
      <c r="Y20" s="196"/>
      <c r="Z20" s="577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N20" s="60">
        <v>1.899</v>
      </c>
      <c r="AO20" s="62">
        <v>2.0179999999999998</v>
      </c>
      <c r="AR20" s="77">
        <v>2.0884999999999998</v>
      </c>
      <c r="AU20" s="77">
        <v>2.2770000000000001</v>
      </c>
      <c r="AV20" s="62">
        <v>2.2709999999999999</v>
      </c>
      <c r="AW20" s="62">
        <v>2.2799999999999998</v>
      </c>
      <c r="AY20" s="77">
        <v>2.258</v>
      </c>
      <c r="AZ20" s="62"/>
      <c r="BA20" s="62">
        <v>2.2450000000000001</v>
      </c>
      <c r="BD20" s="77">
        <v>1.3320000000000001</v>
      </c>
      <c r="BE20" s="62">
        <v>0.86699999999999999</v>
      </c>
      <c r="BI20" s="62"/>
      <c r="BJ20" s="62"/>
      <c r="BK20" s="2644"/>
      <c r="BN20" s="62"/>
      <c r="BO20" s="62"/>
      <c r="BR20" s="62"/>
      <c r="BS20" s="62"/>
      <c r="BU20" s="62"/>
      <c r="BV20" s="62"/>
      <c r="BX20" s="112">
        <v>1.165</v>
      </c>
      <c r="BY20" s="112">
        <v>1.1739999999999999</v>
      </c>
      <c r="BZ20" s="2666">
        <f>AVERAGE(BX20:BY20)</f>
        <v>1.1695</v>
      </c>
      <c r="CA20" s="112">
        <v>1.214</v>
      </c>
    </row>
    <row r="21" spans="2:79" ht="19.5" customHeight="1" x14ac:dyDescent="0.35">
      <c r="D21" s="2683"/>
      <c r="E21" s="2684" t="s">
        <v>37</v>
      </c>
      <c r="F21" s="59" t="s">
        <v>36</v>
      </c>
      <c r="G21" s="47"/>
      <c r="H21" s="47"/>
      <c r="I21" s="47"/>
      <c r="J21" s="47"/>
      <c r="K21" s="47"/>
      <c r="L21" s="55"/>
      <c r="M21" s="55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195"/>
      <c r="Z21" s="590"/>
      <c r="AA21" s="172"/>
      <c r="AB21" s="172"/>
      <c r="AC21" s="172"/>
      <c r="AD21" s="172"/>
      <c r="AE21" s="172"/>
      <c r="AF21" s="172"/>
      <c r="AG21" s="172"/>
      <c r="AH21" s="172"/>
      <c r="AI21" s="172"/>
      <c r="AJ21" s="172"/>
      <c r="AK21" s="172"/>
      <c r="AL21" s="172"/>
      <c r="AN21" s="47"/>
      <c r="AO21" s="55"/>
      <c r="AR21" s="47"/>
      <c r="AU21" s="47"/>
      <c r="AV21" s="55"/>
      <c r="AW21" s="55"/>
      <c r="AY21" s="47"/>
      <c r="AZ21" s="55"/>
      <c r="BA21" s="55"/>
      <c r="BD21" s="47"/>
      <c r="BE21" s="55"/>
      <c r="BI21" s="55"/>
      <c r="BJ21" s="55"/>
      <c r="BK21" s="2642"/>
      <c r="BN21" s="55"/>
      <c r="BO21" s="55"/>
      <c r="BR21" s="55"/>
      <c r="BS21" s="55"/>
      <c r="BU21" s="55"/>
      <c r="BV21" s="55"/>
      <c r="BX21" s="56"/>
      <c r="BY21" s="56"/>
      <c r="BZ21" s="2666" t="e">
        <f t="shared" ref="BZ21:BZ84" si="0">AVERAGE(BX21:BY21)</f>
        <v>#DIV/0!</v>
      </c>
      <c r="CA21" s="56"/>
    </row>
    <row r="22" spans="2:79" ht="19.5" customHeight="1" x14ac:dyDescent="0.35">
      <c r="D22" s="2683"/>
      <c r="E22" s="2684"/>
      <c r="F22" s="59" t="s">
        <v>38</v>
      </c>
      <c r="G22" s="47"/>
      <c r="H22" s="47"/>
      <c r="I22" s="47"/>
      <c r="J22" s="47"/>
      <c r="K22" s="47"/>
      <c r="L22" s="55"/>
      <c r="M22" s="55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195"/>
      <c r="Z22" s="590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  <c r="AN22" s="47"/>
      <c r="AO22" s="55"/>
      <c r="AR22" s="47"/>
      <c r="AU22" s="47"/>
      <c r="AV22" s="55"/>
      <c r="AW22" s="55"/>
      <c r="AY22" s="47"/>
      <c r="AZ22" s="55"/>
      <c r="BA22" s="55"/>
      <c r="BD22" s="47"/>
      <c r="BE22" s="55"/>
      <c r="BI22" s="55"/>
      <c r="BJ22" s="55"/>
      <c r="BK22" s="2642"/>
      <c r="BN22" s="55"/>
      <c r="BO22" s="55"/>
      <c r="BR22" s="55"/>
      <c r="BS22" s="55"/>
      <c r="BU22" s="55"/>
      <c r="BV22" s="55"/>
      <c r="BX22" s="56"/>
      <c r="BY22" s="56"/>
      <c r="BZ22" s="2666" t="e">
        <f t="shared" si="0"/>
        <v>#DIV/0!</v>
      </c>
      <c r="CA22" s="56"/>
    </row>
    <row r="23" spans="2:79" ht="19.5" customHeight="1" x14ac:dyDescent="0.35">
      <c r="D23" s="2686" t="s">
        <v>39</v>
      </c>
      <c r="E23" s="64" t="s">
        <v>40</v>
      </c>
      <c r="F23" s="59" t="s">
        <v>38</v>
      </c>
      <c r="G23" s="65"/>
      <c r="H23" s="65"/>
      <c r="I23" s="65"/>
      <c r="J23" s="65"/>
      <c r="K23" s="47"/>
      <c r="L23" s="55"/>
      <c r="M23" s="55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195"/>
      <c r="Z23" s="590"/>
      <c r="AA23" s="172"/>
      <c r="AB23" s="172"/>
      <c r="AC23" s="172"/>
      <c r="AD23" s="172"/>
      <c r="AE23" s="172"/>
      <c r="AF23" s="172"/>
      <c r="AG23" s="172"/>
      <c r="AH23" s="172"/>
      <c r="AI23" s="172"/>
      <c r="AJ23" s="172"/>
      <c r="AK23" s="172"/>
      <c r="AL23" s="172"/>
      <c r="AN23" s="47"/>
      <c r="AO23" s="55"/>
      <c r="AR23" s="47"/>
      <c r="AU23" s="47"/>
      <c r="AV23" s="55"/>
      <c r="AW23" s="55"/>
      <c r="AY23" s="47"/>
      <c r="AZ23" s="55"/>
      <c r="BA23" s="55"/>
      <c r="BD23" s="47"/>
      <c r="BE23" s="55"/>
      <c r="BI23" s="55"/>
      <c r="BJ23" s="55"/>
      <c r="BK23" s="2642"/>
      <c r="BN23" s="55"/>
      <c r="BO23" s="55"/>
      <c r="BR23" s="55"/>
      <c r="BS23" s="55"/>
      <c r="BU23" s="55"/>
      <c r="BV23" s="55"/>
      <c r="BX23" s="56"/>
      <c r="BY23" s="56"/>
      <c r="BZ23" s="2666" t="e">
        <f t="shared" si="0"/>
        <v>#DIV/0!</v>
      </c>
      <c r="CA23" s="56"/>
    </row>
    <row r="24" spans="2:79" ht="19.5" customHeight="1" x14ac:dyDescent="0.35">
      <c r="D24" s="2687"/>
      <c r="E24" s="2677" t="s">
        <v>41</v>
      </c>
      <c r="F24" s="66" t="s">
        <v>38</v>
      </c>
      <c r="G24" s="2599">
        <v>3930.63</v>
      </c>
      <c r="H24" s="2530">
        <v>4041.95</v>
      </c>
      <c r="I24" s="2530">
        <v>4041.95</v>
      </c>
      <c r="J24" s="2530">
        <v>4041.95</v>
      </c>
      <c r="K24" s="68">
        <v>2817</v>
      </c>
      <c r="L24" s="70">
        <v>2944.9949999999999</v>
      </c>
      <c r="M24" s="70">
        <v>3097.58</v>
      </c>
      <c r="N24" s="71">
        <v>3018.15</v>
      </c>
      <c r="O24" s="71">
        <v>2417</v>
      </c>
      <c r="P24" s="71">
        <v>2557.7199999999998</v>
      </c>
      <c r="Q24" s="71">
        <v>2664.55</v>
      </c>
      <c r="R24" s="71">
        <v>2562</v>
      </c>
      <c r="S24" s="71">
        <v>2610.5100000000002</v>
      </c>
      <c r="T24" s="71">
        <v>2543</v>
      </c>
      <c r="U24" s="71">
        <v>2775.8850000000002</v>
      </c>
      <c r="V24" s="71">
        <v>2593.16</v>
      </c>
      <c r="W24" s="71">
        <v>2669.55</v>
      </c>
      <c r="X24" s="71"/>
      <c r="Y24" s="197"/>
      <c r="Z24" s="577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N24" s="68">
        <v>3019.71</v>
      </c>
      <c r="AO24" s="70">
        <v>2817</v>
      </c>
      <c r="AR24" s="69">
        <v>2900.66</v>
      </c>
      <c r="AU24" s="69"/>
      <c r="AV24" s="70"/>
      <c r="AW24" s="70"/>
      <c r="AY24" s="69"/>
      <c r="AZ24" s="70"/>
      <c r="BA24" s="70"/>
      <c r="BD24" s="69">
        <v>2629.03</v>
      </c>
      <c r="BE24" s="70">
        <v>2417.33</v>
      </c>
      <c r="BI24" s="70"/>
      <c r="BJ24" s="70"/>
      <c r="BK24" s="2645"/>
      <c r="BN24" s="70"/>
      <c r="BO24" s="70"/>
      <c r="BR24" s="70"/>
      <c r="BS24" s="70"/>
      <c r="BU24" s="70"/>
      <c r="BV24" s="70"/>
      <c r="BX24" s="71">
        <v>2610.5100000000002</v>
      </c>
      <c r="BY24" s="71">
        <v>2510.04</v>
      </c>
      <c r="BZ24" s="2666">
        <f t="shared" si="0"/>
        <v>2560.2750000000001</v>
      </c>
      <c r="CA24" s="71">
        <v>2543.4699999999998</v>
      </c>
    </row>
    <row r="25" spans="2:79" ht="19.5" customHeight="1" x14ac:dyDescent="0.35">
      <c r="B25" s="72">
        <v>0.45190000000000002</v>
      </c>
      <c r="D25" s="2688"/>
      <c r="E25" s="2679"/>
      <c r="F25" s="66" t="s">
        <v>36</v>
      </c>
      <c r="G25" s="160">
        <f>G24/10000</f>
        <v>0.393063</v>
      </c>
      <c r="H25" s="160">
        <f>H24/10000</f>
        <v>0.40419499999999997</v>
      </c>
      <c r="I25" s="160">
        <f>I24/10000</f>
        <v>0.40419499999999997</v>
      </c>
      <c r="J25" s="160">
        <f>J24/10000</f>
        <v>0.40419499999999997</v>
      </c>
      <c r="K25" s="74">
        <v>0.28170000000000001</v>
      </c>
      <c r="L25" s="74">
        <f t="shared" ref="L25:Z25" si="1">L24/10000</f>
        <v>0.29449949999999997</v>
      </c>
      <c r="M25" s="74">
        <f t="shared" si="1"/>
        <v>0.30975799999999998</v>
      </c>
      <c r="N25" s="74">
        <f t="shared" si="1"/>
        <v>0.301815</v>
      </c>
      <c r="O25" s="74">
        <f t="shared" si="1"/>
        <v>0.2417</v>
      </c>
      <c r="P25" s="74">
        <f t="shared" si="1"/>
        <v>0.255772</v>
      </c>
      <c r="Q25" s="74">
        <f t="shared" si="1"/>
        <v>0.266455</v>
      </c>
      <c r="R25" s="74">
        <f t="shared" si="1"/>
        <v>0.25619999999999998</v>
      </c>
      <c r="S25" s="74">
        <f t="shared" si="1"/>
        <v>0.26105100000000003</v>
      </c>
      <c r="T25" s="74">
        <f t="shared" si="1"/>
        <v>0.25430000000000003</v>
      </c>
      <c r="U25" s="74">
        <f t="shared" si="1"/>
        <v>0.27758850000000002</v>
      </c>
      <c r="V25" s="74">
        <f t="shared" si="1"/>
        <v>0.25931599999999999</v>
      </c>
      <c r="W25" s="74">
        <f t="shared" si="1"/>
        <v>0.266955</v>
      </c>
      <c r="X25" s="74">
        <f t="shared" si="1"/>
        <v>0</v>
      </c>
      <c r="Y25" s="74">
        <f t="shared" si="1"/>
        <v>0</v>
      </c>
      <c r="Z25" s="578">
        <f t="shared" si="1"/>
        <v>0</v>
      </c>
      <c r="AA25" s="74">
        <f t="shared" ref="AA25:AB25" si="2">AA24/10000</f>
        <v>0</v>
      </c>
      <c r="AB25" s="74">
        <f t="shared" si="2"/>
        <v>0</v>
      </c>
      <c r="AC25" s="74">
        <f t="shared" ref="AC25:AI25" si="3">AC24/10000</f>
        <v>0</v>
      </c>
      <c r="AD25" s="74">
        <f t="shared" si="3"/>
        <v>0</v>
      </c>
      <c r="AE25" s="74">
        <f t="shared" si="3"/>
        <v>0</v>
      </c>
      <c r="AF25" s="74">
        <f t="shared" si="3"/>
        <v>0</v>
      </c>
      <c r="AG25" s="74">
        <f t="shared" si="3"/>
        <v>0</v>
      </c>
      <c r="AH25" s="74">
        <f t="shared" si="3"/>
        <v>0</v>
      </c>
      <c r="AI25" s="74">
        <f t="shared" si="3"/>
        <v>0</v>
      </c>
      <c r="AJ25" s="74">
        <f t="shared" ref="AJ25:AL25" si="4">AJ24/10000</f>
        <v>0</v>
      </c>
      <c r="AK25" s="74">
        <f t="shared" si="4"/>
        <v>0</v>
      </c>
      <c r="AL25" s="74">
        <f t="shared" si="4"/>
        <v>0</v>
      </c>
      <c r="AN25" s="74">
        <f t="shared" ref="AN25:AO25" si="5">AN24/10000</f>
        <v>0.30197099999999999</v>
      </c>
      <c r="AO25" s="74">
        <f t="shared" si="5"/>
        <v>0.28170000000000001</v>
      </c>
      <c r="AR25" s="74">
        <f t="shared" ref="AR25" si="6">AR24/10000</f>
        <v>0.29006599999999999</v>
      </c>
      <c r="AU25" s="74">
        <f>AU24/10000</f>
        <v>0</v>
      </c>
      <c r="AV25" s="74"/>
      <c r="AW25" s="74"/>
      <c r="AY25" s="74"/>
      <c r="AZ25" s="74"/>
      <c r="BA25" s="74"/>
      <c r="BD25" s="74">
        <v>0.262903</v>
      </c>
      <c r="BE25" s="74">
        <v>0.241733</v>
      </c>
      <c r="BI25" s="74"/>
      <c r="BJ25" s="74"/>
      <c r="BK25" s="2646"/>
      <c r="BN25" s="74"/>
      <c r="BO25" s="74"/>
      <c r="BR25" s="74"/>
      <c r="BS25" s="74"/>
      <c r="BU25" s="74"/>
      <c r="BV25" s="74"/>
      <c r="BX25" s="74">
        <f t="shared" ref="BX25:BY25" si="7">BX24/10000</f>
        <v>0.26105100000000003</v>
      </c>
      <c r="BY25" s="74">
        <f t="shared" si="7"/>
        <v>0.251004</v>
      </c>
      <c r="BZ25" s="2666">
        <f t="shared" si="0"/>
        <v>0.25602750000000002</v>
      </c>
      <c r="CA25" s="74">
        <f t="shared" ref="CA25" si="8">CA24/10000</f>
        <v>0.25434699999999999</v>
      </c>
    </row>
    <row r="26" spans="2:79" ht="19.5" customHeight="1" x14ac:dyDescent="0.35">
      <c r="D26" s="75" t="s">
        <v>42</v>
      </c>
      <c r="E26" s="2677" t="s">
        <v>43</v>
      </c>
      <c r="F26" s="2680" t="s">
        <v>36</v>
      </c>
      <c r="G26" s="47"/>
      <c r="H26" s="47"/>
      <c r="I26" s="47"/>
      <c r="J26" s="47"/>
      <c r="K26" s="47"/>
      <c r="L26" s="55"/>
      <c r="M26" s="55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195"/>
      <c r="Z26" s="590"/>
      <c r="AA26" s="172"/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  <c r="AN26" s="47"/>
      <c r="AO26" s="55"/>
      <c r="AR26" s="47"/>
      <c r="AU26" s="47"/>
      <c r="AV26" s="55"/>
      <c r="AW26" s="55"/>
      <c r="AY26" s="47"/>
      <c r="AZ26" s="55"/>
      <c r="BA26" s="55"/>
      <c r="BD26" s="47"/>
      <c r="BE26" s="55"/>
      <c r="BI26" s="55"/>
      <c r="BJ26" s="55"/>
      <c r="BK26" s="2642"/>
      <c r="BN26" s="55"/>
      <c r="BO26" s="55"/>
      <c r="BR26" s="55"/>
      <c r="BS26" s="55"/>
      <c r="BU26" s="55"/>
      <c r="BV26" s="55"/>
      <c r="BX26" s="56"/>
      <c r="BY26" s="56"/>
      <c r="BZ26" s="2666" t="e">
        <f t="shared" si="0"/>
        <v>#DIV/0!</v>
      </c>
      <c r="CA26" s="56"/>
    </row>
    <row r="27" spans="2:79" ht="19.5" customHeight="1" x14ac:dyDescent="0.35">
      <c r="B27" s="76"/>
      <c r="D27" s="44" t="s">
        <v>44</v>
      </c>
      <c r="E27" s="2678"/>
      <c r="F27" s="2681"/>
      <c r="G27" s="2531">
        <v>83.9</v>
      </c>
      <c r="H27" s="2531">
        <v>83.9</v>
      </c>
      <c r="I27" s="2531">
        <v>83.9</v>
      </c>
      <c r="J27" s="2531">
        <v>83.9</v>
      </c>
      <c r="K27" s="77">
        <v>87.68</v>
      </c>
      <c r="L27" s="62">
        <v>86.89</v>
      </c>
      <c r="M27" s="62">
        <v>88.44</v>
      </c>
      <c r="N27" s="62">
        <v>88.09</v>
      </c>
      <c r="O27" s="63">
        <v>88.54</v>
      </c>
      <c r="P27" s="63">
        <v>88.37</v>
      </c>
      <c r="Q27" s="63">
        <v>89.16</v>
      </c>
      <c r="R27" s="63">
        <v>89.59</v>
      </c>
      <c r="S27" s="63">
        <v>89.41</v>
      </c>
      <c r="T27" s="63">
        <v>89.56</v>
      </c>
      <c r="U27" s="63">
        <v>89.12</v>
      </c>
      <c r="V27" s="63">
        <v>89.66</v>
      </c>
      <c r="W27" s="63">
        <v>88.78</v>
      </c>
      <c r="X27" s="63"/>
      <c r="Y27" s="198"/>
      <c r="Z27" s="577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N27" s="77">
        <v>87.82</v>
      </c>
      <c r="AO27" s="62">
        <v>87.68</v>
      </c>
      <c r="AR27" s="77">
        <v>86.89</v>
      </c>
      <c r="AU27" s="77"/>
      <c r="AV27" s="62"/>
      <c r="AW27" s="62"/>
      <c r="AY27" s="77"/>
      <c r="AZ27" s="62"/>
      <c r="BA27" s="62"/>
      <c r="BD27" s="77">
        <v>88.05</v>
      </c>
      <c r="BE27" s="62">
        <v>88.54</v>
      </c>
      <c r="BI27" s="62"/>
      <c r="BJ27" s="62"/>
      <c r="BK27" s="2644"/>
      <c r="BN27" s="62"/>
      <c r="BO27" s="62"/>
      <c r="BR27" s="62"/>
      <c r="BS27" s="62"/>
      <c r="BU27" s="62"/>
      <c r="BV27" s="62"/>
      <c r="BX27" s="63">
        <v>89.41</v>
      </c>
      <c r="BY27" s="63">
        <v>89.58</v>
      </c>
      <c r="BZ27" s="2666">
        <f t="shared" si="0"/>
        <v>89.495000000000005</v>
      </c>
      <c r="CA27" s="63">
        <v>89.56</v>
      </c>
    </row>
    <row r="28" spans="2:79" ht="19.5" customHeight="1" x14ac:dyDescent="0.35">
      <c r="B28" s="76"/>
      <c r="D28" s="44" t="s">
        <v>45</v>
      </c>
      <c r="E28" s="2678"/>
      <c r="F28" s="2681"/>
      <c r="G28" s="2531">
        <v>9.7479999999999993</v>
      </c>
      <c r="H28" s="2531">
        <v>9.7479999999999993</v>
      </c>
      <c r="I28" s="2531">
        <v>9.7479999999999993</v>
      </c>
      <c r="J28" s="2531">
        <v>9.7479999999999993</v>
      </c>
      <c r="K28" s="77">
        <v>11.09</v>
      </c>
      <c r="L28" s="62">
        <v>10.74</v>
      </c>
      <c r="M28" s="62">
        <v>10.97</v>
      </c>
      <c r="N28" s="62">
        <v>10.92</v>
      </c>
      <c r="O28" s="63">
        <v>11.46</v>
      </c>
      <c r="P28" s="63">
        <v>11.4</v>
      </c>
      <c r="Q28" s="63">
        <v>11.25</v>
      </c>
      <c r="R28" s="63">
        <v>11.16</v>
      </c>
      <c r="S28" s="63">
        <v>11.17</v>
      </c>
      <c r="T28" s="63">
        <v>11.11</v>
      </c>
      <c r="U28" s="63">
        <v>11.11</v>
      </c>
      <c r="V28" s="63">
        <v>11.07</v>
      </c>
      <c r="W28" s="63">
        <v>11.19</v>
      </c>
      <c r="X28" s="63"/>
      <c r="Y28" s="198"/>
      <c r="Z28" s="577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N28" s="77">
        <v>11.06</v>
      </c>
      <c r="AO28" s="62">
        <v>11.09</v>
      </c>
      <c r="AR28" s="77">
        <v>10.74</v>
      </c>
      <c r="AU28" s="77"/>
      <c r="AV28" s="62"/>
      <c r="AW28" s="62"/>
      <c r="AY28" s="77"/>
      <c r="AZ28" s="62"/>
      <c r="BA28" s="62"/>
      <c r="BD28" s="77">
        <v>11.31</v>
      </c>
      <c r="BE28" s="62">
        <v>11.46</v>
      </c>
      <c r="BI28" s="62"/>
      <c r="BJ28" s="62"/>
      <c r="BK28" s="2644"/>
      <c r="BN28" s="62"/>
      <c r="BO28" s="62"/>
      <c r="BR28" s="62"/>
      <c r="BS28" s="62"/>
      <c r="BU28" s="62"/>
      <c r="BV28" s="62"/>
      <c r="BX28" s="63">
        <v>11.17</v>
      </c>
      <c r="BY28" s="63">
        <v>11.21</v>
      </c>
      <c r="BZ28" s="2666">
        <f t="shared" si="0"/>
        <v>11.190000000000001</v>
      </c>
      <c r="CA28" s="63">
        <v>11.11</v>
      </c>
    </row>
    <row r="29" spans="2:79" ht="19.5" customHeight="1" x14ac:dyDescent="0.35">
      <c r="B29" s="76"/>
      <c r="D29" s="44" t="s">
        <v>46</v>
      </c>
      <c r="E29" s="2679"/>
      <c r="F29" s="2682"/>
      <c r="G29" s="2531">
        <v>0.43840000000000001</v>
      </c>
      <c r="H29" s="2531">
        <v>0.43840000000000001</v>
      </c>
      <c r="I29" s="2531">
        <v>0.43840000000000001</v>
      </c>
      <c r="J29" s="2531">
        <v>0.43840000000000001</v>
      </c>
      <c r="K29" s="77">
        <v>0.29880000000000001</v>
      </c>
      <c r="L29" s="62">
        <v>0.33589999999999998</v>
      </c>
      <c r="M29" s="62">
        <v>0.34589999999999999</v>
      </c>
      <c r="N29" s="62">
        <v>0.34689999999999999</v>
      </c>
      <c r="O29" s="63">
        <v>0.28000000000000003</v>
      </c>
      <c r="P29" s="1017">
        <v>0.2364</v>
      </c>
      <c r="Q29" s="1017">
        <v>0.22020000000000001</v>
      </c>
      <c r="R29" s="1017">
        <v>0.32</v>
      </c>
      <c r="S29" s="1017">
        <v>0.35170000000000001</v>
      </c>
      <c r="T29" s="1017">
        <v>0.32</v>
      </c>
      <c r="U29" s="1017">
        <v>0.27600000000000002</v>
      </c>
      <c r="V29" s="1017">
        <v>0.36399999999999999</v>
      </c>
      <c r="W29" s="1017">
        <v>0.35780000000000001</v>
      </c>
      <c r="X29" s="1017"/>
      <c r="Y29" s="1020"/>
      <c r="Z29" s="1405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N29" s="77">
        <v>0.28599999999999998</v>
      </c>
      <c r="AO29" s="62">
        <v>0.29880000000000001</v>
      </c>
      <c r="AR29" s="77">
        <v>0.33589999999999998</v>
      </c>
      <c r="AU29" s="77"/>
      <c r="AV29" s="62"/>
      <c r="AW29" s="62"/>
      <c r="AY29" s="77"/>
      <c r="AZ29" s="62"/>
      <c r="BA29" s="62"/>
      <c r="BD29" s="77">
        <v>0.31469999999999998</v>
      </c>
      <c r="BE29" s="62">
        <v>0.2772</v>
      </c>
      <c r="BI29" s="62"/>
      <c r="BJ29" s="62"/>
      <c r="BK29" s="2644"/>
      <c r="BN29" s="62"/>
      <c r="BO29" s="62"/>
      <c r="BR29" s="62"/>
      <c r="BS29" s="62"/>
      <c r="BU29" s="62"/>
      <c r="BV29" s="62"/>
      <c r="BX29" s="1017">
        <v>0.35170000000000001</v>
      </c>
      <c r="BY29" s="1017">
        <v>0.29220000000000002</v>
      </c>
      <c r="BZ29" s="2666">
        <f t="shared" si="0"/>
        <v>0.32195000000000001</v>
      </c>
      <c r="CA29" s="1017">
        <v>0.32490000000000002</v>
      </c>
    </row>
    <row r="30" spans="2:79" ht="19.5" customHeight="1" x14ac:dyDescent="0.35">
      <c r="B30" s="76"/>
      <c r="D30" s="78" t="s">
        <v>150</v>
      </c>
      <c r="E30" s="79"/>
      <c r="F30" s="80"/>
      <c r="G30" s="2">
        <f>(G$27+G$28+G$25+G$20)</f>
        <v>100.016063</v>
      </c>
      <c r="H30" s="2">
        <f>(H$27+H$28+H$25+H$20)</f>
        <v>99.980195000000009</v>
      </c>
      <c r="I30" s="2">
        <f>(I$27+I$28+I$25+I$20)</f>
        <v>99.980195000000009</v>
      </c>
      <c r="J30" s="2">
        <f>(J$27+J$28+J$25+J$20)</f>
        <v>99.980195000000009</v>
      </c>
      <c r="K30" s="2">
        <f t="shared" ref="K30:AO30" si="9">(K$27+K$28+K$25+K$20)</f>
        <v>101.01020000000001</v>
      </c>
      <c r="L30" s="2">
        <f t="shared" si="9"/>
        <v>100.01299949999999</v>
      </c>
      <c r="M30" s="2">
        <f t="shared" si="9"/>
        <v>101.999758</v>
      </c>
      <c r="N30" s="2">
        <f t="shared" si="9"/>
        <v>101.55681500000001</v>
      </c>
      <c r="O30" s="2">
        <f>(O$27+O$28+O$25+O$20)</f>
        <v>101.1087</v>
      </c>
      <c r="P30" s="2">
        <f t="shared" si="9"/>
        <v>100.96677200000001</v>
      </c>
      <c r="Q30" s="2">
        <f t="shared" si="9"/>
        <v>101.713455</v>
      </c>
      <c r="R30" s="2">
        <f t="shared" si="9"/>
        <v>102.1272</v>
      </c>
      <c r="S30" s="2">
        <f t="shared" si="9"/>
        <v>102.01105099999999</v>
      </c>
      <c r="T30" s="2">
        <f t="shared" si="9"/>
        <v>102.1383</v>
      </c>
      <c r="U30" s="2">
        <f t="shared" si="9"/>
        <v>101.77458849999999</v>
      </c>
      <c r="V30" s="2">
        <f t="shared" si="9"/>
        <v>102.28031599999998</v>
      </c>
      <c r="W30" s="2">
        <f t="shared" si="9"/>
        <v>101.55195499999999</v>
      </c>
      <c r="X30" s="2">
        <f t="shared" si="9"/>
        <v>0</v>
      </c>
      <c r="Y30" s="2">
        <f t="shared" si="9"/>
        <v>0</v>
      </c>
      <c r="Z30" s="2">
        <f t="shared" si="9"/>
        <v>0</v>
      </c>
      <c r="AA30" s="2">
        <f t="shared" si="9"/>
        <v>0</v>
      </c>
      <c r="AB30" s="2">
        <f t="shared" si="9"/>
        <v>0</v>
      </c>
      <c r="AC30" s="2">
        <f t="shared" si="9"/>
        <v>0</v>
      </c>
      <c r="AD30" s="2">
        <f t="shared" si="9"/>
        <v>0</v>
      </c>
      <c r="AE30" s="2">
        <f t="shared" si="9"/>
        <v>0</v>
      </c>
      <c r="AF30" s="2">
        <f t="shared" si="9"/>
        <v>0</v>
      </c>
      <c r="AG30" s="2">
        <f t="shared" si="9"/>
        <v>0</v>
      </c>
      <c r="AH30" s="2">
        <f t="shared" si="9"/>
        <v>0</v>
      </c>
      <c r="AI30" s="2">
        <f t="shared" si="9"/>
        <v>0</v>
      </c>
      <c r="AJ30" s="2">
        <f t="shared" si="9"/>
        <v>0</v>
      </c>
      <c r="AK30" s="2">
        <f t="shared" si="9"/>
        <v>0</v>
      </c>
      <c r="AL30" s="2">
        <f t="shared" si="9"/>
        <v>0</v>
      </c>
      <c r="AN30" s="2">
        <f t="shared" si="9"/>
        <v>101.08097099999999</v>
      </c>
      <c r="AO30" s="2">
        <f t="shared" si="9"/>
        <v>101.06970000000001</v>
      </c>
      <c r="AR30" s="2">
        <f t="shared" ref="AR30" si="10">(AR$27+AR$28+AR$25+AR$20)</f>
        <v>100.00856599999999</v>
      </c>
      <c r="AU30" s="2">
        <f>(AU$27+AU$28+AU$25+AU$20)</f>
        <v>2.2770000000000001</v>
      </c>
      <c r="AV30" s="2"/>
      <c r="AW30" s="2"/>
      <c r="AY30" s="2"/>
      <c r="AZ30" s="2"/>
      <c r="BA30" s="2"/>
      <c r="BD30" s="2">
        <v>100.95490299999999</v>
      </c>
      <c r="BE30" s="2">
        <v>101.108733</v>
      </c>
      <c r="BI30" s="2"/>
      <c r="BJ30" s="2"/>
      <c r="BK30" s="2647"/>
      <c r="BN30" s="2"/>
      <c r="BO30" s="2"/>
      <c r="BR30" s="2"/>
      <c r="BS30" s="2"/>
      <c r="BU30" s="2"/>
      <c r="BV30" s="2"/>
      <c r="BX30" s="2">
        <f t="shared" ref="BX30:BY30" si="11">(BX$27+BX$28+BX$25+BX$20)</f>
        <v>102.006051</v>
      </c>
      <c r="BY30" s="2">
        <f t="shared" si="11"/>
        <v>102.21500399999999</v>
      </c>
      <c r="BZ30" s="2666">
        <f t="shared" si="0"/>
        <v>102.11052749999999</v>
      </c>
      <c r="CA30" s="2">
        <f t="shared" ref="CA30" si="12">(CA$27+CA$28+CA$25+CA$20)</f>
        <v>102.138347</v>
      </c>
    </row>
    <row r="31" spans="2:79" ht="19.5" customHeight="1" x14ac:dyDescent="0.35">
      <c r="D31" s="78" t="s">
        <v>151</v>
      </c>
      <c r="E31" s="79"/>
      <c r="F31" s="80"/>
      <c r="G31" s="2">
        <f>(100-G$33-G$34)/(1+(G$28/G$27))</f>
        <v>83.886525307439882</v>
      </c>
      <c r="H31" s="2">
        <f>(100-H$33-H$34)/(1+(H$28/H$27))</f>
        <v>83.916619686528918</v>
      </c>
      <c r="I31" s="2">
        <f>(100-I$33-I$34)/(1+(I$28/I$27))</f>
        <v>83.916619686528918</v>
      </c>
      <c r="J31" s="2">
        <f>(100-J$33-J$34)/(1+(J$28/J$27))</f>
        <v>83.916619686528918</v>
      </c>
      <c r="K31" s="2">
        <f t="shared" ref="K31:AO31" si="13">(100-K$33-K$34)/(1+(K$28/K$27))</f>
        <v>86.803114932947366</v>
      </c>
      <c r="L31" s="2">
        <f t="shared" si="13"/>
        <v>86.878706202587182</v>
      </c>
      <c r="M31" s="2">
        <f t="shared" si="13"/>
        <v>86.706088067385409</v>
      </c>
      <c r="N31" s="2">
        <f t="shared" si="13"/>
        <v>86.739624514612828</v>
      </c>
      <c r="O31" s="2">
        <f t="shared" si="13"/>
        <v>87.569121153768165</v>
      </c>
      <c r="P31" s="2">
        <f t="shared" si="13"/>
        <v>87.523843983048209</v>
      </c>
      <c r="Q31" s="2">
        <f t="shared" si="13"/>
        <v>87.65801928564909</v>
      </c>
      <c r="R31" s="2">
        <f>(100-R$33-R$34)/(1+(R$28/R$27))</f>
        <v>87.723936424380582</v>
      </c>
      <c r="S31" s="2">
        <f t="shared" si="13"/>
        <v>87.647366754411749</v>
      </c>
      <c r="T31" s="2">
        <f t="shared" si="13"/>
        <v>87.685030982501189</v>
      </c>
      <c r="U31" s="2">
        <f t="shared" si="13"/>
        <v>87.566062721049477</v>
      </c>
      <c r="V31" s="2">
        <f t="shared" si="13"/>
        <v>87.661051027648355</v>
      </c>
      <c r="W31" s="2">
        <f t="shared" si="13"/>
        <v>87.423230798461759</v>
      </c>
      <c r="X31" s="2" t="e">
        <f t="shared" si="13"/>
        <v>#DIV/0!</v>
      </c>
      <c r="Y31" s="2" t="e">
        <f t="shared" si="13"/>
        <v>#DIV/0!</v>
      </c>
      <c r="Z31" s="579" t="e">
        <f t="shared" si="13"/>
        <v>#DIV/0!</v>
      </c>
      <c r="AA31" s="2" t="e">
        <f t="shared" si="13"/>
        <v>#DIV/0!</v>
      </c>
      <c r="AB31" s="2" t="e">
        <f t="shared" si="13"/>
        <v>#DIV/0!</v>
      </c>
      <c r="AC31" s="2" t="e">
        <f t="shared" si="13"/>
        <v>#DIV/0!</v>
      </c>
      <c r="AD31" s="2" t="e">
        <f t="shared" si="13"/>
        <v>#DIV/0!</v>
      </c>
      <c r="AE31" s="2" t="e">
        <f t="shared" si="13"/>
        <v>#DIV/0!</v>
      </c>
      <c r="AF31" s="2" t="e">
        <f t="shared" si="13"/>
        <v>#DIV/0!</v>
      </c>
      <c r="AG31" s="2" t="e">
        <f t="shared" si="13"/>
        <v>#DIV/0!</v>
      </c>
      <c r="AH31" s="2" t="e">
        <f t="shared" si="13"/>
        <v>#DIV/0!</v>
      </c>
      <c r="AI31" s="2" t="e">
        <f t="shared" si="13"/>
        <v>#DIV/0!</v>
      </c>
      <c r="AJ31" s="2" t="e">
        <f t="shared" si="13"/>
        <v>#DIV/0!</v>
      </c>
      <c r="AK31" s="2" t="e">
        <f t="shared" si="13"/>
        <v>#DIV/0!</v>
      </c>
      <c r="AL31" s="2" t="e">
        <f t="shared" si="13"/>
        <v>#DIV/0!</v>
      </c>
      <c r="AN31" s="2">
        <f t="shared" si="13"/>
        <v>86.880843279592156</v>
      </c>
      <c r="AO31" s="2">
        <f t="shared" si="13"/>
        <v>86.752013709351075</v>
      </c>
      <c r="AR31" s="2">
        <f t="shared" ref="AR31" si="14">(100-AR$33-AR$34)/(1+(AR$28/AR$27))</f>
        <v>86.882557640112537</v>
      </c>
      <c r="AU31" s="2" t="e">
        <f>(100-AU$33-AU$34)/(1+(AU$28/AU$27))</f>
        <v>#DIV/0!</v>
      </c>
      <c r="AV31" s="2"/>
      <c r="AW31" s="2"/>
      <c r="AY31" s="2"/>
      <c r="AZ31" s="2"/>
      <c r="BA31" s="2"/>
      <c r="BD31" s="2">
        <v>87.217160715809925</v>
      </c>
      <c r="BE31" s="2">
        <v>87.569092572844326</v>
      </c>
      <c r="BI31" s="2"/>
      <c r="BJ31" s="2"/>
      <c r="BK31" s="2647"/>
      <c r="BN31" s="2"/>
      <c r="BO31" s="2"/>
      <c r="BR31" s="2"/>
      <c r="BS31" s="2"/>
      <c r="BU31" s="2"/>
      <c r="BV31" s="2"/>
      <c r="BX31" s="2">
        <f t="shared" ref="BX31:BY31" si="15">(100-BX$33-BX$34)/(1+(BX$28/BX$27))</f>
        <v>87.651662939093683</v>
      </c>
      <c r="BY31" s="2">
        <f t="shared" si="15"/>
        <v>87.638797137844847</v>
      </c>
      <c r="BZ31" s="2666">
        <f t="shared" si="0"/>
        <v>87.645230038469265</v>
      </c>
      <c r="CA31" s="2">
        <f t="shared" ref="CA31" si="16">(100-CA$33-CA$34)/(1+(CA$28/CA$27))</f>
        <v>87.684990633341656</v>
      </c>
    </row>
    <row r="32" spans="2:79" ht="19.5" customHeight="1" x14ac:dyDescent="0.35">
      <c r="D32" s="78" t="s">
        <v>152</v>
      </c>
      <c r="E32" s="79"/>
      <c r="F32" s="80" t="s">
        <v>36</v>
      </c>
      <c r="G32" s="2">
        <f>G$31*(G$28/G$27)</f>
        <v>9.7464344302374712</v>
      </c>
      <c r="H32" s="2">
        <f>H$31*(H$28/H$27)</f>
        <v>9.7499309738293665</v>
      </c>
      <c r="I32" s="2">
        <f>I$31*(I$28/I$27)</f>
        <v>9.7499309738293665</v>
      </c>
      <c r="J32" s="2">
        <f>J$31*(J$28/J$27)</f>
        <v>9.7499309738293665</v>
      </c>
      <c r="K32" s="2">
        <f t="shared" ref="K32:AO32" si="17">K$31*(K$28/K$27)</f>
        <v>10.979089240492543</v>
      </c>
      <c r="L32" s="2">
        <f t="shared" si="17"/>
        <v>10.738604035168446</v>
      </c>
      <c r="M32" s="2">
        <f t="shared" si="17"/>
        <v>10.754927477376956</v>
      </c>
      <c r="N32" s="2">
        <f t="shared" si="17"/>
        <v>10.752601881025907</v>
      </c>
      <c r="O32" s="2">
        <f t="shared" si="17"/>
        <v>11.334336214391046</v>
      </c>
      <c r="P32" s="2">
        <f t="shared" si="17"/>
        <v>11.290843288522682</v>
      </c>
      <c r="Q32" s="2">
        <f t="shared" si="17"/>
        <v>11.060483590887756</v>
      </c>
      <c r="R32" s="2">
        <f t="shared" si="17"/>
        <v>10.927549173971283</v>
      </c>
      <c r="S32" s="2">
        <f t="shared" si="17"/>
        <v>10.949794057116423</v>
      </c>
      <c r="T32" s="2">
        <f t="shared" si="17"/>
        <v>10.877408376681423</v>
      </c>
      <c r="U32" s="2">
        <f t="shared" si="17"/>
        <v>10.916280933918982</v>
      </c>
      <c r="V32" s="2">
        <f t="shared" si="17"/>
        <v>10.82319690916872</v>
      </c>
      <c r="W32" s="2">
        <f t="shared" si="17"/>
        <v>11.018990230173317</v>
      </c>
      <c r="X32" s="2" t="e">
        <f t="shared" si="17"/>
        <v>#DIV/0!</v>
      </c>
      <c r="Y32" s="2" t="e">
        <f t="shared" si="17"/>
        <v>#DIV/0!</v>
      </c>
      <c r="Z32" s="579" t="e">
        <f t="shared" si="17"/>
        <v>#DIV/0!</v>
      </c>
      <c r="AA32" s="2" t="e">
        <f t="shared" si="17"/>
        <v>#DIV/0!</v>
      </c>
      <c r="AB32" s="2" t="e">
        <f t="shared" si="17"/>
        <v>#DIV/0!</v>
      </c>
      <c r="AC32" s="2" t="e">
        <f t="shared" si="17"/>
        <v>#DIV/0!</v>
      </c>
      <c r="AD32" s="2" t="e">
        <f t="shared" si="17"/>
        <v>#DIV/0!</v>
      </c>
      <c r="AE32" s="2" t="e">
        <f t="shared" si="17"/>
        <v>#DIV/0!</v>
      </c>
      <c r="AF32" s="2" t="e">
        <f t="shared" si="17"/>
        <v>#DIV/0!</v>
      </c>
      <c r="AG32" s="2" t="e">
        <f t="shared" si="17"/>
        <v>#DIV/0!</v>
      </c>
      <c r="AH32" s="2" t="e">
        <f t="shared" si="17"/>
        <v>#DIV/0!</v>
      </c>
      <c r="AI32" s="2" t="e">
        <f t="shared" si="17"/>
        <v>#DIV/0!</v>
      </c>
      <c r="AJ32" s="2" t="e">
        <f t="shared" si="17"/>
        <v>#DIV/0!</v>
      </c>
      <c r="AK32" s="2" t="e">
        <f t="shared" si="17"/>
        <v>#DIV/0!</v>
      </c>
      <c r="AL32" s="2" t="e">
        <f t="shared" si="17"/>
        <v>#DIV/0!</v>
      </c>
      <c r="AN32" s="2">
        <f t="shared" si="17"/>
        <v>10.941723145892613</v>
      </c>
      <c r="AO32" s="2">
        <f t="shared" si="17"/>
        <v>10.972625821586488</v>
      </c>
      <c r="AR32" s="2">
        <f t="shared" ref="AR32" si="18">AR$31*(AR$28/AR$27)</f>
        <v>10.739080090399455</v>
      </c>
      <c r="AU32" s="2" t="e">
        <f>AU$31*(AU$28/AU$27)</f>
        <v>#DIV/0!</v>
      </c>
      <c r="AV32" s="2"/>
      <c r="AW32" s="2"/>
      <c r="AY32" s="2"/>
      <c r="AZ32" s="2"/>
      <c r="BA32" s="2"/>
      <c r="BD32" s="2">
        <v>11.203022006766727</v>
      </c>
      <c r="BE32" s="2">
        <v>11.334332515075626</v>
      </c>
      <c r="BI32" s="2"/>
      <c r="BJ32" s="2"/>
      <c r="BK32" s="2647"/>
      <c r="BN32" s="2"/>
      <c r="BO32" s="2"/>
      <c r="BR32" s="2"/>
      <c r="BS32" s="2"/>
      <c r="BU32" s="2"/>
      <c r="BV32" s="2"/>
      <c r="BX32" s="2">
        <f t="shared" ref="BX32:BY32" si="19">BX$31*(BX$28/BX$27)</f>
        <v>10.950330779886775</v>
      </c>
      <c r="BY32" s="2">
        <f t="shared" si="19"/>
        <v>10.967078766635865</v>
      </c>
      <c r="BZ32" s="2666">
        <f t="shared" si="0"/>
        <v>10.958704773261321</v>
      </c>
      <c r="CA32" s="2">
        <f t="shared" ref="CA32" si="20">CA$31*(CA$28/CA$27)</f>
        <v>10.877403371331239</v>
      </c>
    </row>
    <row r="33" spans="4:79" ht="19.5" customHeight="1" x14ac:dyDescent="0.35">
      <c r="D33" s="78" t="s">
        <v>153</v>
      </c>
      <c r="E33" s="79"/>
      <c r="F33" s="80"/>
      <c r="G33" s="2">
        <f>G$25*100/G$30</f>
        <v>0.3929998724304915</v>
      </c>
      <c r="H33" s="2">
        <f>H$25*100/H$30</f>
        <v>0.40427506667695534</v>
      </c>
      <c r="I33" s="2">
        <f>I$25*100/I$30</f>
        <v>0.40427506667695534</v>
      </c>
      <c r="J33" s="2">
        <f>J$25*100/J$30</f>
        <v>0.40427506667695534</v>
      </c>
      <c r="K33" s="2">
        <f t="shared" ref="K33:AO33" si="21">K$25*100/K$30</f>
        <v>0.27888272669492781</v>
      </c>
      <c r="L33" s="2">
        <f t="shared" si="21"/>
        <v>0.29446122151350934</v>
      </c>
      <c r="M33" s="2">
        <f t="shared" si="21"/>
        <v>0.30368503423312043</v>
      </c>
      <c r="N33" s="2">
        <f t="shared" si="21"/>
        <v>0.29718832753862945</v>
      </c>
      <c r="O33" s="2">
        <f t="shared" si="21"/>
        <v>0.23904965645884083</v>
      </c>
      <c r="P33" s="2">
        <f t="shared" si="21"/>
        <v>0.25332294470105471</v>
      </c>
      <c r="Q33" s="2">
        <f t="shared" si="21"/>
        <v>0.26196632490755523</v>
      </c>
      <c r="R33" s="2">
        <f>R$25*100/R$30</f>
        <v>0.25086362888632996</v>
      </c>
      <c r="S33" s="2">
        <f t="shared" si="21"/>
        <v>0.25590462743100262</v>
      </c>
      <c r="T33" s="2">
        <f t="shared" si="21"/>
        <v>0.24897614313142086</v>
      </c>
      <c r="U33" s="2">
        <f t="shared" si="21"/>
        <v>0.27274833933619891</v>
      </c>
      <c r="V33" s="2">
        <f t="shared" si="21"/>
        <v>0.25353460972881631</v>
      </c>
      <c r="W33" s="2">
        <f t="shared" si="21"/>
        <v>0.26287529373511326</v>
      </c>
      <c r="X33" s="2" t="e">
        <f t="shared" si="21"/>
        <v>#DIV/0!</v>
      </c>
      <c r="Y33" s="2" t="e">
        <f t="shared" si="21"/>
        <v>#DIV/0!</v>
      </c>
      <c r="Z33" s="579" t="e">
        <f t="shared" si="21"/>
        <v>#DIV/0!</v>
      </c>
      <c r="AA33" s="2" t="e">
        <f t="shared" si="21"/>
        <v>#DIV/0!</v>
      </c>
      <c r="AB33" s="2" t="e">
        <f t="shared" si="21"/>
        <v>#DIV/0!</v>
      </c>
      <c r="AC33" s="2" t="e">
        <f t="shared" si="21"/>
        <v>#DIV/0!</v>
      </c>
      <c r="AD33" s="2" t="e">
        <f t="shared" si="21"/>
        <v>#DIV/0!</v>
      </c>
      <c r="AE33" s="2" t="e">
        <f t="shared" si="21"/>
        <v>#DIV/0!</v>
      </c>
      <c r="AF33" s="2" t="e">
        <f t="shared" si="21"/>
        <v>#DIV/0!</v>
      </c>
      <c r="AG33" s="2" t="e">
        <f t="shared" si="21"/>
        <v>#DIV/0!</v>
      </c>
      <c r="AH33" s="2" t="e">
        <f t="shared" si="21"/>
        <v>#DIV/0!</v>
      </c>
      <c r="AI33" s="2" t="e">
        <f t="shared" si="21"/>
        <v>#DIV/0!</v>
      </c>
      <c r="AJ33" s="2" t="e">
        <f t="shared" si="21"/>
        <v>#DIV/0!</v>
      </c>
      <c r="AK33" s="2" t="e">
        <f t="shared" si="21"/>
        <v>#DIV/0!</v>
      </c>
      <c r="AL33" s="2" t="e">
        <f t="shared" si="21"/>
        <v>#DIV/0!</v>
      </c>
      <c r="AN33" s="2">
        <f t="shared" si="21"/>
        <v>0.29874168897724579</v>
      </c>
      <c r="AO33" s="2">
        <f t="shared" si="21"/>
        <v>0.2787185476953033</v>
      </c>
      <c r="AR33" s="2">
        <f t="shared" ref="AR33" si="22">AR$25*100/AR$30</f>
        <v>0.29004115507465633</v>
      </c>
      <c r="AU33" s="2">
        <f>AU$25*100/AU$30</f>
        <v>0</v>
      </c>
      <c r="AV33" s="2"/>
      <c r="AW33" s="2"/>
      <c r="AY33" s="2"/>
      <c r="AZ33" s="2"/>
      <c r="BA33" s="2"/>
      <c r="BD33" s="2">
        <v>0.2604162771569401</v>
      </c>
      <c r="BE33" s="2">
        <v>0.23908221656778156</v>
      </c>
      <c r="BI33" s="2"/>
      <c r="BJ33" s="2"/>
      <c r="BK33" s="2647"/>
      <c r="BN33" s="2"/>
      <c r="BO33" s="2"/>
      <c r="BR33" s="2"/>
      <c r="BS33" s="2"/>
      <c r="BU33" s="2"/>
      <c r="BV33" s="2"/>
      <c r="BX33" s="2">
        <f t="shared" ref="BX33:BY33" si="23">BX$25*100/BX$30</f>
        <v>0.25591717103135386</v>
      </c>
      <c r="BY33" s="2">
        <f t="shared" si="23"/>
        <v>0.24556473137740131</v>
      </c>
      <c r="BZ33" s="2666">
        <f t="shared" si="0"/>
        <v>0.25074095120437756</v>
      </c>
      <c r="CA33" s="2">
        <f t="shared" ref="CA33" si="24">CA$25*100/CA$30</f>
        <v>0.24902204458037686</v>
      </c>
    </row>
    <row r="34" spans="4:79" ht="19.5" customHeight="1" x14ac:dyDescent="0.35">
      <c r="D34" s="78" t="s">
        <v>154</v>
      </c>
      <c r="E34" s="79"/>
      <c r="F34" s="80"/>
      <c r="G34" s="2">
        <f>G$20*100/G$30</f>
        <v>5.9740403898921715</v>
      </c>
      <c r="H34" s="2">
        <f>H$20*100/H$30</f>
        <v>5.9291742729647599</v>
      </c>
      <c r="I34" s="2">
        <f>I$20*100/I$30</f>
        <v>5.9291742729647599</v>
      </c>
      <c r="J34" s="2">
        <f>J$20*100/J$30</f>
        <v>5.9291742729647599</v>
      </c>
      <c r="K34" s="2">
        <f t="shared" ref="K34:AO34" si="25">K$20*100/K$30</f>
        <v>1.9389130998651618</v>
      </c>
      <c r="L34" s="2">
        <f t="shared" si="25"/>
        <v>2.0882285407308476</v>
      </c>
      <c r="M34" s="2">
        <f t="shared" si="25"/>
        <v>2.2352994210045085</v>
      </c>
      <c r="N34" s="2">
        <f t="shared" si="25"/>
        <v>2.2105852768226333</v>
      </c>
      <c r="O34" s="2">
        <f>O$20*100/O$30</f>
        <v>0.85749297538194047</v>
      </c>
      <c r="P34" s="2">
        <f t="shared" si="25"/>
        <v>0.93198978372805652</v>
      </c>
      <c r="Q34" s="2">
        <f t="shared" si="25"/>
        <v>1.019530798555609</v>
      </c>
      <c r="R34" s="2">
        <f t="shared" si="25"/>
        <v>1.0976507727618108</v>
      </c>
      <c r="S34" s="2">
        <f t="shared" si="25"/>
        <v>1.1469345610408426</v>
      </c>
      <c r="T34" s="2">
        <f t="shared" si="25"/>
        <v>1.1885844976859805</v>
      </c>
      <c r="U34" s="2">
        <f t="shared" si="25"/>
        <v>1.244908005695351</v>
      </c>
      <c r="V34" s="2">
        <f t="shared" si="25"/>
        <v>1.262217453454094</v>
      </c>
      <c r="W34" s="2">
        <f t="shared" si="25"/>
        <v>1.2949036776298399</v>
      </c>
      <c r="X34" s="2" t="e">
        <f t="shared" si="25"/>
        <v>#DIV/0!</v>
      </c>
      <c r="Y34" s="2" t="e">
        <f t="shared" si="25"/>
        <v>#DIV/0!</v>
      </c>
      <c r="Z34" s="579" t="e">
        <f t="shared" si="25"/>
        <v>#DIV/0!</v>
      </c>
      <c r="AA34" s="2" t="e">
        <f t="shared" si="25"/>
        <v>#DIV/0!</v>
      </c>
      <c r="AB34" s="2" t="e">
        <f t="shared" si="25"/>
        <v>#DIV/0!</v>
      </c>
      <c r="AC34" s="2" t="e">
        <f t="shared" si="25"/>
        <v>#DIV/0!</v>
      </c>
      <c r="AD34" s="2" t="e">
        <f t="shared" si="25"/>
        <v>#DIV/0!</v>
      </c>
      <c r="AE34" s="2" t="e">
        <f t="shared" si="25"/>
        <v>#DIV/0!</v>
      </c>
      <c r="AF34" s="2" t="e">
        <f t="shared" si="25"/>
        <v>#DIV/0!</v>
      </c>
      <c r="AG34" s="2" t="e">
        <f t="shared" si="25"/>
        <v>#DIV/0!</v>
      </c>
      <c r="AH34" s="2" t="e">
        <f t="shared" si="25"/>
        <v>#DIV/0!</v>
      </c>
      <c r="AI34" s="2" t="e">
        <f t="shared" si="25"/>
        <v>#DIV/0!</v>
      </c>
      <c r="AJ34" s="2" t="e">
        <f t="shared" si="25"/>
        <v>#DIV/0!</v>
      </c>
      <c r="AK34" s="2" t="e">
        <f t="shared" si="25"/>
        <v>#DIV/0!</v>
      </c>
      <c r="AL34" s="2" t="e">
        <f t="shared" si="25"/>
        <v>#DIV/0!</v>
      </c>
      <c r="AN34" s="2">
        <f t="shared" si="25"/>
        <v>1.8786918855379815</v>
      </c>
      <c r="AO34" s="2">
        <f t="shared" si="25"/>
        <v>1.9966419213671354</v>
      </c>
      <c r="AR34" s="2">
        <f t="shared" ref="AR34" si="26">AR$20*100/AR$30</f>
        <v>2.0883211144133393</v>
      </c>
      <c r="AU34" s="2">
        <f>AU$20*100/AU$30</f>
        <v>100</v>
      </c>
      <c r="AV34" s="2"/>
      <c r="AW34" s="2"/>
      <c r="AY34" s="2"/>
      <c r="AZ34" s="2"/>
      <c r="BA34" s="2"/>
      <c r="BD34" s="2">
        <v>1.3194010002664263</v>
      </c>
      <c r="BE34" s="2">
        <v>0.85749269551226603</v>
      </c>
      <c r="BI34" s="2"/>
      <c r="BJ34" s="2"/>
      <c r="BK34" s="2647"/>
      <c r="BN34" s="2"/>
      <c r="BO34" s="2"/>
      <c r="BR34" s="2"/>
      <c r="BS34" s="2"/>
      <c r="BU34" s="2"/>
      <c r="BV34" s="2"/>
      <c r="BX34" s="2">
        <f t="shared" ref="BX34:BY34" si="27">BX$20*100/BX$30</f>
        <v>1.1420891099881909</v>
      </c>
      <c r="BY34" s="2">
        <f t="shared" si="27"/>
        <v>1.1485593641418828</v>
      </c>
      <c r="BZ34" s="2666">
        <f t="shared" si="0"/>
        <v>1.1453242370650369</v>
      </c>
      <c r="CA34" s="2">
        <f t="shared" ref="CA34" si="28">CA$20*100/CA$30</f>
        <v>1.188583950746726</v>
      </c>
    </row>
    <row r="35" spans="4:79" ht="19.5" customHeight="1" x14ac:dyDescent="0.35">
      <c r="D35" s="78" t="s">
        <v>155</v>
      </c>
      <c r="E35" s="79"/>
      <c r="F35" s="80"/>
      <c r="G35" s="149">
        <f>G$32/G$31</f>
        <v>0.11618593563766387</v>
      </c>
      <c r="H35" s="149">
        <f>H$32/H$31</f>
        <v>0.11618593563766388</v>
      </c>
      <c r="I35" s="149">
        <f>I$32/I$31</f>
        <v>0.11618593563766388</v>
      </c>
      <c r="J35" s="149">
        <f>J$32/J$31</f>
        <v>0.11618593563766388</v>
      </c>
      <c r="K35" s="149">
        <f t="shared" ref="K35:AO35" si="29">K$32/K$31</f>
        <v>0.12648266423357662</v>
      </c>
      <c r="L35" s="149">
        <f t="shared" si="29"/>
        <v>0.12360455748647715</v>
      </c>
      <c r="M35" s="149">
        <f t="shared" si="29"/>
        <v>0.12403889642695613</v>
      </c>
      <c r="N35" s="149">
        <f t="shared" si="29"/>
        <v>0.12396412759677602</v>
      </c>
      <c r="O35" s="149">
        <f t="shared" si="29"/>
        <v>0.12943302462163994</v>
      </c>
      <c r="P35" s="149">
        <f t="shared" si="29"/>
        <v>0.12900305533552109</v>
      </c>
      <c r="Q35" s="149">
        <f t="shared" si="29"/>
        <v>0.12617765814266488</v>
      </c>
      <c r="R35" s="149">
        <f t="shared" si="29"/>
        <v>0.1245674740484429</v>
      </c>
      <c r="S35" s="149">
        <f t="shared" si="29"/>
        <v>0.12493009730455208</v>
      </c>
      <c r="T35" s="149">
        <f t="shared" si="29"/>
        <v>0.12405091558731576</v>
      </c>
      <c r="U35" s="149">
        <f t="shared" si="29"/>
        <v>0.12466337522441651</v>
      </c>
      <c r="V35" s="149">
        <f t="shared" si="29"/>
        <v>0.12346642873076068</v>
      </c>
      <c r="W35" s="149">
        <f t="shared" si="29"/>
        <v>0.12604190132912818</v>
      </c>
      <c r="X35" s="149" t="e">
        <f t="shared" si="29"/>
        <v>#DIV/0!</v>
      </c>
      <c r="Y35" s="149" t="e">
        <f t="shared" si="29"/>
        <v>#DIV/0!</v>
      </c>
      <c r="Z35" s="580" t="e">
        <f t="shared" si="29"/>
        <v>#DIV/0!</v>
      </c>
      <c r="AA35" s="149" t="e">
        <f t="shared" si="29"/>
        <v>#DIV/0!</v>
      </c>
      <c r="AB35" s="149" t="e">
        <f t="shared" si="29"/>
        <v>#DIV/0!</v>
      </c>
      <c r="AC35" s="149" t="e">
        <f t="shared" si="29"/>
        <v>#DIV/0!</v>
      </c>
      <c r="AD35" s="149" t="e">
        <f t="shared" si="29"/>
        <v>#DIV/0!</v>
      </c>
      <c r="AE35" s="149" t="e">
        <f t="shared" si="29"/>
        <v>#DIV/0!</v>
      </c>
      <c r="AF35" s="149" t="e">
        <f t="shared" si="29"/>
        <v>#DIV/0!</v>
      </c>
      <c r="AG35" s="149" t="e">
        <f t="shared" si="29"/>
        <v>#DIV/0!</v>
      </c>
      <c r="AH35" s="149" t="e">
        <f t="shared" si="29"/>
        <v>#DIV/0!</v>
      </c>
      <c r="AI35" s="149" t="e">
        <f t="shared" si="29"/>
        <v>#DIV/0!</v>
      </c>
      <c r="AJ35" s="149" t="e">
        <f t="shared" si="29"/>
        <v>#DIV/0!</v>
      </c>
      <c r="AK35" s="149" t="e">
        <f t="shared" si="29"/>
        <v>#DIV/0!</v>
      </c>
      <c r="AL35" s="149" t="e">
        <f t="shared" si="29"/>
        <v>#DIV/0!</v>
      </c>
      <c r="AN35" s="149">
        <f t="shared" si="29"/>
        <v>0.12593942154406743</v>
      </c>
      <c r="AO35" s="149">
        <f t="shared" si="29"/>
        <v>0.12648266423357662</v>
      </c>
      <c r="AR35" s="149">
        <f t="shared" ref="AR35" si="30">AR$32/AR$31</f>
        <v>0.12360455748647715</v>
      </c>
      <c r="AU35" s="149" t="e">
        <f>AU$32/AU$31</f>
        <v>#DIV/0!</v>
      </c>
      <c r="AV35" s="149"/>
      <c r="AW35" s="149"/>
      <c r="AY35" s="149"/>
      <c r="AZ35" s="149"/>
      <c r="BA35" s="149"/>
      <c r="BD35" s="149">
        <v>0.12844974446337309</v>
      </c>
      <c r="BE35" s="149">
        <v>0.12943302462163994</v>
      </c>
      <c r="BI35" s="149"/>
      <c r="BJ35" s="149"/>
      <c r="BK35" s="2648"/>
      <c r="BN35" s="149"/>
      <c r="BO35" s="149"/>
      <c r="BR35" s="149"/>
      <c r="BS35" s="149"/>
      <c r="BU35" s="149"/>
      <c r="BV35" s="149"/>
      <c r="BX35" s="149">
        <f t="shared" ref="BX35:BY35" si="31">BX$32/BX$31</f>
        <v>0.12493009730455208</v>
      </c>
      <c r="BY35" s="149">
        <f t="shared" si="31"/>
        <v>0.1251395400759098</v>
      </c>
      <c r="BZ35" s="2666">
        <f t="shared" si="0"/>
        <v>0.12503481869023095</v>
      </c>
      <c r="CA35" s="149">
        <f t="shared" ref="CA35" si="32">CA$32/CA$31</f>
        <v>0.12405091558731576</v>
      </c>
    </row>
    <row r="36" spans="4:79" ht="19.5" hidden="1" customHeight="1" x14ac:dyDescent="0.35">
      <c r="D36" s="81" t="s">
        <v>106</v>
      </c>
      <c r="E36" s="45"/>
      <c r="F36" s="46"/>
      <c r="G36" s="82">
        <f>G27*100/G30</f>
        <v>83.886525307439868</v>
      </c>
      <c r="H36" s="82">
        <f>H27*100/H30</f>
        <v>83.916619686528904</v>
      </c>
      <c r="I36" s="82">
        <f>I27*100/I30</f>
        <v>83.916619686528904</v>
      </c>
      <c r="J36" s="82">
        <f>J27*100/J30</f>
        <v>83.916619686528904</v>
      </c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199"/>
      <c r="Z36" s="577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N36" s="82"/>
      <c r="AO36" s="82"/>
      <c r="AR36" s="82"/>
      <c r="AU36" s="82"/>
      <c r="AV36" s="82"/>
      <c r="AW36" s="82"/>
      <c r="AY36" s="82"/>
      <c r="AZ36" s="82"/>
      <c r="BA36" s="82"/>
      <c r="BD36" s="82"/>
      <c r="BE36" s="82"/>
      <c r="BI36" s="82"/>
      <c r="BJ36" s="82"/>
      <c r="BK36" s="2649"/>
      <c r="BN36" s="82"/>
      <c r="BO36" s="82"/>
      <c r="BR36" s="82"/>
      <c r="BS36" s="82"/>
      <c r="BU36" s="82"/>
      <c r="BV36" s="82"/>
      <c r="BX36" s="82"/>
      <c r="BY36" s="82"/>
      <c r="BZ36" s="2666" t="e">
        <f t="shared" si="0"/>
        <v>#DIV/0!</v>
      </c>
      <c r="CA36" s="82"/>
    </row>
    <row r="37" spans="4:79" ht="19.5" hidden="1" customHeight="1" x14ac:dyDescent="0.35">
      <c r="D37" s="81" t="s">
        <v>107</v>
      </c>
      <c r="E37" s="45"/>
      <c r="F37" s="46"/>
      <c r="G37" s="82">
        <f>G28*100/G30</f>
        <v>9.7464344302374695</v>
      </c>
      <c r="H37" s="82">
        <f>H28*100/H30</f>
        <v>9.7499309738293647</v>
      </c>
      <c r="I37" s="82">
        <f>I28*100/I30</f>
        <v>9.7499309738293647</v>
      </c>
      <c r="J37" s="82">
        <f>J28*100/J30</f>
        <v>9.7499309738293647</v>
      </c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199"/>
      <c r="Z37" s="577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N37" s="82"/>
      <c r="AO37" s="82"/>
      <c r="AR37" s="82"/>
      <c r="AU37" s="82"/>
      <c r="AV37" s="82"/>
      <c r="AW37" s="82"/>
      <c r="AY37" s="82"/>
      <c r="AZ37" s="82"/>
      <c r="BA37" s="82"/>
      <c r="BD37" s="82"/>
      <c r="BE37" s="82"/>
      <c r="BI37" s="82"/>
      <c r="BJ37" s="82"/>
      <c r="BK37" s="2649"/>
      <c r="BN37" s="82"/>
      <c r="BO37" s="82"/>
      <c r="BR37" s="82"/>
      <c r="BS37" s="82"/>
      <c r="BU37" s="82"/>
      <c r="BV37" s="82"/>
      <c r="BX37" s="82"/>
      <c r="BY37" s="82"/>
      <c r="BZ37" s="2666" t="e">
        <f t="shared" si="0"/>
        <v>#DIV/0!</v>
      </c>
      <c r="CA37" s="82"/>
    </row>
    <row r="38" spans="4:79" ht="19.5" hidden="1" customHeight="1" x14ac:dyDescent="0.35">
      <c r="D38" s="81" t="s">
        <v>156</v>
      </c>
      <c r="E38" s="45"/>
      <c r="F38" s="46"/>
      <c r="G38" s="82">
        <f>G29*100/G30</f>
        <v>0.43832959111777875</v>
      </c>
      <c r="H38" s="82">
        <f>H29*100/H30</f>
        <v>0.43848684231912127</v>
      </c>
      <c r="I38" s="82">
        <f>I29*100/I30</f>
        <v>0.43848684231912127</v>
      </c>
      <c r="J38" s="82">
        <f>J29*100/J30</f>
        <v>0.43848684231912127</v>
      </c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199"/>
      <c r="Z38" s="577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N38" s="82"/>
      <c r="AO38" s="82"/>
      <c r="AR38" s="82"/>
      <c r="AU38" s="82"/>
      <c r="AV38" s="82"/>
      <c r="AW38" s="82"/>
      <c r="AY38" s="82"/>
      <c r="AZ38" s="82"/>
      <c r="BA38" s="82"/>
      <c r="BD38" s="82"/>
      <c r="BE38" s="82"/>
      <c r="BI38" s="82"/>
      <c r="BJ38" s="82"/>
      <c r="BK38" s="2649"/>
      <c r="BN38" s="82"/>
      <c r="BO38" s="82"/>
      <c r="BR38" s="82"/>
      <c r="BS38" s="82"/>
      <c r="BU38" s="82"/>
      <c r="BV38" s="82"/>
      <c r="BX38" s="82"/>
      <c r="BY38" s="82"/>
      <c r="BZ38" s="2666" t="e">
        <f t="shared" si="0"/>
        <v>#DIV/0!</v>
      </c>
      <c r="CA38" s="82"/>
    </row>
    <row r="39" spans="4:79" ht="19.5" hidden="1" customHeight="1" x14ac:dyDescent="0.35">
      <c r="D39" s="81" t="s">
        <v>157</v>
      </c>
      <c r="E39" s="45"/>
      <c r="F39" s="46"/>
      <c r="G39" s="82">
        <f>G20*100/G30</f>
        <v>5.9740403898921715</v>
      </c>
      <c r="H39" s="82">
        <f>H20*100/H30</f>
        <v>5.9291742729647599</v>
      </c>
      <c r="I39" s="82">
        <f>I20*100/I30</f>
        <v>5.9291742729647599</v>
      </c>
      <c r="J39" s="82">
        <f>J20*100/J30</f>
        <v>5.9291742729647599</v>
      </c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199"/>
      <c r="Z39" s="577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N39" s="82"/>
      <c r="AO39" s="82"/>
      <c r="AR39" s="82"/>
      <c r="AU39" s="82"/>
      <c r="AV39" s="82"/>
      <c r="AW39" s="82"/>
      <c r="AY39" s="82"/>
      <c r="AZ39" s="82"/>
      <c r="BA39" s="82"/>
      <c r="BD39" s="82"/>
      <c r="BE39" s="82"/>
      <c r="BI39" s="82"/>
      <c r="BJ39" s="82"/>
      <c r="BK39" s="2649"/>
      <c r="BN39" s="82"/>
      <c r="BO39" s="82"/>
      <c r="BR39" s="82"/>
      <c r="BS39" s="82"/>
      <c r="BU39" s="82"/>
      <c r="BV39" s="82"/>
      <c r="BX39" s="82"/>
      <c r="BY39" s="82"/>
      <c r="BZ39" s="2666" t="e">
        <f t="shared" si="0"/>
        <v>#DIV/0!</v>
      </c>
      <c r="CA39" s="82"/>
    </row>
    <row r="40" spans="4:79" ht="19.5" hidden="1" customHeight="1" x14ac:dyDescent="0.35">
      <c r="D40" s="81" t="s">
        <v>108</v>
      </c>
      <c r="E40" s="45"/>
      <c r="F40" s="46"/>
      <c r="G40" s="82">
        <f>G37/G36</f>
        <v>0.11618593563766387</v>
      </c>
      <c r="H40" s="82">
        <f>H37/H36</f>
        <v>0.11618593563766388</v>
      </c>
      <c r="I40" s="82">
        <f>I37/I36</f>
        <v>0.11618593563766388</v>
      </c>
      <c r="J40" s="82">
        <f>J37/J36</f>
        <v>0.11618593563766388</v>
      </c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199"/>
      <c r="Z40" s="577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N40" s="82"/>
      <c r="AO40" s="82"/>
      <c r="AR40" s="82"/>
      <c r="AU40" s="82"/>
      <c r="AV40" s="82"/>
      <c r="AW40" s="82"/>
      <c r="AY40" s="82"/>
      <c r="AZ40" s="82"/>
      <c r="BA40" s="82"/>
      <c r="BD40" s="82"/>
      <c r="BE40" s="82"/>
      <c r="BI40" s="82"/>
      <c r="BJ40" s="82"/>
      <c r="BK40" s="2649"/>
      <c r="BN40" s="82"/>
      <c r="BO40" s="82"/>
      <c r="BR40" s="82"/>
      <c r="BS40" s="82"/>
      <c r="BU40" s="82"/>
      <c r="BV40" s="82"/>
      <c r="BX40" s="82"/>
      <c r="BY40" s="82"/>
      <c r="BZ40" s="2666" t="e">
        <f t="shared" si="0"/>
        <v>#DIV/0!</v>
      </c>
      <c r="CA40" s="82"/>
    </row>
    <row r="41" spans="4:79" ht="19.5" customHeight="1" x14ac:dyDescent="0.35">
      <c r="D41" s="75" t="s">
        <v>47</v>
      </c>
      <c r="E41" s="2689" t="s">
        <v>48</v>
      </c>
      <c r="F41" s="2680" t="s">
        <v>38</v>
      </c>
      <c r="G41" s="47"/>
      <c r="H41" s="47"/>
      <c r="I41" s="47"/>
      <c r="J41" s="47"/>
      <c r="K41" s="47"/>
      <c r="L41" s="55"/>
      <c r="M41" s="55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195"/>
      <c r="Z41" s="590"/>
      <c r="AA41" s="172"/>
      <c r="AB41" s="172"/>
      <c r="AC41" s="172"/>
      <c r="AD41" s="172"/>
      <c r="AE41" s="172"/>
      <c r="AF41" s="172"/>
      <c r="AG41" s="172"/>
      <c r="AH41" s="172"/>
      <c r="AI41" s="172"/>
      <c r="AJ41" s="172"/>
      <c r="AK41" s="172"/>
      <c r="AL41" s="172"/>
      <c r="AN41" s="47"/>
      <c r="AO41" s="55"/>
      <c r="AR41" s="47"/>
      <c r="AU41" s="47"/>
      <c r="AV41" s="55"/>
      <c r="AW41" s="55"/>
      <c r="AY41" s="47"/>
      <c r="AZ41" s="55"/>
      <c r="BA41" s="55"/>
      <c r="BD41" s="47"/>
      <c r="BE41" s="55"/>
      <c r="BI41" s="55"/>
      <c r="BJ41" s="55"/>
      <c r="BK41" s="2642"/>
      <c r="BN41" s="55"/>
      <c r="BO41" s="55"/>
      <c r="BR41" s="55"/>
      <c r="BS41" s="55"/>
      <c r="BU41" s="55"/>
      <c r="BV41" s="55"/>
      <c r="BX41" s="56"/>
      <c r="BY41" s="56"/>
      <c r="BZ41" s="2666" t="e">
        <f t="shared" si="0"/>
        <v>#DIV/0!</v>
      </c>
      <c r="CA41" s="56"/>
    </row>
    <row r="42" spans="4:79" ht="19.5" customHeight="1" x14ac:dyDescent="0.35">
      <c r="D42" s="44" t="s">
        <v>49</v>
      </c>
      <c r="E42" s="2703"/>
      <c r="F42" s="2681"/>
      <c r="G42" s="2529">
        <v>61.59</v>
      </c>
      <c r="H42" s="2529">
        <v>64.7</v>
      </c>
      <c r="I42" s="2529">
        <v>64.7</v>
      </c>
      <c r="J42" s="2529">
        <v>64.7</v>
      </c>
      <c r="K42" s="60">
        <v>19.865000000000002</v>
      </c>
      <c r="L42" s="62">
        <v>20.99</v>
      </c>
      <c r="M42" s="62">
        <v>22.606666666666666</v>
      </c>
      <c r="N42" s="63">
        <v>21.64</v>
      </c>
      <c r="O42" s="63">
        <v>3.88</v>
      </c>
      <c r="P42" s="63">
        <v>4.75</v>
      </c>
      <c r="Q42" s="63">
        <v>6</v>
      </c>
      <c r="R42" s="63">
        <v>6.81</v>
      </c>
      <c r="S42" s="63">
        <v>7.6550000000000002</v>
      </c>
      <c r="T42" s="63">
        <v>8.31</v>
      </c>
      <c r="U42" s="63">
        <v>9.31</v>
      </c>
      <c r="V42" s="63">
        <v>9.2100000000000009</v>
      </c>
      <c r="W42" s="63">
        <v>9.6</v>
      </c>
      <c r="X42" s="63"/>
      <c r="Y42" s="198"/>
      <c r="Z42" s="577"/>
      <c r="AA42" s="577"/>
      <c r="AB42" s="577"/>
      <c r="AC42" s="577"/>
      <c r="AD42" s="577"/>
      <c r="AE42" s="577"/>
      <c r="AF42" s="577"/>
      <c r="AG42" s="577"/>
      <c r="AH42" s="577"/>
      <c r="AI42" s="577"/>
      <c r="AJ42" s="577"/>
      <c r="AK42" s="577"/>
      <c r="AL42" s="577"/>
      <c r="AN42" s="60">
        <v>19.36</v>
      </c>
      <c r="AO42" s="62">
        <v>20.37</v>
      </c>
      <c r="AR42" s="77">
        <v>20.99</v>
      </c>
      <c r="AU42" s="77">
        <v>23.72</v>
      </c>
      <c r="AV42" s="62">
        <v>22.2</v>
      </c>
      <c r="AW42" s="62">
        <v>21.9</v>
      </c>
      <c r="AX42" s="2624">
        <f>AVERAGE(AU42:AW42)</f>
        <v>22.606666666666666</v>
      </c>
      <c r="AY42" s="77">
        <v>21.59</v>
      </c>
      <c r="AZ42" s="62"/>
      <c r="BA42" s="62">
        <v>21.69</v>
      </c>
      <c r="BB42" s="2603">
        <f>AVERAGE(AY42:BA42)</f>
        <v>21.64</v>
      </c>
      <c r="BD42" s="77">
        <v>9.7200000000000006</v>
      </c>
      <c r="BE42" s="62">
        <v>3.88</v>
      </c>
      <c r="BI42" s="62"/>
      <c r="BJ42" s="62"/>
      <c r="BK42" s="2644"/>
      <c r="BN42" s="62"/>
      <c r="BO42" s="62"/>
      <c r="BR42" s="62"/>
      <c r="BS42" s="62"/>
      <c r="BU42" s="62"/>
      <c r="BV42" s="62"/>
      <c r="BX42" s="63">
        <v>7.95</v>
      </c>
      <c r="BY42" s="63">
        <v>7.36</v>
      </c>
      <c r="BZ42" s="2666">
        <f t="shared" si="0"/>
        <v>7.6550000000000002</v>
      </c>
      <c r="CA42" s="63">
        <v>8.31</v>
      </c>
    </row>
    <row r="43" spans="4:79" ht="19.5" customHeight="1" x14ac:dyDescent="0.35">
      <c r="D43" s="44" t="s">
        <v>50</v>
      </c>
      <c r="E43" s="2703"/>
      <c r="F43" s="2681"/>
      <c r="G43" s="2529">
        <v>200.01</v>
      </c>
      <c r="H43" s="2529">
        <v>205.8</v>
      </c>
      <c r="I43" s="2529">
        <v>205.8</v>
      </c>
      <c r="J43" s="2529">
        <v>205.8</v>
      </c>
      <c r="K43" s="60">
        <v>25.189999999999998</v>
      </c>
      <c r="L43" s="62">
        <v>29.8</v>
      </c>
      <c r="M43" s="62">
        <v>35.97</v>
      </c>
      <c r="N43" s="63">
        <v>35.74</v>
      </c>
      <c r="O43" s="63">
        <v>0.71</v>
      </c>
      <c r="P43" s="63">
        <v>0.82</v>
      </c>
      <c r="Q43" s="63">
        <v>1.21</v>
      </c>
      <c r="R43" s="63">
        <v>1.7</v>
      </c>
      <c r="S43" s="63">
        <v>2.6549999999999998</v>
      </c>
      <c r="T43" s="63">
        <v>2.76</v>
      </c>
      <c r="U43" s="63">
        <v>3.4</v>
      </c>
      <c r="V43" s="63">
        <v>3.36</v>
      </c>
      <c r="W43" s="63">
        <v>3.74</v>
      </c>
      <c r="X43" s="63"/>
      <c r="Y43" s="198"/>
      <c r="Z43" s="577"/>
      <c r="AA43" s="577"/>
      <c r="AB43" s="577"/>
      <c r="AC43" s="577"/>
      <c r="AD43" s="577"/>
      <c r="AE43" s="577"/>
      <c r="AF43" s="577"/>
      <c r="AG43" s="577"/>
      <c r="AH43" s="577"/>
      <c r="AI43" s="577"/>
      <c r="AJ43" s="577"/>
      <c r="AK43" s="577"/>
      <c r="AL43" s="577"/>
      <c r="AN43" s="60">
        <v>23.2</v>
      </c>
      <c r="AO43" s="62">
        <v>27.18</v>
      </c>
      <c r="AR43" s="77">
        <v>29.8</v>
      </c>
      <c r="AU43" s="77">
        <v>34.909999999999997</v>
      </c>
      <c r="AV43" s="62">
        <v>37.1</v>
      </c>
      <c r="AW43" s="62">
        <v>35.9</v>
      </c>
      <c r="AX43" s="2624">
        <f t="shared" ref="AX43:AX46" si="33">AVERAGE(AU43:AW43)</f>
        <v>35.97</v>
      </c>
      <c r="AY43" s="77">
        <v>36.31</v>
      </c>
      <c r="AZ43" s="62"/>
      <c r="BA43" s="62">
        <v>35.17</v>
      </c>
      <c r="BB43" s="2603">
        <f t="shared" ref="BB43:BB46" si="34">AVERAGE(AY43:BA43)</f>
        <v>35.74</v>
      </c>
      <c r="BD43" s="77">
        <v>11.1</v>
      </c>
      <c r="BE43" s="62">
        <v>0.71</v>
      </c>
      <c r="BI43" s="62"/>
      <c r="BJ43" s="62"/>
      <c r="BK43" s="2644"/>
      <c r="BN43" s="62"/>
      <c r="BO43" s="62"/>
      <c r="BR43" s="62"/>
      <c r="BS43" s="62"/>
      <c r="BU43" s="62"/>
      <c r="BV43" s="62"/>
      <c r="BX43" s="63">
        <v>2.0299999999999998</v>
      </c>
      <c r="BY43" s="63">
        <v>3.28</v>
      </c>
      <c r="BZ43" s="2666">
        <f t="shared" si="0"/>
        <v>2.6549999999999998</v>
      </c>
      <c r="CA43" s="63">
        <v>2.76</v>
      </c>
    </row>
    <row r="44" spans="4:79" ht="19.5" customHeight="1" x14ac:dyDescent="0.35">
      <c r="D44" s="44" t="s">
        <v>51</v>
      </c>
      <c r="E44" s="2703"/>
      <c r="F44" s="2681"/>
      <c r="G44" s="2531">
        <v>37.159999999999997</v>
      </c>
      <c r="H44" s="2531">
        <v>39.17</v>
      </c>
      <c r="I44" s="2531">
        <v>39.17</v>
      </c>
      <c r="J44" s="2531">
        <v>39.17</v>
      </c>
      <c r="K44" s="60">
        <v>56.54</v>
      </c>
      <c r="L44" s="62">
        <v>25.4</v>
      </c>
      <c r="M44" s="62">
        <v>15.803333333333333</v>
      </c>
      <c r="N44" s="63">
        <v>13.555</v>
      </c>
      <c r="O44" s="63">
        <v>12.01</v>
      </c>
      <c r="P44" s="63">
        <v>28.21</v>
      </c>
      <c r="Q44" s="63">
        <v>10.6</v>
      </c>
      <c r="R44" s="63">
        <v>13.66</v>
      </c>
      <c r="S44" s="63">
        <v>14.864999999999998</v>
      </c>
      <c r="T44" s="63">
        <v>9.66</v>
      </c>
      <c r="U44" s="63">
        <v>10.45</v>
      </c>
      <c r="V44" s="63">
        <v>12.83</v>
      </c>
      <c r="W44" s="63">
        <v>15.23</v>
      </c>
      <c r="X44" s="63"/>
      <c r="Y44" s="198"/>
      <c r="Z44" s="577"/>
      <c r="AA44" s="577"/>
      <c r="AB44" s="577"/>
      <c r="AC44" s="577"/>
      <c r="AD44" s="577"/>
      <c r="AE44" s="577"/>
      <c r="AF44" s="577"/>
      <c r="AG44" s="577"/>
      <c r="AH44" s="577"/>
      <c r="AI44" s="577"/>
      <c r="AJ44" s="577"/>
      <c r="AK44" s="577"/>
      <c r="AL44" s="577"/>
      <c r="AN44" s="60">
        <v>78.36</v>
      </c>
      <c r="AO44" s="62">
        <v>34.72</v>
      </c>
      <c r="AR44" s="77">
        <v>25.4</v>
      </c>
      <c r="AU44" s="77">
        <v>20.21</v>
      </c>
      <c r="AV44" s="62">
        <v>13.9</v>
      </c>
      <c r="AW44" s="62">
        <v>13.3</v>
      </c>
      <c r="AX44" s="2624">
        <f t="shared" si="33"/>
        <v>15.803333333333333</v>
      </c>
      <c r="AY44" s="77">
        <v>13.19</v>
      </c>
      <c r="AZ44" s="62"/>
      <c r="BA44" s="62">
        <v>13.92</v>
      </c>
      <c r="BB44" s="2603">
        <f t="shared" si="34"/>
        <v>13.555</v>
      </c>
      <c r="BD44" s="77">
        <v>18.66</v>
      </c>
      <c r="BE44" s="62">
        <v>12.01</v>
      </c>
      <c r="BI44" s="62"/>
      <c r="BJ44" s="62"/>
      <c r="BK44" s="2644"/>
      <c r="BN44" s="62"/>
      <c r="BO44" s="62"/>
      <c r="BR44" s="62"/>
      <c r="BS44" s="62"/>
      <c r="BU44" s="62"/>
      <c r="BV44" s="62"/>
      <c r="BX44" s="63">
        <v>13.26</v>
      </c>
      <c r="BY44" s="63">
        <v>16.47</v>
      </c>
      <c r="BZ44" s="2666">
        <f t="shared" si="0"/>
        <v>14.864999999999998</v>
      </c>
      <c r="CA44" s="63">
        <v>9.66</v>
      </c>
    </row>
    <row r="45" spans="4:79" ht="19.5" customHeight="1" x14ac:dyDescent="0.35">
      <c r="D45" s="44" t="s">
        <v>52</v>
      </c>
      <c r="E45" s="2703"/>
      <c r="F45" s="2681"/>
      <c r="G45" s="2531">
        <v>5.4</v>
      </c>
      <c r="H45" s="2531">
        <v>30.27</v>
      </c>
      <c r="I45" s="2531">
        <v>30.27</v>
      </c>
      <c r="J45" s="2531">
        <v>30.27</v>
      </c>
      <c r="K45" s="84">
        <v>27.529999999999998</v>
      </c>
      <c r="L45" s="62">
        <v>10.39</v>
      </c>
      <c r="M45" s="62">
        <v>5.0366666666666671</v>
      </c>
      <c r="N45" s="63">
        <v>3.915</v>
      </c>
      <c r="O45" s="63">
        <v>2.78</v>
      </c>
      <c r="P45" s="63">
        <v>9.98</v>
      </c>
      <c r="Q45" s="63">
        <v>1.57</v>
      </c>
      <c r="R45" s="63">
        <v>1.61</v>
      </c>
      <c r="S45" s="63">
        <v>1.7350000000000001</v>
      </c>
      <c r="T45" s="63">
        <v>0</v>
      </c>
      <c r="U45" s="63">
        <v>2.4500000000000002</v>
      </c>
      <c r="V45" s="63">
        <v>5.01</v>
      </c>
      <c r="W45" s="63">
        <v>4.4400000000000004</v>
      </c>
      <c r="X45" s="63"/>
      <c r="Y45" s="198"/>
      <c r="Z45" s="577"/>
      <c r="AA45" s="577"/>
      <c r="AB45" s="577"/>
      <c r="AC45" s="577"/>
      <c r="AD45" s="577"/>
      <c r="AE45" s="577"/>
      <c r="AF45" s="577"/>
      <c r="AG45" s="577"/>
      <c r="AH45" s="577"/>
      <c r="AI45" s="577"/>
      <c r="AJ45" s="577"/>
      <c r="AK45" s="577"/>
      <c r="AL45" s="577"/>
      <c r="AN45" s="84">
        <v>39.549999999999997</v>
      </c>
      <c r="AO45" s="62">
        <v>15.51</v>
      </c>
      <c r="AR45" s="77">
        <v>10.39</v>
      </c>
      <c r="AU45" s="77">
        <v>7.91</v>
      </c>
      <c r="AV45" s="62">
        <v>4.3</v>
      </c>
      <c r="AW45" s="62">
        <v>2.9</v>
      </c>
      <c r="AX45" s="2624">
        <f t="shared" si="33"/>
        <v>5.0366666666666671</v>
      </c>
      <c r="AY45" s="77">
        <v>4.0999999999999996</v>
      </c>
      <c r="AZ45" s="62"/>
      <c r="BA45" s="62">
        <v>3.73</v>
      </c>
      <c r="BB45" s="2603">
        <f t="shared" si="34"/>
        <v>3.915</v>
      </c>
      <c r="BD45" s="77">
        <v>5.88</v>
      </c>
      <c r="BE45" s="62">
        <v>2.78</v>
      </c>
      <c r="BI45" s="62"/>
      <c r="BJ45" s="62"/>
      <c r="BK45" s="2644"/>
      <c r="BN45" s="62"/>
      <c r="BO45" s="62"/>
      <c r="BR45" s="62"/>
      <c r="BS45" s="62"/>
      <c r="BU45" s="62"/>
      <c r="BV45" s="62"/>
      <c r="BX45" s="63">
        <v>0.81</v>
      </c>
      <c r="BY45" s="63">
        <v>2.66</v>
      </c>
      <c r="BZ45" s="2666">
        <f t="shared" si="0"/>
        <v>1.7350000000000001</v>
      </c>
      <c r="CA45" s="63">
        <v>0</v>
      </c>
    </row>
    <row r="46" spans="4:79" ht="19.5" customHeight="1" x14ac:dyDescent="0.35">
      <c r="D46" s="44" t="s">
        <v>53</v>
      </c>
      <c r="E46" s="2704"/>
      <c r="F46" s="2682"/>
      <c r="G46" s="2531">
        <v>16.28</v>
      </c>
      <c r="H46" s="2531">
        <v>20.13</v>
      </c>
      <c r="I46" s="2531">
        <v>20.13</v>
      </c>
      <c r="J46" s="2531">
        <v>20.13</v>
      </c>
      <c r="K46" s="60">
        <v>21.759999999999998</v>
      </c>
      <c r="L46" s="62">
        <v>14.34</v>
      </c>
      <c r="M46" s="62">
        <v>14.229999999999999</v>
      </c>
      <c r="N46" s="63">
        <v>6.38</v>
      </c>
      <c r="O46" s="63">
        <v>1.6</v>
      </c>
      <c r="P46" s="63">
        <v>1.42</v>
      </c>
      <c r="Q46" s="63">
        <v>1.21</v>
      </c>
      <c r="R46" s="63">
        <v>1.88</v>
      </c>
      <c r="S46" s="63">
        <v>1.58</v>
      </c>
      <c r="T46" s="63">
        <v>1.3</v>
      </c>
      <c r="U46" s="63">
        <v>1.19</v>
      </c>
      <c r="V46" s="63">
        <v>1.32</v>
      </c>
      <c r="W46" s="63">
        <v>1.62</v>
      </c>
      <c r="X46" s="63"/>
      <c r="Y46" s="198"/>
      <c r="Z46" s="577"/>
      <c r="AA46" s="577"/>
      <c r="AB46" s="577"/>
      <c r="AC46" s="577"/>
      <c r="AD46" s="577"/>
      <c r="AE46" s="577"/>
      <c r="AF46" s="577"/>
      <c r="AG46" s="577"/>
      <c r="AH46" s="577"/>
      <c r="AI46" s="577"/>
      <c r="AJ46" s="577"/>
      <c r="AK46" s="577"/>
      <c r="AL46" s="577"/>
      <c r="AN46" s="60">
        <v>28.06</v>
      </c>
      <c r="AO46" s="62">
        <v>15.46</v>
      </c>
      <c r="AR46" s="77">
        <v>14.34</v>
      </c>
      <c r="AU46" s="77">
        <v>22.69</v>
      </c>
      <c r="AV46" s="62">
        <v>11.8</v>
      </c>
      <c r="AW46" s="62">
        <v>8.1999999999999993</v>
      </c>
      <c r="AX46" s="2624">
        <f t="shared" si="33"/>
        <v>14.229999999999999</v>
      </c>
      <c r="AY46" s="77">
        <v>7.12</v>
      </c>
      <c r="AZ46" s="62"/>
      <c r="BA46" s="62">
        <v>5.64</v>
      </c>
      <c r="BB46" s="2603">
        <f t="shared" si="34"/>
        <v>6.38</v>
      </c>
      <c r="BD46" s="77">
        <v>2.5</v>
      </c>
      <c r="BE46" s="62">
        <v>1.6</v>
      </c>
      <c r="BI46" s="62"/>
      <c r="BJ46" s="62"/>
      <c r="BK46" s="2644"/>
      <c r="BN46" s="62"/>
      <c r="BO46" s="62"/>
      <c r="BR46" s="62"/>
      <c r="BS46" s="62"/>
      <c r="BU46" s="62"/>
      <c r="BV46" s="62"/>
      <c r="BX46" s="63">
        <v>1.32</v>
      </c>
      <c r="BY46" s="63">
        <v>1.84</v>
      </c>
      <c r="BZ46" s="2666">
        <f t="shared" si="0"/>
        <v>1.58</v>
      </c>
      <c r="CA46" s="63">
        <v>1.3</v>
      </c>
    </row>
    <row r="47" spans="4:79" ht="19.5" customHeight="1" x14ac:dyDescent="0.35">
      <c r="D47" s="113" t="s">
        <v>3</v>
      </c>
      <c r="E47" s="79"/>
      <c r="F47" s="80"/>
      <c r="G47" s="114" t="s">
        <v>17</v>
      </c>
      <c r="H47" s="114" t="s">
        <v>17</v>
      </c>
      <c r="I47" s="114" t="s">
        <v>17</v>
      </c>
      <c r="J47" s="114" t="s">
        <v>17</v>
      </c>
      <c r="K47" s="115">
        <f>100-(K42*100/$G$42)</f>
        <v>67.746387400552038</v>
      </c>
      <c r="L47" s="115">
        <f t="shared" ref="L47:M47" si="35">100-(L42*100/$G$42)</f>
        <v>65.919792174054237</v>
      </c>
      <c r="M47" s="115">
        <f t="shared" si="35"/>
        <v>63.294907181901827</v>
      </c>
      <c r="N47" s="115">
        <f>100-(N42*100/$G$42)</f>
        <v>64.864426043188828</v>
      </c>
      <c r="O47" s="115">
        <f t="shared" ref="O47" si="36">100-(O42*100/$H$42)</f>
        <v>94.003091190108194</v>
      </c>
      <c r="P47" s="115">
        <f t="shared" ref="P47:T47" si="37">100-(P42*100/$H$42)</f>
        <v>92.658423493044822</v>
      </c>
      <c r="Q47" s="115">
        <f t="shared" si="37"/>
        <v>90.726429675425038</v>
      </c>
      <c r="R47" s="115">
        <f t="shared" si="37"/>
        <v>89.474497681607417</v>
      </c>
      <c r="S47" s="115">
        <f>100-(S42*100/$H$42)</f>
        <v>88.168469860896451</v>
      </c>
      <c r="T47" s="115">
        <f t="shared" si="37"/>
        <v>87.156105100463677</v>
      </c>
      <c r="U47" s="115">
        <f t="shared" ref="U47:W47" si="38">100-(U42*100/$H$42)</f>
        <v>85.61051004636785</v>
      </c>
      <c r="V47" s="115">
        <f t="shared" si="38"/>
        <v>85.76506955177743</v>
      </c>
      <c r="W47" s="115">
        <f t="shared" si="38"/>
        <v>85.162287480680064</v>
      </c>
      <c r="X47" s="115">
        <f t="shared" ref="X47" si="39">100-(X42*100/$I$42)</f>
        <v>100</v>
      </c>
      <c r="Y47" s="115">
        <f t="shared" ref="Y47:AC47" si="40">100-(Y42*100/$I$42)</f>
        <v>100</v>
      </c>
      <c r="Z47" s="115">
        <f t="shared" si="40"/>
        <v>100</v>
      </c>
      <c r="AA47" s="115">
        <f t="shared" si="40"/>
        <v>100</v>
      </c>
      <c r="AB47" s="115">
        <f t="shared" si="40"/>
        <v>100</v>
      </c>
      <c r="AC47" s="115">
        <f t="shared" si="40"/>
        <v>100</v>
      </c>
      <c r="AD47" s="115">
        <f>100-(AD42*100/$J$42)</f>
        <v>100</v>
      </c>
      <c r="AE47" s="115">
        <f t="shared" ref="AE47:AL47" si="41">100-(AE42*100/$J$42)</f>
        <v>100</v>
      </c>
      <c r="AF47" s="115">
        <f t="shared" si="41"/>
        <v>100</v>
      </c>
      <c r="AG47" s="115">
        <f t="shared" si="41"/>
        <v>100</v>
      </c>
      <c r="AH47" s="115">
        <f t="shared" si="41"/>
        <v>100</v>
      </c>
      <c r="AI47" s="115">
        <f t="shared" si="41"/>
        <v>100</v>
      </c>
      <c r="AJ47" s="115">
        <f t="shared" si="41"/>
        <v>100</v>
      </c>
      <c r="AK47" s="115">
        <f t="shared" si="41"/>
        <v>100</v>
      </c>
      <c r="AL47" s="115">
        <f t="shared" si="41"/>
        <v>100</v>
      </c>
      <c r="AN47" s="115">
        <f>100-(AN42*100/$G$42)</f>
        <v>68.56632570222439</v>
      </c>
      <c r="AO47" s="115">
        <f t="shared" ref="AO47" si="42">100-(AO42*100/$G$42)</f>
        <v>66.926449098879687</v>
      </c>
      <c r="AR47" s="115">
        <f t="shared" ref="AR47" si="43">100-(AR42*100/$G$42)</f>
        <v>65.919792174054237</v>
      </c>
      <c r="AU47" s="115">
        <f>100-(AU42*100/$G$42)</f>
        <v>61.487254424419554</v>
      </c>
      <c r="AV47" s="115"/>
      <c r="AW47" s="115"/>
      <c r="AY47" s="115"/>
      <c r="AZ47" s="115"/>
      <c r="BA47" s="115"/>
      <c r="BD47" s="115">
        <v>84.976816074188562</v>
      </c>
      <c r="BE47" s="115">
        <v>94.003091190108194</v>
      </c>
      <c r="BI47" s="115"/>
      <c r="BJ47" s="115"/>
      <c r="BK47" s="2650"/>
      <c r="BN47" s="115"/>
      <c r="BO47" s="115"/>
      <c r="BR47" s="115"/>
      <c r="BS47" s="115"/>
      <c r="BU47" s="115"/>
      <c r="BV47" s="115"/>
      <c r="BX47" s="115">
        <f>100-(BX42*100/$H$42)</f>
        <v>87.712519319938181</v>
      </c>
      <c r="BY47" s="115">
        <f t="shared" ref="BY47" si="44">100-(BY42*100/$H$42)</f>
        <v>88.624420401854707</v>
      </c>
      <c r="BZ47" s="2666">
        <f t="shared" si="0"/>
        <v>88.168469860896437</v>
      </c>
      <c r="CA47" s="115">
        <f t="shared" ref="CA47" si="45">100-(CA42*100/$H$42)</f>
        <v>87.156105100463677</v>
      </c>
    </row>
    <row r="48" spans="4:79" ht="19.5" customHeight="1" x14ac:dyDescent="0.35">
      <c r="D48" s="113" t="s">
        <v>4</v>
      </c>
      <c r="E48" s="79" t="s">
        <v>163</v>
      </c>
      <c r="F48" s="80" t="s">
        <v>55</v>
      </c>
      <c r="G48" s="114" t="s">
        <v>17</v>
      </c>
      <c r="H48" s="114" t="s">
        <v>17</v>
      </c>
      <c r="I48" s="114" t="s">
        <v>17</v>
      </c>
      <c r="J48" s="114" t="s">
        <v>17</v>
      </c>
      <c r="K48" s="115">
        <f>100-(K43*100/$G$43)</f>
        <v>87.405629718514078</v>
      </c>
      <c r="L48" s="115">
        <f t="shared" ref="L48:N48" si="46">100-(L43*100/$G$43)</f>
        <v>85.100744962751861</v>
      </c>
      <c r="M48" s="115">
        <f t="shared" si="46"/>
        <v>82.015899205039744</v>
      </c>
      <c r="N48" s="115">
        <f t="shared" si="46"/>
        <v>82.130893455327225</v>
      </c>
      <c r="O48" s="115">
        <f t="shared" ref="O48" si="47">100-(O43*100/$H$43)</f>
        <v>99.655004859086489</v>
      </c>
      <c r="P48" s="115">
        <f t="shared" ref="P48:T48" si="48">100-(P43*100/$H$43)</f>
        <v>99.601554907677354</v>
      </c>
      <c r="Q48" s="115">
        <f t="shared" si="48"/>
        <v>99.412050534499514</v>
      </c>
      <c r="R48" s="115">
        <f t="shared" si="48"/>
        <v>99.173955296404273</v>
      </c>
      <c r="S48" s="115">
        <f t="shared" si="48"/>
        <v>98.709912536443142</v>
      </c>
      <c r="T48" s="115">
        <f t="shared" si="48"/>
        <v>98.658892128279888</v>
      </c>
      <c r="U48" s="115">
        <f t="shared" ref="U48:W48" si="49">100-(U43*100/$H$43)</f>
        <v>98.347910592808546</v>
      </c>
      <c r="V48" s="115">
        <f t="shared" si="49"/>
        <v>98.367346938775512</v>
      </c>
      <c r="W48" s="115">
        <f t="shared" si="49"/>
        <v>98.182701652089406</v>
      </c>
      <c r="X48" s="115">
        <f t="shared" ref="X48" si="50">100-(X43*100/$I$43)</f>
        <v>100</v>
      </c>
      <c r="Y48" s="115">
        <f t="shared" ref="Y48:AC48" si="51">100-(Y43*100/$I$43)</f>
        <v>100</v>
      </c>
      <c r="Z48" s="115">
        <f t="shared" si="51"/>
        <v>100</v>
      </c>
      <c r="AA48" s="115">
        <f t="shared" si="51"/>
        <v>100</v>
      </c>
      <c r="AB48" s="115">
        <f t="shared" si="51"/>
        <v>100</v>
      </c>
      <c r="AC48" s="115">
        <f t="shared" si="51"/>
        <v>100</v>
      </c>
      <c r="AD48" s="115">
        <f>100-(AD43*100/$J$43)</f>
        <v>100</v>
      </c>
      <c r="AE48" s="115">
        <f t="shared" ref="AE48:AL48" si="52">100-(AE43*100/$J$43)</f>
        <v>100</v>
      </c>
      <c r="AF48" s="115">
        <f t="shared" si="52"/>
        <v>100</v>
      </c>
      <c r="AG48" s="115">
        <f t="shared" si="52"/>
        <v>100</v>
      </c>
      <c r="AH48" s="115">
        <f t="shared" si="52"/>
        <v>100</v>
      </c>
      <c r="AI48" s="115">
        <f t="shared" si="52"/>
        <v>100</v>
      </c>
      <c r="AJ48" s="115">
        <f t="shared" si="52"/>
        <v>100</v>
      </c>
      <c r="AK48" s="115">
        <f t="shared" si="52"/>
        <v>100</v>
      </c>
      <c r="AL48" s="115">
        <f t="shared" si="52"/>
        <v>100</v>
      </c>
      <c r="AN48" s="115">
        <f>100-(AN43*100/$G$43)</f>
        <v>88.400579971001449</v>
      </c>
      <c r="AO48" s="115">
        <f t="shared" ref="AO48" si="53">100-(AO43*100/$G$43)</f>
        <v>86.410679466026693</v>
      </c>
      <c r="AR48" s="115">
        <f t="shared" ref="AR48" si="54">100-(AR43*100/$G$43)</f>
        <v>85.100744962751861</v>
      </c>
      <c r="AU48" s="115">
        <f>100-(AU43*100/$G$43)</f>
        <v>82.54587270636469</v>
      </c>
      <c r="AV48" s="115"/>
      <c r="AW48" s="115"/>
      <c r="AY48" s="115"/>
      <c r="AZ48" s="115"/>
      <c r="BA48" s="115"/>
      <c r="BD48" s="115">
        <v>94.606413994169102</v>
      </c>
      <c r="BE48" s="115">
        <v>99.655004859086489</v>
      </c>
      <c r="BI48" s="115"/>
      <c r="BJ48" s="115"/>
      <c r="BK48" s="2650"/>
      <c r="BN48" s="115"/>
      <c r="BO48" s="115"/>
      <c r="BR48" s="115"/>
      <c r="BS48" s="115"/>
      <c r="BU48" s="115"/>
      <c r="BV48" s="115"/>
      <c r="BX48" s="115">
        <f t="shared" ref="BX48:BY48" si="55">100-(BX43*100/$H$43)</f>
        <v>99.013605442176868</v>
      </c>
      <c r="BY48" s="115">
        <f t="shared" si="55"/>
        <v>98.40621963070943</v>
      </c>
      <c r="BZ48" s="2666">
        <f t="shared" si="0"/>
        <v>98.709912536443142</v>
      </c>
      <c r="CA48" s="115">
        <f t="shared" ref="CA48" si="56">100-(CA43*100/$H$43)</f>
        <v>98.658892128279888</v>
      </c>
    </row>
    <row r="49" spans="4:79" ht="19.5" customHeight="1" x14ac:dyDescent="0.35">
      <c r="D49" s="113" t="s">
        <v>56</v>
      </c>
      <c r="E49" s="79"/>
      <c r="F49" s="80"/>
      <c r="G49" s="114" t="s">
        <v>17</v>
      </c>
      <c r="H49" s="114" t="s">
        <v>17</v>
      </c>
      <c r="I49" s="114" t="s">
        <v>17</v>
      </c>
      <c r="J49" s="114" t="s">
        <v>17</v>
      </c>
      <c r="K49" s="115">
        <f>100-((K42+K43)*100/($G$42+$G$43))</f>
        <v>82.777140672782878</v>
      </c>
      <c r="L49" s="115">
        <f t="shared" ref="L49:M49" si="57">100-((L42+L43)*100/($G$42+$G$43))</f>
        <v>80.584862385321102</v>
      </c>
      <c r="M49" s="115">
        <f t="shared" si="57"/>
        <v>77.608307849133539</v>
      </c>
      <c r="N49" s="115">
        <f>100-((N42+N43)*100/($G$42+$G$43))</f>
        <v>78.065749235474016</v>
      </c>
      <c r="O49" s="115">
        <f t="shared" ref="O49" si="58">100-((O42+O43)*100/($H$42+$H$43))</f>
        <v>98.303142329020332</v>
      </c>
      <c r="P49" s="115">
        <f t="shared" ref="P49:S49" si="59">100-((P42+P43)*100/($H$42+$H$43))</f>
        <v>97.940850277264332</v>
      </c>
      <c r="Q49" s="115">
        <f t="shared" si="59"/>
        <v>97.334565619223653</v>
      </c>
      <c r="R49" s="115">
        <f t="shared" si="59"/>
        <v>96.853974121996302</v>
      </c>
      <c r="S49" s="115">
        <f t="shared" si="59"/>
        <v>96.188539741219969</v>
      </c>
      <c r="T49" s="115">
        <f>100-((T42+T43)*100/($H$42+$H$43))</f>
        <v>95.907578558225509</v>
      </c>
      <c r="U49" s="115">
        <f t="shared" ref="U49:W49" si="60">100-((U42+U43)*100/($H$42+$H$43))</f>
        <v>95.301293900184845</v>
      </c>
      <c r="V49" s="115">
        <f t="shared" si="60"/>
        <v>95.353049907578566</v>
      </c>
      <c r="W49" s="115">
        <f t="shared" si="60"/>
        <v>95.068391866913117</v>
      </c>
      <c r="X49" s="115">
        <f t="shared" ref="X49" si="61">100-((X42+X43)*100/($I$42+$I$43))</f>
        <v>100</v>
      </c>
      <c r="Y49" s="115">
        <f t="shared" ref="Y49:AC49" si="62">100-((Y42+Y43)*100/($I$42+$I$43))</f>
        <v>100</v>
      </c>
      <c r="Z49" s="115">
        <f t="shared" si="62"/>
        <v>100</v>
      </c>
      <c r="AA49" s="115">
        <f t="shared" si="62"/>
        <v>100</v>
      </c>
      <c r="AB49" s="115">
        <f t="shared" si="62"/>
        <v>100</v>
      </c>
      <c r="AC49" s="115">
        <f t="shared" si="62"/>
        <v>100</v>
      </c>
      <c r="AD49" s="115">
        <f>100-((AD42+AD43)*100/($J$42+$J$43))</f>
        <v>100</v>
      </c>
      <c r="AE49" s="115">
        <f t="shared" ref="AE49:AL49" si="63">100-((AE42+AE43)*100/($J$42+$J$43))</f>
        <v>100</v>
      </c>
      <c r="AF49" s="115">
        <f t="shared" si="63"/>
        <v>100</v>
      </c>
      <c r="AG49" s="115">
        <f t="shared" si="63"/>
        <v>100</v>
      </c>
      <c r="AH49" s="115">
        <f t="shared" si="63"/>
        <v>100</v>
      </c>
      <c r="AI49" s="115">
        <f t="shared" si="63"/>
        <v>100</v>
      </c>
      <c r="AJ49" s="115">
        <f t="shared" si="63"/>
        <v>100</v>
      </c>
      <c r="AK49" s="115">
        <f t="shared" si="63"/>
        <v>100</v>
      </c>
      <c r="AL49" s="115">
        <f t="shared" si="63"/>
        <v>100</v>
      </c>
      <c r="AN49" s="115">
        <f>100-((AN42+AN43)*100/($G$42+$G$43))</f>
        <v>83.730886850152899</v>
      </c>
      <c r="AO49" s="115">
        <f t="shared" ref="AO49" si="64">100-((AO42+AO43)*100/($G$42+$G$43))</f>
        <v>81.823394495412842</v>
      </c>
      <c r="AR49" s="115">
        <f t="shared" ref="AR49" si="65">100-((AR42+AR43)*100/($G$42+$G$43))</f>
        <v>80.584862385321102</v>
      </c>
      <c r="AU49" s="115">
        <f>100-((AU42+AU43)*100/($G$42+$G$43))</f>
        <v>77.587920489296636</v>
      </c>
      <c r="AV49" s="115"/>
      <c r="AW49" s="115"/>
      <c r="AY49" s="115"/>
      <c r="AZ49" s="115"/>
      <c r="BA49" s="115"/>
      <c r="BD49" s="115">
        <v>92.303142329020332</v>
      </c>
      <c r="BE49" s="115">
        <v>98.303142329020332</v>
      </c>
      <c r="BI49" s="115"/>
      <c r="BJ49" s="115"/>
      <c r="BK49" s="2650"/>
      <c r="BN49" s="115"/>
      <c r="BO49" s="115"/>
      <c r="BR49" s="115"/>
      <c r="BS49" s="115"/>
      <c r="BU49" s="115"/>
      <c r="BV49" s="115"/>
      <c r="BX49" s="115">
        <f t="shared" ref="BX49" si="66">100-((BX42+BX43)*100/($H$42+$H$43))</f>
        <v>96.310536044362294</v>
      </c>
      <c r="BY49" s="115">
        <f>100-((BY42+BY43)*100/($H$42+$H$43))</f>
        <v>96.06654343807763</v>
      </c>
      <c r="BZ49" s="2666">
        <f t="shared" si="0"/>
        <v>96.188539741219955</v>
      </c>
      <c r="CA49" s="115">
        <f t="shared" ref="CA49" si="67">100-((CA42+CA43)*100/($H$42+$H$43))</f>
        <v>95.907578558225509</v>
      </c>
    </row>
    <row r="50" spans="4:79" ht="19.5" customHeight="1" x14ac:dyDescent="0.35">
      <c r="D50" s="75" t="s">
        <v>57</v>
      </c>
      <c r="E50" s="2689" t="s">
        <v>58</v>
      </c>
      <c r="F50" s="2680" t="s">
        <v>59</v>
      </c>
      <c r="G50" s="47"/>
      <c r="H50" s="47"/>
      <c r="I50" s="47"/>
      <c r="J50" s="47"/>
      <c r="K50" s="47"/>
      <c r="L50" s="55"/>
      <c r="M50" s="55"/>
      <c r="N50" s="56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200"/>
      <c r="Z50" s="590"/>
      <c r="AA50" s="172"/>
      <c r="AB50" s="172"/>
      <c r="AC50" s="172"/>
      <c r="AD50" s="172"/>
      <c r="AE50" s="172"/>
      <c r="AF50" s="172"/>
      <c r="AG50" s="172"/>
      <c r="AH50" s="172"/>
      <c r="AI50" s="172"/>
      <c r="AJ50" s="172"/>
      <c r="AK50" s="172"/>
      <c r="AL50" s="172"/>
      <c r="AN50" s="47"/>
      <c r="AO50" s="55"/>
      <c r="AR50" s="47"/>
      <c r="AU50" s="47"/>
      <c r="AV50" s="55"/>
      <c r="AW50" s="55"/>
      <c r="AY50" s="47"/>
      <c r="AZ50" s="55"/>
      <c r="BA50" s="55"/>
      <c r="BD50" s="47"/>
      <c r="BE50" s="55"/>
      <c r="BI50" s="55"/>
      <c r="BJ50" s="55"/>
      <c r="BK50" s="2642"/>
      <c r="BN50" s="55"/>
      <c r="BO50" s="55"/>
      <c r="BR50" s="55"/>
      <c r="BS50" s="55"/>
      <c r="BU50" s="55"/>
      <c r="BV50" s="55"/>
      <c r="BX50" s="47"/>
      <c r="BY50" s="47"/>
      <c r="BZ50" s="2666" t="e">
        <f t="shared" si="0"/>
        <v>#DIV/0!</v>
      </c>
      <c r="CA50" s="47"/>
    </row>
    <row r="51" spans="4:79" ht="19.5" customHeight="1" x14ac:dyDescent="0.35">
      <c r="D51" s="83" t="s">
        <v>60</v>
      </c>
      <c r="E51" s="2690"/>
      <c r="F51" s="2681"/>
      <c r="G51" s="84">
        <f>'HPS LTO DAILY '!G10</f>
        <v>312.8</v>
      </c>
      <c r="H51" s="84">
        <v>352.9</v>
      </c>
      <c r="I51" s="84">
        <v>352.9</v>
      </c>
      <c r="J51" s="84">
        <v>352.9</v>
      </c>
      <c r="K51" s="84">
        <f>'HPS LTO DAILY '!H10</f>
        <v>153.4</v>
      </c>
      <c r="L51" s="84">
        <f>'HPS LTO DAILY '!I10</f>
        <v>140.19999999999999</v>
      </c>
      <c r="M51" s="84">
        <f>'HPS LTO DAILY '!J10</f>
        <v>158.69999999999999</v>
      </c>
      <c r="N51" s="84">
        <f>'HPS LTO DAILY '!K10</f>
        <v>156</v>
      </c>
      <c r="O51" s="84">
        <f>'HPS LTO DAILY '!L10</f>
        <v>114.8</v>
      </c>
      <c r="P51" s="84">
        <f>'HPS LTO DAILY '!M10</f>
        <v>130.69999999999999</v>
      </c>
      <c r="Q51" s="84">
        <f>'HPS LTO DAILY '!N10</f>
        <v>130.1</v>
      </c>
      <c r="R51" s="84">
        <f>'HPS LTO DAILY '!O10</f>
        <v>131.80000000000001</v>
      </c>
      <c r="S51" s="84">
        <f>'HPS LTO DAILY '!P10</f>
        <v>149.30000000000001</v>
      </c>
      <c r="T51" s="84">
        <f>'HPS LTO DAILY '!Q10</f>
        <v>135</v>
      </c>
      <c r="U51" s="84">
        <f>'HPS LTO DAILY '!R10</f>
        <v>133.1</v>
      </c>
      <c r="V51" s="84">
        <f>'HPS LTO DAILY '!S10</f>
        <v>136.19999999999999</v>
      </c>
      <c r="W51" s="84">
        <f>'HPS LTO DAILY '!T10</f>
        <v>132.6</v>
      </c>
      <c r="X51" s="84">
        <f>'HPS LTO DAILY '!U10</f>
        <v>0</v>
      </c>
      <c r="Y51" s="84">
        <f>'HPS LTO DAILY '!V10</f>
        <v>0</v>
      </c>
      <c r="Z51" s="84">
        <f>'HPS LTO DAILY '!W10</f>
        <v>0</v>
      </c>
      <c r="AA51" s="84">
        <f>'HPS LTO DAILY '!X10</f>
        <v>0</v>
      </c>
      <c r="AB51" s="84">
        <f>'HPS LTO DAILY '!Y10</f>
        <v>0</v>
      </c>
      <c r="AC51" s="84">
        <f>'HPS LTO DAILY '!Z10</f>
        <v>0</v>
      </c>
      <c r="AD51" s="84">
        <f>'HPS LTO DAILY '!AI10</f>
        <v>0</v>
      </c>
      <c r="AE51" s="84">
        <f>'HPS LTO DAILY '!AJ10</f>
        <v>0</v>
      </c>
      <c r="AF51" s="84">
        <f>'HPS LTO DAILY '!AK10</f>
        <v>4.5</v>
      </c>
      <c r="AG51" s="84">
        <f>'HPS LTO DAILY '!AL10</f>
        <v>105</v>
      </c>
      <c r="AH51" s="84">
        <f>'HPS LTO DAILY '!AM10</f>
        <v>0</v>
      </c>
      <c r="AI51" s="84">
        <f>'HPS LTO DAILY '!AN10</f>
        <v>0</v>
      </c>
      <c r="AJ51" s="84">
        <f>'HPS LTO DAILY '!AO10</f>
        <v>0</v>
      </c>
      <c r="AK51" s="84">
        <f>'HPS LTO DAILY '!AP10</f>
        <v>0</v>
      </c>
      <c r="AL51" s="84">
        <f>'HPS LTO DAILY '!AQ10</f>
        <v>0</v>
      </c>
      <c r="AN51" s="84"/>
      <c r="AO51" s="84"/>
      <c r="AR51" s="84"/>
      <c r="AU51" s="84">
        <f>'HPS LTO DAILY '!AR10</f>
        <v>0</v>
      </c>
      <c r="AV51" s="84"/>
      <c r="AW51" s="84"/>
      <c r="AY51" s="84"/>
      <c r="AZ51" s="84"/>
      <c r="BA51" s="84"/>
      <c r="BD51" s="84">
        <v>114.8</v>
      </c>
      <c r="BE51" s="84">
        <v>0</v>
      </c>
      <c r="BI51" s="84"/>
      <c r="BJ51" s="84"/>
      <c r="BK51" s="2651"/>
      <c r="BN51" s="84"/>
      <c r="BO51" s="84"/>
      <c r="BR51" s="84"/>
      <c r="BS51" s="84"/>
      <c r="BU51" s="84"/>
      <c r="BV51" s="84"/>
      <c r="BX51" s="84">
        <f>'HPS LTO DAILY '!BU10</f>
        <v>0</v>
      </c>
      <c r="BY51" s="84">
        <f>'HPS LTO DAILY '!BV10</f>
        <v>0</v>
      </c>
      <c r="BZ51" s="2666">
        <f t="shared" si="0"/>
        <v>0</v>
      </c>
      <c r="CA51" s="84">
        <f>'[1]HPS LTO DAILY '!BX10</f>
        <v>0</v>
      </c>
    </row>
    <row r="52" spans="4:79" ht="19.5" customHeight="1" x14ac:dyDescent="0.35">
      <c r="D52" s="83">
        <v>5</v>
      </c>
      <c r="E52" s="2690"/>
      <c r="F52" s="2681"/>
      <c r="G52" s="84">
        <f>'HPS LTO DAILY '!G15</f>
        <v>468.2</v>
      </c>
      <c r="H52" s="84">
        <v>510.4</v>
      </c>
      <c r="I52" s="84">
        <v>510.4</v>
      </c>
      <c r="J52" s="84">
        <v>510.4</v>
      </c>
      <c r="K52" s="84">
        <f>'HPS LTO DAILY '!H15</f>
        <v>301.5</v>
      </c>
      <c r="L52" s="84">
        <f>'HPS LTO DAILY '!I15</f>
        <v>290.8</v>
      </c>
      <c r="M52" s="84">
        <f>'HPS LTO DAILY '!J15</f>
        <v>295.8</v>
      </c>
      <c r="N52" s="84">
        <f>'HPS LTO DAILY '!K15</f>
        <v>283.3</v>
      </c>
      <c r="O52" s="84">
        <f>'HPS LTO DAILY '!L15</f>
        <v>209.6</v>
      </c>
      <c r="P52" s="84">
        <f>'HPS LTO DAILY '!M15</f>
        <v>208.3</v>
      </c>
      <c r="Q52" s="84">
        <f>'HPS LTO DAILY '!N15</f>
        <v>209.4</v>
      </c>
      <c r="R52" s="84">
        <f>'HPS LTO DAILY '!O15</f>
        <v>212.7</v>
      </c>
      <c r="S52" s="84">
        <f>'HPS LTO DAILY '!P15</f>
        <v>223.4</v>
      </c>
      <c r="T52" s="84">
        <f>'HPS LTO DAILY '!Q15</f>
        <v>217.4</v>
      </c>
      <c r="U52" s="84">
        <f>'HPS LTO DAILY '!R15</f>
        <v>216.9</v>
      </c>
      <c r="V52" s="84">
        <f>'HPS LTO DAILY '!S15</f>
        <v>218.6</v>
      </c>
      <c r="W52" s="84">
        <f>'HPS LTO DAILY '!T15</f>
        <v>218.2</v>
      </c>
      <c r="X52" s="84">
        <f>'HPS LTO DAILY '!U15</f>
        <v>0</v>
      </c>
      <c r="Y52" s="84">
        <f>'HPS LTO DAILY '!V15</f>
        <v>0</v>
      </c>
      <c r="Z52" s="84">
        <f>'HPS LTO DAILY '!W15</f>
        <v>0</v>
      </c>
      <c r="AA52" s="84">
        <f>'HPS LTO DAILY '!X15</f>
        <v>0</v>
      </c>
      <c r="AB52" s="84">
        <f>'HPS LTO DAILY '!Y15</f>
        <v>0</v>
      </c>
      <c r="AC52" s="84">
        <f>'HPS LTO DAILY '!Z15</f>
        <v>0</v>
      </c>
      <c r="AD52" s="84">
        <f>'HPS LTO DAILY '!AI15</f>
        <v>0</v>
      </c>
      <c r="AE52" s="84">
        <f>'HPS LTO DAILY '!AJ15</f>
        <v>16</v>
      </c>
      <c r="AF52" s="84">
        <f>'HPS LTO DAILY '!AK15</f>
        <v>0</v>
      </c>
      <c r="AG52" s="84">
        <f>'HPS LTO DAILY '!AL15</f>
        <v>0</v>
      </c>
      <c r="AH52" s="84">
        <f>'HPS LTO DAILY '!AM15</f>
        <v>0</v>
      </c>
      <c r="AI52" s="84">
        <f>'HPS LTO DAILY '!AN15</f>
        <v>0</v>
      </c>
      <c r="AJ52" s="84">
        <f>'HPS LTO DAILY '!AO15</f>
        <v>0</v>
      </c>
      <c r="AK52" s="84">
        <f>'HPS LTO DAILY '!AP15</f>
        <v>0</v>
      </c>
      <c r="AL52" s="84">
        <f>'HPS LTO DAILY '!AQ15</f>
        <v>0</v>
      </c>
      <c r="AN52" s="84"/>
      <c r="AO52" s="84"/>
      <c r="AR52" s="84"/>
      <c r="AU52" s="84">
        <f>'HPS LTO DAILY '!AR15</f>
        <v>0</v>
      </c>
      <c r="AV52" s="84"/>
      <c r="AW52" s="84"/>
      <c r="AY52" s="84"/>
      <c r="AZ52" s="84"/>
      <c r="BA52" s="84"/>
      <c r="BD52" s="84">
        <v>209.6</v>
      </c>
      <c r="BE52" s="84">
        <v>0</v>
      </c>
      <c r="BI52" s="84"/>
      <c r="BJ52" s="84"/>
      <c r="BK52" s="2651"/>
      <c r="BN52" s="84"/>
      <c r="BO52" s="84"/>
      <c r="BR52" s="84"/>
      <c r="BS52" s="84"/>
      <c r="BU52" s="84"/>
      <c r="BV52" s="84"/>
      <c r="BX52" s="84">
        <f>'HPS LTO DAILY '!BU15</f>
        <v>0</v>
      </c>
      <c r="BY52" s="84">
        <f>'HPS LTO DAILY '!BV15</f>
        <v>0</v>
      </c>
      <c r="BZ52" s="2666">
        <f t="shared" si="0"/>
        <v>0</v>
      </c>
      <c r="CA52" s="84">
        <f>'[1]HPS LTO DAILY '!BX15</f>
        <v>0</v>
      </c>
    </row>
    <row r="53" spans="4:79" ht="19.5" customHeight="1" x14ac:dyDescent="0.35">
      <c r="D53" s="83">
        <v>10</v>
      </c>
      <c r="E53" s="2690"/>
      <c r="F53" s="2681"/>
      <c r="G53" s="84">
        <f>'HPS LTO DAILY '!G20</f>
        <v>535.79999999999995</v>
      </c>
      <c r="H53" s="84">
        <v>551</v>
      </c>
      <c r="I53" s="84">
        <v>551</v>
      </c>
      <c r="J53" s="84">
        <v>551</v>
      </c>
      <c r="K53" s="84">
        <f>'HPS LTO DAILY '!H20</f>
        <v>367.4</v>
      </c>
      <c r="L53" s="84">
        <f>'HPS LTO DAILY '!I20</f>
        <v>359.3</v>
      </c>
      <c r="M53" s="84">
        <f>'HPS LTO DAILY '!J20</f>
        <v>365.9</v>
      </c>
      <c r="N53" s="84">
        <f>'HPS LTO DAILY '!K20</f>
        <v>352.6</v>
      </c>
      <c r="O53" s="84">
        <f>'HPS LTO DAILY '!L20</f>
        <v>252.5</v>
      </c>
      <c r="P53" s="84">
        <f>'HPS LTO DAILY '!M20</f>
        <v>249.7</v>
      </c>
      <c r="Q53" s="84">
        <f>'HPS LTO DAILY '!N20</f>
        <v>251.4</v>
      </c>
      <c r="R53" s="84">
        <f>'HPS LTO DAILY '!O20</f>
        <v>255.4</v>
      </c>
      <c r="S53" s="84">
        <f>'HPS LTO DAILY '!P20</f>
        <v>266.3</v>
      </c>
      <c r="T53" s="84">
        <f>'HPS LTO DAILY '!Q20</f>
        <v>260.10000000000002</v>
      </c>
      <c r="U53" s="84">
        <f>'HPS LTO DAILY '!R20</f>
        <v>259.2</v>
      </c>
      <c r="V53" s="84">
        <f>'HPS LTO DAILY '!S20</f>
        <v>261.2</v>
      </c>
      <c r="W53" s="84">
        <f>'HPS LTO DAILY '!T20</f>
        <v>258.8</v>
      </c>
      <c r="X53" s="84">
        <f>'HPS LTO DAILY '!U20</f>
        <v>0</v>
      </c>
      <c r="Y53" s="84">
        <f>'HPS LTO DAILY '!V20</f>
        <v>0</v>
      </c>
      <c r="Z53" s="84">
        <f>'HPS LTO DAILY '!W20</f>
        <v>0</v>
      </c>
      <c r="AA53" s="84">
        <f>'HPS LTO DAILY '!X20</f>
        <v>0</v>
      </c>
      <c r="AB53" s="84">
        <f>'HPS LTO DAILY '!Y20</f>
        <v>0</v>
      </c>
      <c r="AC53" s="84">
        <f>'HPS LTO DAILY '!Z20</f>
        <v>0</v>
      </c>
      <c r="AD53" s="84">
        <f>'HPS LTO DAILY '!AI20</f>
        <v>0</v>
      </c>
      <c r="AE53" s="84">
        <f>'HPS LTO DAILY '!AJ20</f>
        <v>15.7</v>
      </c>
      <c r="AF53" s="84">
        <f>'HPS LTO DAILY '!AK20</f>
        <v>0</v>
      </c>
      <c r="AG53" s="84">
        <f>'HPS LTO DAILY '!AL20</f>
        <v>0</v>
      </c>
      <c r="AH53" s="84">
        <f>'HPS LTO DAILY '!AM20</f>
        <v>0</v>
      </c>
      <c r="AI53" s="84">
        <f>'HPS LTO DAILY '!AN20</f>
        <v>0</v>
      </c>
      <c r="AJ53" s="84">
        <f>'HPS LTO DAILY '!AO20</f>
        <v>0</v>
      </c>
      <c r="AK53" s="84">
        <f>'HPS LTO DAILY '!AP20</f>
        <v>0</v>
      </c>
      <c r="AL53" s="84">
        <f>'HPS LTO DAILY '!AQ20</f>
        <v>0</v>
      </c>
      <c r="AN53" s="84"/>
      <c r="AO53" s="84"/>
      <c r="AR53" s="84"/>
      <c r="AU53" s="84">
        <f>'HPS LTO DAILY '!AR20</f>
        <v>0</v>
      </c>
      <c r="AV53" s="84"/>
      <c r="AW53" s="84"/>
      <c r="AY53" s="84"/>
      <c r="AZ53" s="84"/>
      <c r="BA53" s="84"/>
      <c r="BD53" s="84">
        <v>252.5</v>
      </c>
      <c r="BE53" s="84">
        <v>0</v>
      </c>
      <c r="BI53" s="84"/>
      <c r="BJ53" s="84"/>
      <c r="BK53" s="2651"/>
      <c r="BN53" s="84"/>
      <c r="BO53" s="84"/>
      <c r="BR53" s="84"/>
      <c r="BS53" s="84"/>
      <c r="BU53" s="84"/>
      <c r="BV53" s="84"/>
      <c r="BX53" s="84">
        <f>'HPS LTO DAILY '!BU20</f>
        <v>0</v>
      </c>
      <c r="BY53" s="84">
        <f>'HPS LTO DAILY '!BV20</f>
        <v>0</v>
      </c>
      <c r="BZ53" s="2666">
        <f t="shared" si="0"/>
        <v>0</v>
      </c>
      <c r="CA53" s="84">
        <f>'[1]HPS LTO DAILY '!BX20</f>
        <v>0</v>
      </c>
    </row>
    <row r="54" spans="4:79" ht="19.5" customHeight="1" x14ac:dyDescent="0.35">
      <c r="D54" s="83">
        <v>15</v>
      </c>
      <c r="E54" s="2690"/>
      <c r="F54" s="2681"/>
      <c r="G54" s="84">
        <f>'HPS LTO DAILY '!G25</f>
        <v>559.6</v>
      </c>
      <c r="H54" s="84">
        <v>572.9</v>
      </c>
      <c r="I54" s="84">
        <v>572.9</v>
      </c>
      <c r="J54" s="84">
        <v>572.9</v>
      </c>
      <c r="K54" s="84">
        <f>'HPS LTO DAILY '!H25</f>
        <v>407.7</v>
      </c>
      <c r="L54" s="84">
        <f>'HPS LTO DAILY '!I25</f>
        <v>403</v>
      </c>
      <c r="M54" s="84">
        <f>'HPS LTO DAILY '!J25</f>
        <v>411.9</v>
      </c>
      <c r="N54" s="84">
        <f>'HPS LTO DAILY '!K25</f>
        <v>398.3</v>
      </c>
      <c r="O54" s="84">
        <f>'HPS LTO DAILY '!L25</f>
        <v>289.89999999999998</v>
      </c>
      <c r="P54" s="84">
        <f>'HPS LTO DAILY '!M25</f>
        <v>284.8</v>
      </c>
      <c r="Q54" s="84">
        <f>'HPS LTO DAILY '!N25</f>
        <v>288.2</v>
      </c>
      <c r="R54" s="84">
        <f>'HPS LTO DAILY '!O25</f>
        <v>291.60000000000002</v>
      </c>
      <c r="S54" s="84">
        <f>'HPS LTO DAILY '!P25</f>
        <v>301.60000000000002</v>
      </c>
      <c r="T54" s="84">
        <f>'HPS LTO DAILY '!Q25</f>
        <v>297.60000000000002</v>
      </c>
      <c r="U54" s="84">
        <f>'HPS LTO DAILY '!R25</f>
        <v>294.8</v>
      </c>
      <c r="V54" s="84">
        <f>'HPS LTO DAILY '!S25</f>
        <v>297.3</v>
      </c>
      <c r="W54" s="84">
        <f>'HPS LTO DAILY '!T25</f>
        <v>291.5</v>
      </c>
      <c r="X54" s="84">
        <f>'HPS LTO DAILY '!U25</f>
        <v>0</v>
      </c>
      <c r="Y54" s="84">
        <f>'HPS LTO DAILY '!V25</f>
        <v>0</v>
      </c>
      <c r="Z54" s="84">
        <f>'HPS LTO DAILY '!W25</f>
        <v>0</v>
      </c>
      <c r="AA54" s="84">
        <f>'HPS LTO DAILY '!X25</f>
        <v>0</v>
      </c>
      <c r="AB54" s="84">
        <f>'HPS LTO DAILY '!Y25</f>
        <v>0</v>
      </c>
      <c r="AC54" s="84">
        <f>'HPS LTO DAILY '!Z25</f>
        <v>0</v>
      </c>
      <c r="AD54" s="84">
        <f>'HPS LTO DAILY '!AI25</f>
        <v>0</v>
      </c>
      <c r="AE54" s="84">
        <f>'HPS LTO DAILY '!AJ25</f>
        <v>15</v>
      </c>
      <c r="AF54" s="84">
        <f>'HPS LTO DAILY '!AK25</f>
        <v>0</v>
      </c>
      <c r="AG54" s="84">
        <f>'HPS LTO DAILY '!AL25</f>
        <v>0</v>
      </c>
      <c r="AH54" s="84">
        <f>'HPS LTO DAILY '!AM25</f>
        <v>0</v>
      </c>
      <c r="AI54" s="84">
        <f>'HPS LTO DAILY '!AN25</f>
        <v>0</v>
      </c>
      <c r="AJ54" s="84">
        <f>'HPS LTO DAILY '!AO25</f>
        <v>0</v>
      </c>
      <c r="AK54" s="84">
        <f>'HPS LTO DAILY '!AP25</f>
        <v>0</v>
      </c>
      <c r="AL54" s="84">
        <f>'HPS LTO DAILY '!AQ25</f>
        <v>0</v>
      </c>
      <c r="AN54" s="84"/>
      <c r="AO54" s="84"/>
      <c r="AR54" s="84"/>
      <c r="AU54" s="84">
        <f>'HPS LTO DAILY '!AR25</f>
        <v>0</v>
      </c>
      <c r="AV54" s="84"/>
      <c r="AW54" s="84"/>
      <c r="AY54" s="84"/>
      <c r="AZ54" s="84"/>
      <c r="BA54" s="84"/>
      <c r="BD54" s="84">
        <v>289.89999999999998</v>
      </c>
      <c r="BE54" s="84">
        <v>0</v>
      </c>
      <c r="BI54" s="84"/>
      <c r="BJ54" s="84"/>
      <c r="BK54" s="2651"/>
      <c r="BN54" s="84"/>
      <c r="BO54" s="84"/>
      <c r="BR54" s="84"/>
      <c r="BS54" s="84"/>
      <c r="BU54" s="84"/>
      <c r="BV54" s="84"/>
      <c r="BX54" s="84">
        <f>'HPS LTO DAILY '!BU25</f>
        <v>0</v>
      </c>
      <c r="BY54" s="84">
        <f>'HPS LTO DAILY '!BV25</f>
        <v>0</v>
      </c>
      <c r="BZ54" s="2666">
        <f t="shared" si="0"/>
        <v>0</v>
      </c>
      <c r="CA54" s="84">
        <f>'[1]HPS LTO DAILY '!BX25</f>
        <v>0</v>
      </c>
    </row>
    <row r="55" spans="4:79" ht="19.5" customHeight="1" x14ac:dyDescent="0.35">
      <c r="D55" s="83">
        <v>20</v>
      </c>
      <c r="E55" s="2690"/>
      <c r="F55" s="2681"/>
      <c r="G55" s="84">
        <f>'HPS LTO DAILY '!G30</f>
        <v>575.6</v>
      </c>
      <c r="H55" s="84">
        <v>590.9</v>
      </c>
      <c r="I55" s="84">
        <v>590.9</v>
      </c>
      <c r="J55" s="84">
        <v>590.9</v>
      </c>
      <c r="K55" s="84">
        <f>'HPS LTO DAILY '!H30</f>
        <v>440.4</v>
      </c>
      <c r="L55" s="84">
        <f>'HPS LTO DAILY '!I30</f>
        <v>438.9</v>
      </c>
      <c r="M55" s="84">
        <f>'HPS LTO DAILY '!J30</f>
        <v>449.8</v>
      </c>
      <c r="N55" s="84">
        <f>'HPS LTO DAILY '!K30</f>
        <v>436.5</v>
      </c>
      <c r="O55" s="84">
        <f>'HPS LTO DAILY '!L30</f>
        <v>322.3</v>
      </c>
      <c r="P55" s="84">
        <f>'HPS LTO DAILY '!M30</f>
        <v>314.39999999999998</v>
      </c>
      <c r="Q55" s="84">
        <f>'HPS LTO DAILY '!N30</f>
        <v>318.10000000000002</v>
      </c>
      <c r="R55" s="84">
        <f>'HPS LTO DAILY '!O30</f>
        <v>322.39999999999998</v>
      </c>
      <c r="S55" s="84">
        <f>'HPS LTO DAILY '!P30</f>
        <v>332</v>
      </c>
      <c r="T55" s="84">
        <f>'HPS LTO DAILY '!Q30</f>
        <v>328.4</v>
      </c>
      <c r="U55" s="84">
        <f>'HPS LTO DAILY '!R30</f>
        <v>325.8</v>
      </c>
      <c r="V55" s="84">
        <f>'HPS LTO DAILY '!S30</f>
        <v>327.3</v>
      </c>
      <c r="W55" s="84">
        <f>'HPS LTO DAILY '!T30</f>
        <v>322.10000000000002</v>
      </c>
      <c r="X55" s="84">
        <f>'HPS LTO DAILY '!U30</f>
        <v>0</v>
      </c>
      <c r="Y55" s="84">
        <f>'HPS LTO DAILY '!V30</f>
        <v>0</v>
      </c>
      <c r="Z55" s="84">
        <f>'HPS LTO DAILY '!W30</f>
        <v>0</v>
      </c>
      <c r="AA55" s="84">
        <f>'HPS LTO DAILY '!X30</f>
        <v>0</v>
      </c>
      <c r="AB55" s="84">
        <f>'HPS LTO DAILY '!Y30</f>
        <v>0</v>
      </c>
      <c r="AC55" s="84">
        <f>'HPS LTO DAILY '!Z30</f>
        <v>0</v>
      </c>
      <c r="AD55" s="84">
        <f>'HPS LTO DAILY '!AI30</f>
        <v>0</v>
      </c>
      <c r="AE55" s="84">
        <f>'HPS LTO DAILY '!AJ30</f>
        <v>0</v>
      </c>
      <c r="AF55" s="84">
        <f>'HPS LTO DAILY '!AK30</f>
        <v>0</v>
      </c>
      <c r="AG55" s="84">
        <f>'HPS LTO DAILY '!AL30</f>
        <v>0</v>
      </c>
      <c r="AH55" s="84">
        <f>'HPS LTO DAILY '!AM30</f>
        <v>0</v>
      </c>
      <c r="AI55" s="84">
        <f>'HPS LTO DAILY '!AN30</f>
        <v>0</v>
      </c>
      <c r="AJ55" s="84">
        <f>'HPS LTO DAILY '!AO30</f>
        <v>0</v>
      </c>
      <c r="AK55" s="84">
        <f>'HPS LTO DAILY '!AP30</f>
        <v>0</v>
      </c>
      <c r="AL55" s="84">
        <f>'HPS LTO DAILY '!AQ30</f>
        <v>0</v>
      </c>
      <c r="AN55" s="84"/>
      <c r="AO55" s="84"/>
      <c r="AR55" s="84"/>
      <c r="AU55" s="84">
        <f>'HPS LTO DAILY '!AR30</f>
        <v>0</v>
      </c>
      <c r="AV55" s="84"/>
      <c r="AW55" s="84"/>
      <c r="AY55" s="84"/>
      <c r="AZ55" s="84"/>
      <c r="BA55" s="84"/>
      <c r="BD55" s="84">
        <v>322.3</v>
      </c>
      <c r="BE55" s="84">
        <v>0</v>
      </c>
      <c r="BI55" s="84"/>
      <c r="BJ55" s="84"/>
      <c r="BK55" s="2651"/>
      <c r="BN55" s="84"/>
      <c r="BO55" s="84"/>
      <c r="BR55" s="84"/>
      <c r="BS55" s="84"/>
      <c r="BU55" s="84"/>
      <c r="BV55" s="84"/>
      <c r="BX55" s="84">
        <f>'HPS LTO DAILY '!BU30</f>
        <v>0</v>
      </c>
      <c r="BY55" s="84">
        <f>'HPS LTO DAILY '!BV30</f>
        <v>0</v>
      </c>
      <c r="BZ55" s="2666">
        <f t="shared" si="0"/>
        <v>0</v>
      </c>
      <c r="CA55" s="84">
        <f>'[1]HPS LTO DAILY '!BX30</f>
        <v>0</v>
      </c>
    </row>
    <row r="56" spans="4:79" ht="19.5" customHeight="1" x14ac:dyDescent="0.35">
      <c r="D56" s="83">
        <v>30</v>
      </c>
      <c r="E56" s="2690"/>
      <c r="F56" s="2681"/>
      <c r="G56" s="84">
        <f>'HPS LTO DAILY '!G40</f>
        <v>604.1</v>
      </c>
      <c r="H56" s="84">
        <v>626.9</v>
      </c>
      <c r="I56" s="84">
        <v>626.9</v>
      </c>
      <c r="J56" s="84">
        <v>626.9</v>
      </c>
      <c r="K56" s="84">
        <f>'HPS LTO DAILY '!H40</f>
        <v>499.9</v>
      </c>
      <c r="L56" s="84">
        <f>'HPS LTO DAILY '!I40</f>
        <v>500.9</v>
      </c>
      <c r="M56" s="84">
        <f>'HPS LTO DAILY '!J40</f>
        <v>512.29999999999995</v>
      </c>
      <c r="N56" s="84">
        <f>'HPS LTO DAILY '!K40</f>
        <v>499.3</v>
      </c>
      <c r="O56" s="84">
        <f>'HPS LTO DAILY '!L40</f>
        <v>377.2</v>
      </c>
      <c r="P56" s="84">
        <f>'HPS LTO DAILY '!M40</f>
        <v>363.5</v>
      </c>
      <c r="Q56" s="84">
        <f>'HPS LTO DAILY '!N40</f>
        <v>366.9</v>
      </c>
      <c r="R56" s="84">
        <f>'HPS LTO DAILY '!O40</f>
        <v>371.7</v>
      </c>
      <c r="S56" s="84">
        <f>'HPS LTO DAILY '!P40</f>
        <v>381.4</v>
      </c>
      <c r="T56" s="84">
        <f>'HPS LTO DAILY '!Q40</f>
        <v>379.5</v>
      </c>
      <c r="U56" s="84">
        <f>'HPS LTO DAILY '!R40</f>
        <v>375.6</v>
      </c>
      <c r="V56" s="84">
        <f>'HPS LTO DAILY '!S40</f>
        <v>376.2</v>
      </c>
      <c r="W56" s="84">
        <f>'HPS LTO DAILY '!T40</f>
        <v>374.9</v>
      </c>
      <c r="X56" s="84">
        <f>'HPS LTO DAILY '!U40</f>
        <v>0</v>
      </c>
      <c r="Y56" s="84">
        <f>'HPS LTO DAILY '!V40</f>
        <v>0</v>
      </c>
      <c r="Z56" s="84">
        <f>'HPS LTO DAILY '!W40</f>
        <v>0</v>
      </c>
      <c r="AA56" s="84">
        <f>'HPS LTO DAILY '!X40</f>
        <v>0</v>
      </c>
      <c r="AB56" s="84">
        <f>'HPS LTO DAILY '!Y40</f>
        <v>0</v>
      </c>
      <c r="AC56" s="84">
        <f>'HPS LTO DAILY '!Z40</f>
        <v>0</v>
      </c>
      <c r="AD56" s="84">
        <f>'HPS LTO DAILY '!AI40</f>
        <v>0</v>
      </c>
      <c r="AE56" s="84">
        <f>'HPS LTO DAILY '!AJ40</f>
        <v>0</v>
      </c>
      <c r="AF56" s="84">
        <f>'HPS LTO DAILY '!AK40</f>
        <v>0</v>
      </c>
      <c r="AG56" s="84">
        <f>'HPS LTO DAILY '!AL40</f>
        <v>0</v>
      </c>
      <c r="AH56" s="84">
        <f>'HPS LTO DAILY '!AM40</f>
        <v>0</v>
      </c>
      <c r="AI56" s="84">
        <f>'HPS LTO DAILY '!AN40</f>
        <v>0</v>
      </c>
      <c r="AJ56" s="84">
        <f>'HPS LTO DAILY '!AO40</f>
        <v>0</v>
      </c>
      <c r="AK56" s="84">
        <f>'HPS LTO DAILY '!AP40</f>
        <v>0</v>
      </c>
      <c r="AL56" s="84">
        <f>'HPS LTO DAILY '!AQ40</f>
        <v>0</v>
      </c>
      <c r="AN56" s="84"/>
      <c r="AO56" s="84"/>
      <c r="AR56" s="84"/>
      <c r="AU56" s="84">
        <f>'HPS LTO DAILY '!AR40</f>
        <v>0</v>
      </c>
      <c r="AV56" s="84"/>
      <c r="AW56" s="84"/>
      <c r="AY56" s="84"/>
      <c r="AZ56" s="84"/>
      <c r="BA56" s="84"/>
      <c r="BD56" s="84">
        <v>377.2</v>
      </c>
      <c r="BE56" s="84">
        <v>0</v>
      </c>
      <c r="BI56" s="84"/>
      <c r="BJ56" s="84"/>
      <c r="BK56" s="2651"/>
      <c r="BN56" s="84"/>
      <c r="BO56" s="84"/>
      <c r="BR56" s="84"/>
      <c r="BS56" s="84"/>
      <c r="BU56" s="84"/>
      <c r="BV56" s="84"/>
      <c r="BX56" s="84">
        <f>'HPS LTO DAILY '!BU40</f>
        <v>0</v>
      </c>
      <c r="BY56" s="84">
        <f>'HPS LTO DAILY '!BV40</f>
        <v>0</v>
      </c>
      <c r="BZ56" s="2666">
        <f t="shared" si="0"/>
        <v>0</v>
      </c>
      <c r="CA56" s="84">
        <f>'[1]HPS LTO DAILY '!BX40</f>
        <v>0</v>
      </c>
    </row>
    <row r="57" spans="4:79" ht="19.5" customHeight="1" x14ac:dyDescent="0.35">
      <c r="D57" s="83">
        <v>40</v>
      </c>
      <c r="E57" s="2690"/>
      <c r="F57" s="2681"/>
      <c r="G57" s="84">
        <f>'HPS LTO DAILY '!G50</f>
        <v>633.5</v>
      </c>
      <c r="H57" s="84">
        <v>670.4</v>
      </c>
      <c r="I57" s="84">
        <v>670.4</v>
      </c>
      <c r="J57" s="84">
        <v>670.4</v>
      </c>
      <c r="K57" s="84">
        <f>'HPS LTO DAILY '!H50</f>
        <v>545.79999999999995</v>
      </c>
      <c r="L57" s="84">
        <f>'HPS LTO DAILY '!I50</f>
        <v>546.20000000000005</v>
      </c>
      <c r="M57" s="84">
        <f>'HPS LTO DAILY '!J50</f>
        <v>555.4</v>
      </c>
      <c r="N57" s="84">
        <f>'HPS LTO DAILY '!K50</f>
        <v>542.29999999999995</v>
      </c>
      <c r="O57" s="84">
        <f>'HPS LTO DAILY '!L50</f>
        <v>425.8</v>
      </c>
      <c r="P57" s="84">
        <f>'HPS LTO DAILY '!M50</f>
        <v>408.4</v>
      </c>
      <c r="Q57" s="84">
        <f>'HPS LTO DAILY '!N50</f>
        <v>412.7</v>
      </c>
      <c r="R57" s="84">
        <f>'HPS LTO DAILY '!O50</f>
        <v>418.4</v>
      </c>
      <c r="S57" s="84">
        <f>'HPS LTO DAILY '!P50</f>
        <v>427.9</v>
      </c>
      <c r="T57" s="84">
        <f>'HPS LTO DAILY '!Q50</f>
        <v>427.3</v>
      </c>
      <c r="U57" s="84">
        <f>'HPS LTO DAILY '!R50</f>
        <v>422.4</v>
      </c>
      <c r="V57" s="84">
        <f>'HPS LTO DAILY '!S50</f>
        <v>422.4</v>
      </c>
      <c r="W57" s="84">
        <f>'HPS LTO DAILY '!T50</f>
        <v>418.9</v>
      </c>
      <c r="X57" s="84">
        <f>'HPS LTO DAILY '!U50</f>
        <v>0</v>
      </c>
      <c r="Y57" s="84">
        <f>'HPS LTO DAILY '!V50</f>
        <v>0</v>
      </c>
      <c r="Z57" s="84">
        <f>'HPS LTO DAILY '!W50</f>
        <v>0</v>
      </c>
      <c r="AA57" s="84">
        <f>'HPS LTO DAILY '!X50</f>
        <v>0</v>
      </c>
      <c r="AB57" s="84">
        <f>'HPS LTO DAILY '!Y50</f>
        <v>0</v>
      </c>
      <c r="AC57" s="84">
        <f>'HPS LTO DAILY '!Z50</f>
        <v>0</v>
      </c>
      <c r="AD57" s="84">
        <f>'HPS LTO DAILY '!AI50</f>
        <v>0</v>
      </c>
      <c r="AE57" s="84">
        <f>'HPS LTO DAILY '!AJ50</f>
        <v>0</v>
      </c>
      <c r="AF57" s="84">
        <f>'HPS LTO DAILY '!AK50</f>
        <v>0</v>
      </c>
      <c r="AG57" s="84">
        <f>'HPS LTO DAILY '!AL50</f>
        <v>0</v>
      </c>
      <c r="AH57" s="84">
        <f>'HPS LTO DAILY '!AM50</f>
        <v>0</v>
      </c>
      <c r="AI57" s="84">
        <f>'HPS LTO DAILY '!AN50</f>
        <v>0</v>
      </c>
      <c r="AJ57" s="84">
        <f>'HPS LTO DAILY '!AO50</f>
        <v>0</v>
      </c>
      <c r="AK57" s="84">
        <f>'HPS LTO DAILY '!AP50</f>
        <v>0</v>
      </c>
      <c r="AL57" s="84">
        <f>'HPS LTO DAILY '!AQ50</f>
        <v>0</v>
      </c>
      <c r="AN57" s="84"/>
      <c r="AO57" s="84"/>
      <c r="AR57" s="84"/>
      <c r="AU57" s="84">
        <f>'HPS LTO DAILY '!AR50</f>
        <v>0</v>
      </c>
      <c r="AV57" s="84"/>
      <c r="AW57" s="84"/>
      <c r="AY57" s="84"/>
      <c r="AZ57" s="84"/>
      <c r="BA57" s="84"/>
      <c r="BD57" s="84">
        <v>425.8</v>
      </c>
      <c r="BE57" s="84">
        <v>0</v>
      </c>
      <c r="BI57" s="84"/>
      <c r="BJ57" s="84"/>
      <c r="BK57" s="2651"/>
      <c r="BN57" s="84"/>
      <c r="BO57" s="84"/>
      <c r="BR57" s="84"/>
      <c r="BS57" s="84"/>
      <c r="BU57" s="84"/>
      <c r="BV57" s="84"/>
      <c r="BX57" s="84">
        <f>'HPS LTO DAILY '!BU50</f>
        <v>0</v>
      </c>
      <c r="BY57" s="84">
        <f>'HPS LTO DAILY '!BV50</f>
        <v>0</v>
      </c>
      <c r="BZ57" s="2666">
        <f t="shared" si="0"/>
        <v>0</v>
      </c>
      <c r="CA57" s="84">
        <f>'[1]HPS LTO DAILY '!BX50</f>
        <v>0</v>
      </c>
    </row>
    <row r="58" spans="4:79" ht="19.5" customHeight="1" x14ac:dyDescent="0.35">
      <c r="D58" s="83">
        <v>50</v>
      </c>
      <c r="E58" s="2690"/>
      <c r="F58" s="2681"/>
      <c r="G58" s="84">
        <f>'HPS LTO DAILY '!G60</f>
        <v>667.3</v>
      </c>
      <c r="H58" s="84" t="s">
        <v>17</v>
      </c>
      <c r="I58" s="84" t="s">
        <v>17</v>
      </c>
      <c r="J58" s="84" t="s">
        <v>17</v>
      </c>
      <c r="K58" s="84">
        <f>'HPS LTO DAILY '!H60</f>
        <v>581.4</v>
      </c>
      <c r="L58" s="84">
        <f>'HPS LTO DAILY '!I60</f>
        <v>581</v>
      </c>
      <c r="M58" s="84">
        <f>'HPS LTO DAILY '!J60</f>
        <v>587.4</v>
      </c>
      <c r="N58" s="84">
        <f>'HPS LTO DAILY '!K60</f>
        <v>574.1</v>
      </c>
      <c r="O58" s="84">
        <f>'HPS LTO DAILY '!L60</f>
        <v>474.3</v>
      </c>
      <c r="P58" s="84">
        <f>'HPS LTO DAILY '!M60</f>
        <v>451.5</v>
      </c>
      <c r="Q58" s="84">
        <f>'HPS LTO DAILY '!N60</f>
        <v>456.7</v>
      </c>
      <c r="R58" s="84">
        <f>'HPS LTO DAILY '!O60</f>
        <v>462.9</v>
      </c>
      <c r="S58" s="84">
        <f>'HPS LTO DAILY '!P60</f>
        <v>472.7</v>
      </c>
      <c r="T58" s="84">
        <f>'HPS LTO DAILY '!Q60</f>
        <v>472.8</v>
      </c>
      <c r="U58" s="84">
        <f>'HPS LTO DAILY '!R60</f>
        <v>467.6</v>
      </c>
      <c r="V58" s="84">
        <f>'HPS LTO DAILY '!S60</f>
        <v>467</v>
      </c>
      <c r="W58" s="84">
        <f>'HPS LTO DAILY '!T60</f>
        <v>463.2</v>
      </c>
      <c r="X58" s="84">
        <f>'HPS LTO DAILY '!U60</f>
        <v>0</v>
      </c>
      <c r="Y58" s="84">
        <f>'HPS LTO DAILY '!V60</f>
        <v>0</v>
      </c>
      <c r="Z58" s="84">
        <f>'HPS LTO DAILY '!W60</f>
        <v>0</v>
      </c>
      <c r="AA58" s="84">
        <f>'HPS LTO DAILY '!X60</f>
        <v>0</v>
      </c>
      <c r="AB58" s="84">
        <f>'HPS LTO DAILY '!Y60</f>
        <v>0</v>
      </c>
      <c r="AC58" s="84">
        <f>'HPS LTO DAILY '!Z60</f>
        <v>0</v>
      </c>
      <c r="AD58" s="84">
        <f>'HPS LTO DAILY '!AI60</f>
        <v>0</v>
      </c>
      <c r="AE58" s="84">
        <f>'HPS LTO DAILY '!AJ60</f>
        <v>0</v>
      </c>
      <c r="AF58" s="84">
        <f>'HPS LTO DAILY '!AK60</f>
        <v>0</v>
      </c>
      <c r="AG58" s="84">
        <f>'HPS LTO DAILY '!AL60</f>
        <v>0</v>
      </c>
      <c r="AH58" s="84">
        <f>'HPS LTO DAILY '!AM60</f>
        <v>0</v>
      </c>
      <c r="AI58" s="84">
        <f>'HPS LTO DAILY '!AN60</f>
        <v>0</v>
      </c>
      <c r="AJ58" s="84">
        <f>'HPS LTO DAILY '!AO60</f>
        <v>0</v>
      </c>
      <c r="AK58" s="84">
        <f>'HPS LTO DAILY '!AP60</f>
        <v>0</v>
      </c>
      <c r="AL58" s="84">
        <f>'HPS LTO DAILY '!AQ60</f>
        <v>0</v>
      </c>
      <c r="AN58" s="84"/>
      <c r="AO58" s="84"/>
      <c r="AR58" s="84"/>
      <c r="AU58" s="84">
        <f>'HPS LTO DAILY '!AR60</f>
        <v>0</v>
      </c>
      <c r="AV58" s="84"/>
      <c r="AW58" s="84"/>
      <c r="AY58" s="84"/>
      <c r="AZ58" s="84"/>
      <c r="BA58" s="84"/>
      <c r="BD58" s="84">
        <v>474.3</v>
      </c>
      <c r="BE58" s="84">
        <v>0</v>
      </c>
      <c r="BI58" s="84"/>
      <c r="BJ58" s="84"/>
      <c r="BK58" s="2651"/>
      <c r="BN58" s="84"/>
      <c r="BO58" s="84"/>
      <c r="BR58" s="84"/>
      <c r="BS58" s="84"/>
      <c r="BU58" s="84"/>
      <c r="BV58" s="84"/>
      <c r="BX58" s="84">
        <f>'HPS LTO DAILY '!BU60</f>
        <v>0</v>
      </c>
      <c r="BY58" s="84">
        <f>'HPS LTO DAILY '!BV60</f>
        <v>0</v>
      </c>
      <c r="BZ58" s="2666">
        <f t="shared" si="0"/>
        <v>0</v>
      </c>
      <c r="CA58" s="84">
        <f>'[1]HPS LTO DAILY '!BX60</f>
        <v>0</v>
      </c>
    </row>
    <row r="59" spans="4:79" ht="19.5" customHeight="1" x14ac:dyDescent="0.35">
      <c r="D59" s="83">
        <v>60</v>
      </c>
      <c r="E59" s="2690"/>
      <c r="F59" s="2681"/>
      <c r="G59" s="84" t="str">
        <f>'HPS LTO DAILY '!G70</f>
        <v>-</v>
      </c>
      <c r="H59" s="84" t="s">
        <v>17</v>
      </c>
      <c r="I59" s="84" t="s">
        <v>17</v>
      </c>
      <c r="J59" s="84" t="s">
        <v>17</v>
      </c>
      <c r="K59" s="84">
        <f>'HPS LTO DAILY '!H70</f>
        <v>615.9</v>
      </c>
      <c r="L59" s="84">
        <f>'HPS LTO DAILY '!I70</f>
        <v>613.70000000000005</v>
      </c>
      <c r="M59" s="84">
        <f>'HPS LTO DAILY '!J70</f>
        <v>620.79999999999995</v>
      </c>
      <c r="N59" s="84">
        <f>'HPS LTO DAILY '!K70</f>
        <v>602.70000000000005</v>
      </c>
      <c r="O59" s="84">
        <f>'HPS LTO DAILY '!L70</f>
        <v>522.9</v>
      </c>
      <c r="P59" s="84">
        <f>'HPS LTO DAILY '!M70</f>
        <v>495.5</v>
      </c>
      <c r="Q59" s="84">
        <f>'HPS LTO DAILY '!N70</f>
        <v>500.9</v>
      </c>
      <c r="R59" s="84">
        <f>'HPS LTO DAILY '!O70</f>
        <v>507.4</v>
      </c>
      <c r="S59" s="84">
        <f>'HPS LTO DAILY '!P70</f>
        <v>517</v>
      </c>
      <c r="T59" s="84">
        <f>'HPS LTO DAILY '!Q70</f>
        <v>517.9</v>
      </c>
      <c r="U59" s="84">
        <f>'HPS LTO DAILY '!R70</f>
        <v>512.6</v>
      </c>
      <c r="V59" s="84">
        <f>'HPS LTO DAILY '!S70</f>
        <v>511.3</v>
      </c>
      <c r="W59" s="84">
        <f>'HPS LTO DAILY '!T70</f>
        <v>508</v>
      </c>
      <c r="X59" s="84">
        <f>'HPS LTO DAILY '!U70</f>
        <v>0</v>
      </c>
      <c r="Y59" s="84">
        <f>'HPS LTO DAILY '!V70</f>
        <v>0</v>
      </c>
      <c r="Z59" s="84">
        <f>'HPS LTO DAILY '!W70</f>
        <v>0</v>
      </c>
      <c r="AA59" s="84">
        <f>'HPS LTO DAILY '!X70</f>
        <v>0</v>
      </c>
      <c r="AB59" s="84">
        <f>'HPS LTO DAILY '!Y70</f>
        <v>0</v>
      </c>
      <c r="AC59" s="84">
        <f>'HPS LTO DAILY '!Z70</f>
        <v>0</v>
      </c>
      <c r="AD59" s="84">
        <f>'HPS LTO DAILY '!AI70</f>
        <v>0</v>
      </c>
      <c r="AE59" s="84">
        <f>'HPS LTO DAILY '!AJ70</f>
        <v>0</v>
      </c>
      <c r="AF59" s="84">
        <f>'HPS LTO DAILY '!AK70</f>
        <v>0</v>
      </c>
      <c r="AG59" s="84">
        <f>'HPS LTO DAILY '!AL70</f>
        <v>0</v>
      </c>
      <c r="AH59" s="84">
        <f>'HPS LTO DAILY '!AM70</f>
        <v>0</v>
      </c>
      <c r="AI59" s="84">
        <f>'HPS LTO DAILY '!AN70</f>
        <v>0</v>
      </c>
      <c r="AJ59" s="84">
        <f>'HPS LTO DAILY '!AO70</f>
        <v>0</v>
      </c>
      <c r="AK59" s="84">
        <f>'HPS LTO DAILY '!AP70</f>
        <v>0</v>
      </c>
      <c r="AL59" s="84">
        <f>'HPS LTO DAILY '!AQ70</f>
        <v>0</v>
      </c>
      <c r="AN59" s="84"/>
      <c r="AO59" s="84"/>
      <c r="AR59" s="84"/>
      <c r="AU59" s="84">
        <f>'HPS LTO DAILY '!AR70</f>
        <v>0</v>
      </c>
      <c r="AV59" s="84"/>
      <c r="AW59" s="84"/>
      <c r="AY59" s="84"/>
      <c r="AZ59" s="84"/>
      <c r="BA59" s="84"/>
      <c r="BD59" s="84">
        <v>522.9</v>
      </c>
      <c r="BE59" s="84">
        <v>0</v>
      </c>
      <c r="BI59" s="84"/>
      <c r="BJ59" s="84"/>
      <c r="BK59" s="2651"/>
      <c r="BN59" s="84"/>
      <c r="BO59" s="84"/>
      <c r="BR59" s="84"/>
      <c r="BS59" s="84"/>
      <c r="BU59" s="84"/>
      <c r="BV59" s="84"/>
      <c r="BX59" s="84">
        <f>'HPS LTO DAILY '!BU70</f>
        <v>0</v>
      </c>
      <c r="BY59" s="84">
        <f>'HPS LTO DAILY '!BV70</f>
        <v>0</v>
      </c>
      <c r="BZ59" s="2666">
        <f t="shared" si="0"/>
        <v>0</v>
      </c>
      <c r="CA59" s="84">
        <f>'[1]HPS LTO DAILY '!BX70</f>
        <v>0</v>
      </c>
    </row>
    <row r="60" spans="4:79" ht="19.5" customHeight="1" x14ac:dyDescent="0.35">
      <c r="D60" s="83">
        <v>70</v>
      </c>
      <c r="E60" s="2690"/>
      <c r="F60" s="2681"/>
      <c r="G60" s="60" t="str">
        <f>'HPS LTO DAILY '!G80</f>
        <v>-</v>
      </c>
      <c r="H60" s="60" t="s">
        <v>17</v>
      </c>
      <c r="I60" s="60" t="s">
        <v>17</v>
      </c>
      <c r="J60" s="60" t="s">
        <v>17</v>
      </c>
      <c r="K60" s="60">
        <f>'HPS LTO DAILY '!H80</f>
        <v>658.9</v>
      </c>
      <c r="L60" s="60">
        <f>'HPS LTO DAILY '!I80</f>
        <v>653.29999999999995</v>
      </c>
      <c r="M60" s="60">
        <f>'HPS LTO DAILY '!J80</f>
        <v>663.1</v>
      </c>
      <c r="N60" s="60">
        <f>'HPS LTO DAILY '!K80</f>
        <v>635.79999999999995</v>
      </c>
      <c r="O60" s="60">
        <f>'HPS LTO DAILY '!L80</f>
        <v>570.6</v>
      </c>
      <c r="P60" s="60">
        <f>'HPS LTO DAILY '!M80</f>
        <v>538.1</v>
      </c>
      <c r="Q60" s="60">
        <f>'HPS LTO DAILY '!N80</f>
        <v>542.79999999999995</v>
      </c>
      <c r="R60" s="60">
        <f>'HPS LTO DAILY '!O80</f>
        <v>549.9</v>
      </c>
      <c r="S60" s="60">
        <f>'HPS LTO DAILY '!P80</f>
        <v>560.29999999999995</v>
      </c>
      <c r="T60" s="60">
        <f>'HPS LTO DAILY '!Q80</f>
        <v>561.6</v>
      </c>
      <c r="U60" s="60">
        <f>'HPS LTO DAILY '!R80</f>
        <v>556.29999999999995</v>
      </c>
      <c r="V60" s="60">
        <f>'HPS LTO DAILY '!S80</f>
        <v>554.20000000000005</v>
      </c>
      <c r="W60" s="60">
        <f>'HPS LTO DAILY '!T80</f>
        <v>550.20000000000005</v>
      </c>
      <c r="X60" s="60">
        <f>'HPS LTO DAILY '!U80</f>
        <v>0</v>
      </c>
      <c r="Y60" s="60">
        <f>'HPS LTO DAILY '!V80</f>
        <v>0</v>
      </c>
      <c r="Z60" s="60">
        <f>'HPS LTO DAILY '!W80</f>
        <v>0</v>
      </c>
      <c r="AA60" s="60">
        <f>'HPS LTO DAILY '!X80</f>
        <v>0</v>
      </c>
      <c r="AB60" s="60">
        <f>'HPS LTO DAILY '!Y80</f>
        <v>0</v>
      </c>
      <c r="AC60" s="60">
        <f>'HPS LTO DAILY '!Z80</f>
        <v>0</v>
      </c>
      <c r="AD60" s="60">
        <f>'HPS LTO DAILY '!AI80</f>
        <v>0</v>
      </c>
      <c r="AE60" s="60">
        <f>'HPS LTO DAILY '!AJ80</f>
        <v>0</v>
      </c>
      <c r="AF60" s="60">
        <f>'HPS LTO DAILY '!AK80</f>
        <v>0</v>
      </c>
      <c r="AG60" s="60">
        <f>'HPS LTO DAILY '!AL80</f>
        <v>0</v>
      </c>
      <c r="AH60" s="60">
        <f>'HPS LTO DAILY '!AM80</f>
        <v>0</v>
      </c>
      <c r="AI60" s="60">
        <f>'HPS LTO DAILY '!AN80</f>
        <v>0</v>
      </c>
      <c r="AJ60" s="60">
        <f>'HPS LTO DAILY '!AO80</f>
        <v>0</v>
      </c>
      <c r="AK60" s="60">
        <f>'HPS LTO DAILY '!AP80</f>
        <v>0</v>
      </c>
      <c r="AL60" s="60">
        <f>'HPS LTO DAILY '!AQ80</f>
        <v>0</v>
      </c>
      <c r="AN60" s="60"/>
      <c r="AO60" s="60"/>
      <c r="AR60" s="60"/>
      <c r="AU60" s="60">
        <f>'HPS LTO DAILY '!AR80</f>
        <v>0</v>
      </c>
      <c r="AV60" s="60"/>
      <c r="AW60" s="60"/>
      <c r="AY60" s="60"/>
      <c r="AZ60" s="60"/>
      <c r="BA60" s="60"/>
      <c r="BD60" s="60">
        <v>570.6</v>
      </c>
      <c r="BE60" s="60">
        <v>0</v>
      </c>
      <c r="BI60" s="60"/>
      <c r="BJ60" s="60"/>
      <c r="BK60" s="713"/>
      <c r="BN60" s="60"/>
      <c r="BO60" s="60"/>
      <c r="BR60" s="60"/>
      <c r="BS60" s="60"/>
      <c r="BU60" s="60"/>
      <c r="BV60" s="60"/>
      <c r="BX60" s="60">
        <f>'HPS LTO DAILY '!BU80</f>
        <v>0</v>
      </c>
      <c r="BY60" s="60">
        <f>'HPS LTO DAILY '!BV80</f>
        <v>0</v>
      </c>
      <c r="BZ60" s="2666">
        <f t="shared" si="0"/>
        <v>0</v>
      </c>
      <c r="CA60" s="60">
        <f>'[1]HPS LTO DAILY '!BX80</f>
        <v>0</v>
      </c>
    </row>
    <row r="61" spans="4:79" ht="19.5" customHeight="1" x14ac:dyDescent="0.35">
      <c r="D61" s="83">
        <v>80</v>
      </c>
      <c r="E61" s="2690"/>
      <c r="F61" s="2681"/>
      <c r="G61" s="60" t="str">
        <f>'HPS LTO DAILY '!G90</f>
        <v>-</v>
      </c>
      <c r="H61" s="60" t="s">
        <v>17</v>
      </c>
      <c r="I61" s="60" t="s">
        <v>17</v>
      </c>
      <c r="J61" s="60" t="s">
        <v>17</v>
      </c>
      <c r="K61" s="60" t="str">
        <f>'HPS LTO DAILY '!H90</f>
        <v>-</v>
      </c>
      <c r="L61" s="60" t="str">
        <f>'HPS LTO DAILY '!I90</f>
        <v>-</v>
      </c>
      <c r="M61" s="60" t="str">
        <f>'HPS LTO DAILY '!J90</f>
        <v>-</v>
      </c>
      <c r="N61" s="60">
        <f>'HPS LTO DAILY '!K90</f>
        <v>693.6</v>
      </c>
      <c r="O61" s="60">
        <f>'HPS LTO DAILY '!L90</f>
        <v>627.20000000000005</v>
      </c>
      <c r="P61" s="60">
        <f>'HPS LTO DAILY '!M90</f>
        <v>580</v>
      </c>
      <c r="Q61" s="60">
        <f>'HPS LTO DAILY '!N90</f>
        <v>585.1</v>
      </c>
      <c r="R61" s="60">
        <f>'HPS LTO DAILY '!O90</f>
        <v>592.9</v>
      </c>
      <c r="S61" s="60">
        <f>'HPS LTO DAILY '!P90</f>
        <v>603.9</v>
      </c>
      <c r="T61" s="60">
        <f>'HPS LTO DAILY '!Q90</f>
        <v>606.29999999999995</v>
      </c>
      <c r="U61" s="60">
        <f>'HPS LTO DAILY '!R90</f>
        <v>599.9</v>
      </c>
      <c r="V61" s="60">
        <f>'HPS LTO DAILY '!S90</f>
        <v>597.6</v>
      </c>
      <c r="W61" s="60">
        <f>'HPS LTO DAILY '!T90</f>
        <v>593.4</v>
      </c>
      <c r="X61" s="60">
        <f>'HPS LTO DAILY '!U90</f>
        <v>0</v>
      </c>
      <c r="Y61" s="60">
        <f>'HPS LTO DAILY '!V90</f>
        <v>0</v>
      </c>
      <c r="Z61" s="60">
        <f>'HPS LTO DAILY '!W90</f>
        <v>0</v>
      </c>
      <c r="AA61" s="60">
        <f>'HPS LTO DAILY '!X90</f>
        <v>0</v>
      </c>
      <c r="AB61" s="60">
        <f>'HPS LTO DAILY '!Y90</f>
        <v>0</v>
      </c>
      <c r="AC61" s="60">
        <f>'HPS LTO DAILY '!Z90</f>
        <v>0</v>
      </c>
      <c r="AD61" s="60">
        <f>'HPS LTO DAILY '!AI90</f>
        <v>0</v>
      </c>
      <c r="AE61" s="60">
        <f>'HPS LTO DAILY '!AJ90</f>
        <v>0</v>
      </c>
      <c r="AF61" s="60">
        <f>'HPS LTO DAILY '!AK90</f>
        <v>0</v>
      </c>
      <c r="AG61" s="60">
        <f>'HPS LTO DAILY '!AL90</f>
        <v>0</v>
      </c>
      <c r="AH61" s="60">
        <f>'HPS LTO DAILY '!AM90</f>
        <v>0</v>
      </c>
      <c r="AI61" s="60">
        <f>'HPS LTO DAILY '!AN90</f>
        <v>0</v>
      </c>
      <c r="AJ61" s="60">
        <f>'HPS LTO DAILY '!AO90</f>
        <v>0</v>
      </c>
      <c r="AK61" s="60">
        <f>'HPS LTO DAILY '!AP90</f>
        <v>0</v>
      </c>
      <c r="AL61" s="60">
        <f>'HPS LTO DAILY '!AQ90</f>
        <v>0</v>
      </c>
      <c r="AN61" s="60"/>
      <c r="AO61" s="60"/>
      <c r="AR61" s="60"/>
      <c r="AU61" s="60">
        <f>'HPS LTO DAILY '!AR90</f>
        <v>0</v>
      </c>
      <c r="AV61" s="60"/>
      <c r="AW61" s="60"/>
      <c r="AY61" s="60"/>
      <c r="AZ61" s="60"/>
      <c r="BA61" s="60"/>
      <c r="BD61" s="60">
        <v>627.20000000000005</v>
      </c>
      <c r="BE61" s="60">
        <v>0</v>
      </c>
      <c r="BI61" s="60"/>
      <c r="BJ61" s="60"/>
      <c r="BK61" s="713"/>
      <c r="BN61" s="60"/>
      <c r="BO61" s="60"/>
      <c r="BR61" s="60"/>
      <c r="BS61" s="60"/>
      <c r="BU61" s="60"/>
      <c r="BV61" s="60"/>
      <c r="BX61" s="60">
        <f>'HPS LTO DAILY '!BU90</f>
        <v>0</v>
      </c>
      <c r="BY61" s="60">
        <f>'HPS LTO DAILY '!BV90</f>
        <v>0</v>
      </c>
      <c r="BZ61" s="2666">
        <f t="shared" si="0"/>
        <v>0</v>
      </c>
      <c r="CA61" s="60">
        <f>'[1]HPS LTO DAILY '!BX90</f>
        <v>0</v>
      </c>
    </row>
    <row r="62" spans="4:79" ht="19.5" customHeight="1" x14ac:dyDescent="0.35">
      <c r="D62" s="83">
        <v>90</v>
      </c>
      <c r="E62" s="2690"/>
      <c r="F62" s="2681"/>
      <c r="G62" s="60" t="str">
        <f>'HPS LTO DAILY '!G100</f>
        <v>-</v>
      </c>
      <c r="H62" s="60" t="s">
        <v>17</v>
      </c>
      <c r="I62" s="60" t="s">
        <v>17</v>
      </c>
      <c r="J62" s="60" t="s">
        <v>17</v>
      </c>
      <c r="K62" s="60" t="str">
        <f>'HPS LTO DAILY '!H100</f>
        <v>-</v>
      </c>
      <c r="L62" s="60" t="str">
        <f>'HPS LTO DAILY '!I100</f>
        <v>-</v>
      </c>
      <c r="M62" s="60" t="str">
        <f>'HPS LTO DAILY '!J100</f>
        <v>-</v>
      </c>
      <c r="N62" s="60" t="str">
        <f>'HPS LTO DAILY '!K100</f>
        <v>-</v>
      </c>
      <c r="O62" s="60" t="str">
        <f>'HPS LTO DAILY '!L100</f>
        <v>-</v>
      </c>
      <c r="P62" s="60">
        <f>'HPS LTO DAILY '!M100</f>
        <v>632.4</v>
      </c>
      <c r="Q62" s="60">
        <f>'HPS LTO DAILY '!N100</f>
        <v>639.4</v>
      </c>
      <c r="R62" s="60">
        <f>'HPS LTO DAILY '!O100</f>
        <v>653.5</v>
      </c>
      <c r="S62" s="60">
        <f>'HPS LTO DAILY '!P100</f>
        <v>674.2</v>
      </c>
      <c r="T62" s="60">
        <f>'HPS LTO DAILY '!Q100</f>
        <v>682.2</v>
      </c>
      <c r="U62" s="60">
        <f>'HPS LTO DAILY '!R100</f>
        <v>669.6</v>
      </c>
      <c r="V62" s="60">
        <f>'HPS LTO DAILY '!S100</f>
        <v>665.6</v>
      </c>
      <c r="W62" s="60">
        <f>'HPS LTO DAILY '!T100</f>
        <v>655.29999999999995</v>
      </c>
      <c r="X62" s="60">
        <f>'HPS LTO DAILY '!U100</f>
        <v>0</v>
      </c>
      <c r="Y62" s="60">
        <f>'HPS LTO DAILY '!V100</f>
        <v>0</v>
      </c>
      <c r="Z62" s="60">
        <f>'HPS LTO DAILY '!W100</f>
        <v>0</v>
      </c>
      <c r="AA62" s="60">
        <f>'HPS LTO DAILY '!X100</f>
        <v>0</v>
      </c>
      <c r="AB62" s="60">
        <f>'HPS LTO DAILY '!Y100</f>
        <v>0</v>
      </c>
      <c r="AC62" s="60">
        <f>'HPS LTO DAILY '!Z100</f>
        <v>0</v>
      </c>
      <c r="AD62" s="60">
        <f>'HPS LTO DAILY '!AI100</f>
        <v>0</v>
      </c>
      <c r="AE62" s="60">
        <f>'HPS LTO DAILY '!AJ100</f>
        <v>0</v>
      </c>
      <c r="AF62" s="60">
        <f>'HPS LTO DAILY '!AK100</f>
        <v>0</v>
      </c>
      <c r="AG62" s="60">
        <f>'HPS LTO DAILY '!AL100</f>
        <v>0</v>
      </c>
      <c r="AH62" s="60">
        <f>'HPS LTO DAILY '!AM100</f>
        <v>0</v>
      </c>
      <c r="AI62" s="60">
        <f>'HPS LTO DAILY '!AN100</f>
        <v>0</v>
      </c>
      <c r="AJ62" s="60">
        <f>'HPS LTO DAILY '!AO100</f>
        <v>0</v>
      </c>
      <c r="AK62" s="60">
        <f>'HPS LTO DAILY '!AP100</f>
        <v>0</v>
      </c>
      <c r="AL62" s="60">
        <f>'HPS LTO DAILY '!AQ100</f>
        <v>0</v>
      </c>
      <c r="AN62" s="60"/>
      <c r="AO62" s="60"/>
      <c r="AR62" s="60"/>
      <c r="AU62" s="60">
        <f>'HPS LTO DAILY '!AR100</f>
        <v>0</v>
      </c>
      <c r="AV62" s="60"/>
      <c r="AW62" s="60"/>
      <c r="AY62" s="60"/>
      <c r="AZ62" s="60"/>
      <c r="BA62" s="60"/>
      <c r="BD62" s="60" t="s">
        <v>17</v>
      </c>
      <c r="BE62" s="60">
        <v>0</v>
      </c>
      <c r="BI62" s="60"/>
      <c r="BJ62" s="60"/>
      <c r="BK62" s="713"/>
      <c r="BN62" s="60"/>
      <c r="BO62" s="60"/>
      <c r="BR62" s="60"/>
      <c r="BS62" s="60"/>
      <c r="BU62" s="60"/>
      <c r="BV62" s="60"/>
      <c r="BX62" s="60">
        <f>'HPS LTO DAILY '!BU100</f>
        <v>0</v>
      </c>
      <c r="BY62" s="60">
        <f>'HPS LTO DAILY '!BV100</f>
        <v>0</v>
      </c>
      <c r="BZ62" s="2666">
        <f t="shared" si="0"/>
        <v>0</v>
      </c>
      <c r="CA62" s="60">
        <f>'[1]HPS LTO DAILY '!BX100</f>
        <v>0</v>
      </c>
    </row>
    <row r="63" spans="4:79" ht="19.5" customHeight="1" x14ac:dyDescent="0.35">
      <c r="D63" s="83">
        <v>95</v>
      </c>
      <c r="E63" s="2690"/>
      <c r="F63" s="2681"/>
      <c r="G63" s="60" t="str">
        <f>'HPS LTO DAILY '!G105</f>
        <v>-</v>
      </c>
      <c r="H63" s="60" t="s">
        <v>17</v>
      </c>
      <c r="I63" s="60" t="s">
        <v>17</v>
      </c>
      <c r="J63" s="60" t="s">
        <v>17</v>
      </c>
      <c r="K63" s="60" t="str">
        <f>'HPS LTO DAILY '!H105</f>
        <v>-</v>
      </c>
      <c r="L63" s="60" t="str">
        <f>'HPS LTO DAILY '!I105</f>
        <v>-</v>
      </c>
      <c r="M63" s="60" t="str">
        <f>'HPS LTO DAILY '!J105</f>
        <v>-</v>
      </c>
      <c r="N63" s="60" t="str">
        <f>'HPS LTO DAILY '!K105</f>
        <v>-</v>
      </c>
      <c r="O63" s="60" t="str">
        <f>'HPS LTO DAILY '!L105</f>
        <v>-</v>
      </c>
      <c r="P63" s="60">
        <f>'HPS LTO DAILY '!M105</f>
        <v>675.6</v>
      </c>
      <c r="Q63" s="60">
        <f>'HPS LTO DAILY '!N105</f>
        <v>688</v>
      </c>
      <c r="R63" s="60">
        <f>'HPS LTO DAILY '!O105</f>
        <v>715.6</v>
      </c>
      <c r="S63" s="60" t="str">
        <f>'HPS LTO DAILY '!P105</f>
        <v>-</v>
      </c>
      <c r="T63" s="60" t="str">
        <f>'HPS LTO DAILY '!Q105</f>
        <v>-</v>
      </c>
      <c r="U63" s="60" t="str">
        <f>'HPS LTO DAILY '!R105</f>
        <v>-</v>
      </c>
      <c r="V63" s="60">
        <f>'HPS LTO DAILY '!S105</f>
        <v>0</v>
      </c>
      <c r="W63" s="60" t="str">
        <f>'HPS LTO DAILY '!T105</f>
        <v>-</v>
      </c>
      <c r="X63" s="60">
        <f>'HPS LTO DAILY '!U105</f>
        <v>0</v>
      </c>
      <c r="Y63" s="60">
        <f>'HPS LTO DAILY '!V105</f>
        <v>0</v>
      </c>
      <c r="Z63" s="60">
        <f>'HPS LTO DAILY '!W105</f>
        <v>0</v>
      </c>
      <c r="AA63" s="60">
        <f>'HPS LTO DAILY '!X105</f>
        <v>0</v>
      </c>
      <c r="AB63" s="60">
        <f>'HPS LTO DAILY '!Y105</f>
        <v>0</v>
      </c>
      <c r="AC63" s="60">
        <f>'HPS LTO DAILY '!Z105</f>
        <v>0</v>
      </c>
      <c r="AD63" s="60">
        <f>'HPS LTO DAILY '!AI105</f>
        <v>0</v>
      </c>
      <c r="AE63" s="60">
        <f>'HPS LTO DAILY '!AJ105</f>
        <v>0</v>
      </c>
      <c r="AF63" s="60">
        <f>'HPS LTO DAILY '!AK105</f>
        <v>0</v>
      </c>
      <c r="AG63" s="60">
        <f>'HPS LTO DAILY '!AL105</f>
        <v>0</v>
      </c>
      <c r="AH63" s="60">
        <f>'HPS LTO DAILY '!AM105</f>
        <v>0</v>
      </c>
      <c r="AI63" s="60">
        <f>'HPS LTO DAILY '!AN105</f>
        <v>0</v>
      </c>
      <c r="AJ63" s="60">
        <f>'HPS LTO DAILY '!AO105</f>
        <v>0</v>
      </c>
      <c r="AK63" s="60">
        <f>'HPS LTO DAILY '!AP105</f>
        <v>0</v>
      </c>
      <c r="AL63" s="60">
        <f>'HPS LTO DAILY '!AQ105</f>
        <v>0</v>
      </c>
      <c r="AN63" s="60"/>
      <c r="AO63" s="60"/>
      <c r="AR63" s="60"/>
      <c r="AU63" s="60">
        <f>'HPS LTO DAILY '!AR105</f>
        <v>0</v>
      </c>
      <c r="AV63" s="60"/>
      <c r="AW63" s="60"/>
      <c r="AY63" s="60"/>
      <c r="AZ63" s="60"/>
      <c r="BA63" s="60"/>
      <c r="BD63" s="60" t="s">
        <v>17</v>
      </c>
      <c r="BE63" s="60">
        <v>0</v>
      </c>
      <c r="BI63" s="60"/>
      <c r="BJ63" s="60"/>
      <c r="BK63" s="713"/>
      <c r="BN63" s="60"/>
      <c r="BO63" s="60"/>
      <c r="BR63" s="60"/>
      <c r="BS63" s="60"/>
      <c r="BU63" s="60"/>
      <c r="BV63" s="60"/>
      <c r="BX63" s="60">
        <f>'HPS LTO DAILY '!BU105</f>
        <v>0</v>
      </c>
      <c r="BY63" s="60">
        <f>'HPS LTO DAILY '!BV105</f>
        <v>0</v>
      </c>
      <c r="BZ63" s="2666">
        <f t="shared" si="0"/>
        <v>0</v>
      </c>
      <c r="CA63" s="60">
        <f>'[1]HPS LTO DAILY '!BX105</f>
        <v>0</v>
      </c>
    </row>
    <row r="64" spans="4:79" ht="19.5" customHeight="1" thickBot="1" x14ac:dyDescent="0.4">
      <c r="D64" s="83" t="s">
        <v>61</v>
      </c>
      <c r="E64" s="89" t="s">
        <v>54</v>
      </c>
      <c r="F64" s="2682"/>
      <c r="G64" s="90" t="str">
        <f>'HPS LTO DAILY '!G110</f>
        <v>-</v>
      </c>
      <c r="H64" s="90"/>
      <c r="I64" s="90"/>
      <c r="J64" s="90"/>
      <c r="K64" s="91" t="str">
        <f>'HPS LTO DAILY '!H110</f>
        <v>-</v>
      </c>
      <c r="L64" s="91" t="str">
        <f>'HPS LTO DAILY '!I110</f>
        <v>-</v>
      </c>
      <c r="M64" s="91" t="str">
        <f>'HPS LTO DAILY '!J110</f>
        <v>-</v>
      </c>
      <c r="N64" s="91" t="str">
        <f>'HPS LTO DAILY '!K110</f>
        <v>-</v>
      </c>
      <c r="O64" s="91" t="str">
        <f>'HPS LTO DAILY '!L110</f>
        <v>-</v>
      </c>
      <c r="P64" s="91" t="str">
        <f>'HPS LTO DAILY '!M110</f>
        <v>-</v>
      </c>
      <c r="Q64" s="91" t="str">
        <f>'HPS LTO DAILY '!N110</f>
        <v>-</v>
      </c>
      <c r="R64" s="91" t="str">
        <f>'HPS LTO DAILY '!O110</f>
        <v>-</v>
      </c>
      <c r="S64" s="91" t="str">
        <f>'HPS LTO DAILY '!P110</f>
        <v>-</v>
      </c>
      <c r="T64" s="91" t="str">
        <f>'HPS LTO DAILY '!Q110</f>
        <v>-</v>
      </c>
      <c r="U64" s="91" t="str">
        <f>'HPS LTO DAILY '!R110</f>
        <v>-</v>
      </c>
      <c r="V64" s="91">
        <f>'HPS LTO DAILY '!S110</f>
        <v>0</v>
      </c>
      <c r="W64" s="91" t="str">
        <f>'HPS LTO DAILY '!T110</f>
        <v>-</v>
      </c>
      <c r="X64" s="91">
        <f>'HPS LTO DAILY '!U110</f>
        <v>0</v>
      </c>
      <c r="Y64" s="91">
        <f>'HPS LTO DAILY '!V110</f>
        <v>0</v>
      </c>
      <c r="Z64" s="91">
        <f>'HPS LTO DAILY '!W110</f>
        <v>0</v>
      </c>
      <c r="AA64" s="91">
        <f>'HPS LTO DAILY '!X110</f>
        <v>0</v>
      </c>
      <c r="AB64" s="91">
        <f>'HPS LTO DAILY '!Y110</f>
        <v>0</v>
      </c>
      <c r="AC64" s="91">
        <f>'HPS LTO DAILY '!Z110</f>
        <v>0</v>
      </c>
      <c r="AD64" s="91">
        <f>'HPS LTO DAILY '!AI110</f>
        <v>0</v>
      </c>
      <c r="AE64" s="91">
        <f>'HPS LTO DAILY '!AJ110</f>
        <v>0</v>
      </c>
      <c r="AF64" s="91">
        <f>'HPS LTO DAILY '!AK110</f>
        <v>0</v>
      </c>
      <c r="AG64" s="91">
        <f>'HPS LTO DAILY '!AL110</f>
        <v>0</v>
      </c>
      <c r="AH64" s="91">
        <f>'HPS LTO DAILY '!AM110</f>
        <v>0</v>
      </c>
      <c r="AI64" s="91">
        <f>'HPS LTO DAILY '!AN110</f>
        <v>0</v>
      </c>
      <c r="AJ64" s="91">
        <f>'HPS LTO DAILY '!AO110</f>
        <v>0</v>
      </c>
      <c r="AK64" s="91">
        <f>'HPS LTO DAILY '!AP110</f>
        <v>0</v>
      </c>
      <c r="AL64" s="91">
        <f>'HPS LTO DAILY '!AQ110</f>
        <v>0</v>
      </c>
      <c r="AN64" s="91"/>
      <c r="AO64" s="91"/>
      <c r="AR64" s="91"/>
      <c r="AU64" s="91">
        <f>'HPS LTO DAILY '!AR110</f>
        <v>0</v>
      </c>
      <c r="AV64" s="91"/>
      <c r="AW64" s="91"/>
      <c r="AY64" s="91"/>
      <c r="AZ64" s="91"/>
      <c r="BA64" s="91"/>
      <c r="BD64" s="91" t="s">
        <v>17</v>
      </c>
      <c r="BE64" s="91">
        <v>0</v>
      </c>
      <c r="BF64" s="7" t="s">
        <v>1086</v>
      </c>
      <c r="BG64" s="7" t="s">
        <v>926</v>
      </c>
      <c r="BI64" s="91"/>
      <c r="BJ64" s="91"/>
      <c r="BK64" s="2652"/>
      <c r="BN64" s="91"/>
      <c r="BO64" s="91"/>
      <c r="BP64" s="7" t="s">
        <v>1076</v>
      </c>
      <c r="BR64" s="91"/>
      <c r="BS64" s="91"/>
      <c r="BU64" s="91"/>
      <c r="BV64" s="91"/>
      <c r="BX64" s="91">
        <f>'HPS LTO DAILY '!BU110</f>
        <v>0</v>
      </c>
      <c r="BY64" s="91">
        <f>'HPS LTO DAILY '!BV110</f>
        <v>0</v>
      </c>
      <c r="BZ64" s="2666">
        <f t="shared" si="0"/>
        <v>0</v>
      </c>
      <c r="CA64" s="91">
        <f>'[1]HPS LTO DAILY '!BX110</f>
        <v>0</v>
      </c>
    </row>
    <row r="65" spans="1:79" ht="19.5" customHeight="1" x14ac:dyDescent="0.35">
      <c r="D65" s="92" t="s">
        <v>159</v>
      </c>
      <c r="E65" s="93"/>
      <c r="F65" s="94"/>
      <c r="G65" s="95"/>
      <c r="H65" s="95"/>
      <c r="I65" s="95"/>
      <c r="J65" s="95"/>
      <c r="K65" s="95"/>
      <c r="L65" s="96"/>
      <c r="M65" s="96"/>
      <c r="N65" s="96"/>
      <c r="O65" s="96" t="s">
        <v>1082</v>
      </c>
      <c r="P65" s="96" t="s">
        <v>1082</v>
      </c>
      <c r="Q65" s="96" t="s">
        <v>1082</v>
      </c>
      <c r="R65" s="96" t="s">
        <v>1082</v>
      </c>
      <c r="S65" s="96" t="s">
        <v>1082</v>
      </c>
      <c r="T65" s="96" t="s">
        <v>1082</v>
      </c>
      <c r="U65" s="96" t="s">
        <v>1082</v>
      </c>
      <c r="V65" s="96"/>
      <c r="W65" s="96"/>
      <c r="X65" s="96"/>
      <c r="Y65" s="201"/>
      <c r="Z65" s="585"/>
      <c r="AA65" s="201"/>
      <c r="AB65" s="201"/>
      <c r="AC65" s="201"/>
      <c r="AD65" s="201"/>
      <c r="AE65" s="201"/>
      <c r="AF65" s="201"/>
      <c r="AG65" s="201"/>
      <c r="AH65" s="201"/>
      <c r="AI65" s="201"/>
      <c r="AJ65" s="201"/>
      <c r="AK65" s="201"/>
      <c r="AL65" s="201"/>
      <c r="AN65" s="95"/>
      <c r="AO65" s="96"/>
      <c r="AR65" s="95"/>
      <c r="AU65" s="95"/>
      <c r="AV65" s="96"/>
      <c r="AW65" s="96"/>
      <c r="AY65" s="95"/>
      <c r="AZ65" s="96"/>
      <c r="BA65" s="96"/>
      <c r="BD65" s="95"/>
      <c r="BE65" s="96"/>
      <c r="BF65" s="7">
        <v>0.2</v>
      </c>
      <c r="BG65" s="2657" t="s">
        <v>1082</v>
      </c>
      <c r="BI65" s="96"/>
      <c r="BJ65" s="96"/>
      <c r="BK65" s="2653" t="s">
        <v>1082</v>
      </c>
      <c r="BN65" s="96"/>
      <c r="BO65" s="96"/>
      <c r="BP65" s="2636" t="s">
        <v>1081</v>
      </c>
      <c r="BQ65" s="2656" t="s">
        <v>1082</v>
      </c>
      <c r="BR65" s="96" t="s">
        <v>1085</v>
      </c>
      <c r="BS65" s="96" t="s">
        <v>1082</v>
      </c>
      <c r="BU65" s="96" t="s">
        <v>1082</v>
      </c>
      <c r="BV65" s="96" t="s">
        <v>1082</v>
      </c>
      <c r="BX65" s="96" t="s">
        <v>1082</v>
      </c>
      <c r="BY65" s="96" t="s">
        <v>1082</v>
      </c>
      <c r="BZ65" s="2666" t="e">
        <f t="shared" si="0"/>
        <v>#DIV/0!</v>
      </c>
      <c r="CA65" s="96"/>
    </row>
    <row r="66" spans="1:79" ht="19.5" customHeight="1" x14ac:dyDescent="0.35">
      <c r="D66" s="97" t="s">
        <v>101</v>
      </c>
      <c r="E66" s="2692" t="s">
        <v>58</v>
      </c>
      <c r="F66" s="2695" t="s">
        <v>36</v>
      </c>
      <c r="G66" s="2532">
        <v>0</v>
      </c>
      <c r="H66" s="2532">
        <v>0</v>
      </c>
      <c r="I66" s="2532">
        <v>0</v>
      </c>
      <c r="J66" s="2532">
        <v>0</v>
      </c>
      <c r="K66" s="3">
        <v>0.11599999999999999</v>
      </c>
      <c r="L66" s="99">
        <v>0.14600000000000002</v>
      </c>
      <c r="M66" s="99">
        <v>7.3666666666666672E-2</v>
      </c>
      <c r="N66" s="99">
        <f>AZ66</f>
        <v>5.0999999999999997E-2</v>
      </c>
      <c r="O66" s="2661">
        <v>3.4000000000000002E-2</v>
      </c>
      <c r="P66" s="2661">
        <v>4.3999999999999997E-2</v>
      </c>
      <c r="Q66" s="2661">
        <v>4.8000000000000001E-2</v>
      </c>
      <c r="R66" s="2661">
        <v>3.1E-2</v>
      </c>
      <c r="S66" s="2661">
        <v>2.1999999999999999E-2</v>
      </c>
      <c r="T66" s="99">
        <v>3.1E-2</v>
      </c>
      <c r="U66" s="99">
        <v>5.1999999999999998E-2</v>
      </c>
      <c r="V66" s="99">
        <v>0.03</v>
      </c>
      <c r="W66" s="99">
        <v>7.8E-2</v>
      </c>
      <c r="X66" s="99"/>
      <c r="Y66" s="202"/>
      <c r="Z66" s="601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N66" s="3">
        <v>0.12</v>
      </c>
      <c r="AO66" s="99">
        <v>0.112</v>
      </c>
      <c r="AQ66" s="7">
        <v>0.13600000000000001</v>
      </c>
      <c r="AR66" s="3">
        <v>0.156</v>
      </c>
      <c r="AS66" s="7">
        <f>AVERAGE(AQ66:AR66)</f>
        <v>0.14600000000000002</v>
      </c>
      <c r="AU66" s="3">
        <v>0.112</v>
      </c>
      <c r="AV66" s="99">
        <v>7.2999999999999995E-2</v>
      </c>
      <c r="AW66" s="99">
        <v>3.5999999999999997E-2</v>
      </c>
      <c r="AX66" s="2623">
        <f>AVERAGE(AU66:AW66)</f>
        <v>7.3666666666666672E-2</v>
      </c>
      <c r="AY66" s="3">
        <v>0.14599999999999999</v>
      </c>
      <c r="AZ66" s="99">
        <v>5.0999999999999997E-2</v>
      </c>
      <c r="BA66" s="99"/>
      <c r="BD66" s="3">
        <v>8.7999999999999995E-2</v>
      </c>
      <c r="BE66" s="99">
        <v>0.20799999999999999</v>
      </c>
      <c r="BF66" s="2659">
        <v>7.8E-2</v>
      </c>
      <c r="BG66" s="2660">
        <v>3.4000000000000002E-2</v>
      </c>
      <c r="BH66" s="2636" t="s">
        <v>101</v>
      </c>
      <c r="BI66" s="99">
        <v>0.123</v>
      </c>
      <c r="BJ66" s="99">
        <v>0.185</v>
      </c>
      <c r="BK66" s="2654">
        <v>4.3999999999999997E-2</v>
      </c>
      <c r="BL66" s="7">
        <v>0.17100000000000001</v>
      </c>
      <c r="BM66" s="8" t="s">
        <v>101</v>
      </c>
      <c r="BN66" s="99">
        <v>0.184</v>
      </c>
      <c r="BO66" s="99">
        <v>0.122</v>
      </c>
      <c r="BP66" s="7">
        <v>0.3</v>
      </c>
      <c r="BQ66" s="2656">
        <v>4.8000000000000001E-2</v>
      </c>
      <c r="BR66" s="99">
        <v>0.13800000000000001</v>
      </c>
      <c r="BS66" s="99">
        <v>3.1E-2</v>
      </c>
      <c r="BU66" s="2658">
        <v>1.2999999999999999E-2</v>
      </c>
      <c r="BV66" s="2658">
        <v>5.2999999999999999E-2</v>
      </c>
      <c r="BX66" s="2661">
        <v>1.2999999999999999E-2</v>
      </c>
      <c r="BY66" s="99">
        <v>3.1E-2</v>
      </c>
      <c r="BZ66" s="2666">
        <f t="shared" si="0"/>
        <v>2.1999999999999999E-2</v>
      </c>
      <c r="CA66" s="99">
        <v>3.1E-2</v>
      </c>
    </row>
    <row r="67" spans="1:79" ht="19.5" customHeight="1" x14ac:dyDescent="0.35">
      <c r="D67" s="97" t="s">
        <v>102</v>
      </c>
      <c r="E67" s="2693"/>
      <c r="F67" s="2696"/>
      <c r="G67" s="2532">
        <v>0</v>
      </c>
      <c r="H67" s="2532">
        <v>0</v>
      </c>
      <c r="I67" s="2532">
        <v>0</v>
      </c>
      <c r="J67" s="2532">
        <v>0</v>
      </c>
      <c r="K67" s="3">
        <v>0.50800000000000001</v>
      </c>
      <c r="L67" s="99">
        <v>0.49</v>
      </c>
      <c r="M67" s="99">
        <v>0.46200000000000002</v>
      </c>
      <c r="N67" s="99">
        <f t="shared" ref="N67:N71" si="68">AZ67</f>
        <v>0.496</v>
      </c>
      <c r="O67" s="99">
        <v>1.42</v>
      </c>
      <c r="P67" s="99">
        <v>1.446</v>
      </c>
      <c r="Q67" s="99">
        <v>1.454</v>
      </c>
      <c r="R67" s="99">
        <v>1.411</v>
      </c>
      <c r="S67" s="99">
        <v>1.0024999999999999</v>
      </c>
      <c r="T67" s="99">
        <v>1.212</v>
      </c>
      <c r="U67" s="99">
        <v>1.1120000000000001</v>
      </c>
      <c r="V67" s="99">
        <v>1.089</v>
      </c>
      <c r="W67" s="99">
        <v>1.095</v>
      </c>
      <c r="X67" s="99"/>
      <c r="Y67" s="202"/>
      <c r="Z67" s="601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N67" s="3">
        <v>0.52300000000000002</v>
      </c>
      <c r="AO67" s="99">
        <v>0.49299999999999999</v>
      </c>
      <c r="AQ67" s="7">
        <v>0.44400000000000001</v>
      </c>
      <c r="AR67" s="3">
        <v>0.53600000000000003</v>
      </c>
      <c r="AS67" s="7">
        <f t="shared" ref="AS67:AS71" si="69">AVERAGE(AQ67:AR67)</f>
        <v>0.49</v>
      </c>
      <c r="AU67" s="3">
        <v>0.46200000000000002</v>
      </c>
      <c r="AV67" s="99">
        <v>0.46700000000000003</v>
      </c>
      <c r="AW67" s="99">
        <v>0.45700000000000002</v>
      </c>
      <c r="AX67" s="2623">
        <f t="shared" ref="AX67:AX72" si="70">AVERAGE(AU67:AW67)</f>
        <v>0.46200000000000002</v>
      </c>
      <c r="AY67" s="3">
        <v>0.46600000000000003</v>
      </c>
      <c r="AZ67" s="99">
        <v>0.496</v>
      </c>
      <c r="BA67" s="99"/>
      <c r="BD67" s="3">
        <v>1.4350000000000001</v>
      </c>
      <c r="BE67" s="99">
        <v>1.6220000000000001</v>
      </c>
      <c r="BF67" s="2659">
        <v>1.6930000000000001</v>
      </c>
      <c r="BG67" s="2660">
        <v>1.42</v>
      </c>
      <c r="BH67" s="2636" t="s">
        <v>102</v>
      </c>
      <c r="BI67" s="99">
        <v>1.4430000000000001</v>
      </c>
      <c r="BJ67" s="99">
        <v>1.38</v>
      </c>
      <c r="BK67" s="2654">
        <v>1.446</v>
      </c>
      <c r="BL67" s="7">
        <v>1.268</v>
      </c>
      <c r="BM67" s="8" t="s">
        <v>102</v>
      </c>
      <c r="BN67" s="99">
        <v>1.3169999999999999</v>
      </c>
      <c r="BO67" s="99">
        <v>1.33</v>
      </c>
      <c r="BP67" s="7">
        <v>1.7</v>
      </c>
      <c r="BQ67" s="2656">
        <v>1.454</v>
      </c>
      <c r="BR67" s="99">
        <v>1.365</v>
      </c>
      <c r="BS67" s="99">
        <v>1.411</v>
      </c>
      <c r="BU67" s="2658">
        <v>0.79300000000000004</v>
      </c>
      <c r="BV67" s="2658">
        <v>1.145</v>
      </c>
      <c r="BX67" s="99">
        <v>0.79300000000000004</v>
      </c>
      <c r="BY67" s="99">
        <v>1.212</v>
      </c>
      <c r="BZ67" s="2666">
        <f t="shared" si="0"/>
        <v>1.0024999999999999</v>
      </c>
      <c r="CA67" s="99">
        <v>1.212</v>
      </c>
    </row>
    <row r="68" spans="1:79" ht="19.5" customHeight="1" x14ac:dyDescent="0.35">
      <c r="D68" s="97" t="s">
        <v>103</v>
      </c>
      <c r="E68" s="2693"/>
      <c r="F68" s="2696"/>
      <c r="G68" s="2532">
        <v>0</v>
      </c>
      <c r="H68" s="2532">
        <v>0</v>
      </c>
      <c r="I68" s="2532">
        <v>0</v>
      </c>
      <c r="J68" s="2532">
        <v>0</v>
      </c>
      <c r="K68" s="3">
        <v>2.4005000000000001</v>
      </c>
      <c r="L68" s="99">
        <v>2.302</v>
      </c>
      <c r="M68" s="99">
        <v>2.3439999999999999</v>
      </c>
      <c r="N68" s="99">
        <f t="shared" si="68"/>
        <v>2.7330000000000001</v>
      </c>
      <c r="O68" s="99">
        <v>8.3179999999999996</v>
      </c>
      <c r="P68" s="99">
        <v>8.5820000000000007</v>
      </c>
      <c r="Q68" s="99">
        <v>8.3320000000000007</v>
      </c>
      <c r="R68" s="99">
        <v>8.0169999999999995</v>
      </c>
      <c r="S68" s="99">
        <v>7.4414999999999996</v>
      </c>
      <c r="T68" s="99">
        <v>7.6289999999999996</v>
      </c>
      <c r="U68" s="99">
        <v>7.6449999999999996</v>
      </c>
      <c r="V68" s="99">
        <v>7.5369999999999999</v>
      </c>
      <c r="W68" s="99">
        <v>7.6</v>
      </c>
      <c r="X68" s="99"/>
      <c r="Y68" s="202"/>
      <c r="Z68" s="601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N68" s="3">
        <v>2.4569999999999999</v>
      </c>
      <c r="AO68" s="99">
        <v>2.3439999999999999</v>
      </c>
      <c r="AQ68" s="7">
        <v>2.2200000000000002</v>
      </c>
      <c r="AR68" s="3">
        <v>2.3839999999999999</v>
      </c>
      <c r="AS68" s="7">
        <f t="shared" si="69"/>
        <v>2.302</v>
      </c>
      <c r="AU68" s="3">
        <v>2.2559999999999998</v>
      </c>
      <c r="AV68" s="99">
        <v>2.4140000000000001</v>
      </c>
      <c r="AW68" s="99">
        <v>2.3620000000000001</v>
      </c>
      <c r="AX68" s="2623">
        <f t="shared" si="70"/>
        <v>2.3439999999999999</v>
      </c>
      <c r="AY68" s="3">
        <v>2.2440000000000002</v>
      </c>
      <c r="AZ68" s="99">
        <v>2.7330000000000001</v>
      </c>
      <c r="BA68" s="99"/>
      <c r="BD68" s="3">
        <v>6.2560000000000002</v>
      </c>
      <c r="BE68" s="99">
        <v>7.9009999999999998</v>
      </c>
      <c r="BF68" s="2659">
        <v>8.3230000000000004</v>
      </c>
      <c r="BG68" s="2660">
        <v>8.3179999999999996</v>
      </c>
      <c r="BH68" s="2636" t="s">
        <v>103</v>
      </c>
      <c r="BI68" s="99">
        <v>7.9960000000000004</v>
      </c>
      <c r="BJ68" s="99">
        <v>7.77</v>
      </c>
      <c r="BK68" s="2654">
        <v>8.5820000000000007</v>
      </c>
      <c r="BL68" s="7">
        <v>8.0299999999999994</v>
      </c>
      <c r="BM68" s="8" t="s">
        <v>103</v>
      </c>
      <c r="BN68" s="99">
        <v>8.0259999999999998</v>
      </c>
      <c r="BO68" s="99">
        <v>8.2550000000000008</v>
      </c>
      <c r="BP68" s="7">
        <v>7.1</v>
      </c>
      <c r="BQ68" s="2656">
        <v>8.3320000000000007</v>
      </c>
      <c r="BR68" s="99">
        <v>7.7670000000000003</v>
      </c>
      <c r="BS68" s="99">
        <v>8.0169999999999995</v>
      </c>
      <c r="BU68" s="2658">
        <v>7.2539999999999996</v>
      </c>
      <c r="BV68" s="2658">
        <v>7.6150000000000002</v>
      </c>
      <c r="BX68" s="99">
        <v>7.2539999999999996</v>
      </c>
      <c r="BY68" s="99">
        <v>7.6289999999999996</v>
      </c>
      <c r="BZ68" s="2666">
        <f t="shared" si="0"/>
        <v>7.4414999999999996</v>
      </c>
      <c r="CA68" s="99">
        <v>7.6289999999999996</v>
      </c>
    </row>
    <row r="69" spans="1:79" ht="19.5" customHeight="1" x14ac:dyDescent="0.35">
      <c r="D69" s="97" t="s">
        <v>104</v>
      </c>
      <c r="E69" s="2693"/>
      <c r="F69" s="2696"/>
      <c r="G69" s="2532">
        <v>1.091</v>
      </c>
      <c r="H69" s="2532">
        <v>0.67700000000000005</v>
      </c>
      <c r="I69" s="2532">
        <v>0</v>
      </c>
      <c r="J69" s="2532">
        <v>0</v>
      </c>
      <c r="K69" s="3">
        <v>7.2174999999999994</v>
      </c>
      <c r="L69" s="99">
        <v>6.7215000000000007</v>
      </c>
      <c r="M69" s="99">
        <v>6.894333333333333</v>
      </c>
      <c r="N69" s="99">
        <f t="shared" si="68"/>
        <v>7.4409999999999998</v>
      </c>
      <c r="O69" s="99">
        <v>18.18</v>
      </c>
      <c r="P69" s="99">
        <v>19.138999999999999</v>
      </c>
      <c r="Q69" s="99">
        <v>18.54</v>
      </c>
      <c r="R69" s="99">
        <v>17.995000000000001</v>
      </c>
      <c r="S69" s="99">
        <v>17.735500000000002</v>
      </c>
      <c r="T69" s="99">
        <v>17.899000000000001</v>
      </c>
      <c r="U69" s="99">
        <v>17.748000000000001</v>
      </c>
      <c r="V69" s="99">
        <v>17.890999999999998</v>
      </c>
      <c r="W69" s="99">
        <v>18.123000000000001</v>
      </c>
      <c r="X69" s="99"/>
      <c r="Y69" s="202"/>
      <c r="Z69" s="601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N69" s="3">
        <v>7.5229999999999997</v>
      </c>
      <c r="AO69" s="99">
        <v>6.9119999999999999</v>
      </c>
      <c r="AQ69" s="7">
        <v>6.4710000000000001</v>
      </c>
      <c r="AR69" s="3">
        <v>6.9720000000000004</v>
      </c>
      <c r="AS69" s="7">
        <f t="shared" si="69"/>
        <v>6.7215000000000007</v>
      </c>
      <c r="AU69" s="3">
        <v>7.1420000000000003</v>
      </c>
      <c r="AV69" s="99">
        <v>6.9290000000000003</v>
      </c>
      <c r="AW69" s="99">
        <v>6.6120000000000001</v>
      </c>
      <c r="AX69" s="2623">
        <f t="shared" si="70"/>
        <v>6.894333333333333</v>
      </c>
      <c r="AY69" s="3">
        <v>6.6120000000000001</v>
      </c>
      <c r="AZ69" s="99">
        <v>7.4409999999999998</v>
      </c>
      <c r="BA69" s="99"/>
      <c r="BD69" s="3">
        <v>13.103999999999999</v>
      </c>
      <c r="BE69" s="99">
        <v>16.919</v>
      </c>
      <c r="BF69" s="2659">
        <v>17.678000000000001</v>
      </c>
      <c r="BG69" s="2660">
        <v>18.18</v>
      </c>
      <c r="BH69" s="2636" t="s">
        <v>104</v>
      </c>
      <c r="BI69" s="99">
        <v>16.88</v>
      </c>
      <c r="BJ69" s="99">
        <v>17.213000000000001</v>
      </c>
      <c r="BK69" s="2654">
        <v>19.138999999999999</v>
      </c>
      <c r="BL69" s="7">
        <v>17.402000000000001</v>
      </c>
      <c r="BM69" s="8" t="s">
        <v>104</v>
      </c>
      <c r="BN69" s="99">
        <v>17.27</v>
      </c>
      <c r="BO69" s="99">
        <v>18.8</v>
      </c>
      <c r="BP69" s="7">
        <v>17.2</v>
      </c>
      <c r="BQ69" s="2656">
        <v>18.54</v>
      </c>
      <c r="BR69" s="99">
        <v>17.452999999999999</v>
      </c>
      <c r="BS69" s="99">
        <v>17.995000000000001</v>
      </c>
      <c r="BU69" s="2658">
        <v>17.571999999999999</v>
      </c>
      <c r="BV69" s="2658">
        <v>17.238</v>
      </c>
      <c r="BX69" s="99">
        <v>17.571999999999999</v>
      </c>
      <c r="BY69" s="99">
        <v>17.899000000000001</v>
      </c>
      <c r="BZ69" s="2666">
        <f t="shared" si="0"/>
        <v>17.735500000000002</v>
      </c>
      <c r="CA69" s="99">
        <v>17.899000000000001</v>
      </c>
    </row>
    <row r="70" spans="1:79" ht="19.5" customHeight="1" x14ac:dyDescent="0.35">
      <c r="D70" s="97" t="s">
        <v>105</v>
      </c>
      <c r="E70" s="2693"/>
      <c r="F70" s="2696"/>
      <c r="G70" s="2532">
        <v>5.2469999999999999</v>
      </c>
      <c r="H70" s="2532">
        <v>4.1159999999999997</v>
      </c>
      <c r="I70" s="2532">
        <v>0.6</v>
      </c>
      <c r="J70" s="2532">
        <v>0.6</v>
      </c>
      <c r="K70" s="3">
        <v>22.606000000000002</v>
      </c>
      <c r="L70" s="99">
        <v>20.255499999999998</v>
      </c>
      <c r="M70" s="99">
        <v>19.087666666666667</v>
      </c>
      <c r="N70" s="99">
        <f t="shared" si="68"/>
        <v>19.404</v>
      </c>
      <c r="O70" s="99">
        <v>30.225000000000001</v>
      </c>
      <c r="P70" s="99">
        <v>31.838999999999999</v>
      </c>
      <c r="Q70" s="99">
        <v>31.417999999999999</v>
      </c>
      <c r="R70" s="99">
        <v>30.901</v>
      </c>
      <c r="S70" s="99">
        <v>30.430500000000002</v>
      </c>
      <c r="T70" s="99">
        <v>30.359000000000002</v>
      </c>
      <c r="U70" s="99">
        <v>30.876000000000001</v>
      </c>
      <c r="V70" s="99">
        <v>30.835000000000001</v>
      </c>
      <c r="W70" s="99">
        <v>31.282</v>
      </c>
      <c r="X70" s="99"/>
      <c r="Y70" s="202"/>
      <c r="Z70" s="601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N70" s="3">
        <v>23.699000000000002</v>
      </c>
      <c r="AO70" s="99">
        <v>21.513000000000002</v>
      </c>
      <c r="AQ70" s="7">
        <v>20.736999999999998</v>
      </c>
      <c r="AR70" s="3">
        <v>19.774000000000001</v>
      </c>
      <c r="AS70" s="7">
        <f t="shared" si="69"/>
        <v>20.255499999999998</v>
      </c>
      <c r="AU70" s="3">
        <v>20.25</v>
      </c>
      <c r="AV70" s="99">
        <v>18.835999999999999</v>
      </c>
      <c r="AW70" s="99">
        <v>18.177</v>
      </c>
      <c r="AX70" s="2623">
        <f t="shared" si="70"/>
        <v>19.087666666666667</v>
      </c>
      <c r="AY70" s="3">
        <v>18.079000000000001</v>
      </c>
      <c r="AZ70" s="99">
        <v>19.404</v>
      </c>
      <c r="BA70" s="99"/>
      <c r="BD70" s="3">
        <v>24.565000000000001</v>
      </c>
      <c r="BE70" s="99">
        <v>28.574999999999999</v>
      </c>
      <c r="BF70" s="2659">
        <v>30.151</v>
      </c>
      <c r="BG70" s="2660">
        <v>30.225000000000001</v>
      </c>
      <c r="BH70" s="2636" t="s">
        <v>105</v>
      </c>
      <c r="BI70" s="99">
        <v>29.146999999999998</v>
      </c>
      <c r="BJ70" s="99">
        <v>28.645</v>
      </c>
      <c r="BK70" s="2654">
        <v>31.838999999999999</v>
      </c>
      <c r="BL70" s="7">
        <v>29.405999999999999</v>
      </c>
      <c r="BM70" s="8" t="s">
        <v>105</v>
      </c>
      <c r="BN70" s="99">
        <v>29.655000000000001</v>
      </c>
      <c r="BO70" s="99">
        <v>30.792000000000002</v>
      </c>
      <c r="BP70" s="7">
        <v>29.5</v>
      </c>
      <c r="BQ70" s="2656">
        <v>31.417999999999999</v>
      </c>
      <c r="BR70" s="99">
        <v>29.896999999999998</v>
      </c>
      <c r="BS70" s="99">
        <v>30.901</v>
      </c>
      <c r="BU70" s="2658">
        <v>30.501999999999999</v>
      </c>
      <c r="BV70" s="2658">
        <v>29.901</v>
      </c>
      <c r="BX70" s="99">
        <v>30.501999999999999</v>
      </c>
      <c r="BY70" s="99">
        <v>30.359000000000002</v>
      </c>
      <c r="BZ70" s="2666">
        <f t="shared" si="0"/>
        <v>30.430500000000002</v>
      </c>
      <c r="CA70" s="99">
        <v>30.359000000000002</v>
      </c>
    </row>
    <row r="71" spans="1:79" ht="19.5" customHeight="1" x14ac:dyDescent="0.35">
      <c r="A71" s="2270"/>
      <c r="D71" s="97" t="s">
        <v>100</v>
      </c>
      <c r="E71" s="2693"/>
      <c r="F71" s="2696"/>
      <c r="G71" s="2532">
        <v>8.5709999999999997</v>
      </c>
      <c r="H71" s="2532">
        <v>7.5629999999999997</v>
      </c>
      <c r="I71" s="2532">
        <v>11.2</v>
      </c>
      <c r="J71" s="2532">
        <v>11.2</v>
      </c>
      <c r="K71" s="3">
        <v>13.8965</v>
      </c>
      <c r="L71" s="99">
        <v>13.5685</v>
      </c>
      <c r="M71" s="99">
        <v>14.078666666666669</v>
      </c>
      <c r="N71" s="99">
        <f t="shared" si="68"/>
        <v>14.951000000000001</v>
      </c>
      <c r="O71" s="99">
        <v>13.464</v>
      </c>
      <c r="P71" s="99">
        <v>14.0473</v>
      </c>
      <c r="Q71" s="99">
        <v>14.12</v>
      </c>
      <c r="R71" s="99">
        <v>13.981</v>
      </c>
      <c r="S71" s="99">
        <v>13.812999999999999</v>
      </c>
      <c r="T71" s="99">
        <v>13.754</v>
      </c>
      <c r="U71" s="99">
        <v>14.102</v>
      </c>
      <c r="V71" s="99">
        <v>13.952999999999999</v>
      </c>
      <c r="W71" s="99">
        <f>13.941</f>
        <v>13.941000000000001</v>
      </c>
      <c r="X71" s="99"/>
      <c r="Y71" s="202"/>
      <c r="Z71" s="601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N71" s="3">
        <v>14.175000000000001</v>
      </c>
      <c r="AO71" s="99">
        <v>13.618</v>
      </c>
      <c r="AQ71" s="7">
        <v>13.512</v>
      </c>
      <c r="AR71" s="3">
        <v>13.625</v>
      </c>
      <c r="AS71" s="7">
        <f t="shared" si="69"/>
        <v>13.5685</v>
      </c>
      <c r="AU71" s="3">
        <v>14.663</v>
      </c>
      <c r="AV71" s="99">
        <v>14.015000000000001</v>
      </c>
      <c r="AW71" s="99">
        <v>13.558</v>
      </c>
      <c r="AX71" s="2623">
        <f t="shared" si="70"/>
        <v>14.078666666666669</v>
      </c>
      <c r="AY71" s="3">
        <v>13.635</v>
      </c>
      <c r="AZ71" s="99">
        <v>14.951000000000001</v>
      </c>
      <c r="BA71" s="99"/>
      <c r="BD71" s="3">
        <v>13.304</v>
      </c>
      <c r="BE71" s="99">
        <v>12.49</v>
      </c>
      <c r="BF71" s="2659">
        <v>13.297000000000001</v>
      </c>
      <c r="BG71" s="2660">
        <v>13.464</v>
      </c>
      <c r="BH71" s="2636" t="s">
        <v>100</v>
      </c>
      <c r="BI71" s="99">
        <v>12.975</v>
      </c>
      <c r="BJ71" s="99">
        <v>12.532</v>
      </c>
      <c r="BK71" s="2654">
        <v>14.0473</v>
      </c>
      <c r="BL71" s="7">
        <v>12.882</v>
      </c>
      <c r="BM71" s="8" t="s">
        <v>100</v>
      </c>
      <c r="BN71" s="99">
        <v>13.201000000000001</v>
      </c>
      <c r="BO71" s="99">
        <v>12.739000000000001</v>
      </c>
      <c r="BP71" s="7">
        <v>13.5</v>
      </c>
      <c r="BQ71" s="2656">
        <v>14.12</v>
      </c>
      <c r="BR71" s="99">
        <v>13.487</v>
      </c>
      <c r="BS71" s="99">
        <v>13.981</v>
      </c>
      <c r="BU71" s="2658">
        <v>13.872</v>
      </c>
      <c r="BV71" s="2658">
        <v>13.653</v>
      </c>
      <c r="BX71" s="99">
        <v>13.872</v>
      </c>
      <c r="BY71" s="99">
        <v>13.754</v>
      </c>
      <c r="BZ71" s="2666">
        <f t="shared" si="0"/>
        <v>13.812999999999999</v>
      </c>
      <c r="CA71" s="99">
        <v>13.754</v>
      </c>
    </row>
    <row r="72" spans="1:79" ht="19.5" customHeight="1" x14ac:dyDescent="0.35">
      <c r="D72" s="97" t="s">
        <v>160</v>
      </c>
      <c r="E72" s="2694"/>
      <c r="F72" s="2697"/>
      <c r="G72" s="1683">
        <f t="shared" ref="G72:Z72" si="71">100-SUM(G66:G71)</f>
        <v>85.091000000000008</v>
      </c>
      <c r="H72" s="1683">
        <f t="shared" ref="H72:J72" si="72">100-SUM(H66:H71)</f>
        <v>87.644000000000005</v>
      </c>
      <c r="I72" s="1683">
        <f t="shared" si="72"/>
        <v>88.2</v>
      </c>
      <c r="J72" s="1683">
        <f t="shared" si="72"/>
        <v>88.2</v>
      </c>
      <c r="K72" s="3">
        <f t="shared" si="71"/>
        <v>53.255499999999998</v>
      </c>
      <c r="L72" s="3">
        <f t="shared" si="71"/>
        <v>56.516500000000001</v>
      </c>
      <c r="M72" s="3">
        <v>57.059666666666665</v>
      </c>
      <c r="N72" s="3">
        <f t="shared" si="71"/>
        <v>54.923999999999999</v>
      </c>
      <c r="O72" s="3">
        <f t="shared" si="71"/>
        <v>28.358999999999995</v>
      </c>
      <c r="P72" s="3">
        <f>100-SUM(P66:P71)</f>
        <v>24.90270000000001</v>
      </c>
      <c r="Q72" s="98">
        <f t="shared" si="71"/>
        <v>26.087999999999994</v>
      </c>
      <c r="R72" s="3">
        <f>100-SUM(R66:R71)</f>
        <v>27.664000000000001</v>
      </c>
      <c r="S72" s="98">
        <v>29.555</v>
      </c>
      <c r="T72" s="98">
        <f t="shared" si="71"/>
        <v>29.116</v>
      </c>
      <c r="U72" s="3">
        <f>100-SUM(U66:U71)</f>
        <v>28.464999999999989</v>
      </c>
      <c r="V72" s="98">
        <f t="shared" si="71"/>
        <v>28.665000000000006</v>
      </c>
      <c r="W72" s="98">
        <f t="shared" si="71"/>
        <v>27.881</v>
      </c>
      <c r="X72" s="98">
        <f t="shared" si="71"/>
        <v>100</v>
      </c>
      <c r="Y72" s="98">
        <f t="shared" si="71"/>
        <v>100</v>
      </c>
      <c r="Z72" s="601">
        <f t="shared" si="71"/>
        <v>100</v>
      </c>
      <c r="AA72" s="3">
        <f t="shared" ref="AA72:AB72" si="73">100-SUM(AA66:AA71)</f>
        <v>100</v>
      </c>
      <c r="AB72" s="3">
        <f t="shared" si="73"/>
        <v>100</v>
      </c>
      <c r="AC72" s="3">
        <f t="shared" ref="AC72:AI72" si="74">100-SUM(AC66:AC71)</f>
        <v>100</v>
      </c>
      <c r="AD72" s="3">
        <f t="shared" si="74"/>
        <v>100</v>
      </c>
      <c r="AE72" s="3">
        <f t="shared" si="74"/>
        <v>100</v>
      </c>
      <c r="AF72" s="3">
        <f t="shared" si="74"/>
        <v>100</v>
      </c>
      <c r="AG72" s="3">
        <f t="shared" si="74"/>
        <v>100</v>
      </c>
      <c r="AH72" s="3">
        <f t="shared" si="74"/>
        <v>100</v>
      </c>
      <c r="AI72" s="3">
        <f t="shared" si="74"/>
        <v>100</v>
      </c>
      <c r="AJ72" s="3">
        <f t="shared" ref="AJ72:AL72" si="75">100-SUM(AJ66:AJ71)</f>
        <v>100</v>
      </c>
      <c r="AK72" s="3">
        <f t="shared" si="75"/>
        <v>100</v>
      </c>
      <c r="AL72" s="3">
        <f t="shared" si="75"/>
        <v>100</v>
      </c>
      <c r="AN72" s="98">
        <f t="shared" ref="AN72:AO72" si="76">100-SUM(AN66:AN71)</f>
        <v>51.503</v>
      </c>
      <c r="AO72" s="98">
        <f t="shared" si="76"/>
        <v>55.007999999999996</v>
      </c>
      <c r="AR72" s="3">
        <f t="shared" ref="AR72" si="77">100-SUM(AR66:AR71)</f>
        <v>56.552999999999997</v>
      </c>
      <c r="AU72" s="3">
        <f>100-SUM(AU66:AU71)</f>
        <v>55.114999999999995</v>
      </c>
      <c r="AV72" s="3">
        <f t="shared" ref="AV72:AW72" si="78">100-SUM(AV66:AV71)</f>
        <v>57.265999999999998</v>
      </c>
      <c r="AW72" s="3">
        <f t="shared" si="78"/>
        <v>58.798000000000002</v>
      </c>
      <c r="AX72" s="2623">
        <f t="shared" si="70"/>
        <v>57.059666666666665</v>
      </c>
      <c r="AY72" s="3">
        <f t="shared" ref="AY72" si="79">100-SUM(AY66:AY71)</f>
        <v>58.817999999999998</v>
      </c>
      <c r="AZ72" s="3">
        <f t="shared" ref="AZ72:BA72" si="80">100-SUM(AZ66:AZ71)</f>
        <v>54.923999999999999</v>
      </c>
      <c r="BA72" s="3">
        <f t="shared" si="80"/>
        <v>100</v>
      </c>
      <c r="BD72" s="3">
        <f>100-SUM(BD66:BD71)</f>
        <v>41.247999999999998</v>
      </c>
      <c r="BE72" s="3">
        <f t="shared" ref="BE72:BG72" si="81">100-SUM(BE66:BE71)</f>
        <v>32.285000000000011</v>
      </c>
      <c r="BF72" s="3">
        <f t="shared" si="81"/>
        <v>28.78</v>
      </c>
      <c r="BG72" s="3">
        <f t="shared" si="81"/>
        <v>28.358999999999995</v>
      </c>
      <c r="BH72" s="2636" t="s">
        <v>160</v>
      </c>
      <c r="BI72" s="3">
        <f t="shared" ref="BI72" si="82">100-SUM(BI66:BI71)</f>
        <v>31.436000000000007</v>
      </c>
      <c r="BJ72" s="3">
        <v>32.275000000000006</v>
      </c>
      <c r="BK72" s="2654">
        <f>100-SUM(BK66:BK71)</f>
        <v>24.90270000000001</v>
      </c>
      <c r="BL72" s="7">
        <f>100-SUM(BL66:BL71)</f>
        <v>30.840999999999994</v>
      </c>
      <c r="BM72" s="8" t="s">
        <v>160</v>
      </c>
      <c r="BN72" s="1683">
        <f>100-SUM(BN66:BN71)</f>
        <v>30.347000000000008</v>
      </c>
      <c r="BO72" s="1683">
        <f>100-SUM(BO66:BO71)</f>
        <v>27.961999999999989</v>
      </c>
      <c r="BP72" s="2603">
        <f>100-SUM(BP66:BP71)</f>
        <v>30.700000000000003</v>
      </c>
      <c r="BQ72" s="2656">
        <f>100-SUM(BQ66:BQ71)</f>
        <v>26.087999999999994</v>
      </c>
      <c r="BR72" s="3">
        <v>29.893000000000001</v>
      </c>
      <c r="BS72" s="3">
        <f>100-SUM(BS66:BS71)</f>
        <v>27.664000000000001</v>
      </c>
      <c r="BU72" s="1683">
        <f>100-SUM(BU66:BU71)</f>
        <v>29.994</v>
      </c>
      <c r="BV72" s="1683">
        <f>100-SUM(BV66:BV71)</f>
        <v>30.394999999999996</v>
      </c>
      <c r="BX72" s="98">
        <v>29.994</v>
      </c>
      <c r="BY72" s="98">
        <f t="shared" ref="BY72" si="83">100-SUM(BY66:BY71)</f>
        <v>29.116</v>
      </c>
      <c r="BZ72" s="2666">
        <f t="shared" si="0"/>
        <v>29.555</v>
      </c>
      <c r="CA72" s="3">
        <f>100-SUM(CA66:CA71)</f>
        <v>29.116</v>
      </c>
    </row>
    <row r="73" spans="1:79" ht="19.5" customHeight="1" thickBot="1" x14ac:dyDescent="0.4">
      <c r="D73" s="100" t="s">
        <v>161</v>
      </c>
      <c r="E73" s="93"/>
      <c r="F73" s="94"/>
      <c r="G73" s="101">
        <f>SUM(G66:G72)</f>
        <v>100</v>
      </c>
      <c r="H73" s="101">
        <f>SUM(H66:H72)</f>
        <v>100</v>
      </c>
      <c r="I73" s="101">
        <f>SUM(I66:I72)</f>
        <v>100</v>
      </c>
      <c r="J73" s="101">
        <f>SUM(J66:J72)</f>
        <v>100</v>
      </c>
      <c r="K73" s="101">
        <f t="shared" ref="K73:Z73" si="84">SUM(K66:K72)</f>
        <v>100</v>
      </c>
      <c r="L73" s="101">
        <f t="shared" si="84"/>
        <v>100</v>
      </c>
      <c r="M73" s="101">
        <f t="shared" si="84"/>
        <v>100</v>
      </c>
      <c r="N73" s="101">
        <f t="shared" si="84"/>
        <v>100</v>
      </c>
      <c r="O73" s="101">
        <f t="shared" si="84"/>
        <v>100</v>
      </c>
      <c r="P73" s="101">
        <f>SUM(P66:P72)</f>
        <v>100</v>
      </c>
      <c r="Q73" s="101">
        <f t="shared" si="84"/>
        <v>100</v>
      </c>
      <c r="R73" s="101">
        <f t="shared" si="84"/>
        <v>100</v>
      </c>
      <c r="S73" s="101">
        <f t="shared" si="84"/>
        <v>100</v>
      </c>
      <c r="T73" s="101">
        <f t="shared" si="84"/>
        <v>100</v>
      </c>
      <c r="U73" s="101">
        <f t="shared" si="84"/>
        <v>100</v>
      </c>
      <c r="V73" s="101">
        <f t="shared" si="84"/>
        <v>100</v>
      </c>
      <c r="W73" s="101">
        <f t="shared" si="84"/>
        <v>100</v>
      </c>
      <c r="X73" s="101">
        <f t="shared" si="84"/>
        <v>100</v>
      </c>
      <c r="Y73" s="101">
        <f t="shared" si="84"/>
        <v>100</v>
      </c>
      <c r="Z73" s="586">
        <f t="shared" si="84"/>
        <v>100</v>
      </c>
      <c r="AA73" s="101">
        <f t="shared" ref="AA73:AB73" si="85">SUM(AA66:AA72)</f>
        <v>100</v>
      </c>
      <c r="AB73" s="101">
        <f t="shared" si="85"/>
        <v>100</v>
      </c>
      <c r="AC73" s="101">
        <f t="shared" ref="AC73:AI73" si="86">SUM(AC66:AC72)</f>
        <v>100</v>
      </c>
      <c r="AD73" s="101">
        <f t="shared" si="86"/>
        <v>100</v>
      </c>
      <c r="AE73" s="101">
        <f t="shared" si="86"/>
        <v>100</v>
      </c>
      <c r="AF73" s="101">
        <f t="shared" si="86"/>
        <v>100</v>
      </c>
      <c r="AG73" s="101">
        <f t="shared" si="86"/>
        <v>100</v>
      </c>
      <c r="AH73" s="101">
        <f t="shared" si="86"/>
        <v>100</v>
      </c>
      <c r="AI73" s="101">
        <f t="shared" si="86"/>
        <v>100</v>
      </c>
      <c r="AJ73" s="101">
        <f t="shared" ref="AJ73:AL73" si="87">SUM(AJ66:AJ72)</f>
        <v>100</v>
      </c>
      <c r="AK73" s="101">
        <f t="shared" si="87"/>
        <v>100</v>
      </c>
      <c r="AL73" s="101">
        <f t="shared" si="87"/>
        <v>100</v>
      </c>
      <c r="AN73" s="101">
        <f t="shared" ref="AN73:AO73" si="88">SUM(AN66:AN72)</f>
        <v>100</v>
      </c>
      <c r="AO73" s="101">
        <f t="shared" si="88"/>
        <v>100</v>
      </c>
      <c r="AR73" s="101">
        <f t="shared" ref="AR73" si="89">SUM(AR66:AR72)</f>
        <v>100</v>
      </c>
      <c r="AU73" s="101">
        <f>SUM(AU66:AU72)</f>
        <v>100</v>
      </c>
      <c r="AV73" s="101">
        <f t="shared" ref="AV73:AW73" si="90">SUM(AV66:AV72)</f>
        <v>100</v>
      </c>
      <c r="AW73" s="101">
        <f t="shared" si="90"/>
        <v>100</v>
      </c>
      <c r="AY73" s="101">
        <f t="shared" ref="AY73" si="91">SUM(AY66:AY72)</f>
        <v>100</v>
      </c>
      <c r="AZ73" s="101">
        <f t="shared" ref="AZ73:BA73" si="92">SUM(AZ66:AZ72)</f>
        <v>100</v>
      </c>
      <c r="BA73" s="101">
        <f t="shared" si="92"/>
        <v>100</v>
      </c>
      <c r="BD73" s="101">
        <v>100</v>
      </c>
      <c r="BE73" s="101">
        <v>100</v>
      </c>
      <c r="BF73" s="2270"/>
      <c r="BI73" s="101"/>
      <c r="BJ73" s="101"/>
      <c r="BK73" s="2655"/>
      <c r="BN73" s="101"/>
      <c r="BO73" s="101"/>
      <c r="BQ73" s="2656"/>
      <c r="BR73" s="101"/>
      <c r="BS73" s="101"/>
      <c r="BU73" s="101"/>
      <c r="BV73" s="101"/>
      <c r="BX73" s="101">
        <f t="shared" ref="BX73:BY73" si="93">SUM(BX66:BX72)</f>
        <v>100</v>
      </c>
      <c r="BY73" s="101">
        <f t="shared" si="93"/>
        <v>100</v>
      </c>
      <c r="BZ73" s="2666">
        <f t="shared" si="0"/>
        <v>100</v>
      </c>
      <c r="CA73" s="101">
        <f t="shared" ref="CA73" si="94">SUM(CA66:CA72)</f>
        <v>100</v>
      </c>
    </row>
    <row r="74" spans="1:79" ht="18.75" customHeight="1" x14ac:dyDescent="0.35">
      <c r="D74" s="75" t="s">
        <v>62</v>
      </c>
      <c r="E74" s="2684" t="s">
        <v>63</v>
      </c>
      <c r="F74" s="2698" t="s">
        <v>55</v>
      </c>
      <c r="G74" s="47"/>
      <c r="H74" s="47"/>
      <c r="I74" s="47"/>
      <c r="J74" s="47"/>
      <c r="K74" s="47"/>
      <c r="L74" s="55"/>
      <c r="M74" s="55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195"/>
      <c r="Z74" s="590"/>
      <c r="AA74" s="172"/>
      <c r="AB74" s="172"/>
      <c r="AC74" s="172"/>
      <c r="AD74" s="172"/>
      <c r="AE74" s="172"/>
      <c r="AF74" s="172"/>
      <c r="AG74" s="172"/>
      <c r="AH74" s="172"/>
      <c r="AI74" s="172"/>
      <c r="AJ74" s="172"/>
      <c r="AK74" s="172"/>
      <c r="AL74" s="172"/>
      <c r="AN74" s="47"/>
      <c r="AO74" s="55"/>
      <c r="AR74" s="47"/>
      <c r="AU74" s="47"/>
      <c r="AV74" s="55"/>
      <c r="AW74" s="55"/>
      <c r="AY74" s="47"/>
      <c r="AZ74" s="55"/>
      <c r="BA74" s="55"/>
      <c r="BD74" s="47"/>
      <c r="BE74" s="55"/>
      <c r="BG74" s="7">
        <f>(BD72+BG72)/2</f>
        <v>34.8035</v>
      </c>
      <c r="BI74" s="55"/>
      <c r="BJ74" s="55"/>
      <c r="BK74" s="2642"/>
      <c r="BN74" s="55"/>
      <c r="BO74" s="55"/>
      <c r="BR74" s="55"/>
      <c r="BS74" s="55"/>
      <c r="BU74" s="55"/>
      <c r="BV74" s="55"/>
      <c r="BX74" s="56"/>
      <c r="BY74" s="56"/>
      <c r="BZ74" s="2666" t="e">
        <f t="shared" si="0"/>
        <v>#DIV/0!</v>
      </c>
      <c r="CA74" s="56"/>
    </row>
    <row r="75" spans="1:79" ht="18.75" customHeight="1" x14ac:dyDescent="0.35">
      <c r="D75" s="44" t="s">
        <v>64</v>
      </c>
      <c r="E75" s="2684"/>
      <c r="F75" s="2698"/>
      <c r="G75" s="2579">
        <v>2.7</v>
      </c>
      <c r="H75" s="2531">
        <v>2.7</v>
      </c>
      <c r="I75" s="2531">
        <v>2.7</v>
      </c>
      <c r="J75" s="2531">
        <v>2.7</v>
      </c>
      <c r="K75" s="60"/>
      <c r="L75" s="60"/>
      <c r="M75" s="60"/>
      <c r="N75" s="60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59"/>
      <c r="Z75" s="577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N75" s="60"/>
      <c r="AO75" s="60"/>
      <c r="AR75" s="60"/>
      <c r="AU75" s="60"/>
      <c r="AV75" s="60"/>
      <c r="AW75" s="60"/>
      <c r="AY75" s="60"/>
      <c r="AZ75" s="60"/>
      <c r="BA75" s="60"/>
      <c r="BD75" s="60"/>
      <c r="BE75" s="60"/>
      <c r="BI75" s="60"/>
      <c r="BJ75" s="60"/>
      <c r="BK75" s="713"/>
      <c r="BN75" s="60"/>
      <c r="BO75" s="60"/>
      <c r="BR75" s="60"/>
      <c r="BS75" s="60"/>
      <c r="BU75" s="60"/>
      <c r="BV75" s="60"/>
      <c r="BX75" s="88"/>
      <c r="BY75" s="88">
        <f>AVERAGE(BX72:BY72)</f>
        <v>29.555</v>
      </c>
      <c r="BZ75" s="2666">
        <f t="shared" si="0"/>
        <v>29.555</v>
      </c>
      <c r="CA75" s="88"/>
    </row>
    <row r="76" spans="1:79" ht="18.75" customHeight="1" x14ac:dyDescent="0.35">
      <c r="D76" s="44" t="s">
        <v>65</v>
      </c>
      <c r="E76" s="2684"/>
      <c r="F76" s="2698"/>
      <c r="G76" s="2579">
        <v>43.8</v>
      </c>
      <c r="H76" s="2531">
        <v>43.8</v>
      </c>
      <c r="I76" s="2531">
        <v>43.8</v>
      </c>
      <c r="J76" s="2531">
        <v>43.8</v>
      </c>
      <c r="K76" s="60"/>
      <c r="L76" s="87"/>
      <c r="M76" s="87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59"/>
      <c r="Z76" s="577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N76" s="60"/>
      <c r="AO76" s="87"/>
      <c r="AR76" s="60"/>
      <c r="AU76" s="60"/>
      <c r="AV76" s="87"/>
      <c r="AW76" s="87"/>
      <c r="AY76" s="60"/>
      <c r="AZ76" s="87"/>
      <c r="BA76" s="87"/>
      <c r="BD76" s="60"/>
      <c r="BE76" s="87"/>
      <c r="BI76" s="87"/>
      <c r="BJ76" s="87"/>
      <c r="BK76" s="713"/>
      <c r="BN76" s="87"/>
      <c r="BO76" s="87"/>
      <c r="BR76" s="87"/>
      <c r="BS76" s="87"/>
      <c r="BU76" s="87"/>
      <c r="BV76" s="87"/>
      <c r="BX76" s="88"/>
      <c r="BY76" s="88"/>
      <c r="BZ76" s="2666" t="e">
        <f t="shared" si="0"/>
        <v>#DIV/0!</v>
      </c>
      <c r="CA76" s="88"/>
    </row>
    <row r="77" spans="1:79" ht="18.75" customHeight="1" x14ac:dyDescent="0.35">
      <c r="D77" s="44" t="s">
        <v>66</v>
      </c>
      <c r="E77" s="2684"/>
      <c r="F77" s="2698"/>
      <c r="G77" s="2579">
        <v>19.3</v>
      </c>
      <c r="H77" s="2531">
        <v>19.3</v>
      </c>
      <c r="I77" s="2531">
        <v>19.3</v>
      </c>
      <c r="J77" s="2531">
        <v>19.3</v>
      </c>
      <c r="K77" s="60"/>
      <c r="L77" s="85"/>
      <c r="M77" s="87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203"/>
      <c r="Z77" s="577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N77" s="60"/>
      <c r="AO77" s="85"/>
      <c r="AR77" s="84"/>
      <c r="AU77" s="60"/>
      <c r="AV77" s="87"/>
      <c r="AW77" s="87"/>
      <c r="AY77" s="60"/>
      <c r="AZ77" s="87"/>
      <c r="BA77" s="87"/>
      <c r="BD77" s="60"/>
      <c r="BE77" s="87"/>
      <c r="BI77" s="87"/>
      <c r="BJ77" s="87"/>
      <c r="BK77" s="713"/>
      <c r="BN77" s="87"/>
      <c r="BO77" s="87"/>
      <c r="BR77" s="87"/>
      <c r="BS77" s="87"/>
      <c r="BU77" s="87"/>
      <c r="BV77" s="87"/>
      <c r="BX77" s="86"/>
      <c r="BY77" s="86"/>
      <c r="BZ77" s="2666" t="e">
        <f t="shared" si="0"/>
        <v>#DIV/0!</v>
      </c>
      <c r="CA77" s="86"/>
    </row>
    <row r="78" spans="1:79" ht="18.75" customHeight="1" x14ac:dyDescent="0.35">
      <c r="D78" s="44" t="s">
        <v>67</v>
      </c>
      <c r="E78" s="2684"/>
      <c r="F78" s="2698"/>
      <c r="G78" s="2579">
        <v>34.299999999999997</v>
      </c>
      <c r="H78" s="2531">
        <v>34.299999999999997</v>
      </c>
      <c r="I78" s="2531">
        <v>34.299999999999997</v>
      </c>
      <c r="J78" s="2531">
        <v>34.299999999999997</v>
      </c>
      <c r="K78" s="60"/>
      <c r="L78" s="87"/>
      <c r="M78" s="87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59"/>
      <c r="Z78" s="577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N78" s="60"/>
      <c r="AO78" s="87"/>
      <c r="AR78" s="60"/>
      <c r="AU78" s="60"/>
      <c r="AV78" s="87"/>
      <c r="AW78" s="87"/>
      <c r="AY78" s="60"/>
      <c r="AZ78" s="87"/>
      <c r="BA78" s="87"/>
      <c r="BD78" s="60"/>
      <c r="BE78" s="87"/>
      <c r="BI78" s="87"/>
      <c r="BJ78" s="87"/>
      <c r="BK78" s="713"/>
      <c r="BN78" s="87"/>
      <c r="BO78" s="87"/>
      <c r="BR78" s="87"/>
      <c r="BS78" s="87"/>
      <c r="BU78" s="87"/>
      <c r="BV78" s="87"/>
      <c r="BX78" s="88"/>
      <c r="BY78" s="88"/>
      <c r="BZ78" s="2666" t="e">
        <f t="shared" si="0"/>
        <v>#DIV/0!</v>
      </c>
      <c r="CA78" s="88"/>
    </row>
    <row r="79" spans="1:79" ht="18.75" customHeight="1" x14ac:dyDescent="0.35">
      <c r="D79" s="475" t="s">
        <v>320</v>
      </c>
      <c r="E79" s="158"/>
      <c r="F79" s="159"/>
      <c r="G79" s="2580">
        <f>(G78+G75)/(G76+G77)</f>
        <v>0.58637083993660866</v>
      </c>
      <c r="H79" s="77">
        <f>(H78+H75)/(H76+H77)</f>
        <v>0.58637083993660866</v>
      </c>
      <c r="I79" s="77">
        <f>(I78+I75)/(I76+I77)</f>
        <v>0.58637083993660866</v>
      </c>
      <c r="J79" s="77">
        <f>(J78+J75)/(J76+J77)</f>
        <v>0.58637083993660866</v>
      </c>
      <c r="K79" s="77" t="e">
        <f t="shared" ref="K79:AL79" si="95">(K78+K75)/(K76+K77)</f>
        <v>#DIV/0!</v>
      </c>
      <c r="L79" s="77" t="e">
        <f t="shared" si="95"/>
        <v>#DIV/0!</v>
      </c>
      <c r="M79" s="77" t="e">
        <f t="shared" si="95"/>
        <v>#DIV/0!</v>
      </c>
      <c r="N79" s="77" t="e">
        <f t="shared" si="95"/>
        <v>#DIV/0!</v>
      </c>
      <c r="O79" s="77" t="e">
        <f t="shared" si="95"/>
        <v>#DIV/0!</v>
      </c>
      <c r="P79" s="77" t="e">
        <f t="shared" si="95"/>
        <v>#DIV/0!</v>
      </c>
      <c r="Q79" s="77" t="e">
        <f t="shared" si="95"/>
        <v>#DIV/0!</v>
      </c>
      <c r="R79" s="77" t="e">
        <f t="shared" si="95"/>
        <v>#DIV/0!</v>
      </c>
      <c r="S79" s="77" t="e">
        <f t="shared" si="95"/>
        <v>#DIV/0!</v>
      </c>
      <c r="T79" s="77" t="e">
        <f t="shared" si="95"/>
        <v>#DIV/0!</v>
      </c>
      <c r="U79" s="77" t="e">
        <f t="shared" si="95"/>
        <v>#DIV/0!</v>
      </c>
      <c r="V79" s="77" t="e">
        <f t="shared" si="95"/>
        <v>#DIV/0!</v>
      </c>
      <c r="W79" s="77" t="e">
        <f t="shared" si="95"/>
        <v>#DIV/0!</v>
      </c>
      <c r="X79" s="77" t="e">
        <f t="shared" si="95"/>
        <v>#DIV/0!</v>
      </c>
      <c r="Y79" s="77" t="e">
        <f t="shared" si="95"/>
        <v>#DIV/0!</v>
      </c>
      <c r="Z79" s="77" t="e">
        <f t="shared" si="95"/>
        <v>#DIV/0!</v>
      </c>
      <c r="AA79" s="77" t="e">
        <f t="shared" si="95"/>
        <v>#DIV/0!</v>
      </c>
      <c r="AB79" s="77" t="e">
        <f t="shared" si="95"/>
        <v>#DIV/0!</v>
      </c>
      <c r="AC79" s="77" t="e">
        <f t="shared" si="95"/>
        <v>#DIV/0!</v>
      </c>
      <c r="AD79" s="77" t="e">
        <f t="shared" si="95"/>
        <v>#DIV/0!</v>
      </c>
      <c r="AE79" s="77" t="e">
        <f t="shared" si="95"/>
        <v>#DIV/0!</v>
      </c>
      <c r="AF79" s="77" t="e">
        <f t="shared" si="95"/>
        <v>#DIV/0!</v>
      </c>
      <c r="AG79" s="77" t="e">
        <f t="shared" si="95"/>
        <v>#DIV/0!</v>
      </c>
      <c r="AH79" s="77" t="e">
        <f t="shared" si="95"/>
        <v>#DIV/0!</v>
      </c>
      <c r="AI79" s="77" t="e">
        <f t="shared" si="95"/>
        <v>#DIV/0!</v>
      </c>
      <c r="AJ79" s="77" t="e">
        <f t="shared" si="95"/>
        <v>#DIV/0!</v>
      </c>
      <c r="AK79" s="77" t="e">
        <f t="shared" si="95"/>
        <v>#DIV/0!</v>
      </c>
      <c r="AL79" s="77" t="e">
        <f t="shared" si="95"/>
        <v>#DIV/0!</v>
      </c>
      <c r="AN79" s="77" t="e">
        <f t="shared" ref="AN79:AO79" si="96">(AN78+AN75)/(AN76+AN77)</f>
        <v>#DIV/0!</v>
      </c>
      <c r="AO79" s="77" t="e">
        <f t="shared" si="96"/>
        <v>#DIV/0!</v>
      </c>
      <c r="AR79" s="77" t="e">
        <f t="shared" ref="AR79" si="97">(AR78+AR75)/(AR76+AR77)</f>
        <v>#DIV/0!</v>
      </c>
      <c r="AU79" s="77" t="e">
        <f>(AU78+AU75)/(AU76+AU77)</f>
        <v>#DIV/0!</v>
      </c>
      <c r="AV79" s="77"/>
      <c r="AW79" s="77"/>
      <c r="AY79" s="77"/>
      <c r="AZ79" s="77"/>
      <c r="BA79" s="77"/>
      <c r="BD79" s="77" t="e">
        <v>#DIV/0!</v>
      </c>
      <c r="BE79" s="77" t="e">
        <v>#DIV/0!</v>
      </c>
      <c r="BI79" s="77"/>
      <c r="BJ79" s="77"/>
      <c r="BK79" s="2644"/>
      <c r="BN79" s="77"/>
      <c r="BO79" s="77"/>
      <c r="BR79" s="77"/>
      <c r="BS79" s="77"/>
      <c r="BU79" s="77"/>
      <c r="BV79" s="77"/>
      <c r="BX79" s="77" t="e">
        <f t="shared" ref="BX79:BY79" si="98">(BX78+BX75)/(BX76+BX77)</f>
        <v>#DIV/0!</v>
      </c>
      <c r="BY79" s="77" t="e">
        <f t="shared" si="98"/>
        <v>#DIV/0!</v>
      </c>
      <c r="BZ79" s="2666" t="e">
        <f t="shared" si="0"/>
        <v>#DIV/0!</v>
      </c>
      <c r="CA79" s="77" t="e">
        <f t="shared" ref="CA79" si="99">(CA78+CA75)/(CA76+CA77)</f>
        <v>#DIV/0!</v>
      </c>
    </row>
    <row r="80" spans="1:79" ht="18.75" customHeight="1" x14ac:dyDescent="0.35">
      <c r="D80" s="75" t="s">
        <v>68</v>
      </c>
      <c r="E80" s="2699" t="s">
        <v>69</v>
      </c>
      <c r="F80" s="2700" t="s">
        <v>17</v>
      </c>
      <c r="G80" s="47"/>
      <c r="H80" s="47"/>
      <c r="I80" s="47"/>
      <c r="J80" s="47"/>
      <c r="K80" s="47"/>
      <c r="L80" s="55"/>
      <c r="M80" s="55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195"/>
      <c r="Z80" s="590"/>
      <c r="AA80" s="172"/>
      <c r="AB80" s="172"/>
      <c r="AC80" s="172"/>
      <c r="AD80" s="172"/>
      <c r="AE80" s="172"/>
      <c r="AF80" s="172"/>
      <c r="AG80" s="172"/>
      <c r="AH80" s="172"/>
      <c r="AI80" s="172"/>
      <c r="AJ80" s="172"/>
      <c r="AK80" s="172"/>
      <c r="AL80" s="172"/>
      <c r="AN80" s="47"/>
      <c r="AO80" s="55"/>
      <c r="AR80" s="47"/>
      <c r="AU80" s="47"/>
      <c r="AV80" s="55"/>
      <c r="AW80" s="55"/>
      <c r="AY80" s="47"/>
      <c r="AZ80" s="55"/>
      <c r="BA80" s="55"/>
      <c r="BD80" s="47"/>
      <c r="BE80" s="55"/>
      <c r="BI80" s="55"/>
      <c r="BJ80" s="55"/>
      <c r="BK80" s="2642"/>
      <c r="BN80" s="55"/>
      <c r="BO80" s="55"/>
      <c r="BR80" s="55"/>
      <c r="BS80" s="55"/>
      <c r="BU80" s="55"/>
      <c r="BV80" s="55"/>
      <c r="BX80" s="56"/>
      <c r="BY80" s="56"/>
      <c r="BZ80" s="2666" t="e">
        <f t="shared" si="0"/>
        <v>#DIV/0!</v>
      </c>
      <c r="CA80" s="56"/>
    </row>
    <row r="81" spans="4:79" ht="18.75" customHeight="1" x14ac:dyDescent="0.35">
      <c r="D81" s="44" t="s">
        <v>70</v>
      </c>
      <c r="E81" s="2678"/>
      <c r="F81" s="2701"/>
      <c r="G81" s="2581">
        <v>0.63</v>
      </c>
      <c r="H81" s="60">
        <v>0.63</v>
      </c>
      <c r="I81" s="60">
        <v>0.63</v>
      </c>
      <c r="J81" s="60">
        <v>0.63</v>
      </c>
      <c r="K81" s="47"/>
      <c r="L81" s="55"/>
      <c r="M81" s="55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195"/>
      <c r="Z81" s="591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N81" s="47"/>
      <c r="AO81" s="55"/>
      <c r="AR81" s="47"/>
      <c r="AU81" s="47"/>
      <c r="AV81" s="55"/>
      <c r="AW81" s="55"/>
      <c r="AY81" s="47"/>
      <c r="AZ81" s="55"/>
      <c r="BA81" s="55"/>
      <c r="BD81" s="47"/>
      <c r="BE81" s="55"/>
      <c r="BI81" s="55"/>
      <c r="BJ81" s="55"/>
      <c r="BK81" s="2642"/>
      <c r="BN81" s="55"/>
      <c r="BO81" s="55"/>
      <c r="BR81" s="55"/>
      <c r="BS81" s="55"/>
      <c r="BU81" s="55"/>
      <c r="BV81" s="55"/>
      <c r="BX81" s="56"/>
      <c r="BY81" s="56"/>
      <c r="BZ81" s="2666" t="e">
        <f t="shared" si="0"/>
        <v>#DIV/0!</v>
      </c>
      <c r="CA81" s="56"/>
    </row>
    <row r="82" spans="4:79" ht="18.75" customHeight="1" x14ac:dyDescent="0.35">
      <c r="D82" s="44" t="s">
        <v>71</v>
      </c>
      <c r="E82" s="2678"/>
      <c r="F82" s="2701"/>
      <c r="G82" s="2581">
        <v>0.94030000000000002</v>
      </c>
      <c r="H82" s="60">
        <v>0.94030000000000002</v>
      </c>
      <c r="I82" s="60">
        <v>0.94030000000000002</v>
      </c>
      <c r="J82" s="60">
        <v>0.94030000000000002</v>
      </c>
      <c r="K82" s="47"/>
      <c r="L82" s="55"/>
      <c r="M82" s="55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195"/>
      <c r="Z82" s="591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N82" s="47"/>
      <c r="AO82" s="55"/>
      <c r="AR82" s="47"/>
      <c r="AU82" s="47"/>
      <c r="AV82" s="55"/>
      <c r="AW82" s="55"/>
      <c r="AY82" s="47"/>
      <c r="AZ82" s="55"/>
      <c r="BA82" s="55"/>
      <c r="BD82" s="47"/>
      <c r="BE82" s="55"/>
      <c r="BI82" s="55"/>
      <c r="BJ82" s="55"/>
      <c r="BK82" s="2642"/>
      <c r="BN82" s="55"/>
      <c r="BO82" s="55"/>
      <c r="BR82" s="55"/>
      <c r="BS82" s="55"/>
      <c r="BU82" s="55"/>
      <c r="BV82" s="55"/>
      <c r="BX82" s="56"/>
      <c r="BY82" s="56"/>
      <c r="BZ82" s="2666" t="e">
        <f t="shared" si="0"/>
        <v>#DIV/0!</v>
      </c>
      <c r="CA82" s="56"/>
    </row>
    <row r="83" spans="4:79" ht="18.75" customHeight="1" x14ac:dyDescent="0.35">
      <c r="D83" s="44" t="s">
        <v>72</v>
      </c>
      <c r="E83" s="2678"/>
      <c r="F83" s="2701"/>
      <c r="G83" s="2581">
        <v>2.6</v>
      </c>
      <c r="H83" s="60">
        <v>2.6</v>
      </c>
      <c r="I83" s="60">
        <v>2.6</v>
      </c>
      <c r="J83" s="60">
        <v>2.6</v>
      </c>
      <c r="K83" s="47"/>
      <c r="L83" s="55"/>
      <c r="M83" s="55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195"/>
      <c r="Z83" s="591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N83" s="47"/>
      <c r="AO83" s="55"/>
      <c r="AR83" s="47"/>
      <c r="AU83" s="47"/>
      <c r="AV83" s="55"/>
      <c r="AW83" s="55"/>
      <c r="AY83" s="47"/>
      <c r="AZ83" s="55"/>
      <c r="BA83" s="55"/>
      <c r="BD83" s="47"/>
      <c r="BE83" s="55"/>
      <c r="BI83" s="55"/>
      <c r="BJ83" s="55"/>
      <c r="BK83" s="2642"/>
      <c r="BN83" s="55"/>
      <c r="BO83" s="55"/>
      <c r="BR83" s="55"/>
      <c r="BS83" s="55"/>
      <c r="BU83" s="55"/>
      <c r="BV83" s="55"/>
      <c r="BX83" s="56"/>
      <c r="BY83" s="56"/>
      <c r="BZ83" s="2666" t="e">
        <f t="shared" si="0"/>
        <v>#DIV/0!</v>
      </c>
      <c r="CA83" s="56"/>
    </row>
    <row r="84" spans="4:79" ht="18.75" customHeight="1" x14ac:dyDescent="0.35">
      <c r="D84" s="44" t="s">
        <v>73</v>
      </c>
      <c r="E84" s="2678"/>
      <c r="F84" s="2701"/>
      <c r="G84" s="2581">
        <v>0.36220000000000002</v>
      </c>
      <c r="H84" s="60">
        <v>0.36220000000000002</v>
      </c>
      <c r="I84" s="60">
        <v>0.36220000000000002</v>
      </c>
      <c r="J84" s="60">
        <v>0.36220000000000002</v>
      </c>
      <c r="K84" s="47"/>
      <c r="L84" s="55"/>
      <c r="M84" s="55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195"/>
      <c r="Z84" s="591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N84" s="47"/>
      <c r="AO84" s="55"/>
      <c r="AR84" s="47"/>
      <c r="AU84" s="47"/>
      <c r="AV84" s="55"/>
      <c r="AW84" s="55"/>
      <c r="AY84" s="47"/>
      <c r="AZ84" s="55"/>
      <c r="BA84" s="55"/>
      <c r="BD84" s="47"/>
      <c r="BE84" s="55"/>
      <c r="BI84" s="55"/>
      <c r="BJ84" s="55"/>
      <c r="BK84" s="2642"/>
      <c r="BN84" s="55"/>
      <c r="BO84" s="55"/>
      <c r="BR84" s="55"/>
      <c r="BS84" s="55"/>
      <c r="BU84" s="55"/>
      <c r="BV84" s="55"/>
      <c r="BX84" s="56"/>
      <c r="BY84" s="56"/>
      <c r="BZ84" s="2666" t="e">
        <f t="shared" si="0"/>
        <v>#DIV/0!</v>
      </c>
      <c r="CA84" s="56"/>
    </row>
    <row r="85" spans="4:79" ht="18.75" customHeight="1" x14ac:dyDescent="0.35">
      <c r="D85" s="44" t="s">
        <v>74</v>
      </c>
      <c r="E85" s="2678"/>
      <c r="F85" s="2701"/>
      <c r="G85" s="2580">
        <v>94</v>
      </c>
      <c r="H85" s="77">
        <v>94</v>
      </c>
      <c r="I85" s="77">
        <v>94</v>
      </c>
      <c r="J85" s="77">
        <v>94</v>
      </c>
      <c r="K85" s="47"/>
      <c r="L85" s="55"/>
      <c r="M85" s="55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195"/>
      <c r="Z85" s="591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N85" s="47"/>
      <c r="AO85" s="55"/>
      <c r="AR85" s="47"/>
      <c r="AU85" s="47"/>
      <c r="AV85" s="55"/>
      <c r="AW85" s="55"/>
      <c r="AY85" s="47"/>
      <c r="AZ85" s="55"/>
      <c r="BA85" s="55"/>
      <c r="BD85" s="47"/>
      <c r="BE85" s="55"/>
      <c r="BI85" s="55"/>
      <c r="BJ85" s="55"/>
      <c r="BK85" s="2642"/>
      <c r="BN85" s="55"/>
      <c r="BO85" s="55"/>
      <c r="BR85" s="55"/>
      <c r="BS85" s="55"/>
      <c r="BU85" s="55"/>
      <c r="BV85" s="55"/>
      <c r="BX85" s="56"/>
      <c r="BY85" s="56"/>
      <c r="BZ85" s="2666" t="e">
        <f t="shared" ref="BZ85:BZ117" si="100">AVERAGE(BX85:BY85)</f>
        <v>#DIV/0!</v>
      </c>
      <c r="CA85" s="56"/>
    </row>
    <row r="86" spans="4:79" ht="18.75" customHeight="1" thickBot="1" x14ac:dyDescent="0.4">
      <c r="D86" s="507" t="s">
        <v>75</v>
      </c>
      <c r="E86" s="2678"/>
      <c r="F86" s="2701"/>
      <c r="G86" s="2582">
        <v>36</v>
      </c>
      <c r="H86" s="508">
        <v>36</v>
      </c>
      <c r="I86" s="508">
        <v>36</v>
      </c>
      <c r="J86" s="508">
        <v>36</v>
      </c>
      <c r="K86" s="509"/>
      <c r="L86" s="510"/>
      <c r="M86" s="510"/>
      <c r="N86" s="511"/>
      <c r="O86" s="511"/>
      <c r="P86" s="511"/>
      <c r="Q86" s="511"/>
      <c r="R86" s="511"/>
      <c r="S86" s="511"/>
      <c r="T86" s="511"/>
      <c r="U86" s="511"/>
      <c r="V86" s="511"/>
      <c r="W86" s="511"/>
      <c r="X86" s="511"/>
      <c r="Y86" s="565"/>
      <c r="Z86" s="593"/>
      <c r="AA86" s="598"/>
      <c r="AB86" s="598"/>
      <c r="AC86" s="598"/>
      <c r="AD86" s="598"/>
      <c r="AE86" s="598"/>
      <c r="AF86" s="598"/>
      <c r="AG86" s="598"/>
      <c r="AH86" s="598"/>
      <c r="AI86" s="598"/>
      <c r="AJ86" s="598"/>
      <c r="AK86" s="598"/>
      <c r="AL86" s="598"/>
      <c r="AN86" s="509"/>
      <c r="AO86" s="510"/>
      <c r="AR86" s="509"/>
      <c r="AU86" s="509"/>
      <c r="AV86" s="510"/>
      <c r="AW86" s="510"/>
      <c r="AY86" s="509"/>
      <c r="AZ86" s="510"/>
      <c r="BA86" s="510"/>
      <c r="BD86" s="509"/>
      <c r="BE86" s="510"/>
      <c r="BI86" s="510"/>
      <c r="BJ86" s="510"/>
      <c r="BK86" s="2642"/>
      <c r="BN86" s="510"/>
      <c r="BO86" s="510"/>
      <c r="BR86" s="510"/>
      <c r="BS86" s="510"/>
      <c r="BU86" s="510"/>
      <c r="BV86" s="510"/>
      <c r="BX86" s="511"/>
      <c r="BY86" s="511"/>
      <c r="BZ86" s="2666" t="e">
        <f t="shared" si="100"/>
        <v>#DIV/0!</v>
      </c>
      <c r="CA86" s="511"/>
    </row>
    <row r="87" spans="4:79" ht="19.5" customHeight="1" x14ac:dyDescent="0.35">
      <c r="D87" s="513" t="s">
        <v>76</v>
      </c>
      <c r="E87" s="514" t="s">
        <v>77</v>
      </c>
      <c r="F87" s="515" t="s">
        <v>36</v>
      </c>
      <c r="G87" s="516">
        <v>23.742999999999999</v>
      </c>
      <c r="H87" s="516">
        <v>25.960999999999999</v>
      </c>
      <c r="I87" s="516">
        <v>25.960999999999999</v>
      </c>
      <c r="J87" s="516">
        <v>25.960999999999999</v>
      </c>
      <c r="K87" s="517">
        <v>9.218</v>
      </c>
      <c r="L87" s="518">
        <v>9.4525000000000006</v>
      </c>
      <c r="M87" s="518">
        <v>10.423999999999999</v>
      </c>
      <c r="N87" s="519">
        <v>10.622</v>
      </c>
      <c r="O87" s="520">
        <v>3.91</v>
      </c>
      <c r="P87" s="519">
        <v>4.22</v>
      </c>
      <c r="Q87" s="519">
        <v>4.9400000000000004</v>
      </c>
      <c r="R87" s="519">
        <v>5.12</v>
      </c>
      <c r="S87" s="519">
        <v>5.68</v>
      </c>
      <c r="T87" s="519">
        <v>5.71</v>
      </c>
      <c r="U87" s="519">
        <v>5.96</v>
      </c>
      <c r="V87" s="519">
        <v>5.83</v>
      </c>
      <c r="W87" s="519">
        <v>6.07</v>
      </c>
      <c r="X87" s="519"/>
      <c r="Y87" s="521"/>
      <c r="Z87" s="594"/>
      <c r="AA87" s="599"/>
      <c r="AB87" s="599"/>
      <c r="AC87" s="599"/>
      <c r="AD87" s="599"/>
      <c r="AE87" s="599"/>
      <c r="AF87" s="599"/>
      <c r="AG87" s="599"/>
      <c r="AH87" s="599"/>
      <c r="AI87" s="599"/>
      <c r="AJ87" s="599"/>
      <c r="AK87" s="599"/>
      <c r="AL87" s="599"/>
      <c r="AN87" s="517">
        <v>8.5120000000000005</v>
      </c>
      <c r="AO87" s="518">
        <v>9.218</v>
      </c>
      <c r="AP87" s="2603"/>
      <c r="AQ87" s="7">
        <v>9.6920000000000002</v>
      </c>
      <c r="AR87" s="2631">
        <v>9.2129999999999992</v>
      </c>
      <c r="AS87" s="7">
        <f>AVERAGE(AQ87:AR87)</f>
        <v>9.4525000000000006</v>
      </c>
      <c r="AU87" s="2631"/>
      <c r="AV87" s="518"/>
      <c r="AW87" s="518"/>
      <c r="AY87" s="2631"/>
      <c r="AZ87" s="518"/>
      <c r="BA87" s="518">
        <v>10.622</v>
      </c>
      <c r="BD87" s="2631"/>
      <c r="BE87" s="518">
        <v>3.91</v>
      </c>
      <c r="BI87" s="518"/>
      <c r="BJ87" s="518"/>
      <c r="BK87" s="713"/>
      <c r="BN87" s="518"/>
      <c r="BO87" s="518"/>
      <c r="BR87" s="518"/>
      <c r="BS87" s="518"/>
      <c r="BU87" s="518"/>
      <c r="BV87" s="518"/>
      <c r="BX87" s="519">
        <v>5.68</v>
      </c>
      <c r="BY87" s="519">
        <v>5.15</v>
      </c>
      <c r="BZ87" s="2666">
        <f t="shared" si="100"/>
        <v>5.415</v>
      </c>
      <c r="CA87" s="519">
        <v>5.71</v>
      </c>
    </row>
    <row r="88" spans="4:79" ht="19.5" customHeight="1" x14ac:dyDescent="0.35">
      <c r="D88" s="44" t="s">
        <v>78</v>
      </c>
      <c r="E88" s="58" t="s">
        <v>79</v>
      </c>
      <c r="F88" s="102" t="s">
        <v>36</v>
      </c>
      <c r="G88" s="48">
        <v>13.27</v>
      </c>
      <c r="H88" s="48">
        <v>12.763999999999999</v>
      </c>
      <c r="I88" s="48">
        <v>12.763999999999999</v>
      </c>
      <c r="J88" s="48">
        <v>12.763999999999999</v>
      </c>
      <c r="K88" s="84">
        <v>3.782</v>
      </c>
      <c r="L88" s="85">
        <v>4.1639999999999997</v>
      </c>
      <c r="M88" s="85">
        <v>5.43</v>
      </c>
      <c r="N88" s="86">
        <v>5.3719999999999999</v>
      </c>
      <c r="O88" s="86">
        <v>1.3260000000000001</v>
      </c>
      <c r="P88" s="63">
        <v>1.46</v>
      </c>
      <c r="Q88" s="63">
        <v>1.46</v>
      </c>
      <c r="R88" s="86">
        <v>2.34</v>
      </c>
      <c r="S88" s="86">
        <v>2.9</v>
      </c>
      <c r="T88" s="86">
        <v>2.41</v>
      </c>
      <c r="U88" s="86">
        <v>2.94</v>
      </c>
      <c r="V88" s="86">
        <v>2.91</v>
      </c>
      <c r="W88" s="86">
        <v>2.52</v>
      </c>
      <c r="X88" s="86"/>
      <c r="Y88" s="203"/>
      <c r="Z88" s="577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N88" s="84">
        <v>3.16</v>
      </c>
      <c r="AO88" s="85">
        <v>3.782</v>
      </c>
      <c r="AP88" s="2603"/>
      <c r="AQ88" s="7">
        <v>4.1589999999999998</v>
      </c>
      <c r="AR88" s="84">
        <v>4.1689999999999996</v>
      </c>
      <c r="AS88" s="7">
        <f t="shared" ref="AS88:AS89" si="101">AVERAGE(AQ88:AR88)</f>
        <v>4.1639999999999997</v>
      </c>
      <c r="AU88" s="84"/>
      <c r="AV88" s="85"/>
      <c r="AW88" s="85"/>
      <c r="AY88" s="84"/>
      <c r="AZ88" s="85"/>
      <c r="BA88" s="85">
        <v>5.3719999999999999</v>
      </c>
      <c r="BD88" s="84"/>
      <c r="BE88" s="85">
        <v>1.3260000000000001</v>
      </c>
      <c r="BI88" s="85"/>
      <c r="BJ88" s="85"/>
      <c r="BK88" s="2651"/>
      <c r="BN88" s="85"/>
      <c r="BO88" s="85"/>
      <c r="BR88" s="85"/>
      <c r="BS88" s="85"/>
      <c r="BU88" s="85"/>
      <c r="BV88" s="85"/>
      <c r="BX88" s="86">
        <v>2.9</v>
      </c>
      <c r="BY88" s="86">
        <v>2.06</v>
      </c>
      <c r="BZ88" s="2666">
        <f t="shared" si="100"/>
        <v>2.48</v>
      </c>
      <c r="CA88" s="86">
        <v>2.41</v>
      </c>
    </row>
    <row r="89" spans="4:79" ht="19.5" customHeight="1" x14ac:dyDescent="0.35">
      <c r="D89" s="44" t="s">
        <v>80</v>
      </c>
      <c r="E89" s="161" t="s">
        <v>81</v>
      </c>
      <c r="F89" s="59" t="s">
        <v>36</v>
      </c>
      <c r="G89" s="48">
        <v>25.49</v>
      </c>
      <c r="H89" s="48">
        <v>25.57</v>
      </c>
      <c r="I89" s="48">
        <v>25.57</v>
      </c>
      <c r="J89" s="48">
        <v>25.57</v>
      </c>
      <c r="K89" s="77">
        <v>12.605</v>
      </c>
      <c r="L89" s="62">
        <v>14.2</v>
      </c>
      <c r="M89" s="62">
        <v>14.45</v>
      </c>
      <c r="N89" s="63">
        <v>14.5</v>
      </c>
      <c r="O89" s="63">
        <v>6.97</v>
      </c>
      <c r="P89" s="63">
        <v>7.2</v>
      </c>
      <c r="Q89" s="63">
        <v>7.88</v>
      </c>
      <c r="R89" s="63">
        <v>8.3000000000000007</v>
      </c>
      <c r="S89" s="63">
        <v>8.65</v>
      </c>
      <c r="T89" s="63">
        <v>8.84</v>
      </c>
      <c r="U89" s="63">
        <v>9.11</v>
      </c>
      <c r="V89" s="63">
        <v>9.7799999999999994</v>
      </c>
      <c r="W89" s="63">
        <v>9.5</v>
      </c>
      <c r="X89" s="63"/>
      <c r="Y89" s="198"/>
      <c r="Z89" s="577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N89" s="77">
        <v>11.88</v>
      </c>
      <c r="AO89" s="62">
        <v>13.33</v>
      </c>
      <c r="AP89" s="2603"/>
      <c r="AQ89" s="7">
        <v>13.57</v>
      </c>
      <c r="AR89" s="77">
        <v>13.31</v>
      </c>
      <c r="AS89" s="7">
        <f t="shared" si="101"/>
        <v>13.440000000000001</v>
      </c>
      <c r="AU89" s="77">
        <v>14.19</v>
      </c>
      <c r="AV89" s="62">
        <v>14.53</v>
      </c>
      <c r="AW89" s="62">
        <v>14.62</v>
      </c>
      <c r="AX89" s="2624">
        <f>AVERAGE(AU89:AW89)</f>
        <v>14.446666666666665</v>
      </c>
      <c r="AY89" s="77">
        <v>14.53</v>
      </c>
      <c r="AZ89" s="62"/>
      <c r="BA89" s="62">
        <v>14.5</v>
      </c>
      <c r="BD89" s="77">
        <v>9.8000000000000007</v>
      </c>
      <c r="BE89" s="62">
        <v>6.97</v>
      </c>
      <c r="BI89" s="62"/>
      <c r="BJ89" s="62"/>
      <c r="BK89" s="2644"/>
      <c r="BN89" s="62"/>
      <c r="BO89" s="62"/>
      <c r="BR89" s="62"/>
      <c r="BS89" s="62"/>
      <c r="BU89" s="62"/>
      <c r="BV89" s="62"/>
      <c r="BX89" s="63">
        <v>8.65</v>
      </c>
      <c r="BY89" s="63">
        <v>8.84</v>
      </c>
      <c r="BZ89" s="2666">
        <f t="shared" si="100"/>
        <v>8.745000000000001</v>
      </c>
      <c r="CA89" s="63">
        <v>8.84</v>
      </c>
    </row>
    <row r="90" spans="4:79" ht="19.5" customHeight="1" thickBot="1" x14ac:dyDescent="0.4">
      <c r="D90" s="116" t="s">
        <v>82</v>
      </c>
      <c r="E90" s="117" t="s">
        <v>83</v>
      </c>
      <c r="F90" s="118" t="s">
        <v>36</v>
      </c>
      <c r="G90" s="119"/>
      <c r="H90" s="119"/>
      <c r="I90" s="119"/>
      <c r="J90" s="119"/>
      <c r="K90" s="504">
        <v>0</v>
      </c>
      <c r="L90" s="505">
        <v>0</v>
      </c>
      <c r="M90" s="505">
        <v>46.5</v>
      </c>
      <c r="N90" s="506">
        <v>47.66</v>
      </c>
      <c r="O90" s="506">
        <v>231.3</v>
      </c>
      <c r="P90" s="506">
        <v>687.38</v>
      </c>
      <c r="Q90" s="506">
        <v>521.02</v>
      </c>
      <c r="R90" s="506">
        <v>404.92</v>
      </c>
      <c r="S90" s="506">
        <v>305.33</v>
      </c>
      <c r="T90" s="506">
        <v>101.32</v>
      </c>
      <c r="U90" s="506">
        <v>379.52</v>
      </c>
      <c r="V90" s="506">
        <v>153.5</v>
      </c>
      <c r="W90" s="506">
        <v>130.41999999999999</v>
      </c>
      <c r="X90" s="506"/>
      <c r="Y90" s="506"/>
      <c r="Z90" s="506"/>
      <c r="AA90" s="506"/>
      <c r="AB90" s="506"/>
      <c r="AC90" s="506"/>
      <c r="AD90" s="506"/>
      <c r="AE90" s="506"/>
      <c r="AF90" s="506"/>
      <c r="AG90" s="600"/>
      <c r="AH90" s="600"/>
      <c r="AI90" s="600"/>
      <c r="AJ90" s="600"/>
      <c r="AK90" s="600"/>
      <c r="AL90" s="600"/>
      <c r="AN90" s="504">
        <v>0</v>
      </c>
      <c r="AO90" s="505">
        <v>48</v>
      </c>
      <c r="AR90" s="504">
        <v>0</v>
      </c>
      <c r="AU90" s="504"/>
      <c r="AV90" s="505">
        <v>20.11</v>
      </c>
      <c r="AW90" s="505">
        <v>46.52</v>
      </c>
      <c r="AY90" s="504"/>
      <c r="AZ90" s="505"/>
      <c r="BA90" s="505">
        <v>47.66</v>
      </c>
      <c r="BD90" s="504">
        <v>0</v>
      </c>
      <c r="BE90" s="505">
        <v>231.33</v>
      </c>
      <c r="BI90" s="505"/>
      <c r="BJ90" s="505"/>
      <c r="BK90" s="2651"/>
      <c r="BN90" s="505"/>
      <c r="BO90" s="505"/>
      <c r="BR90" s="505"/>
      <c r="BS90" s="505"/>
      <c r="BU90" s="505"/>
      <c r="BV90" s="505"/>
      <c r="BX90" s="506">
        <v>305.33</v>
      </c>
      <c r="BY90" s="506">
        <v>27.8</v>
      </c>
      <c r="BZ90" s="2666">
        <f t="shared" si="100"/>
        <v>166.565</v>
      </c>
      <c r="CA90" s="506">
        <v>101.32</v>
      </c>
    </row>
    <row r="91" spans="4:79" ht="16.5" thickBot="1" x14ac:dyDescent="0.4">
      <c r="S91" s="2617"/>
      <c r="Y91" s="18"/>
      <c r="Z91" s="596"/>
      <c r="AQ91" s="7" t="s">
        <v>1073</v>
      </c>
      <c r="AR91" s="7" t="s">
        <v>923</v>
      </c>
      <c r="BX91" s="2617">
        <v>8.75</v>
      </c>
      <c r="BY91" s="18">
        <v>8.5500000000000007</v>
      </c>
      <c r="BZ91" s="2666">
        <f t="shared" si="100"/>
        <v>8.65</v>
      </c>
    </row>
    <row r="92" spans="4:79" ht="16.5" thickBot="1" x14ac:dyDescent="0.4">
      <c r="D92" s="19" t="s">
        <v>11</v>
      </c>
      <c r="E92" s="20" t="s">
        <v>12</v>
      </c>
      <c r="F92" s="20" t="s">
        <v>13</v>
      </c>
      <c r="G92" s="20" t="s">
        <v>2</v>
      </c>
      <c r="H92" s="20" t="s">
        <v>2</v>
      </c>
      <c r="I92" s="20" t="s">
        <v>2</v>
      </c>
      <c r="J92" s="20"/>
      <c r="K92" s="20" t="s">
        <v>2</v>
      </c>
      <c r="L92" s="20" t="s">
        <v>2</v>
      </c>
      <c r="M92" s="20" t="s">
        <v>2</v>
      </c>
      <c r="N92" s="20" t="s">
        <v>2</v>
      </c>
      <c r="O92" s="20" t="s">
        <v>2</v>
      </c>
      <c r="P92" s="20" t="s">
        <v>2</v>
      </c>
      <c r="Q92" s="20" t="s">
        <v>2</v>
      </c>
      <c r="R92" s="20" t="s">
        <v>2</v>
      </c>
      <c r="S92" s="20" t="s">
        <v>2</v>
      </c>
      <c r="T92" s="20" t="s">
        <v>2</v>
      </c>
      <c r="U92" s="20" t="s">
        <v>2</v>
      </c>
      <c r="V92" s="20" t="s">
        <v>2</v>
      </c>
      <c r="W92" s="20" t="s">
        <v>2</v>
      </c>
      <c r="X92" s="20" t="s">
        <v>2</v>
      </c>
      <c r="Y92" s="20" t="s">
        <v>2</v>
      </c>
      <c r="Z92" s="20" t="s">
        <v>2</v>
      </c>
      <c r="AA92" s="20" t="s">
        <v>2</v>
      </c>
      <c r="AB92" s="20" t="s">
        <v>2</v>
      </c>
      <c r="AC92" s="20" t="s">
        <v>2</v>
      </c>
      <c r="AD92" s="20" t="s">
        <v>2</v>
      </c>
      <c r="AE92" s="20" t="s">
        <v>2</v>
      </c>
      <c r="AF92" s="20" t="s">
        <v>2</v>
      </c>
      <c r="AG92" s="20" t="s">
        <v>2</v>
      </c>
      <c r="AH92" s="20" t="s">
        <v>2</v>
      </c>
      <c r="AI92" s="20" t="s">
        <v>2</v>
      </c>
      <c r="AJ92" s="20" t="s">
        <v>2</v>
      </c>
      <c r="AK92" s="20" t="s">
        <v>2</v>
      </c>
      <c r="AL92" s="20" t="s">
        <v>2</v>
      </c>
      <c r="AN92" s="20" t="s">
        <v>2</v>
      </c>
      <c r="AO92" s="20" t="s">
        <v>2</v>
      </c>
      <c r="AQ92" s="20" t="s">
        <v>2</v>
      </c>
      <c r="AR92" s="20" t="s">
        <v>2</v>
      </c>
      <c r="BX92" s="20" t="s">
        <v>2</v>
      </c>
      <c r="BY92" s="20" t="s">
        <v>2</v>
      </c>
      <c r="BZ92" s="2666" t="e">
        <f t="shared" si="100"/>
        <v>#DIV/0!</v>
      </c>
      <c r="CA92" s="20" t="s">
        <v>2</v>
      </c>
    </row>
    <row r="93" spans="4:79" s="18" customFormat="1" x14ac:dyDescent="0.35">
      <c r="D93" s="23" t="s">
        <v>45</v>
      </c>
      <c r="E93" s="2707" t="s">
        <v>84</v>
      </c>
      <c r="F93" s="2710" t="s">
        <v>164</v>
      </c>
      <c r="G93" s="120">
        <v>0</v>
      </c>
      <c r="H93" s="120">
        <v>0</v>
      </c>
      <c r="I93" s="120">
        <v>0</v>
      </c>
      <c r="J93" s="120">
        <v>0</v>
      </c>
      <c r="K93" s="488">
        <v>18.73</v>
      </c>
      <c r="L93" s="487">
        <v>6.0200000000000005</v>
      </c>
      <c r="M93" s="487">
        <v>2.5099999999999998</v>
      </c>
      <c r="N93" s="487">
        <v>1.03</v>
      </c>
      <c r="O93" s="487">
        <v>1.29</v>
      </c>
      <c r="P93" s="487">
        <v>1.42</v>
      </c>
      <c r="Q93" s="487">
        <v>1.61</v>
      </c>
      <c r="R93" s="487">
        <v>0.96</v>
      </c>
      <c r="S93" s="487">
        <v>1.66</v>
      </c>
      <c r="T93" s="487">
        <v>1.29</v>
      </c>
      <c r="U93" s="487">
        <v>0</v>
      </c>
      <c r="V93" s="487">
        <v>0</v>
      </c>
      <c r="W93" s="487">
        <v>1.1000000000000001</v>
      </c>
      <c r="X93" s="487"/>
      <c r="Y93" s="204"/>
      <c r="Z93" s="204"/>
      <c r="AA93" s="204"/>
      <c r="AB93" s="204"/>
      <c r="AC93" s="204"/>
      <c r="AD93" s="204"/>
      <c r="AE93" s="204"/>
      <c r="AF93" s="204"/>
      <c r="AG93" s="204"/>
      <c r="AH93" s="204"/>
      <c r="AI93" s="204"/>
      <c r="AJ93" s="204"/>
      <c r="AK93" s="204"/>
      <c r="AL93" s="204"/>
      <c r="AN93" s="488">
        <v>18.73</v>
      </c>
      <c r="AO93" s="487">
        <v>9.64</v>
      </c>
      <c r="AQ93" s="487">
        <v>9.64</v>
      </c>
      <c r="AR93" s="487">
        <v>2.4</v>
      </c>
      <c r="AS93" s="2617">
        <f>AVERAGE(AQ93:AR93)</f>
        <v>6.0200000000000005</v>
      </c>
      <c r="BX93" s="487">
        <v>0.96</v>
      </c>
      <c r="BY93" s="487">
        <v>2.36</v>
      </c>
      <c r="BZ93" s="2666">
        <f t="shared" si="100"/>
        <v>1.66</v>
      </c>
      <c r="CA93" s="487">
        <v>1.29</v>
      </c>
    </row>
    <row r="94" spans="4:79" ht="18" x14ac:dyDescent="0.45">
      <c r="D94" s="30" t="s">
        <v>86</v>
      </c>
      <c r="E94" s="2708"/>
      <c r="F94" s="2711"/>
      <c r="G94" s="121">
        <v>0</v>
      </c>
      <c r="H94" s="121">
        <v>0</v>
      </c>
      <c r="I94" s="121">
        <v>0</v>
      </c>
      <c r="J94" s="121">
        <v>0</v>
      </c>
      <c r="K94" s="18">
        <v>0.74</v>
      </c>
      <c r="L94" s="488">
        <v>7.4999999999999997E-2</v>
      </c>
      <c r="M94" s="488">
        <v>0.06</v>
      </c>
      <c r="N94" s="488">
        <v>0.03</v>
      </c>
      <c r="O94" s="488">
        <v>0.08</v>
      </c>
      <c r="P94" s="488">
        <v>0.17</v>
      </c>
      <c r="Q94" s="488">
        <v>0.18</v>
      </c>
      <c r="R94" s="488">
        <v>0.05</v>
      </c>
      <c r="S94" s="488">
        <v>0.14000000000000001</v>
      </c>
      <c r="T94" s="488">
        <v>0.08</v>
      </c>
      <c r="U94" s="488">
        <v>0.03</v>
      </c>
      <c r="V94" s="488">
        <v>0.04</v>
      </c>
      <c r="W94" s="488">
        <v>0.14000000000000001</v>
      </c>
      <c r="X94" s="488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N94" s="18">
        <v>0.74</v>
      </c>
      <c r="AO94" s="488">
        <v>0.09</v>
      </c>
      <c r="AQ94" s="488">
        <v>0.09</v>
      </c>
      <c r="AR94" s="488">
        <v>0.06</v>
      </c>
      <c r="AS94" s="2617">
        <f t="shared" ref="AS94:AS117" si="102">AVERAGE(AQ94:AR94)</f>
        <v>7.4999999999999997E-2</v>
      </c>
      <c r="BX94" s="488">
        <v>0.05</v>
      </c>
      <c r="BY94" s="488">
        <v>0.23</v>
      </c>
      <c r="BZ94" s="2666">
        <f t="shared" si="100"/>
        <v>0.14000000000000001</v>
      </c>
      <c r="CA94" s="488">
        <v>0.08</v>
      </c>
    </row>
    <row r="95" spans="4:79" ht="18" x14ac:dyDescent="0.35">
      <c r="D95" s="37" t="s">
        <v>87</v>
      </c>
      <c r="E95" s="2708"/>
      <c r="F95" s="2711"/>
      <c r="G95" s="121">
        <v>0</v>
      </c>
      <c r="H95" s="121">
        <v>0</v>
      </c>
      <c r="I95" s="121">
        <v>0</v>
      </c>
      <c r="J95" s="121">
        <v>0</v>
      </c>
      <c r="K95" s="488">
        <v>0.54</v>
      </c>
      <c r="L95" s="488">
        <v>7.0000000000000007E-2</v>
      </c>
      <c r="M95" s="488">
        <v>0.11</v>
      </c>
      <c r="N95" s="488">
        <v>0.05</v>
      </c>
      <c r="O95" s="488">
        <v>0.14000000000000001</v>
      </c>
      <c r="P95" s="488">
        <v>0.27</v>
      </c>
      <c r="Q95" s="488">
        <v>0.3</v>
      </c>
      <c r="R95" s="488">
        <v>0.1</v>
      </c>
      <c r="S95" s="488">
        <v>0.22499999999999998</v>
      </c>
      <c r="T95" s="488">
        <v>0.14000000000000001</v>
      </c>
      <c r="U95" s="488">
        <v>0.05</v>
      </c>
      <c r="V95" s="488">
        <v>0.06</v>
      </c>
      <c r="W95" s="488">
        <v>0.26</v>
      </c>
      <c r="X95" s="488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N95" s="488">
        <v>0.54</v>
      </c>
      <c r="AO95" s="488">
        <v>0.05</v>
      </c>
      <c r="AQ95" s="488">
        <v>0.05</v>
      </c>
      <c r="AR95" s="488">
        <v>0.09</v>
      </c>
      <c r="AS95" s="2617">
        <f t="shared" si="102"/>
        <v>7.0000000000000007E-2</v>
      </c>
      <c r="BX95" s="488">
        <v>0.1</v>
      </c>
      <c r="BY95" s="488">
        <v>0.35</v>
      </c>
      <c r="BZ95" s="2666">
        <f t="shared" si="100"/>
        <v>0.22499999999999998</v>
      </c>
      <c r="CA95" s="488">
        <v>0.14000000000000001</v>
      </c>
    </row>
    <row r="96" spans="4:79" ht="18" x14ac:dyDescent="0.35">
      <c r="D96" s="37" t="s">
        <v>88</v>
      </c>
      <c r="E96" s="2708"/>
      <c r="F96" s="2711"/>
      <c r="G96" s="121">
        <v>0</v>
      </c>
      <c r="H96" s="121">
        <v>0</v>
      </c>
      <c r="I96" s="121">
        <v>0</v>
      </c>
      <c r="J96" s="121">
        <v>0</v>
      </c>
      <c r="K96" s="488">
        <v>1.18</v>
      </c>
      <c r="L96" s="488">
        <v>0.09</v>
      </c>
      <c r="M96" s="488">
        <v>0.16</v>
      </c>
      <c r="N96" s="488">
        <v>0.08</v>
      </c>
      <c r="O96" s="488">
        <v>0.24</v>
      </c>
      <c r="P96" s="488">
        <v>0.41</v>
      </c>
      <c r="Q96" s="488">
        <v>0.45</v>
      </c>
      <c r="R96" s="488">
        <v>0.24</v>
      </c>
      <c r="S96" s="488">
        <v>0.38</v>
      </c>
      <c r="T96" s="488">
        <v>0.28000000000000003</v>
      </c>
      <c r="U96" s="488">
        <v>0.09</v>
      </c>
      <c r="V96" s="488">
        <v>0.15</v>
      </c>
      <c r="W96" s="488">
        <v>0.47</v>
      </c>
      <c r="X96" s="488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N96" s="488">
        <v>1.18</v>
      </c>
      <c r="AO96" s="488">
        <v>0.05</v>
      </c>
      <c r="AQ96" s="488">
        <v>0.05</v>
      </c>
      <c r="AR96" s="488">
        <v>0.13</v>
      </c>
      <c r="AS96" s="2617">
        <f t="shared" si="102"/>
        <v>0.09</v>
      </c>
      <c r="BX96" s="488">
        <v>0.24</v>
      </c>
      <c r="BY96" s="488">
        <v>0.52</v>
      </c>
      <c r="BZ96" s="2666">
        <f t="shared" si="100"/>
        <v>0.38</v>
      </c>
      <c r="CA96" s="488">
        <v>0.28000000000000003</v>
      </c>
    </row>
    <row r="97" spans="4:79" ht="18" x14ac:dyDescent="0.35">
      <c r="D97" s="37" t="s">
        <v>377</v>
      </c>
      <c r="E97" s="2708"/>
      <c r="F97" s="2711"/>
      <c r="G97" s="121">
        <v>0</v>
      </c>
      <c r="H97" s="121">
        <v>0</v>
      </c>
      <c r="I97" s="121">
        <v>0</v>
      </c>
      <c r="J97" s="121">
        <v>0</v>
      </c>
      <c r="K97" s="488">
        <v>1.47</v>
      </c>
      <c r="L97" s="488">
        <v>0.15</v>
      </c>
      <c r="M97" s="488">
        <v>0.17</v>
      </c>
      <c r="N97" s="488">
        <v>0.11</v>
      </c>
      <c r="O97" s="488">
        <v>0.41</v>
      </c>
      <c r="P97" s="488">
        <v>0.46</v>
      </c>
      <c r="Q97" s="488">
        <v>0.5</v>
      </c>
      <c r="R97" s="488">
        <v>0.51</v>
      </c>
      <c r="S97" s="488">
        <v>0.54499999999999993</v>
      </c>
      <c r="T97" s="488">
        <v>0.48</v>
      </c>
      <c r="U97" s="488">
        <v>0.2</v>
      </c>
      <c r="V97" s="488">
        <v>0.31</v>
      </c>
      <c r="W97" s="488">
        <v>0.68</v>
      </c>
      <c r="X97" s="488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N97" s="488">
        <v>1.47</v>
      </c>
      <c r="AO97" s="488">
        <v>0.12</v>
      </c>
      <c r="AQ97" s="488">
        <v>0.12</v>
      </c>
      <c r="AR97" s="488">
        <v>0.18</v>
      </c>
      <c r="AS97" s="2617">
        <f t="shared" si="102"/>
        <v>0.15</v>
      </c>
      <c r="BX97" s="488">
        <v>0.51</v>
      </c>
      <c r="BY97" s="488">
        <v>0.57999999999999996</v>
      </c>
      <c r="BZ97" s="2666">
        <f t="shared" si="100"/>
        <v>0.54499999999999993</v>
      </c>
      <c r="CA97" s="488">
        <v>0.48</v>
      </c>
    </row>
    <row r="98" spans="4:79" ht="18" x14ac:dyDescent="0.45">
      <c r="D98" s="23" t="s">
        <v>89</v>
      </c>
      <c r="E98" s="2708"/>
      <c r="F98" s="2711"/>
      <c r="G98" s="122">
        <v>0</v>
      </c>
      <c r="H98" s="122">
        <v>0</v>
      </c>
      <c r="I98" s="122">
        <v>0</v>
      </c>
      <c r="J98" s="122">
        <v>0</v>
      </c>
      <c r="K98" s="489">
        <v>0.94</v>
      </c>
      <c r="L98" s="489">
        <v>0.13500000000000001</v>
      </c>
      <c r="M98" s="489">
        <v>0.11</v>
      </c>
      <c r="N98" s="489">
        <v>0.12</v>
      </c>
      <c r="O98" s="489">
        <v>0.49</v>
      </c>
      <c r="P98" s="489">
        <v>0.39</v>
      </c>
      <c r="Q98" s="489">
        <v>0.38</v>
      </c>
      <c r="R98" s="489">
        <v>0.69</v>
      </c>
      <c r="S98" s="489">
        <v>0.58499999999999996</v>
      </c>
      <c r="T98" s="489">
        <v>0.5</v>
      </c>
      <c r="U98" s="489">
        <v>0.4</v>
      </c>
      <c r="V98" s="489">
        <v>0.48</v>
      </c>
      <c r="W98" s="489">
        <v>0.69</v>
      </c>
      <c r="X98" s="489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N98" s="489">
        <v>0.94</v>
      </c>
      <c r="AO98" s="489">
        <v>0.21</v>
      </c>
      <c r="AQ98" s="489">
        <v>0.21</v>
      </c>
      <c r="AR98" s="489">
        <v>0.06</v>
      </c>
      <c r="AS98" s="2617">
        <f t="shared" si="102"/>
        <v>0.13500000000000001</v>
      </c>
      <c r="BX98" s="489">
        <v>0.69</v>
      </c>
      <c r="BY98" s="489">
        <v>0.48</v>
      </c>
      <c r="BZ98" s="2666">
        <f t="shared" si="100"/>
        <v>0.58499999999999996</v>
      </c>
      <c r="CA98" s="489">
        <v>0.5</v>
      </c>
    </row>
    <row r="99" spans="4:79" ht="18.5" thickBot="1" x14ac:dyDescent="0.5">
      <c r="D99" s="233" t="s">
        <v>381</v>
      </c>
      <c r="E99" s="2708"/>
      <c r="F99" s="2711"/>
      <c r="G99" s="123">
        <v>0</v>
      </c>
      <c r="H99" s="123">
        <v>0</v>
      </c>
      <c r="I99" s="123">
        <v>0</v>
      </c>
      <c r="J99" s="123">
        <v>0</v>
      </c>
      <c r="K99" s="490">
        <v>0.42</v>
      </c>
      <c r="L99" s="490">
        <v>0.17499999999999999</v>
      </c>
      <c r="M99" s="490">
        <v>0.12</v>
      </c>
      <c r="N99" s="490">
        <v>0.42</v>
      </c>
      <c r="O99" s="490">
        <v>0.92</v>
      </c>
      <c r="P99" s="490">
        <v>0.7</v>
      </c>
      <c r="Q99" s="490">
        <v>0.63</v>
      </c>
      <c r="R99" s="490">
        <v>0.45</v>
      </c>
      <c r="S99" s="490">
        <v>0.52500000000000002</v>
      </c>
      <c r="T99" s="490">
        <v>0.53</v>
      </c>
      <c r="U99" s="490">
        <v>0.48</v>
      </c>
      <c r="V99" s="490">
        <v>0.82</v>
      </c>
      <c r="W99" s="490">
        <v>0.93</v>
      </c>
      <c r="X99" s="490"/>
      <c r="Y99" s="205"/>
      <c r="Z99" s="205"/>
      <c r="AA99" s="205"/>
      <c r="AB99" s="205"/>
      <c r="AC99" s="205"/>
      <c r="AD99" s="205"/>
      <c r="AE99" s="205"/>
      <c r="AF99" s="205"/>
      <c r="AG99" s="205"/>
      <c r="AH99" s="205"/>
      <c r="AI99" s="205"/>
      <c r="AJ99" s="205"/>
      <c r="AK99" s="205"/>
      <c r="AL99" s="205"/>
      <c r="AN99" s="490">
        <v>0.42</v>
      </c>
      <c r="AO99" s="490">
        <v>0.26</v>
      </c>
      <c r="AQ99" s="490">
        <v>0.26</v>
      </c>
      <c r="AR99" s="490">
        <v>0.09</v>
      </c>
      <c r="AS99" s="2617">
        <f t="shared" si="102"/>
        <v>0.17499999999999999</v>
      </c>
      <c r="BX99" s="490">
        <v>0.45</v>
      </c>
      <c r="BY99" s="490">
        <v>0.6</v>
      </c>
      <c r="BZ99" s="2666">
        <f t="shared" si="100"/>
        <v>0.52500000000000002</v>
      </c>
      <c r="CA99" s="490">
        <v>0.53</v>
      </c>
    </row>
    <row r="100" spans="4:79" s="237" customFormat="1" ht="16.5" thickTop="1" x14ac:dyDescent="0.35">
      <c r="D100" s="234" t="s">
        <v>378</v>
      </c>
      <c r="E100" s="2708"/>
      <c r="F100" s="2711"/>
      <c r="G100" s="235">
        <v>0</v>
      </c>
      <c r="H100" s="235">
        <v>0</v>
      </c>
      <c r="I100" s="235">
        <v>0</v>
      </c>
      <c r="J100" s="235">
        <v>0</v>
      </c>
      <c r="K100" s="447">
        <v>0.19</v>
      </c>
      <c r="L100" s="447">
        <v>0.14000000000000001</v>
      </c>
      <c r="M100" s="447">
        <v>0.18</v>
      </c>
      <c r="N100" s="447">
        <v>0.18</v>
      </c>
      <c r="O100" s="447">
        <v>0.15</v>
      </c>
      <c r="P100" s="447">
        <v>0.17</v>
      </c>
      <c r="Q100" s="447">
        <v>0.18</v>
      </c>
      <c r="R100" s="447">
        <v>0.14000000000000001</v>
      </c>
      <c r="S100" s="447">
        <v>0.15500000000000003</v>
      </c>
      <c r="T100" s="447">
        <v>0.17</v>
      </c>
      <c r="U100" s="447">
        <v>0.15</v>
      </c>
      <c r="V100" s="447">
        <v>0.16</v>
      </c>
      <c r="W100" s="447">
        <v>0.18</v>
      </c>
      <c r="X100" s="447"/>
      <c r="Y100" s="236"/>
      <c r="Z100" s="236"/>
      <c r="AA100" s="236"/>
      <c r="AB100" s="236"/>
      <c r="AC100" s="236"/>
      <c r="AD100" s="236"/>
      <c r="AE100" s="236"/>
      <c r="AF100" s="236"/>
      <c r="AG100" s="236"/>
      <c r="AH100" s="236"/>
      <c r="AI100" s="236"/>
      <c r="AJ100" s="236"/>
      <c r="AK100" s="236"/>
      <c r="AL100" s="236"/>
      <c r="AN100" s="447">
        <v>0.19</v>
      </c>
      <c r="AO100" s="447">
        <v>0.17</v>
      </c>
      <c r="AQ100" s="447">
        <v>0.17</v>
      </c>
      <c r="AR100" s="447">
        <v>0.11</v>
      </c>
      <c r="AS100" s="2617">
        <f t="shared" si="102"/>
        <v>0.14000000000000001</v>
      </c>
      <c r="BX100" s="447">
        <v>0.14000000000000001</v>
      </c>
      <c r="BY100" s="447">
        <v>0.17</v>
      </c>
      <c r="BZ100" s="2666">
        <f t="shared" si="100"/>
        <v>0.15500000000000003</v>
      </c>
      <c r="CA100" s="447">
        <v>0.17</v>
      </c>
    </row>
    <row r="101" spans="4:79" x14ac:dyDescent="0.35">
      <c r="D101" s="37" t="s">
        <v>90</v>
      </c>
      <c r="E101" s="2708"/>
      <c r="F101" s="2711"/>
      <c r="G101" s="121">
        <v>0</v>
      </c>
      <c r="H101" s="121">
        <v>0</v>
      </c>
      <c r="I101" s="121">
        <v>0</v>
      </c>
      <c r="J101" s="121">
        <v>0</v>
      </c>
      <c r="K101" s="488">
        <v>0</v>
      </c>
      <c r="L101" s="488">
        <v>0</v>
      </c>
      <c r="M101" s="488">
        <v>0</v>
      </c>
      <c r="N101" s="488">
        <v>0</v>
      </c>
      <c r="O101" s="488">
        <v>0</v>
      </c>
      <c r="P101" s="488">
        <v>0</v>
      </c>
      <c r="Q101" s="488">
        <v>0</v>
      </c>
      <c r="R101" s="488">
        <v>0</v>
      </c>
      <c r="S101" s="488">
        <v>0</v>
      </c>
      <c r="T101" s="488">
        <v>0</v>
      </c>
      <c r="U101" s="488">
        <v>0</v>
      </c>
      <c r="V101" s="488">
        <v>0</v>
      </c>
      <c r="W101" s="488">
        <v>0</v>
      </c>
      <c r="X101" s="488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N101" s="488">
        <v>0</v>
      </c>
      <c r="AO101" s="488">
        <v>0</v>
      </c>
      <c r="AQ101" s="488">
        <v>0</v>
      </c>
      <c r="AR101" s="488">
        <v>0</v>
      </c>
      <c r="AS101" s="2617">
        <f t="shared" si="102"/>
        <v>0</v>
      </c>
      <c r="BX101" s="488">
        <v>0</v>
      </c>
      <c r="BY101" s="488">
        <v>0</v>
      </c>
      <c r="BZ101" s="2666">
        <f t="shared" si="100"/>
        <v>0</v>
      </c>
      <c r="CA101" s="488">
        <v>0</v>
      </c>
    </row>
    <row r="102" spans="4:79" ht="18" x14ac:dyDescent="0.35">
      <c r="D102" s="37" t="s">
        <v>91</v>
      </c>
      <c r="E102" s="2708"/>
      <c r="F102" s="2711"/>
      <c r="G102" s="121">
        <v>0</v>
      </c>
      <c r="H102" s="121">
        <v>0</v>
      </c>
      <c r="I102" s="121">
        <v>0</v>
      </c>
      <c r="J102" s="121">
        <v>0</v>
      </c>
      <c r="K102" s="488">
        <v>0</v>
      </c>
      <c r="L102" s="488">
        <v>0</v>
      </c>
      <c r="M102" s="488">
        <v>0</v>
      </c>
      <c r="N102" s="488">
        <v>0</v>
      </c>
      <c r="O102" s="488">
        <v>0</v>
      </c>
      <c r="P102" s="488">
        <v>0</v>
      </c>
      <c r="Q102" s="488">
        <v>0</v>
      </c>
      <c r="R102" s="488">
        <v>0</v>
      </c>
      <c r="S102" s="488">
        <v>0</v>
      </c>
      <c r="T102" s="488">
        <v>0</v>
      </c>
      <c r="U102" s="488">
        <v>0</v>
      </c>
      <c r="V102" s="488">
        <v>0</v>
      </c>
      <c r="W102" s="488">
        <v>0</v>
      </c>
      <c r="X102" s="488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N102" s="488">
        <v>0</v>
      </c>
      <c r="AO102" s="488">
        <v>0</v>
      </c>
      <c r="AQ102" s="488">
        <v>0</v>
      </c>
      <c r="AR102" s="488">
        <v>0</v>
      </c>
      <c r="AS102" s="2617">
        <f t="shared" si="102"/>
        <v>0</v>
      </c>
      <c r="BX102" s="488">
        <v>0</v>
      </c>
      <c r="BY102" s="488">
        <v>0</v>
      </c>
      <c r="BZ102" s="2666">
        <f t="shared" si="100"/>
        <v>0</v>
      </c>
      <c r="CA102" s="488">
        <v>0</v>
      </c>
    </row>
    <row r="103" spans="4:79" ht="18" x14ac:dyDescent="0.45">
      <c r="D103" s="30" t="s">
        <v>85</v>
      </c>
      <c r="E103" s="2708"/>
      <c r="F103" s="2711"/>
      <c r="G103" s="123">
        <v>0</v>
      </c>
      <c r="H103" s="123">
        <v>0</v>
      </c>
      <c r="I103" s="123">
        <v>0</v>
      </c>
      <c r="J103" s="123">
        <v>0</v>
      </c>
      <c r="K103" s="490">
        <v>0</v>
      </c>
      <c r="L103" s="490">
        <v>0</v>
      </c>
      <c r="M103" s="490">
        <v>0</v>
      </c>
      <c r="N103" s="490">
        <v>0</v>
      </c>
      <c r="O103" s="490">
        <v>0</v>
      </c>
      <c r="P103" s="490">
        <v>0</v>
      </c>
      <c r="Q103" s="490">
        <v>0</v>
      </c>
      <c r="R103" s="490">
        <v>0</v>
      </c>
      <c r="S103" s="490">
        <v>0</v>
      </c>
      <c r="T103" s="490">
        <v>0</v>
      </c>
      <c r="U103" s="490">
        <v>0</v>
      </c>
      <c r="V103" s="490">
        <v>0</v>
      </c>
      <c r="W103" s="490">
        <v>0</v>
      </c>
      <c r="X103" s="490"/>
      <c r="Y103" s="205"/>
      <c r="Z103" s="205"/>
      <c r="AA103" s="205"/>
      <c r="AB103" s="205"/>
      <c r="AC103" s="205"/>
      <c r="AD103" s="205"/>
      <c r="AE103" s="205"/>
      <c r="AF103" s="205"/>
      <c r="AG103" s="205"/>
      <c r="AH103" s="205"/>
      <c r="AI103" s="205"/>
      <c r="AJ103" s="205"/>
      <c r="AK103" s="205"/>
      <c r="AL103" s="205"/>
      <c r="AN103" s="490">
        <v>0</v>
      </c>
      <c r="AO103" s="490">
        <v>0</v>
      </c>
      <c r="AQ103" s="490">
        <v>0</v>
      </c>
      <c r="AR103" s="490">
        <v>0</v>
      </c>
      <c r="AS103" s="2617">
        <f t="shared" si="102"/>
        <v>0</v>
      </c>
      <c r="BX103" s="490">
        <v>0</v>
      </c>
      <c r="BY103" s="490">
        <v>0</v>
      </c>
      <c r="BZ103" s="2666">
        <f t="shared" si="100"/>
        <v>0</v>
      </c>
      <c r="CA103" s="490">
        <v>0</v>
      </c>
    </row>
    <row r="104" spans="4:79" ht="18.5" thickBot="1" x14ac:dyDescent="0.4">
      <c r="D104" s="124" t="s">
        <v>165</v>
      </c>
      <c r="E104" s="2709"/>
      <c r="F104" s="2712"/>
      <c r="G104" s="125">
        <v>0</v>
      </c>
      <c r="H104" s="125">
        <v>0</v>
      </c>
      <c r="I104" s="125">
        <v>0</v>
      </c>
      <c r="J104" s="125">
        <v>0</v>
      </c>
      <c r="K104" s="491">
        <v>75.95</v>
      </c>
      <c r="L104" s="491">
        <v>93.3</v>
      </c>
      <c r="M104" s="491">
        <v>96.76</v>
      </c>
      <c r="N104" s="491">
        <v>98.17</v>
      </c>
      <c r="O104" s="491">
        <v>96.44</v>
      </c>
      <c r="P104" s="491">
        <v>96.17</v>
      </c>
      <c r="Q104" s="491">
        <v>95.96</v>
      </c>
      <c r="R104" s="491">
        <v>97</v>
      </c>
      <c r="S104" s="491">
        <v>95.94</v>
      </c>
      <c r="T104" s="491">
        <v>96.7</v>
      </c>
      <c r="U104" s="491">
        <v>98.74</v>
      </c>
      <c r="V104" s="491">
        <v>98.14</v>
      </c>
      <c r="W104" s="491">
        <v>95.73</v>
      </c>
      <c r="X104" s="491"/>
      <c r="Y104" s="206"/>
      <c r="Z104" s="206"/>
      <c r="AA104" s="206"/>
      <c r="AB104" s="206"/>
      <c r="AC104" s="206"/>
      <c r="AD104" s="206"/>
      <c r="AE104" s="206"/>
      <c r="AF104" s="206"/>
      <c r="AG104" s="206"/>
      <c r="AH104" s="206"/>
      <c r="AI104" s="206"/>
      <c r="AJ104" s="206"/>
      <c r="AK104" s="206"/>
      <c r="AL104" s="206"/>
      <c r="AN104" s="491">
        <v>75.95</v>
      </c>
      <c r="AO104" s="491">
        <v>89.61</v>
      </c>
      <c r="AQ104" s="491">
        <v>89.61</v>
      </c>
      <c r="AR104" s="491">
        <v>96.99</v>
      </c>
      <c r="AS104" s="2617">
        <f t="shared" si="102"/>
        <v>93.3</v>
      </c>
      <c r="BX104" s="491">
        <v>97</v>
      </c>
      <c r="BY104" s="491">
        <v>94.88</v>
      </c>
      <c r="BZ104" s="2666">
        <f t="shared" si="100"/>
        <v>95.94</v>
      </c>
      <c r="CA104" s="491">
        <v>96.7</v>
      </c>
    </row>
    <row r="105" spans="4:79" ht="16.5" thickBot="1" x14ac:dyDescent="0.4">
      <c r="D105" s="19" t="s">
        <v>11</v>
      </c>
      <c r="E105" s="20" t="s">
        <v>12</v>
      </c>
      <c r="F105" s="20" t="s">
        <v>13</v>
      </c>
      <c r="G105" s="20" t="s">
        <v>1</v>
      </c>
      <c r="H105" s="20" t="s">
        <v>1</v>
      </c>
      <c r="I105" s="20" t="s">
        <v>1</v>
      </c>
      <c r="J105" s="20"/>
      <c r="K105" s="20" t="s">
        <v>1</v>
      </c>
      <c r="L105" s="20" t="s">
        <v>1</v>
      </c>
      <c r="M105" s="20" t="s">
        <v>1</v>
      </c>
      <c r="N105" s="20" t="s">
        <v>1</v>
      </c>
      <c r="O105" s="20" t="s">
        <v>1</v>
      </c>
      <c r="P105" s="20" t="s">
        <v>1</v>
      </c>
      <c r="Q105" s="20" t="s">
        <v>1</v>
      </c>
      <c r="R105" s="20" t="s">
        <v>1</v>
      </c>
      <c r="S105" s="20" t="s">
        <v>1</v>
      </c>
      <c r="T105" s="20" t="s">
        <v>1</v>
      </c>
      <c r="U105" s="20" t="s">
        <v>1</v>
      </c>
      <c r="V105" s="20" t="s">
        <v>1</v>
      </c>
      <c r="W105" s="20" t="s">
        <v>1</v>
      </c>
      <c r="X105" s="20" t="s">
        <v>1</v>
      </c>
      <c r="Y105" s="20" t="s">
        <v>1</v>
      </c>
      <c r="Z105" s="20" t="s">
        <v>1</v>
      </c>
      <c r="AA105" s="20" t="s">
        <v>1</v>
      </c>
      <c r="AB105" s="20" t="s">
        <v>1</v>
      </c>
      <c r="AC105" s="20" t="s">
        <v>1</v>
      </c>
      <c r="AD105" s="20" t="s">
        <v>1</v>
      </c>
      <c r="AE105" s="20" t="s">
        <v>1</v>
      </c>
      <c r="AF105" s="20" t="s">
        <v>1</v>
      </c>
      <c r="AG105" s="20" t="s">
        <v>1</v>
      </c>
      <c r="AH105" s="20" t="s">
        <v>1</v>
      </c>
      <c r="AI105" s="20" t="s">
        <v>1</v>
      </c>
      <c r="AJ105" s="20" t="s">
        <v>1</v>
      </c>
      <c r="AK105" s="20" t="s">
        <v>1</v>
      </c>
      <c r="AL105" s="20" t="s">
        <v>1</v>
      </c>
      <c r="AN105" s="20" t="s">
        <v>1</v>
      </c>
      <c r="AO105" s="20" t="s">
        <v>1</v>
      </c>
      <c r="AQ105" s="20" t="s">
        <v>1</v>
      </c>
      <c r="AR105" s="20" t="s">
        <v>1</v>
      </c>
      <c r="AS105" s="2617"/>
      <c r="BX105" s="20" t="s">
        <v>1</v>
      </c>
      <c r="BY105" s="20" t="s">
        <v>1</v>
      </c>
      <c r="BZ105" s="2666" t="e">
        <f t="shared" si="100"/>
        <v>#DIV/0!</v>
      </c>
      <c r="CA105" s="20" t="s">
        <v>1</v>
      </c>
    </row>
    <row r="106" spans="4:79" x14ac:dyDescent="0.35">
      <c r="D106" s="23" t="s">
        <v>45</v>
      </c>
      <c r="E106" s="2707" t="s">
        <v>84</v>
      </c>
      <c r="F106" s="2710" t="s">
        <v>18</v>
      </c>
      <c r="G106" s="120">
        <v>0</v>
      </c>
      <c r="H106" s="120">
        <v>0</v>
      </c>
      <c r="I106" s="120">
        <v>0</v>
      </c>
      <c r="J106" s="120">
        <v>0</v>
      </c>
      <c r="K106" s="120">
        <v>59.08</v>
      </c>
      <c r="L106" s="120">
        <v>73.825000000000003</v>
      </c>
      <c r="M106" s="120">
        <v>72.11</v>
      </c>
      <c r="N106" s="487">
        <v>73.02</v>
      </c>
      <c r="O106" s="487">
        <v>49.76</v>
      </c>
      <c r="P106" s="487">
        <v>79.959999999999994</v>
      </c>
      <c r="Q106" s="487">
        <v>51.72</v>
      </c>
      <c r="R106" s="487">
        <v>51.87</v>
      </c>
      <c r="S106" s="487">
        <v>51.87</v>
      </c>
      <c r="T106" s="487">
        <v>49.75</v>
      </c>
      <c r="U106" s="487">
        <v>50.24</v>
      </c>
      <c r="V106" s="488">
        <v>50.47</v>
      </c>
      <c r="W106" s="487">
        <v>50.87</v>
      </c>
      <c r="X106" s="487"/>
      <c r="Y106" s="567"/>
      <c r="Z106" s="567"/>
      <c r="AA106" s="567"/>
      <c r="AB106" s="567"/>
      <c r="AC106" s="567"/>
      <c r="AD106" s="567"/>
      <c r="AE106" s="567"/>
      <c r="AF106" s="567"/>
      <c r="AG106" s="567"/>
      <c r="AH106" s="567"/>
      <c r="AI106" s="567"/>
      <c r="AJ106" s="567"/>
      <c r="AK106" s="567"/>
      <c r="AL106" s="567"/>
      <c r="AN106" s="120">
        <v>59.08</v>
      </c>
      <c r="AO106" s="120">
        <v>74.61</v>
      </c>
      <c r="AQ106" s="120">
        <v>74.61</v>
      </c>
      <c r="AR106" s="120">
        <v>73.040000000000006</v>
      </c>
      <c r="AS106" s="2617">
        <f t="shared" si="102"/>
        <v>73.825000000000003</v>
      </c>
      <c r="BX106" s="487">
        <v>51.87</v>
      </c>
      <c r="BY106" s="487">
        <v>52.96</v>
      </c>
      <c r="BZ106" s="2666">
        <f t="shared" si="100"/>
        <v>52.414999999999999</v>
      </c>
      <c r="CA106" s="487">
        <v>49.75</v>
      </c>
    </row>
    <row r="107" spans="4:79" ht="18" x14ac:dyDescent="0.45">
      <c r="D107" s="30" t="s">
        <v>86</v>
      </c>
      <c r="E107" s="2708"/>
      <c r="F107" s="2711"/>
      <c r="G107" s="121">
        <v>0</v>
      </c>
      <c r="H107" s="121">
        <v>0</v>
      </c>
      <c r="I107" s="121">
        <v>0</v>
      </c>
      <c r="J107" s="121">
        <v>0</v>
      </c>
      <c r="K107" s="121">
        <v>5.22</v>
      </c>
      <c r="L107" s="121">
        <v>5.7949999999999999</v>
      </c>
      <c r="M107" s="121">
        <v>6.47</v>
      </c>
      <c r="N107" s="488">
        <v>6.75</v>
      </c>
      <c r="O107" s="488">
        <v>14.86</v>
      </c>
      <c r="P107" s="488">
        <v>14.57</v>
      </c>
      <c r="Q107" s="488">
        <v>13.73</v>
      </c>
      <c r="R107" s="488">
        <v>13.88</v>
      </c>
      <c r="S107" s="488">
        <v>13.88</v>
      </c>
      <c r="T107" s="488">
        <v>13.33</v>
      </c>
      <c r="U107" s="488">
        <v>13.77</v>
      </c>
      <c r="V107" s="18">
        <v>13.56</v>
      </c>
      <c r="W107" s="488">
        <v>13.7</v>
      </c>
      <c r="X107" s="488"/>
      <c r="Y107" s="568"/>
      <c r="Z107" s="568"/>
      <c r="AA107" s="568"/>
      <c r="AB107" s="568"/>
      <c r="AC107" s="568"/>
      <c r="AD107" s="568"/>
      <c r="AE107" s="568"/>
      <c r="AF107" s="568"/>
      <c r="AG107" s="568"/>
      <c r="AH107" s="568"/>
      <c r="AI107" s="568"/>
      <c r="AJ107" s="568"/>
      <c r="AK107" s="568"/>
      <c r="AL107" s="568"/>
      <c r="AN107" s="121">
        <v>5.22</v>
      </c>
      <c r="AO107" s="121">
        <v>5.0999999999999996</v>
      </c>
      <c r="AQ107" s="121">
        <v>5.0999999999999996</v>
      </c>
      <c r="AR107" s="121">
        <v>6.49</v>
      </c>
      <c r="AS107" s="2617">
        <f t="shared" si="102"/>
        <v>5.7949999999999999</v>
      </c>
      <c r="BX107" s="488">
        <v>13.88</v>
      </c>
      <c r="BY107" s="488">
        <v>14.62</v>
      </c>
      <c r="BZ107" s="2666">
        <f t="shared" si="100"/>
        <v>14.25</v>
      </c>
      <c r="CA107" s="488">
        <v>13.33</v>
      </c>
    </row>
    <row r="108" spans="4:79" ht="18" x14ac:dyDescent="0.35">
      <c r="D108" s="37" t="s">
        <v>87</v>
      </c>
      <c r="E108" s="2708"/>
      <c r="F108" s="2711"/>
      <c r="G108" s="121">
        <v>0</v>
      </c>
      <c r="H108" s="121">
        <v>0</v>
      </c>
      <c r="I108" s="121">
        <v>0</v>
      </c>
      <c r="J108" s="121">
        <v>0</v>
      </c>
      <c r="K108" s="121">
        <v>4.28</v>
      </c>
      <c r="L108" s="121">
        <v>4.46</v>
      </c>
      <c r="M108" s="121">
        <v>5.32</v>
      </c>
      <c r="N108" s="488">
        <v>5.57</v>
      </c>
      <c r="O108" s="488">
        <v>11.82</v>
      </c>
      <c r="P108" s="488">
        <v>11.6</v>
      </c>
      <c r="Q108" s="488">
        <v>10.77</v>
      </c>
      <c r="R108" s="488">
        <v>11.05</v>
      </c>
      <c r="S108" s="488">
        <v>11.05</v>
      </c>
      <c r="T108" s="488">
        <v>10.86</v>
      </c>
      <c r="U108" s="488">
        <v>10.98</v>
      </c>
      <c r="V108" s="488">
        <v>10.78</v>
      </c>
      <c r="W108" s="488">
        <v>10.76</v>
      </c>
      <c r="X108" s="488"/>
      <c r="Y108" s="568"/>
      <c r="Z108" s="568"/>
      <c r="AA108" s="568"/>
      <c r="AB108" s="568"/>
      <c r="AC108" s="568"/>
      <c r="AD108" s="568"/>
      <c r="AE108" s="568"/>
      <c r="AF108" s="568"/>
      <c r="AG108" s="568"/>
      <c r="AH108" s="568"/>
      <c r="AI108" s="568"/>
      <c r="AJ108" s="568"/>
      <c r="AK108" s="568"/>
      <c r="AL108" s="568"/>
      <c r="AN108" s="121">
        <v>4.28</v>
      </c>
      <c r="AO108" s="121">
        <v>3.57</v>
      </c>
      <c r="AQ108" s="121">
        <v>3.57</v>
      </c>
      <c r="AR108" s="121">
        <v>5.35</v>
      </c>
      <c r="AS108" s="2617">
        <f t="shared" si="102"/>
        <v>4.46</v>
      </c>
      <c r="BX108" s="488">
        <v>11.05</v>
      </c>
      <c r="BY108" s="488">
        <v>11.44</v>
      </c>
      <c r="BZ108" s="2666">
        <f t="shared" si="100"/>
        <v>11.245000000000001</v>
      </c>
      <c r="CA108" s="488">
        <v>10.86</v>
      </c>
    </row>
    <row r="109" spans="4:79" ht="18" x14ac:dyDescent="0.35">
      <c r="D109" s="37" t="s">
        <v>88</v>
      </c>
      <c r="E109" s="2708"/>
      <c r="F109" s="2711"/>
      <c r="G109" s="121">
        <v>0</v>
      </c>
      <c r="H109" s="121">
        <v>0</v>
      </c>
      <c r="I109" s="121">
        <v>0</v>
      </c>
      <c r="J109" s="121">
        <v>0</v>
      </c>
      <c r="K109" s="121">
        <v>4.8499999999999996</v>
      </c>
      <c r="L109" s="121">
        <v>4.7350000000000003</v>
      </c>
      <c r="M109" s="121">
        <v>5.39</v>
      </c>
      <c r="N109" s="488">
        <v>5.62</v>
      </c>
      <c r="O109" s="488">
        <v>11.25</v>
      </c>
      <c r="P109" s="488">
        <v>11.14</v>
      </c>
      <c r="Q109" s="488">
        <v>10.78</v>
      </c>
      <c r="R109" s="488">
        <v>10.92</v>
      </c>
      <c r="S109" s="488">
        <v>10.92</v>
      </c>
      <c r="T109" s="488">
        <v>11.39</v>
      </c>
      <c r="U109" s="488">
        <v>10.93</v>
      </c>
      <c r="V109" s="488">
        <v>10.78</v>
      </c>
      <c r="W109" s="488">
        <v>10.74</v>
      </c>
      <c r="X109" s="488"/>
      <c r="Y109" s="568"/>
      <c r="Z109" s="568"/>
      <c r="AA109" s="568"/>
      <c r="AB109" s="568"/>
      <c r="AC109" s="568"/>
      <c r="AD109" s="568"/>
      <c r="AE109" s="568"/>
      <c r="AF109" s="568"/>
      <c r="AG109" s="568"/>
      <c r="AH109" s="568"/>
      <c r="AI109" s="568"/>
      <c r="AJ109" s="568"/>
      <c r="AK109" s="568"/>
      <c r="AL109" s="568"/>
      <c r="AN109" s="121">
        <v>4.8499999999999996</v>
      </c>
      <c r="AO109" s="121">
        <v>3.98</v>
      </c>
      <c r="AQ109" s="121">
        <v>3.98</v>
      </c>
      <c r="AR109" s="121">
        <v>5.49</v>
      </c>
      <c r="AS109" s="2617">
        <f t="shared" si="102"/>
        <v>4.7350000000000003</v>
      </c>
      <c r="BX109" s="488">
        <v>10.92</v>
      </c>
      <c r="BY109" s="488">
        <v>10.74</v>
      </c>
      <c r="BZ109" s="2666">
        <f t="shared" si="100"/>
        <v>10.83</v>
      </c>
      <c r="CA109" s="488">
        <v>11.39</v>
      </c>
    </row>
    <row r="110" spans="4:79" x14ac:dyDescent="0.35">
      <c r="D110" s="37" t="s">
        <v>379</v>
      </c>
      <c r="E110" s="2708"/>
      <c r="F110" s="2711"/>
      <c r="G110" s="121">
        <v>0</v>
      </c>
      <c r="H110" s="121">
        <v>0</v>
      </c>
      <c r="I110" s="121">
        <v>0</v>
      </c>
      <c r="J110" s="121">
        <v>0</v>
      </c>
      <c r="K110" s="2223">
        <v>5.85</v>
      </c>
      <c r="L110" s="121">
        <v>5.2149999999999999</v>
      </c>
      <c r="M110" s="121">
        <v>4.2699999999999996</v>
      </c>
      <c r="N110" s="488">
        <v>4.41</v>
      </c>
      <c r="O110" s="488">
        <v>7.12</v>
      </c>
      <c r="P110" s="488">
        <v>7.35</v>
      </c>
      <c r="Q110" s="488">
        <v>7.37</v>
      </c>
      <c r="R110" s="488">
        <v>7.21</v>
      </c>
      <c r="S110" s="488">
        <v>7.21</v>
      </c>
      <c r="T110" s="488">
        <v>7.95</v>
      </c>
      <c r="U110" s="488">
        <v>7.26</v>
      </c>
      <c r="V110" s="488">
        <v>7.24</v>
      </c>
      <c r="W110" s="488">
        <v>7.15</v>
      </c>
      <c r="X110" s="488"/>
      <c r="Y110" s="568"/>
      <c r="Z110" s="568"/>
      <c r="AA110" s="568"/>
      <c r="AB110" s="568"/>
      <c r="AC110" s="568"/>
      <c r="AD110" s="568"/>
      <c r="AE110" s="568"/>
      <c r="AF110" s="568"/>
      <c r="AG110" s="568"/>
      <c r="AH110" s="568"/>
      <c r="AI110" s="568"/>
      <c r="AJ110" s="568"/>
      <c r="AK110" s="568"/>
      <c r="AL110" s="568"/>
      <c r="AN110" s="2223">
        <v>5.85</v>
      </c>
      <c r="AO110" s="121">
        <v>3.62</v>
      </c>
      <c r="AQ110" s="121">
        <v>3.62</v>
      </c>
      <c r="AR110" s="121">
        <v>6.81</v>
      </c>
      <c r="AS110" s="2617">
        <f t="shared" si="102"/>
        <v>5.2149999999999999</v>
      </c>
      <c r="BX110" s="488">
        <v>7.21</v>
      </c>
      <c r="BY110" s="488">
        <v>5.83</v>
      </c>
      <c r="BZ110" s="2666">
        <f t="shared" si="100"/>
        <v>6.52</v>
      </c>
      <c r="CA110" s="488">
        <v>7.95</v>
      </c>
    </row>
    <row r="111" spans="4:79" ht="18" x14ac:dyDescent="0.45">
      <c r="D111" s="23" t="s">
        <v>89</v>
      </c>
      <c r="E111" s="2708"/>
      <c r="F111" s="2711"/>
      <c r="G111" s="122">
        <v>0</v>
      </c>
      <c r="H111" s="122">
        <v>0</v>
      </c>
      <c r="I111" s="122">
        <v>0</v>
      </c>
      <c r="J111" s="122">
        <v>0</v>
      </c>
      <c r="K111" s="122">
        <v>3.11</v>
      </c>
      <c r="L111" s="122">
        <v>2.1850000000000001</v>
      </c>
      <c r="M111" s="122">
        <v>3.06</v>
      </c>
      <c r="N111" s="489">
        <v>3.07</v>
      </c>
      <c r="O111" s="489">
        <v>3.05</v>
      </c>
      <c r="P111" s="489">
        <v>3.53</v>
      </c>
      <c r="Q111" s="489">
        <v>3.65</v>
      </c>
      <c r="R111" s="489">
        <v>3.58</v>
      </c>
      <c r="S111" s="489">
        <v>3.58</v>
      </c>
      <c r="T111" s="489">
        <v>3.79</v>
      </c>
      <c r="U111" s="489">
        <v>3.79</v>
      </c>
      <c r="V111" s="489">
        <v>3.79</v>
      </c>
      <c r="W111" s="489">
        <v>3.71</v>
      </c>
      <c r="X111" s="489"/>
      <c r="Y111" s="569"/>
      <c r="Z111" s="569"/>
      <c r="AA111" s="569"/>
      <c r="AB111" s="569"/>
      <c r="AC111" s="569"/>
      <c r="AD111" s="569"/>
      <c r="AE111" s="569"/>
      <c r="AF111" s="569"/>
      <c r="AG111" s="569"/>
      <c r="AH111" s="569"/>
      <c r="AI111" s="569"/>
      <c r="AJ111" s="569"/>
      <c r="AK111" s="569"/>
      <c r="AL111" s="569"/>
      <c r="AN111" s="122">
        <v>3.11</v>
      </c>
      <c r="AO111" s="122">
        <v>2.41</v>
      </c>
      <c r="AQ111" s="122">
        <v>2.41</v>
      </c>
      <c r="AR111" s="122">
        <v>1.96</v>
      </c>
      <c r="AS111" s="2617">
        <f t="shared" si="102"/>
        <v>2.1850000000000001</v>
      </c>
      <c r="BX111" s="489">
        <v>3.58</v>
      </c>
      <c r="BY111" s="489">
        <v>2.0299999999999998</v>
      </c>
      <c r="BZ111" s="2666">
        <f t="shared" si="100"/>
        <v>2.8049999999999997</v>
      </c>
      <c r="CA111" s="489">
        <v>3.79</v>
      </c>
    </row>
    <row r="112" spans="4:79" ht="18.5" thickBot="1" x14ac:dyDescent="0.5">
      <c r="D112" s="233" t="s">
        <v>380</v>
      </c>
      <c r="E112" s="2708"/>
      <c r="F112" s="2711"/>
      <c r="G112" s="123">
        <v>0</v>
      </c>
      <c r="H112" s="123">
        <v>0</v>
      </c>
      <c r="I112" s="123">
        <v>0</v>
      </c>
      <c r="J112" s="123">
        <v>0</v>
      </c>
      <c r="K112" s="123">
        <v>2.37</v>
      </c>
      <c r="L112" s="123">
        <v>4.2050000000000001</v>
      </c>
      <c r="M112" s="123">
        <v>2.98</v>
      </c>
      <c r="N112" s="490">
        <v>1.42</v>
      </c>
      <c r="O112" s="490">
        <v>1.97</v>
      </c>
      <c r="P112" s="490">
        <v>1.71</v>
      </c>
      <c r="Q112" s="490">
        <v>1.76</v>
      </c>
      <c r="R112" s="490">
        <v>1.1399999999999999</v>
      </c>
      <c r="S112" s="490">
        <v>1.1399999999999999</v>
      </c>
      <c r="T112" s="490">
        <v>2.8</v>
      </c>
      <c r="U112" s="490">
        <v>2.91</v>
      </c>
      <c r="V112" s="490">
        <v>3.26</v>
      </c>
      <c r="W112" s="490">
        <v>2.94</v>
      </c>
      <c r="X112" s="490"/>
      <c r="Y112" s="570"/>
      <c r="Z112" s="570"/>
      <c r="AA112" s="570"/>
      <c r="AB112" s="570"/>
      <c r="AC112" s="570"/>
      <c r="AD112" s="570"/>
      <c r="AE112" s="570"/>
      <c r="AF112" s="570"/>
      <c r="AG112" s="570"/>
      <c r="AH112" s="570"/>
      <c r="AI112" s="570"/>
      <c r="AJ112" s="570"/>
      <c r="AK112" s="570"/>
      <c r="AL112" s="570"/>
      <c r="AN112" s="123">
        <v>2.37</v>
      </c>
      <c r="AO112" s="123">
        <v>6.47</v>
      </c>
      <c r="AQ112" s="123">
        <v>6.47</v>
      </c>
      <c r="AR112" s="123">
        <v>1.94</v>
      </c>
      <c r="AS112" s="2617">
        <f t="shared" si="102"/>
        <v>4.2050000000000001</v>
      </c>
      <c r="BX112" s="490">
        <v>1.1399999999999999</v>
      </c>
      <c r="BY112" s="490">
        <v>2.2400000000000002</v>
      </c>
      <c r="BZ112" s="2666">
        <f t="shared" si="100"/>
        <v>1.69</v>
      </c>
      <c r="CA112" s="490">
        <v>2.8</v>
      </c>
    </row>
    <row r="113" spans="4:79" s="237" customFormat="1" ht="16.5" thickTop="1" x14ac:dyDescent="0.35">
      <c r="D113" s="234" t="s">
        <v>378</v>
      </c>
      <c r="E113" s="2708"/>
      <c r="F113" s="2711"/>
      <c r="G113" s="235">
        <v>0</v>
      </c>
      <c r="H113" s="235">
        <v>0</v>
      </c>
      <c r="I113" s="235">
        <v>0</v>
      </c>
      <c r="J113" s="235">
        <v>0</v>
      </c>
      <c r="K113" s="2224">
        <v>0.25</v>
      </c>
      <c r="L113" s="447">
        <v>0.16500000000000001</v>
      </c>
      <c r="M113" s="447">
        <v>0.2</v>
      </c>
      <c r="N113" s="447">
        <v>0.2</v>
      </c>
      <c r="O113" s="447">
        <v>0.23</v>
      </c>
      <c r="P113" s="447">
        <v>0.23</v>
      </c>
      <c r="Q113" s="447">
        <v>0.22</v>
      </c>
      <c r="R113" s="447">
        <v>0.23</v>
      </c>
      <c r="S113" s="447">
        <v>0.23</v>
      </c>
      <c r="T113" s="447">
        <v>0.23</v>
      </c>
      <c r="U113" s="447">
        <v>0.23</v>
      </c>
      <c r="V113" s="447">
        <v>0.23</v>
      </c>
      <c r="W113" s="447">
        <v>0.23</v>
      </c>
      <c r="X113" s="447"/>
      <c r="Y113" s="571"/>
      <c r="Z113" s="571"/>
      <c r="AA113" s="571"/>
      <c r="AB113" s="571"/>
      <c r="AC113" s="571"/>
      <c r="AD113" s="571"/>
      <c r="AE113" s="571"/>
      <c r="AF113" s="571"/>
      <c r="AG113" s="571"/>
      <c r="AH113" s="571"/>
      <c r="AI113" s="571"/>
      <c r="AJ113" s="571"/>
      <c r="AK113" s="571"/>
      <c r="AL113" s="571"/>
      <c r="AN113" s="2224">
        <v>0.25</v>
      </c>
      <c r="AO113" s="447">
        <v>0.2</v>
      </c>
      <c r="AQ113" s="447">
        <v>0.2</v>
      </c>
      <c r="AR113" s="447">
        <v>0.13</v>
      </c>
      <c r="AS113" s="2617">
        <f t="shared" si="102"/>
        <v>0.16500000000000001</v>
      </c>
      <c r="BX113" s="447">
        <v>0.23</v>
      </c>
      <c r="BY113" s="447">
        <v>0.25</v>
      </c>
      <c r="BZ113" s="2666">
        <f t="shared" si="100"/>
        <v>0.24</v>
      </c>
      <c r="CA113" s="447">
        <v>0.23</v>
      </c>
    </row>
    <row r="114" spans="4:79" x14ac:dyDescent="0.35">
      <c r="D114" s="37" t="s">
        <v>90</v>
      </c>
      <c r="E114" s="2708"/>
      <c r="F114" s="2711"/>
      <c r="G114" s="121">
        <v>0</v>
      </c>
      <c r="H114" s="121">
        <v>0</v>
      </c>
      <c r="I114" s="121">
        <v>0</v>
      </c>
      <c r="J114" s="121">
        <v>0</v>
      </c>
      <c r="K114" s="488">
        <v>0</v>
      </c>
      <c r="L114" s="488">
        <v>0</v>
      </c>
      <c r="M114" s="488">
        <v>0</v>
      </c>
      <c r="N114" s="488">
        <v>0</v>
      </c>
      <c r="O114" s="488">
        <v>0</v>
      </c>
      <c r="P114" s="488">
        <v>0</v>
      </c>
      <c r="Q114" s="488">
        <v>0</v>
      </c>
      <c r="R114" s="488">
        <v>0</v>
      </c>
      <c r="S114" s="488">
        <v>0</v>
      </c>
      <c r="T114" s="488">
        <v>0</v>
      </c>
      <c r="U114" s="488">
        <v>0</v>
      </c>
      <c r="V114" s="488">
        <v>0</v>
      </c>
      <c r="W114" s="488">
        <v>0</v>
      </c>
      <c r="X114" s="488"/>
      <c r="Y114" s="568"/>
      <c r="Z114" s="568"/>
      <c r="AA114" s="568"/>
      <c r="AB114" s="568"/>
      <c r="AC114" s="568"/>
      <c r="AD114" s="568"/>
      <c r="AE114" s="568"/>
      <c r="AF114" s="568"/>
      <c r="AG114" s="568"/>
      <c r="AH114" s="568"/>
      <c r="AI114" s="568"/>
      <c r="AJ114" s="568"/>
      <c r="AK114" s="568"/>
      <c r="AL114" s="568"/>
      <c r="AN114" s="488">
        <v>0</v>
      </c>
      <c r="AO114" s="488">
        <v>0</v>
      </c>
      <c r="AQ114" s="488">
        <v>0</v>
      </c>
      <c r="AR114" s="488">
        <v>0</v>
      </c>
      <c r="AS114" s="2617">
        <f t="shared" si="102"/>
        <v>0</v>
      </c>
      <c r="BX114" s="488">
        <v>0</v>
      </c>
      <c r="BY114" s="488">
        <v>0</v>
      </c>
      <c r="BZ114" s="2666">
        <f t="shared" si="100"/>
        <v>0</v>
      </c>
      <c r="CA114" s="488">
        <v>0</v>
      </c>
    </row>
    <row r="115" spans="4:79" ht="18" x14ac:dyDescent="0.35">
      <c r="D115" s="37" t="s">
        <v>91</v>
      </c>
      <c r="E115" s="2708"/>
      <c r="F115" s="2711"/>
      <c r="G115" s="121">
        <v>0</v>
      </c>
      <c r="H115" s="121">
        <v>0</v>
      </c>
      <c r="I115" s="121">
        <v>0</v>
      </c>
      <c r="J115" s="121">
        <v>0</v>
      </c>
      <c r="K115" s="488">
        <v>0</v>
      </c>
      <c r="L115" s="488">
        <v>0</v>
      </c>
      <c r="M115" s="488">
        <v>0</v>
      </c>
      <c r="N115" s="488">
        <v>0</v>
      </c>
      <c r="O115" s="488">
        <v>0</v>
      </c>
      <c r="P115" s="488">
        <v>0</v>
      </c>
      <c r="Q115" s="488">
        <v>0</v>
      </c>
      <c r="R115" s="488">
        <v>0</v>
      </c>
      <c r="S115" s="488">
        <v>0</v>
      </c>
      <c r="T115" s="488">
        <v>0</v>
      </c>
      <c r="U115" s="488">
        <v>0</v>
      </c>
      <c r="V115" s="488">
        <v>0</v>
      </c>
      <c r="W115" s="488">
        <v>0</v>
      </c>
      <c r="X115" s="488"/>
      <c r="Y115" s="568"/>
      <c r="Z115" s="568"/>
      <c r="AA115" s="568"/>
      <c r="AB115" s="568"/>
      <c r="AC115" s="568"/>
      <c r="AD115" s="568"/>
      <c r="AE115" s="568"/>
      <c r="AF115" s="568"/>
      <c r="AG115" s="568"/>
      <c r="AH115" s="568"/>
      <c r="AI115" s="568"/>
      <c r="AJ115" s="568"/>
      <c r="AK115" s="568"/>
      <c r="AL115" s="568"/>
      <c r="AN115" s="488">
        <v>0</v>
      </c>
      <c r="AO115" s="488">
        <v>0</v>
      </c>
      <c r="AQ115" s="488">
        <v>0</v>
      </c>
      <c r="AR115" s="490">
        <v>0</v>
      </c>
      <c r="AS115" s="2617">
        <f t="shared" si="102"/>
        <v>0</v>
      </c>
      <c r="BX115" s="488">
        <v>0</v>
      </c>
      <c r="BY115" s="488">
        <v>0</v>
      </c>
      <c r="BZ115" s="2666">
        <f t="shared" si="100"/>
        <v>0</v>
      </c>
      <c r="CA115" s="488">
        <v>0</v>
      </c>
    </row>
    <row r="116" spans="4:79" ht="18" x14ac:dyDescent="0.45">
      <c r="D116" s="30" t="s">
        <v>85</v>
      </c>
      <c r="E116" s="2708"/>
      <c r="F116" s="2711"/>
      <c r="G116" s="123">
        <v>0</v>
      </c>
      <c r="H116" s="123">
        <v>0</v>
      </c>
      <c r="I116" s="123">
        <v>0</v>
      </c>
      <c r="J116" s="123">
        <v>0</v>
      </c>
      <c r="K116" s="490">
        <v>0</v>
      </c>
      <c r="L116" s="490">
        <v>0</v>
      </c>
      <c r="M116" s="490">
        <v>0</v>
      </c>
      <c r="N116" s="490">
        <v>0</v>
      </c>
      <c r="O116" s="490">
        <v>0</v>
      </c>
      <c r="P116" s="490">
        <v>0</v>
      </c>
      <c r="Q116" s="490">
        <v>0</v>
      </c>
      <c r="R116" s="490">
        <v>0</v>
      </c>
      <c r="S116" s="490">
        <v>0</v>
      </c>
      <c r="T116" s="490">
        <v>0</v>
      </c>
      <c r="U116" s="490">
        <v>0</v>
      </c>
      <c r="V116" s="490">
        <v>0</v>
      </c>
      <c r="W116" s="490">
        <v>0</v>
      </c>
      <c r="X116" s="490"/>
      <c r="Y116" s="570"/>
      <c r="Z116" s="570"/>
      <c r="AA116" s="570"/>
      <c r="AB116" s="570"/>
      <c r="AC116" s="570"/>
      <c r="AD116" s="570"/>
      <c r="AE116" s="570"/>
      <c r="AF116" s="570"/>
      <c r="AG116" s="570"/>
      <c r="AH116" s="570"/>
      <c r="AI116" s="570"/>
      <c r="AJ116" s="570"/>
      <c r="AK116" s="570"/>
      <c r="AL116" s="570"/>
      <c r="AN116" s="490">
        <v>0</v>
      </c>
      <c r="AO116" s="490">
        <v>0</v>
      </c>
      <c r="AQ116" s="490">
        <v>0</v>
      </c>
      <c r="AR116" s="490">
        <v>0</v>
      </c>
      <c r="AS116" s="2617">
        <f t="shared" si="102"/>
        <v>0</v>
      </c>
      <c r="BX116" s="490">
        <v>0</v>
      </c>
      <c r="BY116" s="490">
        <v>0</v>
      </c>
      <c r="BZ116" s="2666">
        <f t="shared" si="100"/>
        <v>0</v>
      </c>
      <c r="CA116" s="490">
        <v>0</v>
      </c>
    </row>
    <row r="117" spans="4:79" ht="18.5" thickBot="1" x14ac:dyDescent="0.4">
      <c r="D117" s="124" t="s">
        <v>165</v>
      </c>
      <c r="E117" s="2709"/>
      <c r="F117" s="2712"/>
      <c r="G117" s="125">
        <v>0</v>
      </c>
      <c r="H117" s="125">
        <v>0</v>
      </c>
      <c r="I117" s="125">
        <v>0</v>
      </c>
      <c r="J117" s="125">
        <v>0</v>
      </c>
      <c r="K117" s="491">
        <v>0.14000000000000001</v>
      </c>
      <c r="L117" s="491">
        <v>0.19</v>
      </c>
      <c r="M117" s="491">
        <v>0.4</v>
      </c>
      <c r="N117" s="491">
        <v>0.15</v>
      </c>
      <c r="O117" s="491">
        <v>0.17</v>
      </c>
      <c r="P117" s="491">
        <v>0.15</v>
      </c>
      <c r="Q117" s="491">
        <v>0.22</v>
      </c>
      <c r="R117" s="491">
        <v>0.34</v>
      </c>
      <c r="S117" s="491">
        <v>0.34</v>
      </c>
      <c r="T117" s="491">
        <v>0.12</v>
      </c>
      <c r="U117" s="491">
        <v>0.13</v>
      </c>
      <c r="V117" s="491">
        <v>0.13</v>
      </c>
      <c r="W117" s="491">
        <v>0.15</v>
      </c>
      <c r="X117" s="491"/>
      <c r="Y117" s="572"/>
      <c r="Z117" s="572"/>
      <c r="AA117" s="572"/>
      <c r="AB117" s="572"/>
      <c r="AC117" s="572"/>
      <c r="AD117" s="572"/>
      <c r="AE117" s="572"/>
      <c r="AF117" s="572"/>
      <c r="AG117" s="572"/>
      <c r="AH117" s="572"/>
      <c r="AI117" s="572"/>
      <c r="AJ117" s="572"/>
      <c r="AK117" s="572"/>
      <c r="AL117" s="572"/>
      <c r="AN117" s="491">
        <v>0.14000000000000001</v>
      </c>
      <c r="AO117" s="491">
        <v>0.24</v>
      </c>
      <c r="AQ117" s="491">
        <v>0.24</v>
      </c>
      <c r="AR117" s="491">
        <v>0.14000000000000001</v>
      </c>
      <c r="AS117" s="2617">
        <f t="shared" si="102"/>
        <v>0.19</v>
      </c>
      <c r="BX117" s="491">
        <v>0.34</v>
      </c>
      <c r="BY117" s="491">
        <v>0.14000000000000001</v>
      </c>
      <c r="BZ117" s="2666">
        <f t="shared" si="100"/>
        <v>0.24000000000000002</v>
      </c>
      <c r="CA117" s="491">
        <v>0.12</v>
      </c>
    </row>
    <row r="118" spans="4:79" x14ac:dyDescent="0.35">
      <c r="U118" s="147"/>
      <c r="CA118" s="147"/>
    </row>
    <row r="119" spans="4:79" x14ac:dyDescent="0.35">
      <c r="N119" s="18" t="s">
        <v>644</v>
      </c>
    </row>
    <row r="120" spans="4:79" x14ac:dyDescent="0.35">
      <c r="M120" s="2706"/>
      <c r="O120" s="44" t="s">
        <v>64</v>
      </c>
      <c r="P120" s="88">
        <v>18.8</v>
      </c>
      <c r="Q120" s="88">
        <v>18.399999999999999</v>
      </c>
      <c r="R120" s="88">
        <v>19.399999999999999</v>
      </c>
      <c r="S120" s="88">
        <v>17.399999999999999</v>
      </c>
      <c r="T120" s="88">
        <v>15.7</v>
      </c>
      <c r="U120" s="88">
        <v>13.8</v>
      </c>
      <c r="V120" s="88">
        <v>13.5</v>
      </c>
      <c r="Y120" s="18"/>
      <c r="BX120" s="88">
        <v>17.399999999999999</v>
      </c>
      <c r="BY120" s="88">
        <v>15.7</v>
      </c>
      <c r="CA120" s="88">
        <v>13.8</v>
      </c>
    </row>
    <row r="121" spans="4:79" x14ac:dyDescent="0.35">
      <c r="M121" s="2706"/>
      <c r="O121" s="44" t="s">
        <v>65</v>
      </c>
      <c r="P121" s="88">
        <v>76.599999999999994</v>
      </c>
      <c r="Q121" s="88">
        <v>72.3</v>
      </c>
      <c r="R121" s="88">
        <v>68.400000000000006</v>
      </c>
      <c r="S121" s="88">
        <v>68.2</v>
      </c>
      <c r="T121" s="88">
        <v>66.599999999999994</v>
      </c>
      <c r="U121" s="88">
        <v>68.7</v>
      </c>
      <c r="V121" s="88">
        <v>69.7</v>
      </c>
      <c r="Y121" s="18"/>
      <c r="BX121" s="88">
        <v>68.2</v>
      </c>
      <c r="BY121" s="88">
        <v>66.599999999999994</v>
      </c>
      <c r="CA121" s="88">
        <v>68.7</v>
      </c>
    </row>
    <row r="122" spans="4:79" x14ac:dyDescent="0.35">
      <c r="M122" s="2706"/>
      <c r="O122" s="44" t="s">
        <v>66</v>
      </c>
      <c r="P122" s="86">
        <v>0</v>
      </c>
      <c r="Q122" s="86">
        <v>4.7</v>
      </c>
      <c r="R122" s="86">
        <v>5.6</v>
      </c>
      <c r="S122" s="86">
        <v>7.5</v>
      </c>
      <c r="T122" s="86">
        <v>7.4</v>
      </c>
      <c r="U122" s="86">
        <v>9.1999999999999993</v>
      </c>
      <c r="V122" s="86">
        <v>8.6999999999999993</v>
      </c>
      <c r="Y122" s="18"/>
      <c r="BX122" s="86">
        <v>7.5</v>
      </c>
      <c r="BY122" s="86">
        <v>7.4</v>
      </c>
      <c r="CA122" s="86">
        <v>9.1999999999999993</v>
      </c>
    </row>
    <row r="123" spans="4:79" x14ac:dyDescent="0.35">
      <c r="M123" s="2706"/>
      <c r="O123" s="44" t="s">
        <v>67</v>
      </c>
      <c r="P123" s="88">
        <v>4.7</v>
      </c>
      <c r="Q123" s="88">
        <v>4.5999999999999996</v>
      </c>
      <c r="R123" s="88">
        <v>6.7</v>
      </c>
      <c r="S123" s="88">
        <v>7</v>
      </c>
      <c r="T123" s="88">
        <v>10.3</v>
      </c>
      <c r="U123" s="88">
        <v>8.3000000000000007</v>
      </c>
      <c r="V123" s="88">
        <v>8.1</v>
      </c>
      <c r="Y123" s="18"/>
      <c r="BX123" s="88">
        <v>7</v>
      </c>
      <c r="BY123" s="88">
        <v>10.3</v>
      </c>
      <c r="CA123" s="88">
        <v>8.3000000000000007</v>
      </c>
    </row>
    <row r="124" spans="4:79" x14ac:dyDescent="0.35">
      <c r="M124" s="2706"/>
      <c r="O124" s="44" t="s">
        <v>320</v>
      </c>
      <c r="P124" s="63">
        <f>(P$75+P$72)/(P$74+P$73)</f>
        <v>0.24902700000000011</v>
      </c>
      <c r="Q124" s="63">
        <f t="shared" ref="Q124:V124" si="103">(Q$75+Q$72)/(Q$74+Q$73)</f>
        <v>0.26087999999999995</v>
      </c>
      <c r="R124" s="63">
        <f t="shared" si="103"/>
        <v>0.27664</v>
      </c>
      <c r="S124" s="63">
        <f t="shared" si="103"/>
        <v>0.29554999999999998</v>
      </c>
      <c r="T124" s="63">
        <f t="shared" si="103"/>
        <v>0.29115999999999997</v>
      </c>
      <c r="U124" s="63">
        <f t="shared" si="103"/>
        <v>0.2846499999999999</v>
      </c>
      <c r="V124" s="63">
        <f t="shared" si="103"/>
        <v>0.28665000000000007</v>
      </c>
      <c r="Y124" s="18"/>
      <c r="BX124" s="63">
        <f t="shared" ref="BX124:BY124" si="104">(BX$75+BX$72)/(BX$74+BX$73)</f>
        <v>0.29993999999999998</v>
      </c>
      <c r="BY124" s="63">
        <f t="shared" si="104"/>
        <v>0.58670999999999995</v>
      </c>
      <c r="CA124" s="63">
        <f t="shared" ref="CA124" si="105">(CA$75+CA$72)/(CA$74+CA$73)</f>
        <v>0.29115999999999997</v>
      </c>
    </row>
    <row r="127" spans="4:79" x14ac:dyDescent="0.35">
      <c r="P127" s="713"/>
      <c r="Q127" s="713"/>
      <c r="R127" s="713"/>
      <c r="S127" s="713"/>
      <c r="T127" s="713"/>
      <c r="U127" s="713"/>
      <c r="BX127" s="713"/>
      <c r="BY127" s="713"/>
      <c r="CA127" s="713"/>
    </row>
    <row r="128" spans="4:79" x14ac:dyDescent="0.35">
      <c r="P128" s="713"/>
      <c r="Q128" s="713"/>
      <c r="R128" s="713"/>
      <c r="S128" s="713"/>
      <c r="T128" s="713"/>
      <c r="U128" s="713"/>
      <c r="BX128" s="713"/>
      <c r="BY128" s="713"/>
      <c r="CA128" s="713"/>
    </row>
  </sheetData>
  <mergeCells count="26">
    <mergeCell ref="F66:F72"/>
    <mergeCell ref="E74:E78"/>
    <mergeCell ref="F74:F78"/>
    <mergeCell ref="E80:E86"/>
    <mergeCell ref="F80:F86"/>
    <mergeCell ref="D20:D22"/>
    <mergeCell ref="E21:E22"/>
    <mergeCell ref="D23:D25"/>
    <mergeCell ref="E24:E25"/>
    <mergeCell ref="O4:AI4"/>
    <mergeCell ref="M120:M124"/>
    <mergeCell ref="D1:K1"/>
    <mergeCell ref="K4:N4"/>
    <mergeCell ref="E13:E19"/>
    <mergeCell ref="F13:F19"/>
    <mergeCell ref="E26:E29"/>
    <mergeCell ref="F26:F29"/>
    <mergeCell ref="E41:E46"/>
    <mergeCell ref="F41:F46"/>
    <mergeCell ref="E50:E63"/>
    <mergeCell ref="F50:F64"/>
    <mergeCell ref="E93:E104"/>
    <mergeCell ref="F93:F104"/>
    <mergeCell ref="E106:E117"/>
    <mergeCell ref="F106:F117"/>
    <mergeCell ref="E66:E72"/>
  </mergeCells>
  <phoneticPr fontId="29" type="noConversion"/>
  <printOptions horizontalCentered="1"/>
  <pageMargins left="0.24" right="0.17" top="0.52" bottom="0.38" header="0.31496062992126" footer="0.16"/>
  <pageSetup paperSize="9" scale="47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36D03-D67E-4DF2-9E27-3F2A8A99A127}">
  <sheetPr codeName="Sheet14">
    <tabColor rgb="FFFF0000"/>
    <pageSetUpPr fitToPage="1"/>
  </sheetPr>
  <dimension ref="D1:AZ323"/>
  <sheetViews>
    <sheetView showGridLines="0" topLeftCell="G196" zoomScale="55" zoomScaleNormal="55" zoomScaleSheetLayoutView="100" workbookViewId="0">
      <selection activeCell="U121" sqref="U121"/>
    </sheetView>
  </sheetViews>
  <sheetFormatPr defaultColWidth="9.26953125" defaultRowHeight="16" x14ac:dyDescent="0.35"/>
  <cols>
    <col min="1" max="1" width="9.26953125" style="7"/>
    <col min="2" max="2" width="35.1796875" style="7" customWidth="1"/>
    <col min="3" max="3" width="6.81640625" style="7" customWidth="1"/>
    <col min="4" max="4" width="31.26953125" style="18" customWidth="1"/>
    <col min="5" max="6" width="9" style="18" bestFit="1" customWidth="1"/>
    <col min="7" max="7" width="16.7265625" style="18" customWidth="1"/>
    <col min="8" max="8" width="17.81640625" style="18" customWidth="1"/>
    <col min="9" max="11" width="16" style="18" bestFit="1" customWidth="1"/>
    <col min="12" max="14" width="14.7265625" style="18" customWidth="1"/>
    <col min="15" max="15" width="15.26953125" style="18" bestFit="1" customWidth="1"/>
    <col min="16" max="16" width="14.7265625" style="18" customWidth="1"/>
    <col min="17" max="17" width="15" style="18" customWidth="1"/>
    <col min="18" max="19" width="14.7265625" style="18" customWidth="1"/>
    <col min="20" max="23" width="15" style="18" customWidth="1"/>
    <col min="24" max="35" width="15.26953125" style="7" bestFit="1" customWidth="1"/>
    <col min="36" max="37" width="11" style="7" customWidth="1"/>
    <col min="38" max="16384" width="9.26953125" style="7"/>
  </cols>
  <sheetData>
    <row r="1" spans="4:52" ht="26.25" customHeight="1" x14ac:dyDescent="0.55000000000000004">
      <c r="D1" s="2676" t="s">
        <v>5</v>
      </c>
      <c r="E1" s="2676"/>
      <c r="F1" s="2676"/>
      <c r="G1" s="2676"/>
      <c r="H1" s="2676"/>
      <c r="I1" s="2676"/>
      <c r="J1" s="2676"/>
      <c r="K1" s="2676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4:52" ht="30.75" customHeight="1" x14ac:dyDescent="0.35">
      <c r="D2" s="8" t="s">
        <v>6</v>
      </c>
      <c r="E2" s="8"/>
      <c r="F2" s="9" t="s">
        <v>1008</v>
      </c>
      <c r="G2" s="126"/>
      <c r="H2" s="9"/>
      <c r="I2" s="10"/>
      <c r="J2" s="10"/>
      <c r="K2" s="11"/>
      <c r="L2" s="11"/>
      <c r="M2" s="12"/>
      <c r="N2" s="12"/>
      <c r="O2" s="7"/>
      <c r="P2" s="12"/>
      <c r="Q2" s="12"/>
      <c r="R2" s="12"/>
      <c r="S2" s="12"/>
      <c r="T2" s="12"/>
      <c r="U2" s="12"/>
      <c r="V2" s="12"/>
      <c r="W2" s="12"/>
    </row>
    <row r="3" spans="4:52" ht="26.25" customHeight="1" x14ac:dyDescent="0.35">
      <c r="D3" s="8" t="s">
        <v>8</v>
      </c>
      <c r="E3" s="8"/>
      <c r="F3" s="14"/>
      <c r="G3" s="126"/>
      <c r="H3" s="14"/>
      <c r="I3" s="15"/>
      <c r="J3" s="15"/>
      <c r="K3" s="11"/>
      <c r="L3" s="11"/>
      <c r="M3" s="12"/>
      <c r="N3" s="11"/>
      <c r="O3" s="7"/>
      <c r="P3" s="12"/>
      <c r="Q3" s="11"/>
      <c r="R3" s="12"/>
      <c r="S3" s="12"/>
      <c r="T3" s="11"/>
      <c r="U3" s="11"/>
      <c r="V3" s="11"/>
      <c r="W3" s="11"/>
    </row>
    <row r="4" spans="4:52" ht="28.5" customHeight="1" x14ac:dyDescent="0.35">
      <c r="D4" s="8" t="s">
        <v>9</v>
      </c>
      <c r="E4" s="8"/>
      <c r="F4" s="16" t="s">
        <v>1009</v>
      </c>
      <c r="G4" s="126"/>
      <c r="H4" s="127"/>
      <c r="I4" s="127"/>
      <c r="J4" s="127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 spans="4:52" s="103" customFormat="1" ht="56.25" customHeight="1" x14ac:dyDescent="0.35">
      <c r="D5" s="128"/>
      <c r="E5" s="128"/>
      <c r="F5" s="128"/>
      <c r="G5" s="128"/>
      <c r="H5" s="13"/>
      <c r="I5" s="13"/>
      <c r="J5" s="13"/>
      <c r="K5" s="129"/>
      <c r="L5" s="129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AX5" s="103" t="s">
        <v>541</v>
      </c>
    </row>
    <row r="6" spans="4:52" s="103" customFormat="1" ht="43.15" customHeight="1" x14ac:dyDescent="0.35">
      <c r="D6" s="128"/>
      <c r="E6" s="128"/>
      <c r="F6" s="128"/>
      <c r="G6" s="128"/>
      <c r="H6" s="218" t="s">
        <v>1011</v>
      </c>
      <c r="I6" s="13"/>
      <c r="J6" s="13"/>
      <c r="K6" s="129"/>
      <c r="L6" s="219"/>
      <c r="M6" s="13"/>
      <c r="N6" s="13"/>
      <c r="O6" s="13"/>
      <c r="P6" s="13"/>
      <c r="Q6" s="13"/>
      <c r="R6" s="1364"/>
      <c r="S6" s="13"/>
      <c r="T6" s="13"/>
      <c r="U6" s="1369"/>
      <c r="V6" s="13"/>
      <c r="W6" s="13"/>
      <c r="AA6" s="1369"/>
      <c r="AX6" s="498" t="s">
        <v>442</v>
      </c>
      <c r="AY6" s="103">
        <v>1</v>
      </c>
      <c r="AZ6" s="103">
        <v>170.44444444444446</v>
      </c>
    </row>
    <row r="7" spans="4:52" s="103" customFormat="1" ht="39" customHeight="1" x14ac:dyDescent="0.35">
      <c r="D7" s="128"/>
      <c r="E7" s="128"/>
      <c r="F7" s="128"/>
      <c r="G7" s="130" t="s">
        <v>93</v>
      </c>
      <c r="H7" s="211">
        <v>1</v>
      </c>
      <c r="I7" s="212">
        <v>2</v>
      </c>
      <c r="J7" s="212">
        <v>3</v>
      </c>
      <c r="K7" s="212">
        <v>4</v>
      </c>
      <c r="L7" s="211">
        <v>5</v>
      </c>
      <c r="M7" s="212">
        <v>6</v>
      </c>
      <c r="N7" s="214">
        <v>7</v>
      </c>
      <c r="O7" s="214">
        <v>8</v>
      </c>
      <c r="P7" s="214">
        <v>9</v>
      </c>
      <c r="Q7" s="214">
        <v>10</v>
      </c>
      <c r="R7" s="1366">
        <v>11</v>
      </c>
      <c r="S7" s="1366">
        <v>12</v>
      </c>
      <c r="T7" s="1366">
        <v>13</v>
      </c>
      <c r="U7" s="1367">
        <v>14</v>
      </c>
      <c r="V7" s="214">
        <v>15</v>
      </c>
      <c r="W7" s="214">
        <v>16</v>
      </c>
      <c r="X7" s="214">
        <v>17</v>
      </c>
      <c r="Y7" s="214">
        <v>18</v>
      </c>
      <c r="Z7" s="214">
        <v>19</v>
      </c>
      <c r="AA7" s="1367">
        <v>20</v>
      </c>
      <c r="AB7" s="214">
        <v>21</v>
      </c>
      <c r="AC7" s="214">
        <v>22</v>
      </c>
      <c r="AD7" s="214">
        <v>23</v>
      </c>
      <c r="AE7" s="214">
        <v>24</v>
      </c>
      <c r="AF7" s="214">
        <v>25</v>
      </c>
      <c r="AG7" s="214">
        <v>26</v>
      </c>
      <c r="AH7" s="214">
        <v>27</v>
      </c>
      <c r="AI7" s="214">
        <v>28</v>
      </c>
      <c r="AX7" s="498" t="s">
        <v>443</v>
      </c>
      <c r="AY7" s="103">
        <v>2</v>
      </c>
      <c r="AZ7" s="103">
        <v>197.11111111111111</v>
      </c>
    </row>
    <row r="8" spans="4:52" s="132" customFormat="1" ht="16.5" thickBot="1" x14ac:dyDescent="0.4">
      <c r="D8" s="144" t="s">
        <v>15</v>
      </c>
      <c r="G8" s="132" t="s">
        <v>94</v>
      </c>
      <c r="H8" s="2583" cm="1">
        <f t="array" ref="H8:AI8">'Master Template'!F5:AG5</f>
        <v>46077</v>
      </c>
      <c r="I8" s="2584">
        <v>46078</v>
      </c>
      <c r="J8" s="2585" t="e">
        <v>#VALUE!</v>
      </c>
      <c r="K8" s="2585" t="e">
        <v>#VALUE!</v>
      </c>
      <c r="L8" s="2586" t="e">
        <v>#VALUE!</v>
      </c>
      <c r="M8" s="2587" t="e">
        <v>#VALUE!</v>
      </c>
      <c r="N8" s="2585" t="e">
        <v>#VALUE!</v>
      </c>
      <c r="O8" s="2585" t="e">
        <v>#VALUE!</v>
      </c>
      <c r="P8" s="2585" t="e">
        <v>#VALUE!</v>
      </c>
      <c r="Q8" s="2585" t="e">
        <v>#VALUE!</v>
      </c>
      <c r="R8" s="2588" t="e">
        <v>#VALUE!</v>
      </c>
      <c r="S8" s="2585">
        <v>1</v>
      </c>
      <c r="T8" s="2585">
        <v>1</v>
      </c>
      <c r="U8" s="2589">
        <v>1</v>
      </c>
      <c r="V8" s="2585">
        <v>1</v>
      </c>
      <c r="W8" s="2585">
        <v>1</v>
      </c>
      <c r="X8" s="2585">
        <v>1</v>
      </c>
      <c r="Y8" s="2585">
        <v>1</v>
      </c>
      <c r="Z8" s="2585">
        <v>1</v>
      </c>
      <c r="AA8" s="2589">
        <v>1</v>
      </c>
      <c r="AB8" s="2585">
        <v>1</v>
      </c>
      <c r="AC8" s="2585">
        <v>1</v>
      </c>
      <c r="AD8" s="2585">
        <v>0</v>
      </c>
      <c r="AE8" s="2585">
        <v>0</v>
      </c>
      <c r="AF8" s="2585">
        <v>0</v>
      </c>
      <c r="AG8" s="2585">
        <v>0</v>
      </c>
      <c r="AH8" s="2585">
        <v>0</v>
      </c>
      <c r="AI8" s="2585">
        <v>0</v>
      </c>
      <c r="AX8" s="498" t="s">
        <v>444</v>
      </c>
      <c r="AY8" s="103">
        <v>3</v>
      </c>
      <c r="AZ8" s="132">
        <v>216.05555555555554</v>
      </c>
    </row>
    <row r="9" spans="4:52" s="103" customFormat="1" ht="19.5" customHeight="1" x14ac:dyDescent="0.35">
      <c r="D9" s="134" t="s">
        <v>92</v>
      </c>
      <c r="E9" s="135">
        <v>500</v>
      </c>
      <c r="F9" s="135">
        <v>560</v>
      </c>
      <c r="G9" s="135" t="s">
        <v>93</v>
      </c>
      <c r="H9" s="429"/>
      <c r="I9" s="429" t="s">
        <v>923</v>
      </c>
      <c r="J9" s="429" t="s">
        <v>924</v>
      </c>
      <c r="K9" s="429" t="s">
        <v>925</v>
      </c>
      <c r="L9" s="429" t="s">
        <v>926</v>
      </c>
      <c r="M9" s="429" t="s">
        <v>921</v>
      </c>
      <c r="N9" s="429" t="s">
        <v>927</v>
      </c>
      <c r="O9" s="429" t="s">
        <v>928</v>
      </c>
      <c r="P9" s="429" t="s">
        <v>929</v>
      </c>
      <c r="Q9" s="429" t="s">
        <v>1118</v>
      </c>
      <c r="R9" s="429" t="s">
        <v>930</v>
      </c>
      <c r="S9" s="429" t="s">
        <v>932</v>
      </c>
      <c r="T9" s="429" t="s">
        <v>933</v>
      </c>
      <c r="U9" s="429"/>
      <c r="V9" s="429"/>
      <c r="W9" s="429"/>
      <c r="X9" s="429"/>
      <c r="Y9" s="429"/>
      <c r="Z9" s="429"/>
      <c r="AA9" s="429"/>
      <c r="AB9" s="429"/>
      <c r="AC9" s="429"/>
      <c r="AD9" s="429"/>
      <c r="AE9" s="429"/>
      <c r="AF9" s="429"/>
      <c r="AG9" s="429"/>
      <c r="AH9" s="429"/>
      <c r="AI9" s="429"/>
      <c r="AJ9" s="168" t="s">
        <v>440</v>
      </c>
      <c r="AK9" s="103">
        <v>4.5</v>
      </c>
      <c r="AL9" s="103">
        <v>-5</v>
      </c>
      <c r="AX9" s="498" t="s">
        <v>445</v>
      </c>
      <c r="AY9" s="103">
        <v>4</v>
      </c>
      <c r="AZ9" s="103">
        <v>230.11111111111111</v>
      </c>
    </row>
    <row r="10" spans="4:52" s="103" customFormat="1" ht="19.5" customHeight="1" x14ac:dyDescent="0.35">
      <c r="D10" s="136">
        <v>0</v>
      </c>
      <c r="E10" s="136">
        <v>500</v>
      </c>
      <c r="F10" s="136">
        <v>560</v>
      </c>
      <c r="G10" s="137">
        <v>312.8</v>
      </c>
      <c r="H10" s="138">
        <v>153.4</v>
      </c>
      <c r="I10" s="138">
        <v>140.19999999999999</v>
      </c>
      <c r="J10" s="138">
        <v>158.69999999999999</v>
      </c>
      <c r="K10" s="138">
        <v>156</v>
      </c>
      <c r="L10" s="138">
        <v>114.8</v>
      </c>
      <c r="M10" s="138">
        <v>130.69999999999999</v>
      </c>
      <c r="N10" s="138">
        <v>130.1</v>
      </c>
      <c r="O10" s="138">
        <v>131.80000000000001</v>
      </c>
      <c r="P10" s="138">
        <v>149.30000000000001</v>
      </c>
      <c r="Q10" s="138">
        <v>135</v>
      </c>
      <c r="R10" s="138">
        <v>133.1</v>
      </c>
      <c r="S10" s="138">
        <v>136.19999999999999</v>
      </c>
      <c r="T10" s="138">
        <v>132.6</v>
      </c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/>
      <c r="AK10" s="103">
        <v>4.5</v>
      </c>
      <c r="AL10" s="103">
        <v>105</v>
      </c>
      <c r="AT10" s="103">
        <v>0</v>
      </c>
      <c r="AU10" s="103">
        <v>560</v>
      </c>
      <c r="AX10" s="498" t="s">
        <v>446</v>
      </c>
      <c r="AY10" s="103">
        <v>5</v>
      </c>
      <c r="AZ10" s="103">
        <v>243.72222222222223</v>
      </c>
    </row>
    <row r="11" spans="4:52" s="103" customFormat="1" ht="19.5" customHeight="1" x14ac:dyDescent="0.35">
      <c r="D11" s="136">
        <v>1</v>
      </c>
      <c r="E11" s="136">
        <v>500</v>
      </c>
      <c r="F11" s="136">
        <v>560</v>
      </c>
      <c r="G11" s="137">
        <v>351.4</v>
      </c>
      <c r="H11" s="138">
        <v>188.1</v>
      </c>
      <c r="I11" s="138">
        <v>179</v>
      </c>
      <c r="J11" s="138">
        <v>192.8</v>
      </c>
      <c r="K11" s="138">
        <v>188.3</v>
      </c>
      <c r="L11" s="138">
        <v>136.6</v>
      </c>
      <c r="M11" s="138">
        <v>148.30000000000001</v>
      </c>
      <c r="N11" s="138">
        <v>147.6</v>
      </c>
      <c r="O11" s="138">
        <v>150.6</v>
      </c>
      <c r="P11" s="138">
        <v>165.4</v>
      </c>
      <c r="Q11" s="138">
        <v>153.6</v>
      </c>
      <c r="R11" s="138">
        <v>152.30000000000001</v>
      </c>
      <c r="S11" s="138">
        <v>155.9</v>
      </c>
      <c r="T11" s="138">
        <v>154.1</v>
      </c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>
        <v>12.4</v>
      </c>
      <c r="AK11" s="103">
        <v>10.5</v>
      </c>
      <c r="AT11" s="103">
        <v>120</v>
      </c>
      <c r="AU11" s="103">
        <v>560</v>
      </c>
      <c r="AX11" s="498" t="s">
        <v>447</v>
      </c>
      <c r="AY11" s="103">
        <v>6</v>
      </c>
      <c r="AZ11" s="103">
        <v>254.66666666666666</v>
      </c>
    </row>
    <row r="12" spans="4:52" s="103" customFormat="1" ht="19.5" customHeight="1" x14ac:dyDescent="0.35">
      <c r="D12" s="136">
        <v>2</v>
      </c>
      <c r="E12" s="136">
        <v>500</v>
      </c>
      <c r="F12" s="136">
        <v>560</v>
      </c>
      <c r="G12" s="137">
        <v>389.4</v>
      </c>
      <c r="H12" s="138">
        <v>226.9</v>
      </c>
      <c r="I12" s="138">
        <v>220.7</v>
      </c>
      <c r="J12" s="138">
        <v>227.2</v>
      </c>
      <c r="K12" s="138">
        <v>222</v>
      </c>
      <c r="L12" s="138">
        <v>162.6</v>
      </c>
      <c r="M12" s="138">
        <v>169.4</v>
      </c>
      <c r="N12" s="138">
        <v>169.2</v>
      </c>
      <c r="O12" s="138">
        <v>173</v>
      </c>
      <c r="P12" s="138">
        <v>186.9</v>
      </c>
      <c r="Q12" s="138">
        <v>177.2</v>
      </c>
      <c r="R12" s="138">
        <v>176.4</v>
      </c>
      <c r="S12" s="138">
        <v>179.2</v>
      </c>
      <c r="T12" s="138">
        <v>177.9</v>
      </c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>
        <v>12.2</v>
      </c>
      <c r="AK12" s="103">
        <v>10.5</v>
      </c>
      <c r="AX12" s="498" t="s">
        <v>448</v>
      </c>
      <c r="AY12" s="103">
        <v>7</v>
      </c>
      <c r="AZ12" s="103">
        <v>265.83333333333331</v>
      </c>
    </row>
    <row r="13" spans="4:52" s="103" customFormat="1" ht="19.5" customHeight="1" x14ac:dyDescent="0.35">
      <c r="D13" s="136">
        <v>3</v>
      </c>
      <c r="E13" s="136">
        <v>500</v>
      </c>
      <c r="F13" s="136">
        <v>560</v>
      </c>
      <c r="G13" s="137">
        <v>417.2</v>
      </c>
      <c r="H13" s="138">
        <v>256</v>
      </c>
      <c r="I13" s="138">
        <v>247.3</v>
      </c>
      <c r="J13" s="138">
        <v>252.8</v>
      </c>
      <c r="K13" s="138">
        <v>244.3</v>
      </c>
      <c r="L13" s="138">
        <v>182.5</v>
      </c>
      <c r="M13" s="138">
        <v>185</v>
      </c>
      <c r="N13" s="138">
        <v>185.1</v>
      </c>
      <c r="O13" s="138">
        <v>187.1</v>
      </c>
      <c r="P13" s="138">
        <v>202.1</v>
      </c>
      <c r="Q13" s="138">
        <v>195</v>
      </c>
      <c r="R13" s="138">
        <v>194.2</v>
      </c>
      <c r="S13" s="138">
        <v>196.9</v>
      </c>
      <c r="T13" s="138">
        <v>195.8</v>
      </c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138"/>
      <c r="AJ13" s="476">
        <v>11.5</v>
      </c>
      <c r="AX13" s="498" t="s">
        <v>449</v>
      </c>
      <c r="AY13" s="103">
        <v>8</v>
      </c>
      <c r="AZ13" s="103">
        <v>275.55555555555554</v>
      </c>
    </row>
    <row r="14" spans="4:52" s="103" customFormat="1" ht="19.5" customHeight="1" x14ac:dyDescent="0.35">
      <c r="D14" s="136">
        <v>4</v>
      </c>
      <c r="E14" s="136">
        <v>500</v>
      </c>
      <c r="F14" s="136">
        <v>560</v>
      </c>
      <c r="G14" s="137">
        <v>443.3</v>
      </c>
      <c r="H14" s="138">
        <v>281.5</v>
      </c>
      <c r="I14" s="138">
        <v>269.8</v>
      </c>
      <c r="J14" s="138">
        <v>275.39999999999998</v>
      </c>
      <c r="K14" s="138">
        <v>264.89999999999998</v>
      </c>
      <c r="L14" s="138">
        <v>198.3</v>
      </c>
      <c r="M14" s="138">
        <v>198.7</v>
      </c>
      <c r="N14" s="138">
        <v>199.1</v>
      </c>
      <c r="O14" s="138">
        <v>200.7</v>
      </c>
      <c r="P14" s="138">
        <v>214.3</v>
      </c>
      <c r="Q14" s="138">
        <v>206.3</v>
      </c>
      <c r="R14" s="138">
        <v>205.5</v>
      </c>
      <c r="S14" s="138">
        <v>207.9</v>
      </c>
      <c r="T14" s="138">
        <v>207.2</v>
      </c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>
        <v>11.3</v>
      </c>
      <c r="AT14" s="103">
        <v>0</v>
      </c>
      <c r="AU14" s="103">
        <v>160</v>
      </c>
      <c r="AX14" s="498" t="s">
        <v>450</v>
      </c>
      <c r="AY14" s="103">
        <v>9</v>
      </c>
      <c r="AZ14" s="103">
        <v>285.94444444444446</v>
      </c>
    </row>
    <row r="15" spans="4:52" s="103" customFormat="1" ht="19.5" customHeight="1" x14ac:dyDescent="0.35">
      <c r="D15" s="430">
        <v>5</v>
      </c>
      <c r="E15" s="430">
        <v>500</v>
      </c>
      <c r="F15" s="430">
        <v>560</v>
      </c>
      <c r="G15" s="431">
        <v>468.2</v>
      </c>
      <c r="H15" s="432">
        <v>301.5</v>
      </c>
      <c r="I15" s="432">
        <v>290.8</v>
      </c>
      <c r="J15" s="432">
        <v>295.8</v>
      </c>
      <c r="K15" s="432">
        <v>283.3</v>
      </c>
      <c r="L15" s="432">
        <v>209.6</v>
      </c>
      <c r="M15" s="432">
        <v>208.3</v>
      </c>
      <c r="N15" s="432">
        <v>209.4</v>
      </c>
      <c r="O15" s="432">
        <v>212.7</v>
      </c>
      <c r="P15" s="432">
        <v>223.4</v>
      </c>
      <c r="Q15" s="432">
        <v>217.4</v>
      </c>
      <c r="R15" s="432">
        <v>216.9</v>
      </c>
      <c r="S15" s="432">
        <v>218.6</v>
      </c>
      <c r="T15" s="432">
        <v>218.2</v>
      </c>
      <c r="U15" s="432"/>
      <c r="V15" s="432"/>
      <c r="W15" s="432"/>
      <c r="X15" s="432"/>
      <c r="Y15" s="432"/>
      <c r="Z15" s="432"/>
      <c r="AA15" s="432"/>
      <c r="AB15" s="432"/>
      <c r="AC15" s="432"/>
      <c r="AD15" s="432"/>
      <c r="AE15" s="432"/>
      <c r="AF15" s="432"/>
      <c r="AG15" s="432"/>
      <c r="AH15" s="432"/>
      <c r="AI15" s="432"/>
      <c r="AJ15">
        <v>16</v>
      </c>
      <c r="AT15" s="103">
        <v>120</v>
      </c>
      <c r="AU15" s="103">
        <v>160</v>
      </c>
      <c r="AX15" s="498" t="s">
        <v>451</v>
      </c>
      <c r="AY15" s="103">
        <v>10</v>
      </c>
      <c r="AZ15" s="103">
        <v>293.94444444444446</v>
      </c>
    </row>
    <row r="16" spans="4:52" s="103" customFormat="1" ht="19.5" customHeight="1" x14ac:dyDescent="0.35">
      <c r="D16" s="136">
        <v>6</v>
      </c>
      <c r="E16" s="136">
        <v>500</v>
      </c>
      <c r="F16" s="136">
        <v>560</v>
      </c>
      <c r="G16" s="137">
        <v>490.8</v>
      </c>
      <c r="H16" s="138">
        <v>318.3</v>
      </c>
      <c r="I16" s="138">
        <v>307.5</v>
      </c>
      <c r="J16" s="138">
        <v>312.89999999999998</v>
      </c>
      <c r="K16" s="138">
        <v>299.89999999999998</v>
      </c>
      <c r="L16" s="138">
        <v>219.3</v>
      </c>
      <c r="M16" s="138">
        <v>218</v>
      </c>
      <c r="N16" s="138">
        <v>219</v>
      </c>
      <c r="O16" s="138">
        <v>221.5</v>
      </c>
      <c r="P16" s="138">
        <v>231.3</v>
      </c>
      <c r="Q16" s="138">
        <v>225.6</v>
      </c>
      <c r="R16" s="138">
        <v>225.3</v>
      </c>
      <c r="S16" s="138">
        <v>227.2</v>
      </c>
      <c r="T16" s="138">
        <v>226.7</v>
      </c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>
        <v>15.8</v>
      </c>
      <c r="AX16" s="498" t="s">
        <v>452</v>
      </c>
      <c r="AY16" s="103">
        <v>11</v>
      </c>
      <c r="AZ16" s="103">
        <v>301.94444444444446</v>
      </c>
    </row>
    <row r="17" spans="4:52" s="103" customFormat="1" ht="19.5" customHeight="1" x14ac:dyDescent="0.35">
      <c r="D17" s="136">
        <v>7</v>
      </c>
      <c r="E17" s="136">
        <v>500</v>
      </c>
      <c r="F17" s="136">
        <v>560</v>
      </c>
      <c r="G17" s="137">
        <v>507.6</v>
      </c>
      <c r="H17" s="138">
        <v>332.8</v>
      </c>
      <c r="I17" s="138">
        <v>322.5</v>
      </c>
      <c r="J17" s="138">
        <v>327.9</v>
      </c>
      <c r="K17" s="138">
        <v>314.60000000000002</v>
      </c>
      <c r="L17" s="138">
        <v>227.7</v>
      </c>
      <c r="M17" s="138">
        <v>225.5</v>
      </c>
      <c r="N17" s="138">
        <v>226.9</v>
      </c>
      <c r="O17" s="138">
        <v>229.7</v>
      </c>
      <c r="P17" s="138">
        <v>241.2</v>
      </c>
      <c r="Q17" s="138">
        <v>233.7</v>
      </c>
      <c r="R17" s="138">
        <v>233.4</v>
      </c>
      <c r="S17" s="138">
        <v>235.7</v>
      </c>
      <c r="T17" s="138">
        <v>235.3</v>
      </c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>
        <v>15.8</v>
      </c>
      <c r="AT17" s="103">
        <v>0</v>
      </c>
      <c r="AU17" s="103">
        <v>360</v>
      </c>
      <c r="AX17" s="498" t="s">
        <v>453</v>
      </c>
      <c r="AY17" s="103">
        <v>12</v>
      </c>
      <c r="AZ17" s="103">
        <v>309.33333333333331</v>
      </c>
    </row>
    <row r="18" spans="4:52" s="103" customFormat="1" ht="19.5" customHeight="1" x14ac:dyDescent="0.35">
      <c r="D18" s="136">
        <v>8</v>
      </c>
      <c r="E18" s="136">
        <v>500</v>
      </c>
      <c r="F18" s="136">
        <v>560</v>
      </c>
      <c r="G18" s="137">
        <v>519.5</v>
      </c>
      <c r="H18" s="138">
        <v>345.8</v>
      </c>
      <c r="I18" s="138">
        <v>336</v>
      </c>
      <c r="J18" s="138">
        <v>341.7</v>
      </c>
      <c r="K18" s="138">
        <v>328.2</v>
      </c>
      <c r="L18" s="138">
        <v>235.7</v>
      </c>
      <c r="M18" s="138">
        <v>232.6</v>
      </c>
      <c r="N18" s="138">
        <v>234.4</v>
      </c>
      <c r="O18" s="138">
        <v>238.2</v>
      </c>
      <c r="P18" s="138">
        <v>249.7</v>
      </c>
      <c r="Q18" s="138">
        <v>243.5</v>
      </c>
      <c r="R18" s="138">
        <v>243.3</v>
      </c>
      <c r="S18" s="138">
        <v>244.8</v>
      </c>
      <c r="T18" s="138">
        <v>244.2</v>
      </c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>
        <v>15.8</v>
      </c>
      <c r="AT18" s="103">
        <v>120</v>
      </c>
      <c r="AU18" s="103">
        <v>360</v>
      </c>
      <c r="AX18" s="498" t="s">
        <v>454</v>
      </c>
      <c r="AY18" s="103">
        <v>13</v>
      </c>
      <c r="AZ18" s="103">
        <v>316.44444444444446</v>
      </c>
    </row>
    <row r="19" spans="4:52" s="103" customFormat="1" ht="19.5" customHeight="1" x14ac:dyDescent="0.35">
      <c r="D19" s="136">
        <v>9</v>
      </c>
      <c r="E19" s="136">
        <v>500</v>
      </c>
      <c r="F19" s="136">
        <v>560</v>
      </c>
      <c r="G19" s="137">
        <v>528.6</v>
      </c>
      <c r="H19" s="138">
        <v>357</v>
      </c>
      <c r="I19" s="138">
        <v>348.4</v>
      </c>
      <c r="J19" s="138">
        <v>354.5</v>
      </c>
      <c r="K19" s="138">
        <v>340.8</v>
      </c>
      <c r="L19" s="138">
        <v>244.4</v>
      </c>
      <c r="M19" s="138">
        <v>241.6</v>
      </c>
      <c r="N19" s="138">
        <v>243.6</v>
      </c>
      <c r="O19" s="138">
        <v>247.1</v>
      </c>
      <c r="P19" s="138">
        <v>258.60000000000002</v>
      </c>
      <c r="Q19" s="138">
        <v>251.8</v>
      </c>
      <c r="R19" s="138">
        <v>251.2</v>
      </c>
      <c r="S19" s="138">
        <v>253.5</v>
      </c>
      <c r="T19" s="138">
        <v>252</v>
      </c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476">
        <v>15.7</v>
      </c>
      <c r="AX19" s="498" t="s">
        <v>455</v>
      </c>
      <c r="AY19" s="103">
        <v>14</v>
      </c>
      <c r="AZ19" s="103">
        <v>323.94444444444446</v>
      </c>
    </row>
    <row r="20" spans="4:52" s="103" customFormat="1" ht="19.5" customHeight="1" x14ac:dyDescent="0.35">
      <c r="D20" s="430">
        <v>10</v>
      </c>
      <c r="E20" s="430">
        <v>500</v>
      </c>
      <c r="F20" s="430">
        <v>560</v>
      </c>
      <c r="G20" s="431">
        <v>535.79999999999995</v>
      </c>
      <c r="H20" s="432">
        <v>367.4</v>
      </c>
      <c r="I20" s="432">
        <v>359.3</v>
      </c>
      <c r="J20" s="432">
        <v>365.9</v>
      </c>
      <c r="K20" s="432">
        <v>352.6</v>
      </c>
      <c r="L20" s="432">
        <v>252.5</v>
      </c>
      <c r="M20" s="432">
        <v>249.7</v>
      </c>
      <c r="N20" s="432">
        <v>251.4</v>
      </c>
      <c r="O20" s="432">
        <v>255.4</v>
      </c>
      <c r="P20" s="432">
        <v>266.3</v>
      </c>
      <c r="Q20" s="432">
        <v>260.10000000000002</v>
      </c>
      <c r="R20" s="432">
        <v>259.2</v>
      </c>
      <c r="S20" s="432">
        <v>261.2</v>
      </c>
      <c r="T20" s="432">
        <v>258.8</v>
      </c>
      <c r="U20" s="432"/>
      <c r="V20" s="432"/>
      <c r="W20" s="432"/>
      <c r="X20" s="432"/>
      <c r="Y20" s="432"/>
      <c r="Z20" s="432"/>
      <c r="AA20" s="432"/>
      <c r="AB20" s="432"/>
      <c r="AC20" s="432"/>
      <c r="AD20" s="432"/>
      <c r="AE20" s="432"/>
      <c r="AF20" s="432"/>
      <c r="AG20" s="432"/>
      <c r="AH20" s="432"/>
      <c r="AI20" s="432"/>
      <c r="AJ20">
        <v>15.7</v>
      </c>
      <c r="AT20" s="103">
        <v>0</v>
      </c>
      <c r="AU20" s="103">
        <v>560</v>
      </c>
      <c r="AX20" s="498" t="s">
        <v>456</v>
      </c>
      <c r="AY20" s="103">
        <v>15</v>
      </c>
      <c r="AZ20" s="103">
        <v>330.77777777777777</v>
      </c>
    </row>
    <row r="21" spans="4:52" s="103" customFormat="1" ht="19.5" customHeight="1" x14ac:dyDescent="0.35">
      <c r="D21" s="136">
        <v>11</v>
      </c>
      <c r="E21" s="136">
        <v>500</v>
      </c>
      <c r="F21" s="136">
        <v>560</v>
      </c>
      <c r="G21" s="137">
        <v>541.1</v>
      </c>
      <c r="H21" s="138">
        <v>376.4</v>
      </c>
      <c r="I21" s="138">
        <v>369.5</v>
      </c>
      <c r="J21" s="138">
        <v>375.7</v>
      </c>
      <c r="K21" s="138">
        <v>363</v>
      </c>
      <c r="L21" s="138">
        <v>260.3</v>
      </c>
      <c r="M21" s="138">
        <v>257.5</v>
      </c>
      <c r="N21" s="138">
        <v>259.5</v>
      </c>
      <c r="O21" s="138">
        <v>263.10000000000002</v>
      </c>
      <c r="P21" s="138">
        <v>274.10000000000002</v>
      </c>
      <c r="Q21" s="138">
        <v>267.5</v>
      </c>
      <c r="R21" s="138">
        <v>266</v>
      </c>
      <c r="S21" s="138">
        <v>268.39999999999998</v>
      </c>
      <c r="T21" s="138">
        <v>264.89999999999998</v>
      </c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>
        <v>15.6</v>
      </c>
      <c r="AT21" s="103">
        <v>120</v>
      </c>
      <c r="AU21" s="103">
        <v>560</v>
      </c>
      <c r="AX21" s="498" t="s">
        <v>457</v>
      </c>
      <c r="AY21" s="103">
        <v>16</v>
      </c>
      <c r="AZ21" s="103">
        <v>338.05555555555554</v>
      </c>
    </row>
    <row r="22" spans="4:52" s="103" customFormat="1" ht="19.5" customHeight="1" x14ac:dyDescent="0.35">
      <c r="D22" s="136">
        <v>12</v>
      </c>
      <c r="E22" s="136">
        <v>500</v>
      </c>
      <c r="F22" s="136">
        <v>560</v>
      </c>
      <c r="G22" s="137">
        <v>546</v>
      </c>
      <c r="H22" s="138">
        <v>384.1</v>
      </c>
      <c r="I22" s="138">
        <v>378.5</v>
      </c>
      <c r="J22" s="138">
        <v>384.8</v>
      </c>
      <c r="K22" s="138">
        <v>372.7</v>
      </c>
      <c r="L22" s="138">
        <v>267.7</v>
      </c>
      <c r="M22" s="138">
        <v>264.7</v>
      </c>
      <c r="N22" s="138">
        <v>266.60000000000002</v>
      </c>
      <c r="O22" s="138">
        <v>270.10000000000002</v>
      </c>
      <c r="P22" s="138">
        <v>282</v>
      </c>
      <c r="Q22" s="138">
        <v>275.7</v>
      </c>
      <c r="R22" s="138">
        <v>273.7</v>
      </c>
      <c r="S22" s="138">
        <v>276.2</v>
      </c>
      <c r="T22" s="138">
        <v>271.7</v>
      </c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>
        <v>15</v>
      </c>
      <c r="AX22" s="498" t="s">
        <v>458</v>
      </c>
      <c r="AY22" s="103">
        <v>17</v>
      </c>
      <c r="AZ22" s="103">
        <v>344.66666666666669</v>
      </c>
    </row>
    <row r="23" spans="4:52" s="103" customFormat="1" ht="19.5" customHeight="1" x14ac:dyDescent="0.35">
      <c r="D23" s="136">
        <v>13</v>
      </c>
      <c r="E23" s="136">
        <v>500</v>
      </c>
      <c r="F23" s="136">
        <v>560</v>
      </c>
      <c r="G23" s="137">
        <v>551.1</v>
      </c>
      <c r="H23" s="138">
        <v>391.4</v>
      </c>
      <c r="I23" s="138">
        <v>386.6</v>
      </c>
      <c r="J23" s="138">
        <v>393.7</v>
      </c>
      <c r="K23" s="138">
        <v>381.3</v>
      </c>
      <c r="L23" s="138">
        <v>275.39999999999998</v>
      </c>
      <c r="M23" s="138">
        <v>271.2</v>
      </c>
      <c r="N23" s="138">
        <v>274.10000000000002</v>
      </c>
      <c r="O23" s="138">
        <v>277.60000000000002</v>
      </c>
      <c r="P23" s="138">
        <v>289</v>
      </c>
      <c r="Q23" s="138">
        <v>283</v>
      </c>
      <c r="R23" s="138">
        <v>281.3</v>
      </c>
      <c r="S23" s="138">
        <v>283.2</v>
      </c>
      <c r="T23" s="138">
        <v>278.60000000000002</v>
      </c>
      <c r="U23" s="138"/>
      <c r="V23" s="138"/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  <c r="AJ23">
        <v>15.6</v>
      </c>
      <c r="AX23" s="498" t="s">
        <v>459</v>
      </c>
      <c r="AY23" s="103">
        <v>18</v>
      </c>
      <c r="AZ23" s="103">
        <v>351.44444444444446</v>
      </c>
    </row>
    <row r="24" spans="4:52" s="103" customFormat="1" ht="19.5" customHeight="1" x14ac:dyDescent="0.35">
      <c r="D24" s="136">
        <v>14</v>
      </c>
      <c r="E24" s="136">
        <v>500</v>
      </c>
      <c r="F24" s="136">
        <v>560</v>
      </c>
      <c r="G24" s="137">
        <v>555.70000000000005</v>
      </c>
      <c r="H24" s="138">
        <v>399.5</v>
      </c>
      <c r="I24" s="138">
        <v>394.8</v>
      </c>
      <c r="J24" s="138">
        <v>403</v>
      </c>
      <c r="K24" s="138">
        <v>389.4</v>
      </c>
      <c r="L24" s="138">
        <v>282.60000000000002</v>
      </c>
      <c r="M24" s="138">
        <v>278</v>
      </c>
      <c r="N24" s="138">
        <v>281.60000000000002</v>
      </c>
      <c r="O24" s="138">
        <v>284.8</v>
      </c>
      <c r="P24" s="138">
        <v>295.8</v>
      </c>
      <c r="Q24" s="138">
        <v>290.5</v>
      </c>
      <c r="R24" s="138">
        <v>288.3</v>
      </c>
      <c r="S24" s="138">
        <v>290.60000000000002</v>
      </c>
      <c r="T24" s="138">
        <v>285.10000000000002</v>
      </c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>
        <v>15.6</v>
      </c>
      <c r="AX24" s="498" t="s">
        <v>460</v>
      </c>
      <c r="AY24" s="103">
        <v>19</v>
      </c>
      <c r="AZ24" s="103">
        <v>357.22222222222223</v>
      </c>
    </row>
    <row r="25" spans="4:52" s="103" customFormat="1" ht="19.5" customHeight="1" thickBot="1" x14ac:dyDescent="0.4">
      <c r="D25" s="430">
        <v>15</v>
      </c>
      <c r="E25" s="430">
        <v>500</v>
      </c>
      <c r="F25" s="430">
        <v>560</v>
      </c>
      <c r="G25" s="431">
        <v>559.6</v>
      </c>
      <c r="H25" s="432">
        <v>407.7</v>
      </c>
      <c r="I25" s="432">
        <v>403</v>
      </c>
      <c r="J25" s="432">
        <v>411.9</v>
      </c>
      <c r="K25" s="432">
        <v>398.3</v>
      </c>
      <c r="L25" s="432">
        <v>289.89999999999998</v>
      </c>
      <c r="M25" s="432">
        <v>284.8</v>
      </c>
      <c r="N25" s="432">
        <v>288.2</v>
      </c>
      <c r="O25" s="432">
        <v>291.60000000000002</v>
      </c>
      <c r="P25" s="432">
        <v>301.60000000000002</v>
      </c>
      <c r="Q25" s="432">
        <v>297.60000000000002</v>
      </c>
      <c r="R25" s="432">
        <v>294.8</v>
      </c>
      <c r="S25" s="432">
        <v>297.3</v>
      </c>
      <c r="T25" s="432">
        <v>291.5</v>
      </c>
      <c r="U25" s="432"/>
      <c r="V25" s="432"/>
      <c r="W25" s="432"/>
      <c r="X25" s="432"/>
      <c r="Y25" s="432"/>
      <c r="Z25" s="432"/>
      <c r="AA25" s="432"/>
      <c r="AB25" s="432"/>
      <c r="AC25" s="432"/>
      <c r="AD25" s="432"/>
      <c r="AE25" s="432"/>
      <c r="AF25" s="432"/>
      <c r="AG25" s="432"/>
      <c r="AH25" s="432"/>
      <c r="AI25" s="432"/>
      <c r="AJ25" s="476">
        <v>15</v>
      </c>
      <c r="AX25" s="498" t="s">
        <v>461</v>
      </c>
      <c r="AY25" s="103">
        <v>20</v>
      </c>
      <c r="AZ25" s="103">
        <v>363.72222222222223</v>
      </c>
    </row>
    <row r="26" spans="4:52" s="103" customFormat="1" ht="19.5" customHeight="1" thickBot="1" x14ac:dyDescent="0.4">
      <c r="D26" s="136">
        <v>16</v>
      </c>
      <c r="E26" s="136">
        <v>500</v>
      </c>
      <c r="F26" s="136">
        <v>560</v>
      </c>
      <c r="G26" s="137">
        <v>563.20000000000005</v>
      </c>
      <c r="H26" s="138">
        <v>414.8</v>
      </c>
      <c r="I26" s="138">
        <v>411.5</v>
      </c>
      <c r="J26" s="138">
        <v>419.9</v>
      </c>
      <c r="K26" s="138">
        <v>407</v>
      </c>
      <c r="L26" s="138">
        <v>296.8</v>
      </c>
      <c r="M26" s="138">
        <v>291.2</v>
      </c>
      <c r="N26" s="138">
        <v>294.3</v>
      </c>
      <c r="O26" s="138">
        <v>298.10000000000002</v>
      </c>
      <c r="P26" s="138">
        <v>308.2</v>
      </c>
      <c r="Q26" s="138">
        <v>304.10000000000002</v>
      </c>
      <c r="R26" s="138">
        <v>300.8</v>
      </c>
      <c r="S26" s="138">
        <v>303.7</v>
      </c>
      <c r="T26" s="138">
        <v>297.39999999999998</v>
      </c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477">
        <v>15.1</v>
      </c>
      <c r="AX26" s="498" t="s">
        <v>462</v>
      </c>
      <c r="AY26" s="103">
        <v>21</v>
      </c>
      <c r="AZ26" s="103">
        <v>369.5</v>
      </c>
    </row>
    <row r="27" spans="4:52" s="103" customFormat="1" ht="19.5" customHeight="1" x14ac:dyDescent="0.35">
      <c r="D27" s="136">
        <v>17</v>
      </c>
      <c r="E27" s="136">
        <v>500</v>
      </c>
      <c r="F27" s="136">
        <v>560</v>
      </c>
      <c r="G27" s="137">
        <v>566.6</v>
      </c>
      <c r="H27" s="138">
        <v>421.2</v>
      </c>
      <c r="I27" s="138">
        <v>418.5</v>
      </c>
      <c r="J27" s="138">
        <v>427.2</v>
      </c>
      <c r="K27" s="138">
        <v>415</v>
      </c>
      <c r="L27" s="138">
        <v>303.39999999999998</v>
      </c>
      <c r="M27" s="138">
        <v>297.8</v>
      </c>
      <c r="N27" s="138">
        <v>300</v>
      </c>
      <c r="O27" s="138">
        <v>304.60000000000002</v>
      </c>
      <c r="P27" s="138">
        <v>314</v>
      </c>
      <c r="Q27" s="138">
        <v>310.7</v>
      </c>
      <c r="R27" s="138">
        <v>307.39999999999998</v>
      </c>
      <c r="S27" s="138">
        <v>310</v>
      </c>
      <c r="T27" s="138">
        <v>304.10000000000002</v>
      </c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X27" s="498" t="s">
        <v>463</v>
      </c>
      <c r="AY27" s="103">
        <v>22</v>
      </c>
      <c r="AZ27" s="103">
        <v>375.66666666666669</v>
      </c>
    </row>
    <row r="28" spans="4:52" s="103" customFormat="1" ht="19.5" customHeight="1" x14ac:dyDescent="0.35">
      <c r="D28" s="136">
        <v>18</v>
      </c>
      <c r="E28" s="136">
        <v>500</v>
      </c>
      <c r="F28" s="136">
        <v>560</v>
      </c>
      <c r="G28" s="137">
        <v>569.70000000000005</v>
      </c>
      <c r="H28" s="138">
        <v>427.5</v>
      </c>
      <c r="I28" s="138">
        <v>425.2</v>
      </c>
      <c r="J28" s="138">
        <v>434.8</v>
      </c>
      <c r="K28" s="138">
        <v>422.2</v>
      </c>
      <c r="L28" s="138">
        <v>310.10000000000002</v>
      </c>
      <c r="M28" s="138">
        <v>303.2</v>
      </c>
      <c r="N28" s="138">
        <v>306.5</v>
      </c>
      <c r="O28" s="138">
        <v>310.89999999999998</v>
      </c>
      <c r="P28" s="138">
        <v>320.39999999999998</v>
      </c>
      <c r="Q28" s="138">
        <v>316.3</v>
      </c>
      <c r="R28" s="138">
        <v>313.2</v>
      </c>
      <c r="S28" s="138">
        <v>315.5</v>
      </c>
      <c r="T28" s="138">
        <v>310.5</v>
      </c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X28" s="498" t="s">
        <v>464</v>
      </c>
      <c r="AY28" s="103">
        <v>23</v>
      </c>
      <c r="AZ28" s="103">
        <v>381.33333333333331</v>
      </c>
    </row>
    <row r="29" spans="4:52" s="103" customFormat="1" ht="19.5" customHeight="1" x14ac:dyDescent="0.35">
      <c r="D29" s="136">
        <v>19</v>
      </c>
      <c r="E29" s="136">
        <v>500</v>
      </c>
      <c r="F29" s="136">
        <v>560</v>
      </c>
      <c r="G29" s="137">
        <v>572.70000000000005</v>
      </c>
      <c r="H29" s="138">
        <v>433.9</v>
      </c>
      <c r="I29" s="138">
        <v>431.6</v>
      </c>
      <c r="J29" s="138">
        <v>442.4</v>
      </c>
      <c r="K29" s="138">
        <v>429</v>
      </c>
      <c r="L29" s="138">
        <v>315.8</v>
      </c>
      <c r="M29" s="138">
        <v>309.10000000000002</v>
      </c>
      <c r="N29" s="138">
        <v>312.8</v>
      </c>
      <c r="O29" s="138">
        <v>316.2</v>
      </c>
      <c r="P29" s="138">
        <v>326.8</v>
      </c>
      <c r="Q29" s="138">
        <v>322.7</v>
      </c>
      <c r="R29" s="138">
        <v>319.39999999999998</v>
      </c>
      <c r="S29" s="138">
        <v>321.7</v>
      </c>
      <c r="T29" s="138">
        <v>315.89999999999998</v>
      </c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X29" s="498" t="s">
        <v>465</v>
      </c>
      <c r="AY29" s="103">
        <v>24</v>
      </c>
      <c r="AZ29" s="103">
        <v>387.44444444444446</v>
      </c>
    </row>
    <row r="30" spans="4:52" s="103" customFormat="1" ht="19.5" customHeight="1" x14ac:dyDescent="0.35">
      <c r="D30" s="430">
        <v>20</v>
      </c>
      <c r="E30" s="430">
        <v>500</v>
      </c>
      <c r="F30" s="430">
        <v>560</v>
      </c>
      <c r="G30" s="431">
        <v>575.6</v>
      </c>
      <c r="H30" s="432">
        <v>440.4</v>
      </c>
      <c r="I30" s="432">
        <v>438.9</v>
      </c>
      <c r="J30" s="432">
        <v>449.8</v>
      </c>
      <c r="K30" s="432">
        <v>436.5</v>
      </c>
      <c r="L30" s="432">
        <v>322.3</v>
      </c>
      <c r="M30" s="432">
        <v>314.39999999999998</v>
      </c>
      <c r="N30" s="432">
        <v>318.10000000000002</v>
      </c>
      <c r="O30" s="432">
        <v>322.39999999999998</v>
      </c>
      <c r="P30" s="432">
        <v>332</v>
      </c>
      <c r="Q30" s="432">
        <v>328.4</v>
      </c>
      <c r="R30" s="432">
        <v>325.8</v>
      </c>
      <c r="S30" s="432">
        <v>327.3</v>
      </c>
      <c r="T30" s="432">
        <v>322.10000000000002</v>
      </c>
      <c r="U30" s="432"/>
      <c r="V30" s="432"/>
      <c r="W30" s="432"/>
      <c r="X30" s="432"/>
      <c r="Y30" s="432"/>
      <c r="Z30" s="432"/>
      <c r="AA30" s="432"/>
      <c r="AB30" s="432"/>
      <c r="AC30" s="432"/>
      <c r="AD30" s="432"/>
      <c r="AE30" s="432"/>
      <c r="AF30" s="432"/>
      <c r="AG30" s="432"/>
      <c r="AH30" s="432"/>
      <c r="AI30" s="432"/>
      <c r="AX30" s="498" t="s">
        <v>466</v>
      </c>
      <c r="AY30" s="103">
        <v>25</v>
      </c>
      <c r="AZ30" s="103">
        <v>392.88888888888891</v>
      </c>
    </row>
    <row r="31" spans="4:52" s="103" customFormat="1" ht="19.5" customHeight="1" x14ac:dyDescent="0.35">
      <c r="D31" s="136">
        <v>21</v>
      </c>
      <c r="E31" s="136">
        <v>500</v>
      </c>
      <c r="F31" s="136">
        <v>560</v>
      </c>
      <c r="G31" s="137">
        <v>578.6</v>
      </c>
      <c r="H31" s="138">
        <v>446.9</v>
      </c>
      <c r="I31" s="138">
        <v>445.8</v>
      </c>
      <c r="J31" s="138">
        <v>456.7</v>
      </c>
      <c r="K31" s="138">
        <v>443.7</v>
      </c>
      <c r="L31" s="138">
        <v>328</v>
      </c>
      <c r="M31" s="138">
        <v>320.39999999999998</v>
      </c>
      <c r="N31" s="138">
        <v>324.10000000000002</v>
      </c>
      <c r="O31" s="138">
        <v>328</v>
      </c>
      <c r="P31" s="138">
        <v>337.9</v>
      </c>
      <c r="Q31" s="138">
        <v>334.6</v>
      </c>
      <c r="R31" s="138">
        <v>331.1</v>
      </c>
      <c r="S31" s="138">
        <v>333.2</v>
      </c>
      <c r="T31" s="138">
        <v>327.5</v>
      </c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X31" s="498" t="s">
        <v>467</v>
      </c>
      <c r="AY31" s="103">
        <v>26</v>
      </c>
      <c r="AZ31" s="103">
        <v>398.72222222222223</v>
      </c>
    </row>
    <row r="32" spans="4:52" s="103" customFormat="1" ht="19.5" customHeight="1" x14ac:dyDescent="0.35">
      <c r="D32" s="136">
        <v>22</v>
      </c>
      <c r="E32" s="136">
        <v>500</v>
      </c>
      <c r="F32" s="136">
        <v>560</v>
      </c>
      <c r="G32" s="137">
        <v>581.5</v>
      </c>
      <c r="H32" s="138">
        <v>453.1</v>
      </c>
      <c r="I32" s="138">
        <v>452.2</v>
      </c>
      <c r="J32" s="138">
        <v>463.4</v>
      </c>
      <c r="K32" s="138">
        <v>450.7</v>
      </c>
      <c r="L32" s="138">
        <v>334.2</v>
      </c>
      <c r="M32" s="138">
        <v>326.2</v>
      </c>
      <c r="N32" s="138">
        <v>329.1</v>
      </c>
      <c r="O32" s="138">
        <v>333.7</v>
      </c>
      <c r="P32" s="138">
        <v>342.9</v>
      </c>
      <c r="Q32" s="138">
        <v>340.7</v>
      </c>
      <c r="R32" s="138">
        <v>337</v>
      </c>
      <c r="S32" s="138">
        <v>339</v>
      </c>
      <c r="T32" s="138">
        <v>333.7</v>
      </c>
      <c r="U32" s="138"/>
      <c r="V32" s="138"/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X32" s="498" t="s">
        <v>468</v>
      </c>
      <c r="AY32" s="103">
        <v>27</v>
      </c>
      <c r="AZ32" s="103">
        <v>403.88888888888891</v>
      </c>
    </row>
    <row r="33" spans="4:52" s="103" customFormat="1" ht="19.5" customHeight="1" x14ac:dyDescent="0.35">
      <c r="D33" s="136">
        <v>23</v>
      </c>
      <c r="E33" s="136">
        <v>500</v>
      </c>
      <c r="F33" s="136">
        <v>560</v>
      </c>
      <c r="G33" s="137">
        <v>584.4</v>
      </c>
      <c r="H33" s="138">
        <v>458.9</v>
      </c>
      <c r="I33" s="138">
        <v>458.4</v>
      </c>
      <c r="J33" s="138">
        <v>470.3</v>
      </c>
      <c r="K33" s="138">
        <v>457.1</v>
      </c>
      <c r="L33" s="138">
        <v>339.9</v>
      </c>
      <c r="M33" s="138">
        <v>331</v>
      </c>
      <c r="N33" s="138">
        <v>334.8</v>
      </c>
      <c r="O33" s="138">
        <v>339.6</v>
      </c>
      <c r="P33" s="138">
        <v>348.2</v>
      </c>
      <c r="Q33" s="138">
        <v>345.7</v>
      </c>
      <c r="R33" s="138">
        <v>342.1</v>
      </c>
      <c r="S33" s="138">
        <v>343.9</v>
      </c>
      <c r="T33" s="138">
        <v>339.7</v>
      </c>
      <c r="U33" s="138"/>
      <c r="V33" s="138"/>
      <c r="W33" s="138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8"/>
      <c r="AI33" s="138"/>
      <c r="AX33" s="498" t="s">
        <v>469</v>
      </c>
      <c r="AY33" s="103">
        <v>28</v>
      </c>
      <c r="AZ33" s="103">
        <v>409.44444444444446</v>
      </c>
    </row>
    <row r="34" spans="4:52" s="103" customFormat="1" ht="19.5" customHeight="1" x14ac:dyDescent="0.35">
      <c r="D34" s="136">
        <v>24</v>
      </c>
      <c r="E34" s="136">
        <v>500</v>
      </c>
      <c r="F34" s="136">
        <v>560</v>
      </c>
      <c r="G34" s="137">
        <v>587.29999999999995</v>
      </c>
      <c r="H34" s="138">
        <v>464.7</v>
      </c>
      <c r="I34" s="138">
        <v>464.7</v>
      </c>
      <c r="J34" s="138">
        <v>477.3</v>
      </c>
      <c r="K34" s="138">
        <v>463.4</v>
      </c>
      <c r="L34" s="138">
        <v>345.7</v>
      </c>
      <c r="M34" s="138">
        <v>336.5</v>
      </c>
      <c r="N34" s="138">
        <v>340.4</v>
      </c>
      <c r="O34" s="138">
        <v>344.4</v>
      </c>
      <c r="P34" s="138">
        <v>353.1</v>
      </c>
      <c r="Q34" s="138">
        <v>350.7</v>
      </c>
      <c r="R34" s="138">
        <v>347.5</v>
      </c>
      <c r="S34" s="138">
        <v>348.8</v>
      </c>
      <c r="T34" s="138">
        <v>344.7</v>
      </c>
      <c r="U34" s="138"/>
      <c r="V34" s="138"/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X34" s="498" t="s">
        <v>470</v>
      </c>
      <c r="AY34" s="103">
        <v>29</v>
      </c>
      <c r="AZ34" s="103">
        <v>414.61111111111109</v>
      </c>
    </row>
    <row r="35" spans="4:52" s="103" customFormat="1" ht="19.5" customHeight="1" x14ac:dyDescent="0.35">
      <c r="D35" s="136">
        <v>25</v>
      </c>
      <c r="E35" s="136">
        <v>500</v>
      </c>
      <c r="F35" s="136">
        <v>560</v>
      </c>
      <c r="G35" s="137">
        <v>590.1</v>
      </c>
      <c r="H35" s="138">
        <v>471.1</v>
      </c>
      <c r="I35" s="138">
        <v>471.2</v>
      </c>
      <c r="J35" s="138">
        <v>483.9</v>
      </c>
      <c r="K35" s="138">
        <v>470</v>
      </c>
      <c r="L35" s="138">
        <v>351.5</v>
      </c>
      <c r="M35" s="138">
        <v>341.8</v>
      </c>
      <c r="N35" s="138">
        <v>345.2</v>
      </c>
      <c r="O35" s="138">
        <v>349.3</v>
      </c>
      <c r="P35" s="138">
        <v>357.1</v>
      </c>
      <c r="Q35" s="138">
        <v>355.1</v>
      </c>
      <c r="R35" s="138">
        <v>352.4</v>
      </c>
      <c r="S35" s="138">
        <v>353.2</v>
      </c>
      <c r="T35" s="138">
        <v>350.3</v>
      </c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X35" s="498" t="s">
        <v>471</v>
      </c>
      <c r="AY35" s="103">
        <v>30</v>
      </c>
      <c r="AZ35" s="103">
        <v>420</v>
      </c>
    </row>
    <row r="36" spans="4:52" s="103" customFormat="1" ht="19.5" customHeight="1" x14ac:dyDescent="0.35">
      <c r="D36" s="136">
        <v>26</v>
      </c>
      <c r="E36" s="136">
        <v>500</v>
      </c>
      <c r="F36" s="136">
        <v>560</v>
      </c>
      <c r="G36" s="137">
        <v>592.9</v>
      </c>
      <c r="H36" s="138">
        <v>477.3</v>
      </c>
      <c r="I36" s="138">
        <v>477.8</v>
      </c>
      <c r="J36" s="138">
        <v>489.9</v>
      </c>
      <c r="K36" s="138">
        <v>476.5</v>
      </c>
      <c r="L36" s="138">
        <v>356.4</v>
      </c>
      <c r="M36" s="138">
        <v>346.3</v>
      </c>
      <c r="N36" s="138">
        <v>349.8</v>
      </c>
      <c r="O36" s="138">
        <v>353.8</v>
      </c>
      <c r="P36" s="138">
        <v>361.8</v>
      </c>
      <c r="Q36" s="138">
        <v>359.7</v>
      </c>
      <c r="R36" s="138">
        <v>356.5</v>
      </c>
      <c r="S36" s="138">
        <v>357.6</v>
      </c>
      <c r="T36" s="138">
        <v>355.4</v>
      </c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X36" s="498" t="s">
        <v>472</v>
      </c>
      <c r="AY36" s="103">
        <v>31</v>
      </c>
      <c r="AZ36" s="103">
        <v>424.94444444444446</v>
      </c>
    </row>
    <row r="37" spans="4:52" s="103" customFormat="1" ht="19.5" customHeight="1" x14ac:dyDescent="0.35">
      <c r="D37" s="136">
        <v>27</v>
      </c>
      <c r="E37" s="136">
        <v>500</v>
      </c>
      <c r="F37" s="136">
        <v>560</v>
      </c>
      <c r="G37" s="137">
        <v>595.70000000000005</v>
      </c>
      <c r="H37" s="138">
        <v>483.3</v>
      </c>
      <c r="I37" s="138">
        <v>483.9</v>
      </c>
      <c r="J37" s="138">
        <v>495.8</v>
      </c>
      <c r="K37" s="138">
        <v>482.8</v>
      </c>
      <c r="L37" s="138">
        <v>362</v>
      </c>
      <c r="M37" s="138">
        <v>350.8</v>
      </c>
      <c r="N37" s="138">
        <v>354.2</v>
      </c>
      <c r="O37" s="138">
        <v>358</v>
      </c>
      <c r="P37" s="138">
        <v>366.1</v>
      </c>
      <c r="Q37" s="138">
        <v>364.6</v>
      </c>
      <c r="R37" s="138">
        <v>361.1</v>
      </c>
      <c r="S37" s="138">
        <v>362.2</v>
      </c>
      <c r="T37" s="138">
        <v>360.5</v>
      </c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X37" s="498" t="s">
        <v>473</v>
      </c>
      <c r="AY37" s="103">
        <v>32</v>
      </c>
      <c r="AZ37" s="103">
        <v>430.27777777777777</v>
      </c>
    </row>
    <row r="38" spans="4:52" s="103" customFormat="1" ht="19.5" customHeight="1" x14ac:dyDescent="0.35">
      <c r="D38" s="136">
        <v>28</v>
      </c>
      <c r="E38" s="136">
        <v>500</v>
      </c>
      <c r="F38" s="136">
        <v>560</v>
      </c>
      <c r="G38" s="137">
        <v>598.4</v>
      </c>
      <c r="H38" s="138">
        <v>488.9</v>
      </c>
      <c r="I38" s="138">
        <v>489.7</v>
      </c>
      <c r="J38" s="138">
        <v>501.6</v>
      </c>
      <c r="K38" s="138">
        <v>488.5</v>
      </c>
      <c r="L38" s="138">
        <v>367.1</v>
      </c>
      <c r="M38" s="138">
        <v>354.8</v>
      </c>
      <c r="N38" s="138">
        <v>358.3</v>
      </c>
      <c r="O38" s="138">
        <v>362.6</v>
      </c>
      <c r="P38" s="138">
        <v>370.9</v>
      </c>
      <c r="Q38" s="138">
        <v>369</v>
      </c>
      <c r="R38" s="138">
        <v>365.4</v>
      </c>
      <c r="S38" s="138">
        <v>366.4</v>
      </c>
      <c r="T38" s="138">
        <v>365.9</v>
      </c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X38" s="498" t="s">
        <v>474</v>
      </c>
      <c r="AY38" s="103">
        <v>33</v>
      </c>
      <c r="AZ38" s="103">
        <v>435.33333333333331</v>
      </c>
    </row>
    <row r="39" spans="4:52" s="103" customFormat="1" ht="19.5" customHeight="1" x14ac:dyDescent="0.35">
      <c r="D39" s="136">
        <v>29</v>
      </c>
      <c r="E39" s="136">
        <v>500</v>
      </c>
      <c r="F39" s="136">
        <v>560</v>
      </c>
      <c r="G39" s="137">
        <v>601.20000000000005</v>
      </c>
      <c r="H39" s="138">
        <v>494.4</v>
      </c>
      <c r="I39" s="138">
        <v>495.4</v>
      </c>
      <c r="J39" s="138">
        <v>507.1</v>
      </c>
      <c r="K39" s="138">
        <v>494</v>
      </c>
      <c r="L39" s="138">
        <v>372.3</v>
      </c>
      <c r="M39" s="138">
        <v>359.1</v>
      </c>
      <c r="N39" s="138">
        <v>362.9</v>
      </c>
      <c r="O39" s="138">
        <v>366.8</v>
      </c>
      <c r="P39" s="138">
        <v>376.4</v>
      </c>
      <c r="Q39" s="138">
        <v>374.4</v>
      </c>
      <c r="R39" s="138">
        <v>370.1</v>
      </c>
      <c r="S39" s="138">
        <v>371.1</v>
      </c>
      <c r="T39" s="138">
        <v>370.5</v>
      </c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X39" s="498" t="s">
        <v>475</v>
      </c>
      <c r="AY39" s="103">
        <v>34</v>
      </c>
      <c r="AZ39" s="103">
        <v>440.5</v>
      </c>
    </row>
    <row r="40" spans="4:52" s="103" customFormat="1" ht="19.5" customHeight="1" x14ac:dyDescent="0.35">
      <c r="D40" s="430">
        <v>30</v>
      </c>
      <c r="E40" s="430">
        <v>500</v>
      </c>
      <c r="F40" s="430">
        <v>560</v>
      </c>
      <c r="G40" s="431">
        <v>604.1</v>
      </c>
      <c r="H40" s="432">
        <v>499.9</v>
      </c>
      <c r="I40" s="432">
        <v>500.9</v>
      </c>
      <c r="J40" s="432">
        <v>512.29999999999995</v>
      </c>
      <c r="K40" s="432">
        <v>499.3</v>
      </c>
      <c r="L40" s="432">
        <v>377.2</v>
      </c>
      <c r="M40" s="432">
        <v>363.5</v>
      </c>
      <c r="N40" s="432">
        <v>366.9</v>
      </c>
      <c r="O40" s="432">
        <v>371.7</v>
      </c>
      <c r="P40" s="432">
        <v>381.4</v>
      </c>
      <c r="Q40" s="432">
        <v>379.5</v>
      </c>
      <c r="R40" s="432">
        <v>375.6</v>
      </c>
      <c r="S40" s="432">
        <v>376.2</v>
      </c>
      <c r="T40" s="432">
        <v>374.9</v>
      </c>
      <c r="U40" s="432"/>
      <c r="V40" s="432"/>
      <c r="W40" s="432"/>
      <c r="X40" s="432"/>
      <c r="Y40" s="432"/>
      <c r="Z40" s="432"/>
      <c r="AA40" s="432"/>
      <c r="AB40" s="432"/>
      <c r="AC40" s="432"/>
      <c r="AD40" s="432"/>
      <c r="AE40" s="432"/>
      <c r="AF40" s="432"/>
      <c r="AG40" s="432"/>
      <c r="AH40" s="432"/>
      <c r="AI40" s="432"/>
      <c r="AX40" s="498" t="s">
        <v>476</v>
      </c>
      <c r="AY40" s="103">
        <v>35</v>
      </c>
      <c r="AZ40" s="103">
        <v>445.77777777777777</v>
      </c>
    </row>
    <row r="41" spans="4:52" s="103" customFormat="1" ht="19.5" customHeight="1" x14ac:dyDescent="0.35">
      <c r="D41" s="136">
        <v>31</v>
      </c>
      <c r="E41" s="136">
        <v>500</v>
      </c>
      <c r="F41" s="136">
        <v>560</v>
      </c>
      <c r="G41" s="137">
        <v>607</v>
      </c>
      <c r="H41" s="138">
        <v>505.3</v>
      </c>
      <c r="I41" s="138">
        <v>506.3</v>
      </c>
      <c r="J41" s="138">
        <v>517.29999999999995</v>
      </c>
      <c r="K41" s="138">
        <v>504.5</v>
      </c>
      <c r="L41" s="138">
        <v>381.8</v>
      </c>
      <c r="M41" s="138">
        <v>367.5</v>
      </c>
      <c r="N41" s="138">
        <v>371.7</v>
      </c>
      <c r="O41" s="138">
        <v>376.9</v>
      </c>
      <c r="P41" s="138">
        <v>386.6</v>
      </c>
      <c r="Q41" s="138">
        <v>384.9</v>
      </c>
      <c r="R41" s="138">
        <v>380.6</v>
      </c>
      <c r="S41" s="138">
        <v>381.4</v>
      </c>
      <c r="T41" s="138">
        <v>379.1</v>
      </c>
      <c r="U41" s="138"/>
      <c r="V41" s="138"/>
      <c r="W41" s="138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  <c r="AH41" s="138"/>
      <c r="AI41" s="138"/>
      <c r="AX41" s="498" t="s">
        <v>477</v>
      </c>
      <c r="AY41" s="103">
        <v>36</v>
      </c>
      <c r="AZ41" s="103">
        <v>450.83333333333331</v>
      </c>
    </row>
    <row r="42" spans="4:52" s="103" customFormat="1" ht="19.5" customHeight="1" x14ac:dyDescent="0.35">
      <c r="D42" s="136">
        <v>32</v>
      </c>
      <c r="E42" s="136">
        <v>500</v>
      </c>
      <c r="F42" s="136">
        <v>560</v>
      </c>
      <c r="G42" s="137">
        <v>609.79999999999995</v>
      </c>
      <c r="H42" s="138">
        <v>510.5</v>
      </c>
      <c r="I42" s="138">
        <v>511.4</v>
      </c>
      <c r="J42" s="138">
        <v>522.1</v>
      </c>
      <c r="K42" s="138">
        <v>509.5</v>
      </c>
      <c r="L42" s="138">
        <v>386.8</v>
      </c>
      <c r="M42" s="138">
        <v>372.2</v>
      </c>
      <c r="N42" s="138">
        <v>376.9</v>
      </c>
      <c r="O42" s="138">
        <v>381.9</v>
      </c>
      <c r="P42" s="138">
        <v>391.5</v>
      </c>
      <c r="Q42" s="138">
        <v>390.1</v>
      </c>
      <c r="R42" s="138">
        <v>385.8</v>
      </c>
      <c r="S42" s="138">
        <v>386.6</v>
      </c>
      <c r="T42" s="138">
        <v>383.4</v>
      </c>
      <c r="U42" s="138"/>
      <c r="V42" s="138"/>
      <c r="W42" s="138"/>
      <c r="X42" s="138"/>
      <c r="Y42" s="138"/>
      <c r="Z42" s="138"/>
      <c r="AA42" s="138"/>
      <c r="AB42" s="138"/>
      <c r="AC42" s="138"/>
      <c r="AD42" s="138"/>
      <c r="AE42" s="138"/>
      <c r="AF42" s="138"/>
      <c r="AG42" s="138"/>
      <c r="AH42" s="138"/>
      <c r="AI42" s="138"/>
      <c r="AX42" s="498" t="s">
        <v>478</v>
      </c>
      <c r="AY42" s="103">
        <v>37</v>
      </c>
      <c r="AZ42" s="103">
        <v>456.16666666666669</v>
      </c>
    </row>
    <row r="43" spans="4:52" s="103" customFormat="1" ht="19.5" customHeight="1" x14ac:dyDescent="0.35">
      <c r="D43" s="136">
        <v>33</v>
      </c>
      <c r="E43" s="136">
        <v>500</v>
      </c>
      <c r="F43" s="136">
        <v>560</v>
      </c>
      <c r="G43" s="137">
        <v>612.70000000000005</v>
      </c>
      <c r="H43" s="138">
        <v>515.5</v>
      </c>
      <c r="I43" s="138">
        <v>516.29999999999995</v>
      </c>
      <c r="J43" s="138">
        <v>527</v>
      </c>
      <c r="K43" s="138">
        <v>514.20000000000005</v>
      </c>
      <c r="L43" s="138">
        <v>391.4</v>
      </c>
      <c r="M43" s="138">
        <v>377.3</v>
      </c>
      <c r="N43" s="138">
        <v>381.7</v>
      </c>
      <c r="O43" s="138">
        <v>387.2</v>
      </c>
      <c r="P43" s="138">
        <v>396</v>
      </c>
      <c r="Q43" s="138">
        <v>394.8</v>
      </c>
      <c r="R43" s="138">
        <v>390.7</v>
      </c>
      <c r="S43" s="138">
        <v>391.3</v>
      </c>
      <c r="T43" s="138">
        <v>387.8</v>
      </c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X43" s="498" t="s">
        <v>479</v>
      </c>
      <c r="AY43" s="103">
        <v>38</v>
      </c>
      <c r="AZ43" s="103">
        <v>461.22222222222223</v>
      </c>
    </row>
    <row r="44" spans="4:52" s="103" customFormat="1" ht="19.5" customHeight="1" x14ac:dyDescent="0.35">
      <c r="D44" s="136">
        <v>34</v>
      </c>
      <c r="E44" s="136">
        <v>500</v>
      </c>
      <c r="F44" s="136">
        <v>560</v>
      </c>
      <c r="G44" s="137">
        <v>615.5</v>
      </c>
      <c r="H44" s="138">
        <v>520.29999999999995</v>
      </c>
      <c r="I44" s="138">
        <v>521.1</v>
      </c>
      <c r="J44" s="138">
        <v>531.70000000000005</v>
      </c>
      <c r="K44" s="138">
        <v>518.70000000000005</v>
      </c>
      <c r="L44" s="138">
        <v>396.5</v>
      </c>
      <c r="M44" s="138">
        <v>382</v>
      </c>
      <c r="N44" s="138">
        <v>386.8</v>
      </c>
      <c r="O44" s="138">
        <v>391.9</v>
      </c>
      <c r="P44" s="138">
        <v>400.3</v>
      </c>
      <c r="Q44" s="138">
        <v>399.4</v>
      </c>
      <c r="R44" s="138">
        <v>395.3</v>
      </c>
      <c r="S44" s="138">
        <v>395.7</v>
      </c>
      <c r="T44" s="138">
        <v>391.9</v>
      </c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X44" s="498" t="s">
        <v>480</v>
      </c>
      <c r="AY44" s="103">
        <v>39</v>
      </c>
      <c r="AZ44" s="103">
        <v>466.33333333333331</v>
      </c>
    </row>
    <row r="45" spans="4:52" s="103" customFormat="1" ht="19.5" customHeight="1" x14ac:dyDescent="0.35">
      <c r="D45" s="136">
        <v>35</v>
      </c>
      <c r="E45" s="136">
        <v>500</v>
      </c>
      <c r="F45" s="136">
        <v>560</v>
      </c>
      <c r="G45" s="137">
        <v>618.6</v>
      </c>
      <c r="H45" s="138">
        <v>525.1</v>
      </c>
      <c r="I45" s="138">
        <v>525.9</v>
      </c>
      <c r="J45" s="138">
        <v>535.79999999999995</v>
      </c>
      <c r="K45" s="138">
        <v>523.1</v>
      </c>
      <c r="L45" s="138">
        <v>401.7</v>
      </c>
      <c r="M45" s="138">
        <v>387</v>
      </c>
      <c r="N45" s="138">
        <v>391.5</v>
      </c>
      <c r="O45" s="138">
        <v>396.2</v>
      </c>
      <c r="P45" s="138">
        <v>404.8</v>
      </c>
      <c r="Q45" s="138">
        <v>403.8</v>
      </c>
      <c r="R45" s="138">
        <v>399.6</v>
      </c>
      <c r="S45" s="138">
        <v>399.8</v>
      </c>
      <c r="T45" s="138">
        <v>396.3</v>
      </c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X45" s="498" t="s">
        <v>481</v>
      </c>
      <c r="AY45" s="103">
        <v>40</v>
      </c>
      <c r="AZ45" s="103">
        <v>471.27777777777777</v>
      </c>
    </row>
    <row r="46" spans="4:52" s="103" customFormat="1" ht="19.5" customHeight="1" x14ac:dyDescent="0.35">
      <c r="D46" s="136">
        <v>36</v>
      </c>
      <c r="E46" s="136">
        <v>500</v>
      </c>
      <c r="F46" s="136">
        <v>560</v>
      </c>
      <c r="G46" s="137">
        <v>621.70000000000005</v>
      </c>
      <c r="H46" s="138">
        <v>529.9</v>
      </c>
      <c r="I46" s="138">
        <v>530.6</v>
      </c>
      <c r="J46" s="138">
        <v>539.6</v>
      </c>
      <c r="K46" s="138">
        <v>527.5</v>
      </c>
      <c r="L46" s="138">
        <v>407</v>
      </c>
      <c r="M46" s="138">
        <v>391.6</v>
      </c>
      <c r="N46" s="138">
        <v>395.8</v>
      </c>
      <c r="O46" s="138">
        <v>400.4</v>
      </c>
      <c r="P46" s="138">
        <v>409.2</v>
      </c>
      <c r="Q46" s="138">
        <v>408.3</v>
      </c>
      <c r="R46" s="138">
        <v>404.1</v>
      </c>
      <c r="S46" s="138">
        <v>404.4</v>
      </c>
      <c r="T46" s="138">
        <v>400.5</v>
      </c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X46" s="498" t="s">
        <v>482</v>
      </c>
      <c r="AY46" s="103">
        <v>41</v>
      </c>
      <c r="AZ46" s="103">
        <v>476.05555555555554</v>
      </c>
    </row>
    <row r="47" spans="4:52" s="103" customFormat="1" ht="19.5" customHeight="1" x14ac:dyDescent="0.35">
      <c r="D47" s="136">
        <v>37</v>
      </c>
      <c r="E47" s="136">
        <v>500</v>
      </c>
      <c r="F47" s="136">
        <v>560</v>
      </c>
      <c r="G47" s="137">
        <v>624.70000000000005</v>
      </c>
      <c r="H47" s="138">
        <v>534.4</v>
      </c>
      <c r="I47" s="138">
        <v>535</v>
      </c>
      <c r="J47" s="138">
        <v>543.20000000000005</v>
      </c>
      <c r="K47" s="138">
        <v>531.79999999999995</v>
      </c>
      <c r="L47" s="138">
        <v>412</v>
      </c>
      <c r="M47" s="138">
        <v>395.8</v>
      </c>
      <c r="N47" s="138">
        <v>400</v>
      </c>
      <c r="O47" s="138">
        <v>404.9</v>
      </c>
      <c r="P47" s="138">
        <v>413.5</v>
      </c>
      <c r="Q47" s="138">
        <v>412.6</v>
      </c>
      <c r="R47" s="138">
        <v>408.5</v>
      </c>
      <c r="S47" s="138">
        <v>408.6</v>
      </c>
      <c r="T47" s="138">
        <v>405.1</v>
      </c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X47" s="498" t="s">
        <v>483</v>
      </c>
      <c r="AY47" s="103">
        <v>42</v>
      </c>
      <c r="AZ47" s="103">
        <v>480.88888888888891</v>
      </c>
    </row>
    <row r="48" spans="4:52" s="103" customFormat="1" ht="19.5" customHeight="1" x14ac:dyDescent="0.35">
      <c r="D48" s="136">
        <v>38</v>
      </c>
      <c r="E48" s="136">
        <v>500</v>
      </c>
      <c r="F48" s="136">
        <v>560</v>
      </c>
      <c r="G48" s="137">
        <v>627.6</v>
      </c>
      <c r="H48" s="138">
        <v>538.29999999999995</v>
      </c>
      <c r="I48" s="138">
        <v>538.79999999999995</v>
      </c>
      <c r="J48" s="138">
        <v>547.1</v>
      </c>
      <c r="K48" s="138">
        <v>535.6</v>
      </c>
      <c r="L48" s="138">
        <v>416.8</v>
      </c>
      <c r="M48" s="138">
        <v>400.1</v>
      </c>
      <c r="N48" s="138">
        <v>404.3</v>
      </c>
      <c r="O48" s="138">
        <v>409.3</v>
      </c>
      <c r="P48" s="138">
        <v>418.4</v>
      </c>
      <c r="Q48" s="138">
        <v>417.7</v>
      </c>
      <c r="R48" s="138">
        <v>412.8</v>
      </c>
      <c r="S48" s="138">
        <v>412.9</v>
      </c>
      <c r="T48" s="138">
        <v>409.5</v>
      </c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X48" s="498" t="s">
        <v>484</v>
      </c>
      <c r="AY48" s="103">
        <v>43</v>
      </c>
      <c r="AZ48" s="103">
        <v>485.66666666666669</v>
      </c>
    </row>
    <row r="49" spans="4:52" s="103" customFormat="1" ht="19.5" customHeight="1" x14ac:dyDescent="0.35">
      <c r="D49" s="136">
        <v>39</v>
      </c>
      <c r="E49" s="136">
        <v>500</v>
      </c>
      <c r="F49" s="136">
        <v>560</v>
      </c>
      <c r="G49" s="137">
        <v>630.5</v>
      </c>
      <c r="H49" s="138">
        <v>542</v>
      </c>
      <c r="I49" s="138">
        <v>542.4</v>
      </c>
      <c r="J49" s="138">
        <v>551.29999999999995</v>
      </c>
      <c r="K49" s="138">
        <v>539</v>
      </c>
      <c r="L49" s="138">
        <v>421.3</v>
      </c>
      <c r="M49" s="138">
        <v>404.2</v>
      </c>
      <c r="N49" s="138">
        <v>408.6</v>
      </c>
      <c r="O49" s="138">
        <v>413.6</v>
      </c>
      <c r="P49" s="138">
        <v>423.1</v>
      </c>
      <c r="Q49" s="138">
        <v>422.4</v>
      </c>
      <c r="R49" s="138">
        <v>417.7</v>
      </c>
      <c r="S49" s="138">
        <v>417.8</v>
      </c>
      <c r="T49" s="138">
        <v>413.9</v>
      </c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X49" s="498" t="s">
        <v>485</v>
      </c>
      <c r="AY49" s="103">
        <v>44</v>
      </c>
      <c r="AZ49" s="103">
        <v>490.38888888888891</v>
      </c>
    </row>
    <row r="50" spans="4:52" s="103" customFormat="1" ht="19.5" customHeight="1" x14ac:dyDescent="0.35">
      <c r="D50" s="430">
        <v>40</v>
      </c>
      <c r="E50" s="430">
        <v>500</v>
      </c>
      <c r="F50" s="430">
        <v>560</v>
      </c>
      <c r="G50" s="431">
        <v>633.5</v>
      </c>
      <c r="H50" s="432">
        <v>545.79999999999995</v>
      </c>
      <c r="I50" s="432">
        <v>546.20000000000005</v>
      </c>
      <c r="J50" s="432">
        <v>555.4</v>
      </c>
      <c r="K50" s="432">
        <v>542.29999999999995</v>
      </c>
      <c r="L50" s="432">
        <v>425.8</v>
      </c>
      <c r="M50" s="432">
        <v>408.4</v>
      </c>
      <c r="N50" s="432">
        <v>412.7</v>
      </c>
      <c r="O50" s="432">
        <v>418.4</v>
      </c>
      <c r="P50" s="432">
        <v>427.9</v>
      </c>
      <c r="Q50" s="432">
        <v>427.3</v>
      </c>
      <c r="R50" s="432">
        <v>422.4</v>
      </c>
      <c r="S50" s="432">
        <v>422.4</v>
      </c>
      <c r="T50" s="432">
        <v>418.9</v>
      </c>
      <c r="U50" s="432"/>
      <c r="V50" s="432"/>
      <c r="W50" s="432"/>
      <c r="X50" s="432"/>
      <c r="Y50" s="432"/>
      <c r="Z50" s="432"/>
      <c r="AA50" s="432"/>
      <c r="AB50" s="432"/>
      <c r="AC50" s="432"/>
      <c r="AD50" s="432"/>
      <c r="AE50" s="432"/>
      <c r="AF50" s="432"/>
      <c r="AG50" s="432"/>
      <c r="AH50" s="432"/>
      <c r="AI50" s="432"/>
      <c r="AX50" s="498" t="s">
        <v>486</v>
      </c>
      <c r="AY50" s="103">
        <v>45</v>
      </c>
      <c r="AZ50" s="103">
        <v>495.16666666666669</v>
      </c>
    </row>
    <row r="51" spans="4:52" s="103" customFormat="1" ht="18.75" customHeight="1" x14ac:dyDescent="0.35">
      <c r="D51" s="136">
        <v>41</v>
      </c>
      <c r="E51" s="136">
        <v>500</v>
      </c>
      <c r="F51" s="136">
        <v>560</v>
      </c>
      <c r="G51" s="137">
        <v>636.5</v>
      </c>
      <c r="H51" s="138">
        <v>550.1</v>
      </c>
      <c r="I51" s="138">
        <v>550.5</v>
      </c>
      <c r="J51" s="138">
        <v>559</v>
      </c>
      <c r="K51" s="138">
        <v>545.5</v>
      </c>
      <c r="L51" s="138">
        <v>430.2</v>
      </c>
      <c r="M51" s="138">
        <v>412.4</v>
      </c>
      <c r="N51" s="138">
        <v>417.4</v>
      </c>
      <c r="O51" s="138">
        <v>423</v>
      </c>
      <c r="P51" s="138">
        <v>432.5</v>
      </c>
      <c r="Q51" s="138">
        <v>432</v>
      </c>
      <c r="R51" s="138">
        <v>427.2</v>
      </c>
      <c r="S51" s="138">
        <v>427.2</v>
      </c>
      <c r="T51" s="138">
        <v>423.4</v>
      </c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X51" s="498" t="s">
        <v>487</v>
      </c>
      <c r="AY51" s="103">
        <v>46</v>
      </c>
      <c r="AZ51" s="103">
        <v>499.66666666666669</v>
      </c>
    </row>
    <row r="52" spans="4:52" s="103" customFormat="1" ht="18.75" customHeight="1" x14ac:dyDescent="0.35">
      <c r="D52" s="136">
        <v>42</v>
      </c>
      <c r="E52" s="136">
        <v>500</v>
      </c>
      <c r="F52" s="136">
        <v>560</v>
      </c>
      <c r="G52" s="137">
        <v>639.5</v>
      </c>
      <c r="H52" s="138">
        <v>554.29999999999995</v>
      </c>
      <c r="I52" s="138">
        <v>554.6</v>
      </c>
      <c r="J52" s="138">
        <v>562.29999999999995</v>
      </c>
      <c r="K52" s="138">
        <v>549.4</v>
      </c>
      <c r="L52" s="138">
        <v>435.4</v>
      </c>
      <c r="M52" s="138">
        <v>417.1</v>
      </c>
      <c r="N52" s="138">
        <v>422</v>
      </c>
      <c r="O52" s="138">
        <v>427.7</v>
      </c>
      <c r="P52" s="138">
        <v>436.9</v>
      </c>
      <c r="Q52" s="138">
        <v>436.5</v>
      </c>
      <c r="R52" s="138">
        <v>431.8</v>
      </c>
      <c r="S52" s="138">
        <v>431.7</v>
      </c>
      <c r="T52" s="138">
        <v>428.1</v>
      </c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X52" s="498" t="s">
        <v>488</v>
      </c>
      <c r="AY52" s="103">
        <v>47</v>
      </c>
      <c r="AZ52" s="103">
        <v>504.16666666666669</v>
      </c>
    </row>
    <row r="53" spans="4:52" s="103" customFormat="1" ht="18.75" customHeight="1" x14ac:dyDescent="0.35">
      <c r="D53" s="136">
        <v>43</v>
      </c>
      <c r="E53" s="136">
        <v>500</v>
      </c>
      <c r="F53" s="136">
        <v>560</v>
      </c>
      <c r="G53" s="137">
        <v>642.70000000000005</v>
      </c>
      <c r="H53" s="138">
        <v>558.20000000000005</v>
      </c>
      <c r="I53" s="138">
        <v>558.4</v>
      </c>
      <c r="J53" s="138">
        <v>565.70000000000005</v>
      </c>
      <c r="K53" s="138">
        <v>553.1</v>
      </c>
      <c r="L53" s="138">
        <v>440.2</v>
      </c>
      <c r="M53" s="138">
        <v>421.5</v>
      </c>
      <c r="N53" s="138">
        <v>426.6</v>
      </c>
      <c r="O53" s="138">
        <v>432.2</v>
      </c>
      <c r="P53" s="138">
        <v>441.1</v>
      </c>
      <c r="Q53" s="138">
        <v>440.8</v>
      </c>
      <c r="R53" s="138">
        <v>436.3</v>
      </c>
      <c r="S53" s="138">
        <v>436.1</v>
      </c>
      <c r="T53" s="138">
        <v>432.5</v>
      </c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X53" s="498" t="s">
        <v>489</v>
      </c>
      <c r="AY53" s="103">
        <v>48</v>
      </c>
      <c r="AZ53" s="103">
        <v>508.66666666666669</v>
      </c>
    </row>
    <row r="54" spans="4:52" s="103" customFormat="1" ht="18.75" customHeight="1" x14ac:dyDescent="0.35">
      <c r="D54" s="136">
        <v>44</v>
      </c>
      <c r="E54" s="136">
        <v>500</v>
      </c>
      <c r="F54" s="136">
        <v>560</v>
      </c>
      <c r="G54" s="137">
        <v>646.1</v>
      </c>
      <c r="H54" s="138">
        <v>561.70000000000005</v>
      </c>
      <c r="I54" s="138">
        <v>561.79999999999995</v>
      </c>
      <c r="J54" s="138">
        <v>568.79999999999995</v>
      </c>
      <c r="K54" s="138">
        <v>556.6</v>
      </c>
      <c r="L54" s="138">
        <v>445.4</v>
      </c>
      <c r="M54" s="138">
        <v>426.1</v>
      </c>
      <c r="N54" s="138">
        <v>431.1</v>
      </c>
      <c r="O54" s="138">
        <v>436.6</v>
      </c>
      <c r="P54" s="138">
        <v>445.5</v>
      </c>
      <c r="Q54" s="138">
        <v>445.3</v>
      </c>
      <c r="R54" s="138">
        <v>440.6</v>
      </c>
      <c r="S54" s="138">
        <v>440.3</v>
      </c>
      <c r="T54" s="138">
        <v>436.5</v>
      </c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X54" s="498" t="s">
        <v>490</v>
      </c>
      <c r="AY54" s="103">
        <v>49</v>
      </c>
      <c r="AZ54" s="103">
        <v>513.11111111111109</v>
      </c>
    </row>
    <row r="55" spans="4:52" s="103" customFormat="1" ht="18.75" customHeight="1" x14ac:dyDescent="0.35">
      <c r="D55" s="136">
        <v>45</v>
      </c>
      <c r="E55" s="136">
        <v>500</v>
      </c>
      <c r="F55" s="136">
        <v>560</v>
      </c>
      <c r="G55" s="137">
        <v>649.29999999999995</v>
      </c>
      <c r="H55" s="138">
        <v>565.20000000000005</v>
      </c>
      <c r="I55" s="138">
        <v>565.29999999999995</v>
      </c>
      <c r="J55" s="138">
        <v>571.79999999999995</v>
      </c>
      <c r="K55" s="138">
        <v>559.79999999999995</v>
      </c>
      <c r="L55" s="138">
        <v>450.2</v>
      </c>
      <c r="M55" s="138">
        <v>430.7</v>
      </c>
      <c r="N55" s="138">
        <v>435.5</v>
      </c>
      <c r="O55" s="138">
        <v>440.8</v>
      </c>
      <c r="P55" s="138">
        <v>449.9</v>
      </c>
      <c r="Q55" s="138">
        <v>449.7</v>
      </c>
      <c r="R55" s="138">
        <v>445</v>
      </c>
      <c r="S55" s="138">
        <v>444.7</v>
      </c>
      <c r="T55" s="138">
        <v>440.4</v>
      </c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X55" s="498" t="s">
        <v>491</v>
      </c>
      <c r="AY55" s="103">
        <v>50</v>
      </c>
      <c r="AZ55" s="103">
        <v>517.5</v>
      </c>
    </row>
    <row r="56" spans="4:52" s="103" customFormat="1" ht="18.75" customHeight="1" x14ac:dyDescent="0.35">
      <c r="D56" s="136">
        <v>46</v>
      </c>
      <c r="E56" s="136">
        <v>500</v>
      </c>
      <c r="F56" s="136">
        <v>560</v>
      </c>
      <c r="G56" s="137">
        <v>652.5</v>
      </c>
      <c r="H56" s="138">
        <v>568.5</v>
      </c>
      <c r="I56" s="138">
        <v>568.4</v>
      </c>
      <c r="J56" s="138">
        <v>574.79999999999995</v>
      </c>
      <c r="K56" s="138">
        <v>562.79999999999995</v>
      </c>
      <c r="L56" s="138">
        <v>454.8</v>
      </c>
      <c r="M56" s="138">
        <v>434.9</v>
      </c>
      <c r="N56" s="138">
        <v>439.6</v>
      </c>
      <c r="O56" s="138">
        <v>445.1</v>
      </c>
      <c r="P56" s="138">
        <v>454.4</v>
      </c>
      <c r="Q56" s="138">
        <v>454.3</v>
      </c>
      <c r="R56" s="138">
        <v>449.3</v>
      </c>
      <c r="S56" s="138">
        <v>449</v>
      </c>
      <c r="T56" s="138">
        <v>444.5</v>
      </c>
      <c r="U56" s="138"/>
      <c r="V56" s="138"/>
      <c r="W56" s="138"/>
      <c r="X56" s="138"/>
      <c r="Y56" s="138"/>
      <c r="Z56" s="138"/>
      <c r="AA56" s="138"/>
      <c r="AB56" s="138"/>
      <c r="AC56" s="138"/>
      <c r="AD56" s="138"/>
      <c r="AE56" s="138"/>
      <c r="AF56" s="138"/>
      <c r="AG56" s="138"/>
      <c r="AH56" s="138"/>
      <c r="AI56" s="138"/>
      <c r="AX56" s="498" t="s">
        <v>492</v>
      </c>
      <c r="AY56" s="103">
        <v>51</v>
      </c>
      <c r="AZ56" s="103">
        <v>521.83333333333337</v>
      </c>
    </row>
    <row r="57" spans="4:52" s="103" customFormat="1" ht="18.75" customHeight="1" x14ac:dyDescent="0.35">
      <c r="D57" s="136">
        <v>47</v>
      </c>
      <c r="E57" s="136">
        <v>500</v>
      </c>
      <c r="F57" s="136">
        <v>560</v>
      </c>
      <c r="G57" s="137">
        <v>655.5</v>
      </c>
      <c r="H57" s="138">
        <v>571.6</v>
      </c>
      <c r="I57" s="138">
        <v>571.6</v>
      </c>
      <c r="J57" s="138">
        <v>578</v>
      </c>
      <c r="K57" s="138">
        <v>565.79999999999995</v>
      </c>
      <c r="L57" s="138">
        <v>459.4</v>
      </c>
      <c r="M57" s="138">
        <v>439.1</v>
      </c>
      <c r="N57" s="138">
        <v>443.8</v>
      </c>
      <c r="O57" s="138">
        <v>449.4</v>
      </c>
      <c r="P57" s="138">
        <v>458.9</v>
      </c>
      <c r="Q57" s="138">
        <v>458.9</v>
      </c>
      <c r="R57" s="138">
        <v>453.9</v>
      </c>
      <c r="S57" s="138">
        <v>453.6</v>
      </c>
      <c r="T57" s="138">
        <v>448.4</v>
      </c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X57" s="498" t="s">
        <v>493</v>
      </c>
      <c r="AY57" s="103">
        <v>52</v>
      </c>
      <c r="AZ57" s="103">
        <v>526.16666666666663</v>
      </c>
    </row>
    <row r="58" spans="4:52" s="103" customFormat="1" ht="18.75" customHeight="1" x14ac:dyDescent="0.35">
      <c r="D58" s="136">
        <v>48</v>
      </c>
      <c r="E58" s="136">
        <v>500</v>
      </c>
      <c r="F58" s="136">
        <v>560</v>
      </c>
      <c r="G58" s="137">
        <v>658.9</v>
      </c>
      <c r="H58" s="138">
        <v>574.79999999999995</v>
      </c>
      <c r="I58" s="138">
        <v>574.6</v>
      </c>
      <c r="J58" s="138">
        <v>581.1</v>
      </c>
      <c r="K58" s="138">
        <v>568.6</v>
      </c>
      <c r="L58" s="138">
        <v>464.1</v>
      </c>
      <c r="M58" s="138">
        <v>443.1</v>
      </c>
      <c r="N58" s="138">
        <v>448</v>
      </c>
      <c r="O58" s="138">
        <v>453.9</v>
      </c>
      <c r="P58" s="138">
        <v>463.5</v>
      </c>
      <c r="Q58" s="138">
        <v>463.6</v>
      </c>
      <c r="R58" s="138">
        <v>458.4</v>
      </c>
      <c r="S58" s="138">
        <v>457.9</v>
      </c>
      <c r="T58" s="138">
        <v>453.4</v>
      </c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X58" s="498" t="s">
        <v>494</v>
      </c>
      <c r="AY58" s="103">
        <v>53</v>
      </c>
      <c r="AZ58" s="103">
        <v>530.44444444444446</v>
      </c>
    </row>
    <row r="59" spans="4:52" s="103" customFormat="1" ht="18.75" customHeight="1" x14ac:dyDescent="0.35">
      <c r="D59" s="136">
        <v>49</v>
      </c>
      <c r="E59" s="136">
        <v>500</v>
      </c>
      <c r="F59" s="136">
        <v>560</v>
      </c>
      <c r="G59" s="137">
        <v>663</v>
      </c>
      <c r="H59" s="138">
        <v>578.1</v>
      </c>
      <c r="I59" s="138">
        <v>577.79999999999995</v>
      </c>
      <c r="J59" s="138">
        <v>584.29999999999995</v>
      </c>
      <c r="K59" s="138">
        <v>571.4</v>
      </c>
      <c r="L59" s="138">
        <v>469.2</v>
      </c>
      <c r="M59" s="138">
        <v>447.4</v>
      </c>
      <c r="N59" s="138">
        <v>452.3</v>
      </c>
      <c r="O59" s="138">
        <v>458.4</v>
      </c>
      <c r="P59" s="138">
        <v>468</v>
      </c>
      <c r="Q59" s="138">
        <v>468.1</v>
      </c>
      <c r="R59" s="138">
        <v>463.2</v>
      </c>
      <c r="S59" s="138">
        <v>462.6</v>
      </c>
      <c r="T59" s="138">
        <v>458.1</v>
      </c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  <c r="AX59" s="498" t="s">
        <v>495</v>
      </c>
      <c r="AY59" s="103">
        <v>54</v>
      </c>
      <c r="AZ59" s="103">
        <v>534.61111111111109</v>
      </c>
    </row>
    <row r="60" spans="4:52" s="103" customFormat="1" ht="18.75" customHeight="1" x14ac:dyDescent="0.35">
      <c r="D60" s="430">
        <v>50</v>
      </c>
      <c r="E60" s="430">
        <v>500</v>
      </c>
      <c r="F60" s="430">
        <v>560</v>
      </c>
      <c r="G60" s="431">
        <v>667.3</v>
      </c>
      <c r="H60" s="432">
        <v>581.4</v>
      </c>
      <c r="I60" s="432">
        <v>581</v>
      </c>
      <c r="J60" s="432">
        <v>587.4</v>
      </c>
      <c r="K60" s="432">
        <v>574.1</v>
      </c>
      <c r="L60" s="432">
        <v>474.3</v>
      </c>
      <c r="M60" s="432">
        <v>451.5</v>
      </c>
      <c r="N60" s="432">
        <v>456.7</v>
      </c>
      <c r="O60" s="432">
        <v>462.9</v>
      </c>
      <c r="P60" s="432">
        <v>472.7</v>
      </c>
      <c r="Q60" s="432">
        <v>472.8</v>
      </c>
      <c r="R60" s="432">
        <v>467.6</v>
      </c>
      <c r="S60" s="432">
        <v>467</v>
      </c>
      <c r="T60" s="432">
        <v>463.2</v>
      </c>
      <c r="U60" s="432"/>
      <c r="V60" s="432"/>
      <c r="W60" s="432"/>
      <c r="X60" s="432"/>
      <c r="Y60" s="432"/>
      <c r="Z60" s="432"/>
      <c r="AA60" s="432"/>
      <c r="AB60" s="432"/>
      <c r="AC60" s="432"/>
      <c r="AD60" s="432"/>
      <c r="AE60" s="432"/>
      <c r="AF60" s="432"/>
      <c r="AG60" s="432"/>
      <c r="AH60" s="432"/>
      <c r="AI60" s="432"/>
      <c r="AX60" s="498" t="s">
        <v>496</v>
      </c>
      <c r="AY60" s="103">
        <v>55</v>
      </c>
      <c r="AZ60" s="103">
        <v>538.66666666666663</v>
      </c>
    </row>
    <row r="61" spans="4:52" s="103" customFormat="1" ht="18.75" customHeight="1" x14ac:dyDescent="0.35">
      <c r="D61" s="136">
        <v>51</v>
      </c>
      <c r="E61" s="136">
        <v>500</v>
      </c>
      <c r="F61" s="136">
        <v>560</v>
      </c>
      <c r="G61" s="137">
        <v>671.7</v>
      </c>
      <c r="H61" s="138">
        <v>584.70000000000005</v>
      </c>
      <c r="I61" s="138">
        <v>584.20000000000005</v>
      </c>
      <c r="J61" s="138">
        <v>590.5</v>
      </c>
      <c r="K61" s="138">
        <v>576.9</v>
      </c>
      <c r="L61" s="138">
        <v>479.5</v>
      </c>
      <c r="M61" s="138">
        <v>456</v>
      </c>
      <c r="N61" s="138">
        <v>461.2</v>
      </c>
      <c r="O61" s="138">
        <v>467.4</v>
      </c>
      <c r="P61" s="138">
        <v>477.2</v>
      </c>
      <c r="Q61" s="138">
        <v>477.5</v>
      </c>
      <c r="R61" s="138">
        <v>472.3</v>
      </c>
      <c r="S61" s="138">
        <v>471.5</v>
      </c>
      <c r="T61" s="138">
        <v>467.7</v>
      </c>
      <c r="U61" s="138"/>
      <c r="V61" s="138"/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  <c r="AH61" s="138"/>
      <c r="AI61" s="138"/>
      <c r="AX61" s="498" t="s">
        <v>497</v>
      </c>
      <c r="AY61" s="103">
        <v>56</v>
      </c>
      <c r="AZ61" s="103">
        <v>542.72222222222217</v>
      </c>
    </row>
    <row r="62" spans="4:52" s="103" customFormat="1" ht="18.75" customHeight="1" x14ac:dyDescent="0.35">
      <c r="D62" s="136">
        <v>52</v>
      </c>
      <c r="E62" s="136">
        <v>500</v>
      </c>
      <c r="F62" s="136">
        <v>560</v>
      </c>
      <c r="G62" s="137">
        <v>676.2</v>
      </c>
      <c r="H62" s="138">
        <v>588</v>
      </c>
      <c r="I62" s="138">
        <v>587.29999999999995</v>
      </c>
      <c r="J62" s="138">
        <v>593.6</v>
      </c>
      <c r="K62" s="138">
        <v>579.70000000000005</v>
      </c>
      <c r="L62" s="138">
        <v>484.5</v>
      </c>
      <c r="M62" s="138">
        <v>460.3</v>
      </c>
      <c r="N62" s="138">
        <v>465.6</v>
      </c>
      <c r="O62" s="138">
        <v>472</v>
      </c>
      <c r="P62" s="138">
        <v>481.8</v>
      </c>
      <c r="Q62" s="138">
        <v>482.1</v>
      </c>
      <c r="R62" s="138">
        <v>476.9</v>
      </c>
      <c r="S62" s="138">
        <v>476.1</v>
      </c>
      <c r="T62" s="138">
        <v>472.1</v>
      </c>
      <c r="U62" s="138"/>
      <c r="V62" s="138"/>
      <c r="W62" s="138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38"/>
      <c r="AI62" s="138"/>
      <c r="AX62" s="498" t="s">
        <v>498</v>
      </c>
      <c r="AY62" s="103">
        <v>57</v>
      </c>
      <c r="AZ62" s="103">
        <v>546.72222222222217</v>
      </c>
    </row>
    <row r="63" spans="4:52" s="103" customFormat="1" ht="19.5" customHeight="1" x14ac:dyDescent="0.35">
      <c r="D63" s="136">
        <v>53</v>
      </c>
      <c r="E63" s="136">
        <v>500</v>
      </c>
      <c r="F63" s="136">
        <v>560</v>
      </c>
      <c r="G63" s="137">
        <v>681.9</v>
      </c>
      <c r="H63" s="138">
        <v>591.4</v>
      </c>
      <c r="I63" s="138">
        <v>590.5</v>
      </c>
      <c r="J63" s="138">
        <v>596.70000000000005</v>
      </c>
      <c r="K63" s="138">
        <v>582.6</v>
      </c>
      <c r="L63" s="138">
        <v>489.3</v>
      </c>
      <c r="M63" s="138">
        <v>464.7</v>
      </c>
      <c r="N63" s="138">
        <v>470.1</v>
      </c>
      <c r="O63" s="138">
        <v>476.5</v>
      </c>
      <c r="P63" s="138">
        <v>486.3</v>
      </c>
      <c r="Q63" s="138">
        <v>486.7</v>
      </c>
      <c r="R63" s="138">
        <v>481.5</v>
      </c>
      <c r="S63" s="138">
        <v>480.6</v>
      </c>
      <c r="T63" s="138">
        <v>476.5</v>
      </c>
      <c r="U63" s="138"/>
      <c r="V63" s="138"/>
      <c r="W63" s="138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8"/>
      <c r="AI63" s="138"/>
      <c r="AX63" s="498" t="s">
        <v>499</v>
      </c>
      <c r="AY63" s="103">
        <v>58</v>
      </c>
      <c r="AZ63" s="103">
        <v>550.88888888888891</v>
      </c>
    </row>
    <row r="64" spans="4:52" s="103" customFormat="1" ht="19.5" customHeight="1" x14ac:dyDescent="0.35">
      <c r="D64" s="136">
        <v>54</v>
      </c>
      <c r="E64" s="136">
        <v>500</v>
      </c>
      <c r="F64" s="136">
        <v>560</v>
      </c>
      <c r="G64" s="137">
        <v>687.6</v>
      </c>
      <c r="H64" s="138">
        <v>594.6</v>
      </c>
      <c r="I64" s="138">
        <v>593.70000000000005</v>
      </c>
      <c r="J64" s="138">
        <v>599.9</v>
      </c>
      <c r="K64" s="138">
        <v>585.5</v>
      </c>
      <c r="L64" s="138">
        <v>494</v>
      </c>
      <c r="M64" s="138">
        <v>469.1</v>
      </c>
      <c r="N64" s="138">
        <v>474.6</v>
      </c>
      <c r="O64" s="138">
        <v>481</v>
      </c>
      <c r="P64" s="138">
        <v>490.8</v>
      </c>
      <c r="Q64" s="138">
        <v>491.2</v>
      </c>
      <c r="R64" s="138">
        <v>486</v>
      </c>
      <c r="S64" s="138">
        <v>485.1</v>
      </c>
      <c r="T64" s="138">
        <v>480.8</v>
      </c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X64" s="498" t="s">
        <v>500</v>
      </c>
      <c r="AY64" s="103">
        <v>59</v>
      </c>
      <c r="AZ64" s="103">
        <v>554.94444444444446</v>
      </c>
    </row>
    <row r="65" spans="4:52" s="103" customFormat="1" ht="19.5" customHeight="1" x14ac:dyDescent="0.35">
      <c r="D65" s="136">
        <v>55</v>
      </c>
      <c r="E65" s="136">
        <v>500</v>
      </c>
      <c r="F65" s="136">
        <v>560</v>
      </c>
      <c r="G65" s="137">
        <v>694</v>
      </c>
      <c r="H65" s="138">
        <v>597.9</v>
      </c>
      <c r="I65" s="138">
        <v>596.79999999999995</v>
      </c>
      <c r="J65" s="138">
        <v>603.20000000000005</v>
      </c>
      <c r="K65" s="138">
        <v>588.29999999999995</v>
      </c>
      <c r="L65" s="138">
        <v>498.9</v>
      </c>
      <c r="M65" s="138">
        <v>473.6</v>
      </c>
      <c r="N65" s="138">
        <v>479.1</v>
      </c>
      <c r="O65" s="138">
        <v>485.5</v>
      </c>
      <c r="P65" s="138">
        <v>495.3</v>
      </c>
      <c r="Q65" s="138">
        <v>495.8</v>
      </c>
      <c r="R65" s="138">
        <v>490.5</v>
      </c>
      <c r="S65" s="138">
        <v>489.5</v>
      </c>
      <c r="T65" s="138">
        <v>485.5</v>
      </c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X65" s="498" t="s">
        <v>501</v>
      </c>
      <c r="AY65" s="103">
        <v>60</v>
      </c>
      <c r="AZ65" s="103">
        <v>558.83333333333337</v>
      </c>
    </row>
    <row r="66" spans="4:52" s="103" customFormat="1" ht="19.5" customHeight="1" x14ac:dyDescent="0.35">
      <c r="D66" s="136">
        <v>56</v>
      </c>
      <c r="E66" s="136">
        <v>500</v>
      </c>
      <c r="F66" s="136">
        <v>560</v>
      </c>
      <c r="G66" s="137">
        <v>702.4</v>
      </c>
      <c r="H66" s="138">
        <v>601.4</v>
      </c>
      <c r="I66" s="138">
        <v>600</v>
      </c>
      <c r="J66" s="138">
        <v>606.70000000000005</v>
      </c>
      <c r="K66" s="138">
        <v>591.1</v>
      </c>
      <c r="L66" s="138">
        <v>503.8</v>
      </c>
      <c r="M66" s="138">
        <v>478</v>
      </c>
      <c r="N66" s="138">
        <v>483.5</v>
      </c>
      <c r="O66" s="138">
        <v>489.9</v>
      </c>
      <c r="P66" s="138">
        <v>499.6</v>
      </c>
      <c r="Q66" s="138">
        <v>500.2</v>
      </c>
      <c r="R66" s="138">
        <v>495</v>
      </c>
      <c r="S66" s="138">
        <v>493.9</v>
      </c>
      <c r="T66" s="138">
        <v>490.1</v>
      </c>
      <c r="U66" s="138"/>
      <c r="V66" s="138"/>
      <c r="W66" s="138"/>
      <c r="X66" s="138"/>
      <c r="Y66" s="138"/>
      <c r="Z66" s="138"/>
      <c r="AA66" s="138"/>
      <c r="AB66" s="138"/>
      <c r="AC66" s="138"/>
      <c r="AD66" s="138"/>
      <c r="AE66" s="138"/>
      <c r="AF66" s="138"/>
      <c r="AG66" s="138"/>
      <c r="AH66" s="138"/>
      <c r="AI66" s="138"/>
      <c r="AX66" s="498" t="s">
        <v>502</v>
      </c>
      <c r="AY66" s="103">
        <v>61</v>
      </c>
      <c r="AZ66" s="103">
        <v>562.55555555555554</v>
      </c>
    </row>
    <row r="67" spans="4:52" s="103" customFormat="1" x14ac:dyDescent="0.35">
      <c r="D67" s="136">
        <v>57</v>
      </c>
      <c r="E67" s="136">
        <v>500</v>
      </c>
      <c r="F67" s="136">
        <v>560</v>
      </c>
      <c r="G67" s="137">
        <v>712.9</v>
      </c>
      <c r="H67" s="138">
        <v>604.9</v>
      </c>
      <c r="I67" s="138">
        <v>603.4</v>
      </c>
      <c r="J67" s="138">
        <v>610</v>
      </c>
      <c r="K67" s="138">
        <v>594</v>
      </c>
      <c r="L67" s="138">
        <v>508.7</v>
      </c>
      <c r="M67" s="138">
        <v>482.4</v>
      </c>
      <c r="N67" s="138">
        <v>487.9</v>
      </c>
      <c r="O67" s="138">
        <v>494.4</v>
      </c>
      <c r="P67" s="138">
        <v>504</v>
      </c>
      <c r="Q67" s="138">
        <v>504.6</v>
      </c>
      <c r="R67" s="138">
        <v>499.4</v>
      </c>
      <c r="S67" s="138">
        <v>498.3</v>
      </c>
      <c r="T67" s="138">
        <v>494.7</v>
      </c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X67" s="498" t="s">
        <v>503</v>
      </c>
      <c r="AY67" s="103">
        <v>62</v>
      </c>
      <c r="AZ67" s="103">
        <v>566.27777777777783</v>
      </c>
    </row>
    <row r="68" spans="4:52" s="103" customFormat="1" x14ac:dyDescent="0.35">
      <c r="D68" s="136">
        <v>58</v>
      </c>
      <c r="E68" s="136">
        <v>500</v>
      </c>
      <c r="F68" s="136">
        <v>560</v>
      </c>
      <c r="G68" s="137" t="s">
        <v>17</v>
      </c>
      <c r="H68" s="138">
        <v>608.6</v>
      </c>
      <c r="I68" s="138">
        <v>606.9</v>
      </c>
      <c r="J68" s="138">
        <v>613.5</v>
      </c>
      <c r="K68" s="138">
        <v>596.79999999999995</v>
      </c>
      <c r="L68" s="138">
        <v>513.5</v>
      </c>
      <c r="M68" s="138">
        <v>486.8</v>
      </c>
      <c r="N68" s="138">
        <v>492.3</v>
      </c>
      <c r="O68" s="138">
        <v>498.7</v>
      </c>
      <c r="P68" s="138">
        <v>508.4</v>
      </c>
      <c r="Q68" s="138">
        <v>509.1</v>
      </c>
      <c r="R68" s="138">
        <v>503.8</v>
      </c>
      <c r="S68" s="138">
        <v>502.6</v>
      </c>
      <c r="T68" s="138">
        <v>499.2</v>
      </c>
      <c r="U68" s="138"/>
      <c r="V68" s="138"/>
      <c r="W68" s="138"/>
      <c r="X68" s="138"/>
      <c r="Y68" s="138"/>
      <c r="Z68" s="138"/>
      <c r="AA68" s="138"/>
      <c r="AB68" s="138"/>
      <c r="AC68" s="138"/>
      <c r="AD68" s="138"/>
      <c r="AE68" s="138"/>
      <c r="AF68" s="138"/>
      <c r="AG68" s="138"/>
      <c r="AH68" s="138"/>
      <c r="AI68" s="138"/>
      <c r="AX68" s="498" t="s">
        <v>504</v>
      </c>
      <c r="AY68" s="103">
        <v>63</v>
      </c>
      <c r="AZ68" s="103">
        <v>569.77777777777783</v>
      </c>
    </row>
    <row r="69" spans="4:52" s="13" customFormat="1" x14ac:dyDescent="0.35">
      <c r="D69" s="136">
        <v>59</v>
      </c>
      <c r="E69" s="136">
        <v>500</v>
      </c>
      <c r="F69" s="136">
        <v>560</v>
      </c>
      <c r="G69" s="137" t="s">
        <v>17</v>
      </c>
      <c r="H69" s="138">
        <v>612.20000000000005</v>
      </c>
      <c r="I69" s="138">
        <v>610.29999999999995</v>
      </c>
      <c r="J69" s="138">
        <v>617.1</v>
      </c>
      <c r="K69" s="138">
        <v>599.70000000000005</v>
      </c>
      <c r="L69" s="138">
        <v>518.20000000000005</v>
      </c>
      <c r="M69" s="138">
        <v>491.2</v>
      </c>
      <c r="N69" s="138">
        <v>496.6</v>
      </c>
      <c r="O69" s="138">
        <v>503.1</v>
      </c>
      <c r="P69" s="138">
        <v>512.70000000000005</v>
      </c>
      <c r="Q69" s="138">
        <v>513.5</v>
      </c>
      <c r="R69" s="138">
        <v>508.2</v>
      </c>
      <c r="S69" s="138">
        <v>507</v>
      </c>
      <c r="T69" s="138">
        <v>503.5</v>
      </c>
      <c r="U69" s="138"/>
      <c r="V69" s="138"/>
      <c r="W69" s="138"/>
      <c r="X69" s="138"/>
      <c r="Y69" s="138"/>
      <c r="Z69" s="138"/>
      <c r="AA69" s="138"/>
      <c r="AB69" s="138"/>
      <c r="AC69" s="138"/>
      <c r="AD69" s="138"/>
      <c r="AE69" s="138"/>
      <c r="AF69" s="138"/>
      <c r="AG69" s="138"/>
      <c r="AH69" s="138"/>
      <c r="AI69" s="138"/>
      <c r="AX69" s="498" t="s">
        <v>505</v>
      </c>
      <c r="AY69" s="103">
        <v>64</v>
      </c>
      <c r="AZ69" s="13">
        <v>573.22222222222217</v>
      </c>
    </row>
    <row r="70" spans="4:52" s="103" customFormat="1" x14ac:dyDescent="0.35">
      <c r="D70" s="430">
        <v>60</v>
      </c>
      <c r="E70" s="430">
        <v>500</v>
      </c>
      <c r="F70" s="430">
        <v>560</v>
      </c>
      <c r="G70" s="431" t="s">
        <v>17</v>
      </c>
      <c r="H70" s="432">
        <v>615.9</v>
      </c>
      <c r="I70" s="432">
        <v>613.70000000000005</v>
      </c>
      <c r="J70" s="432">
        <v>620.79999999999995</v>
      </c>
      <c r="K70" s="432">
        <v>602.70000000000005</v>
      </c>
      <c r="L70" s="432">
        <v>522.9</v>
      </c>
      <c r="M70" s="432">
        <v>495.5</v>
      </c>
      <c r="N70" s="432">
        <v>500.9</v>
      </c>
      <c r="O70" s="432">
        <v>507.4</v>
      </c>
      <c r="P70" s="432">
        <v>517</v>
      </c>
      <c r="Q70" s="432">
        <v>517.9</v>
      </c>
      <c r="R70" s="432">
        <v>512.6</v>
      </c>
      <c r="S70" s="432">
        <v>511.3</v>
      </c>
      <c r="T70" s="432">
        <v>508</v>
      </c>
      <c r="U70" s="432"/>
      <c r="V70" s="432"/>
      <c r="W70" s="432"/>
      <c r="X70" s="432"/>
      <c r="Y70" s="432"/>
      <c r="Z70" s="432"/>
      <c r="AA70" s="432"/>
      <c r="AB70" s="432"/>
      <c r="AC70" s="432"/>
      <c r="AD70" s="432"/>
      <c r="AE70" s="432"/>
      <c r="AF70" s="432"/>
      <c r="AG70" s="432"/>
      <c r="AH70" s="432"/>
      <c r="AI70" s="432"/>
      <c r="AX70" s="498" t="s">
        <v>506</v>
      </c>
      <c r="AY70" s="103">
        <v>65</v>
      </c>
      <c r="AZ70" s="103">
        <v>576.77777777777783</v>
      </c>
    </row>
    <row r="71" spans="4:52" s="103" customFormat="1" x14ac:dyDescent="0.35">
      <c r="D71" s="136">
        <v>61</v>
      </c>
      <c r="E71" s="136">
        <v>500</v>
      </c>
      <c r="F71" s="136">
        <v>560</v>
      </c>
      <c r="G71" s="137" t="s">
        <v>17</v>
      </c>
      <c r="H71" s="138">
        <v>619.70000000000005</v>
      </c>
      <c r="I71" s="138">
        <v>617.29999999999995</v>
      </c>
      <c r="J71" s="138">
        <v>624.6</v>
      </c>
      <c r="K71" s="138">
        <v>605.79999999999995</v>
      </c>
      <c r="L71" s="138">
        <v>527.9</v>
      </c>
      <c r="M71" s="138">
        <v>499.8</v>
      </c>
      <c r="N71" s="138">
        <v>505.1</v>
      </c>
      <c r="O71" s="138">
        <v>511.7</v>
      </c>
      <c r="P71" s="138">
        <v>521.4</v>
      </c>
      <c r="Q71" s="138">
        <v>522.29999999999995</v>
      </c>
      <c r="R71" s="138">
        <v>517</v>
      </c>
      <c r="S71" s="138">
        <v>515.6</v>
      </c>
      <c r="T71" s="138">
        <v>512.20000000000005</v>
      </c>
      <c r="U71" s="138"/>
      <c r="V71" s="138"/>
      <c r="W71" s="138"/>
      <c r="X71" s="138"/>
      <c r="Y71" s="138"/>
      <c r="Z71" s="138"/>
      <c r="AA71" s="138"/>
      <c r="AB71" s="138"/>
      <c r="AC71" s="138"/>
      <c r="AD71" s="138"/>
      <c r="AE71" s="138"/>
      <c r="AF71" s="138"/>
      <c r="AG71" s="138"/>
      <c r="AH71" s="138"/>
      <c r="AI71" s="138"/>
      <c r="AX71" s="498" t="s">
        <v>507</v>
      </c>
      <c r="AY71" s="103">
        <v>66</v>
      </c>
      <c r="AZ71" s="103">
        <v>580.33333333333337</v>
      </c>
    </row>
    <row r="72" spans="4:52" s="103" customFormat="1" x14ac:dyDescent="0.35">
      <c r="D72" s="136">
        <v>62</v>
      </c>
      <c r="E72" s="136">
        <v>500</v>
      </c>
      <c r="F72" s="136">
        <v>560</v>
      </c>
      <c r="G72" s="137" t="s">
        <v>17</v>
      </c>
      <c r="H72" s="138">
        <v>623.6</v>
      </c>
      <c r="I72" s="138">
        <v>621.1</v>
      </c>
      <c r="J72" s="138">
        <v>628.4</v>
      </c>
      <c r="K72" s="138">
        <v>608.9</v>
      </c>
      <c r="L72" s="138">
        <v>532.9</v>
      </c>
      <c r="M72" s="138">
        <v>504</v>
      </c>
      <c r="N72" s="138">
        <v>509.4</v>
      </c>
      <c r="O72" s="138">
        <v>516</v>
      </c>
      <c r="P72" s="138">
        <v>525.9</v>
      </c>
      <c r="Q72" s="138">
        <v>526.9</v>
      </c>
      <c r="R72" s="138">
        <v>521.4</v>
      </c>
      <c r="S72" s="138">
        <v>519.9</v>
      </c>
      <c r="T72" s="138">
        <v>516.29999999999995</v>
      </c>
      <c r="U72" s="138"/>
      <c r="V72" s="138"/>
      <c r="W72" s="138"/>
      <c r="X72" s="138"/>
      <c r="Y72" s="138"/>
      <c r="Z72" s="138"/>
      <c r="AA72" s="138"/>
      <c r="AB72" s="138"/>
      <c r="AC72" s="138"/>
      <c r="AD72" s="138"/>
      <c r="AE72" s="138"/>
      <c r="AF72" s="138"/>
      <c r="AG72" s="138"/>
      <c r="AH72" s="138"/>
      <c r="AI72" s="138"/>
      <c r="AX72" s="498" t="s">
        <v>508</v>
      </c>
      <c r="AY72" s="103">
        <v>67</v>
      </c>
      <c r="AZ72" s="103">
        <v>583.94444444444446</v>
      </c>
    </row>
    <row r="73" spans="4:52" s="103" customFormat="1" x14ac:dyDescent="0.35">
      <c r="D73" s="136">
        <v>63</v>
      </c>
      <c r="E73" s="136">
        <v>500</v>
      </c>
      <c r="F73" s="136">
        <v>560</v>
      </c>
      <c r="G73" s="137" t="s">
        <v>17</v>
      </c>
      <c r="H73" s="138">
        <v>627.6</v>
      </c>
      <c r="I73" s="138">
        <v>624.79999999999995</v>
      </c>
      <c r="J73" s="138">
        <v>632.1</v>
      </c>
      <c r="K73" s="138">
        <v>612</v>
      </c>
      <c r="L73" s="138">
        <v>537.29999999999995</v>
      </c>
      <c r="M73" s="138">
        <v>508.4</v>
      </c>
      <c r="N73" s="138">
        <v>513.70000000000005</v>
      </c>
      <c r="O73" s="138">
        <v>520.4</v>
      </c>
      <c r="P73" s="138">
        <v>530.29999999999995</v>
      </c>
      <c r="Q73" s="138">
        <v>531.4</v>
      </c>
      <c r="R73" s="138">
        <v>525.9</v>
      </c>
      <c r="S73" s="138">
        <v>524.29999999999995</v>
      </c>
      <c r="T73" s="138">
        <v>520.5</v>
      </c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  <c r="AE73" s="138"/>
      <c r="AF73" s="138"/>
      <c r="AG73" s="138"/>
      <c r="AH73" s="138"/>
      <c r="AI73" s="138"/>
      <c r="AX73" s="498" t="s">
        <v>509</v>
      </c>
      <c r="AY73" s="103">
        <v>68</v>
      </c>
      <c r="AZ73" s="103">
        <v>587.33333333333337</v>
      </c>
    </row>
    <row r="74" spans="4:52" s="103" customFormat="1" x14ac:dyDescent="0.35">
      <c r="D74" s="136">
        <v>64</v>
      </c>
      <c r="E74" s="136">
        <v>500</v>
      </c>
      <c r="F74" s="136">
        <v>560</v>
      </c>
      <c r="G74" s="137" t="s">
        <v>17</v>
      </c>
      <c r="H74" s="138">
        <v>631.6</v>
      </c>
      <c r="I74" s="138">
        <v>628.70000000000005</v>
      </c>
      <c r="J74" s="138">
        <v>636</v>
      </c>
      <c r="K74" s="138">
        <v>615.20000000000005</v>
      </c>
      <c r="L74" s="138">
        <v>541.6</v>
      </c>
      <c r="M74" s="138">
        <v>512.6</v>
      </c>
      <c r="N74" s="138">
        <v>517.9</v>
      </c>
      <c r="O74" s="138">
        <v>524.70000000000005</v>
      </c>
      <c r="P74" s="138">
        <v>534.70000000000005</v>
      </c>
      <c r="Q74" s="138">
        <v>535.70000000000005</v>
      </c>
      <c r="R74" s="138">
        <v>530.4</v>
      </c>
      <c r="S74" s="138">
        <v>528.70000000000005</v>
      </c>
      <c r="T74" s="138">
        <v>525</v>
      </c>
      <c r="U74" s="138"/>
      <c r="V74" s="138"/>
      <c r="W74" s="138"/>
      <c r="X74" s="138"/>
      <c r="Y74" s="138"/>
      <c r="Z74" s="138"/>
      <c r="AA74" s="138"/>
      <c r="AB74" s="138"/>
      <c r="AC74" s="138"/>
      <c r="AD74" s="138"/>
      <c r="AE74" s="138"/>
      <c r="AF74" s="138"/>
      <c r="AG74" s="138"/>
      <c r="AH74" s="138"/>
      <c r="AI74" s="138"/>
      <c r="AX74" s="498" t="s">
        <v>510</v>
      </c>
      <c r="AY74" s="103">
        <v>69</v>
      </c>
      <c r="AZ74" s="103">
        <v>590.66666666666663</v>
      </c>
    </row>
    <row r="75" spans="4:52" s="103" customFormat="1" x14ac:dyDescent="0.35">
      <c r="D75" s="136">
        <v>65</v>
      </c>
      <c r="E75" s="136">
        <v>500</v>
      </c>
      <c r="F75" s="136">
        <v>560</v>
      </c>
      <c r="G75" s="137" t="s">
        <v>17</v>
      </c>
      <c r="H75" s="138">
        <v>635.6</v>
      </c>
      <c r="I75" s="138">
        <v>632.4</v>
      </c>
      <c r="J75" s="138">
        <v>640</v>
      </c>
      <c r="K75" s="138">
        <v>618.5</v>
      </c>
      <c r="L75" s="138">
        <v>546.1</v>
      </c>
      <c r="M75" s="138">
        <v>516.79999999999995</v>
      </c>
      <c r="N75" s="138">
        <v>522.20000000000005</v>
      </c>
      <c r="O75" s="138">
        <v>529.20000000000005</v>
      </c>
      <c r="P75" s="138">
        <v>538.6</v>
      </c>
      <c r="Q75" s="138">
        <v>539.6</v>
      </c>
      <c r="R75" s="138">
        <v>534.70000000000005</v>
      </c>
      <c r="S75" s="138">
        <v>533.20000000000005</v>
      </c>
      <c r="T75" s="138">
        <v>529.6</v>
      </c>
      <c r="U75" s="138"/>
      <c r="V75" s="138"/>
      <c r="W75" s="138"/>
      <c r="X75" s="138"/>
      <c r="Y75" s="138"/>
      <c r="Z75" s="138"/>
      <c r="AA75" s="138"/>
      <c r="AB75" s="138"/>
      <c r="AC75" s="138"/>
      <c r="AD75" s="138"/>
      <c r="AE75" s="138"/>
      <c r="AF75" s="138"/>
      <c r="AG75" s="138"/>
      <c r="AH75" s="138"/>
      <c r="AI75" s="138"/>
      <c r="AX75" s="498" t="s">
        <v>511</v>
      </c>
      <c r="AY75" s="103">
        <v>70</v>
      </c>
      <c r="AZ75" s="103">
        <v>594.16666666666663</v>
      </c>
    </row>
    <row r="76" spans="4:52" s="103" customFormat="1" x14ac:dyDescent="0.35">
      <c r="D76" s="136">
        <v>66</v>
      </c>
      <c r="E76" s="136">
        <v>500</v>
      </c>
      <c r="F76" s="136">
        <v>560</v>
      </c>
      <c r="G76" s="137" t="s">
        <v>17</v>
      </c>
      <c r="H76" s="138">
        <v>639.9</v>
      </c>
      <c r="I76" s="138">
        <v>636.20000000000005</v>
      </c>
      <c r="J76" s="138">
        <v>644.29999999999995</v>
      </c>
      <c r="K76" s="138">
        <v>622</v>
      </c>
      <c r="L76" s="138">
        <v>551.4</v>
      </c>
      <c r="M76" s="138">
        <v>521.1</v>
      </c>
      <c r="N76" s="138">
        <v>526.6</v>
      </c>
      <c r="O76" s="138">
        <v>533.70000000000005</v>
      </c>
      <c r="P76" s="138">
        <v>542.4</v>
      </c>
      <c r="Q76" s="138">
        <v>543.5</v>
      </c>
      <c r="R76" s="138">
        <v>538.6</v>
      </c>
      <c r="S76" s="138">
        <v>537.1</v>
      </c>
      <c r="T76" s="138">
        <v>534.20000000000005</v>
      </c>
      <c r="U76" s="138"/>
      <c r="V76" s="138"/>
      <c r="W76" s="138"/>
      <c r="X76" s="138"/>
      <c r="Y76" s="138"/>
      <c r="Z76" s="138"/>
      <c r="AA76" s="138"/>
      <c r="AB76" s="138"/>
      <c r="AC76" s="138"/>
      <c r="AD76" s="138"/>
      <c r="AE76" s="138"/>
      <c r="AF76" s="138"/>
      <c r="AG76" s="138"/>
      <c r="AH76" s="138"/>
      <c r="AI76" s="138"/>
      <c r="AX76" s="498" t="s">
        <v>512</v>
      </c>
      <c r="AY76" s="103">
        <v>71</v>
      </c>
      <c r="AZ76" s="103">
        <v>597.77777777777783</v>
      </c>
    </row>
    <row r="77" spans="4:52" s="103" customFormat="1" x14ac:dyDescent="0.35">
      <c r="D77" s="136">
        <v>67</v>
      </c>
      <c r="E77" s="136">
        <v>500</v>
      </c>
      <c r="F77" s="136">
        <v>560</v>
      </c>
      <c r="G77" s="137" t="s">
        <v>17</v>
      </c>
      <c r="H77" s="138">
        <v>644.5</v>
      </c>
      <c r="I77" s="138">
        <v>640.20000000000005</v>
      </c>
      <c r="J77" s="138">
        <v>648.79999999999995</v>
      </c>
      <c r="K77" s="138">
        <v>625.4</v>
      </c>
      <c r="L77" s="138">
        <v>556.6</v>
      </c>
      <c r="M77" s="138">
        <v>525.5</v>
      </c>
      <c r="N77" s="138">
        <v>531</v>
      </c>
      <c r="O77" s="138">
        <v>537.5</v>
      </c>
      <c r="P77" s="138">
        <v>546.5</v>
      </c>
      <c r="Q77" s="138">
        <v>548</v>
      </c>
      <c r="R77" s="138">
        <v>542.5</v>
      </c>
      <c r="S77" s="138">
        <v>540.9</v>
      </c>
      <c r="T77" s="138">
        <v>537.9</v>
      </c>
      <c r="U77" s="138"/>
      <c r="V77" s="138"/>
      <c r="W77" s="138"/>
      <c r="X77" s="138"/>
      <c r="Y77" s="138"/>
      <c r="Z77" s="138"/>
      <c r="AA77" s="138"/>
      <c r="AB77" s="138"/>
      <c r="AC77" s="138"/>
      <c r="AD77" s="138"/>
      <c r="AE77" s="138"/>
      <c r="AF77" s="138"/>
      <c r="AG77" s="138"/>
      <c r="AH77" s="138"/>
      <c r="AI77" s="138"/>
      <c r="AX77" s="498" t="s">
        <v>513</v>
      </c>
      <c r="AY77" s="103">
        <v>72</v>
      </c>
      <c r="AZ77" s="103">
        <v>601.5</v>
      </c>
    </row>
    <row r="78" spans="4:52" s="103" customFormat="1" x14ac:dyDescent="0.35">
      <c r="D78" s="136">
        <v>68</v>
      </c>
      <c r="E78" s="136">
        <v>500</v>
      </c>
      <c r="F78" s="136">
        <v>560</v>
      </c>
      <c r="G78" s="137" t="s">
        <v>17</v>
      </c>
      <c r="H78" s="138">
        <v>649.1</v>
      </c>
      <c r="I78" s="138">
        <v>644.5</v>
      </c>
      <c r="J78" s="138">
        <v>653.20000000000005</v>
      </c>
      <c r="K78" s="138">
        <v>628.9</v>
      </c>
      <c r="L78" s="138">
        <v>561.29999999999995</v>
      </c>
      <c r="M78" s="138">
        <v>529.9</v>
      </c>
      <c r="N78" s="138">
        <v>535.20000000000005</v>
      </c>
      <c r="O78" s="138">
        <v>541.29999999999995</v>
      </c>
      <c r="P78" s="138">
        <v>551.29999999999995</v>
      </c>
      <c r="Q78" s="138">
        <v>552.79999999999995</v>
      </c>
      <c r="R78" s="138">
        <v>546.70000000000005</v>
      </c>
      <c r="S78" s="138">
        <v>544.79999999999995</v>
      </c>
      <c r="T78" s="138">
        <v>541.5</v>
      </c>
      <c r="U78" s="138"/>
      <c r="V78" s="138"/>
      <c r="W78" s="138"/>
      <c r="X78" s="138"/>
      <c r="Y78" s="138"/>
      <c r="Z78" s="138"/>
      <c r="AA78" s="138"/>
      <c r="AB78" s="138"/>
      <c r="AC78" s="138"/>
      <c r="AD78" s="138"/>
      <c r="AE78" s="138"/>
      <c r="AF78" s="138"/>
      <c r="AG78" s="138"/>
      <c r="AH78" s="138"/>
      <c r="AI78" s="138"/>
      <c r="AX78" s="498" t="s">
        <v>514</v>
      </c>
      <c r="AY78" s="103">
        <v>73</v>
      </c>
      <c r="AZ78" s="103">
        <v>605.33333333333337</v>
      </c>
    </row>
    <row r="79" spans="4:52" x14ac:dyDescent="0.35">
      <c r="D79" s="136">
        <v>69</v>
      </c>
      <c r="E79" s="136">
        <v>500</v>
      </c>
      <c r="F79" s="136">
        <v>560</v>
      </c>
      <c r="G79" s="137" t="s">
        <v>17</v>
      </c>
      <c r="H79" s="138">
        <v>653.9</v>
      </c>
      <c r="I79" s="138">
        <v>648.9</v>
      </c>
      <c r="J79" s="138">
        <v>657.5</v>
      </c>
      <c r="K79" s="138">
        <v>632.29999999999995</v>
      </c>
      <c r="L79" s="138">
        <v>566.1</v>
      </c>
      <c r="M79" s="138">
        <v>534.29999999999995</v>
      </c>
      <c r="N79" s="138">
        <v>539</v>
      </c>
      <c r="O79" s="138">
        <v>545.20000000000005</v>
      </c>
      <c r="P79" s="138">
        <v>556.1</v>
      </c>
      <c r="Q79" s="138">
        <v>557.4</v>
      </c>
      <c r="R79" s="138">
        <v>551.5</v>
      </c>
      <c r="S79" s="138">
        <v>549.5</v>
      </c>
      <c r="T79" s="138">
        <v>545.1</v>
      </c>
      <c r="U79" s="138"/>
      <c r="V79" s="138"/>
      <c r="W79" s="138"/>
      <c r="X79" s="138"/>
      <c r="Y79" s="138"/>
      <c r="Z79" s="138"/>
      <c r="AA79" s="138"/>
      <c r="AB79" s="138"/>
      <c r="AC79" s="138"/>
      <c r="AD79" s="138"/>
      <c r="AE79" s="138"/>
      <c r="AF79" s="138"/>
      <c r="AG79" s="138"/>
      <c r="AH79" s="138"/>
      <c r="AI79" s="138"/>
      <c r="AX79" s="498" t="s">
        <v>515</v>
      </c>
      <c r="AY79" s="103">
        <v>74</v>
      </c>
      <c r="AZ79" s="7">
        <v>609.22222222222217</v>
      </c>
    </row>
    <row r="80" spans="4:52" x14ac:dyDescent="0.35">
      <c r="D80" s="430">
        <v>70</v>
      </c>
      <c r="E80" s="430">
        <v>500</v>
      </c>
      <c r="F80" s="430">
        <v>560</v>
      </c>
      <c r="G80" s="431" t="s">
        <v>17</v>
      </c>
      <c r="H80" s="432">
        <v>658.9</v>
      </c>
      <c r="I80" s="432">
        <v>653.29999999999995</v>
      </c>
      <c r="J80" s="432">
        <v>663.1</v>
      </c>
      <c r="K80" s="432">
        <v>635.79999999999995</v>
      </c>
      <c r="L80" s="432">
        <v>570.6</v>
      </c>
      <c r="M80" s="432">
        <v>538.1</v>
      </c>
      <c r="N80" s="432">
        <v>542.79999999999995</v>
      </c>
      <c r="O80" s="432">
        <v>549.9</v>
      </c>
      <c r="P80" s="432">
        <v>560.29999999999995</v>
      </c>
      <c r="Q80" s="432">
        <v>561.6</v>
      </c>
      <c r="R80" s="432">
        <v>556.29999999999995</v>
      </c>
      <c r="S80" s="432">
        <v>554.20000000000005</v>
      </c>
      <c r="T80" s="432">
        <v>550.20000000000005</v>
      </c>
      <c r="U80" s="432"/>
      <c r="V80" s="432"/>
      <c r="W80" s="432"/>
      <c r="X80" s="432"/>
      <c r="Y80" s="432"/>
      <c r="Z80" s="432"/>
      <c r="AA80" s="432"/>
      <c r="AB80" s="432"/>
      <c r="AC80" s="432"/>
      <c r="AD80" s="432"/>
      <c r="AE80" s="432"/>
      <c r="AF80" s="432"/>
      <c r="AG80" s="432"/>
      <c r="AH80" s="432"/>
      <c r="AI80" s="432"/>
      <c r="AX80" s="498" t="s">
        <v>516</v>
      </c>
      <c r="AY80" s="103">
        <v>75</v>
      </c>
      <c r="AZ80" s="7">
        <v>612.88888888888891</v>
      </c>
    </row>
    <row r="81" spans="4:52" x14ac:dyDescent="0.35">
      <c r="D81" s="136">
        <v>71</v>
      </c>
      <c r="E81" s="136">
        <v>500</v>
      </c>
      <c r="F81" s="136">
        <v>560</v>
      </c>
      <c r="G81" s="137" t="s">
        <v>17</v>
      </c>
      <c r="H81" s="138">
        <v>665.5</v>
      </c>
      <c r="I81" s="138">
        <v>657.6</v>
      </c>
      <c r="J81" s="138">
        <v>669.2</v>
      </c>
      <c r="K81" s="138">
        <v>639.6</v>
      </c>
      <c r="L81" s="138">
        <v>575.20000000000005</v>
      </c>
      <c r="M81" s="138">
        <v>541.79999999999995</v>
      </c>
      <c r="N81" s="138">
        <v>546.9</v>
      </c>
      <c r="O81" s="138">
        <v>554.70000000000005</v>
      </c>
      <c r="P81" s="138">
        <v>564.4</v>
      </c>
      <c r="Q81" s="138">
        <v>565.9</v>
      </c>
      <c r="R81" s="138">
        <v>560.5</v>
      </c>
      <c r="S81" s="138">
        <v>558.6</v>
      </c>
      <c r="T81" s="138">
        <v>555.20000000000005</v>
      </c>
      <c r="U81" s="138"/>
      <c r="V81" s="138"/>
      <c r="W81" s="138"/>
      <c r="X81" s="138"/>
      <c r="Y81" s="138"/>
      <c r="Z81" s="138"/>
      <c r="AA81" s="138"/>
      <c r="AB81" s="138"/>
      <c r="AC81" s="138"/>
      <c r="AD81" s="138"/>
      <c r="AE81" s="138"/>
      <c r="AF81" s="138"/>
      <c r="AG81" s="138"/>
      <c r="AH81" s="138"/>
      <c r="AI81" s="138"/>
      <c r="AX81" s="498" t="s">
        <v>517</v>
      </c>
      <c r="AY81" s="103">
        <v>76</v>
      </c>
      <c r="AZ81" s="7">
        <v>616.77777777777783</v>
      </c>
    </row>
    <row r="82" spans="4:52" x14ac:dyDescent="0.35">
      <c r="D82" s="136">
        <v>72</v>
      </c>
      <c r="E82" s="136">
        <v>500</v>
      </c>
      <c r="F82" s="136">
        <v>560</v>
      </c>
      <c r="G82" s="137" t="s">
        <v>17</v>
      </c>
      <c r="H82" s="138">
        <v>672.5</v>
      </c>
      <c r="I82" s="138">
        <v>663.1</v>
      </c>
      <c r="J82" s="138">
        <v>674.8</v>
      </c>
      <c r="K82" s="138">
        <v>643.6</v>
      </c>
      <c r="L82" s="138">
        <v>580.1</v>
      </c>
      <c r="M82" s="138">
        <v>545.79999999999995</v>
      </c>
      <c r="N82" s="138">
        <v>551.6</v>
      </c>
      <c r="O82" s="138">
        <v>559</v>
      </c>
      <c r="P82" s="138">
        <v>568.4</v>
      </c>
      <c r="Q82" s="138">
        <v>569.9</v>
      </c>
      <c r="R82" s="138">
        <v>564.70000000000005</v>
      </c>
      <c r="S82" s="138">
        <v>562.79999999999995</v>
      </c>
      <c r="T82" s="138">
        <v>559.5</v>
      </c>
      <c r="U82" s="138"/>
      <c r="V82" s="138"/>
      <c r="W82" s="138"/>
      <c r="X82" s="138"/>
      <c r="Y82" s="138"/>
      <c r="Z82" s="138"/>
      <c r="AA82" s="138"/>
      <c r="AB82" s="138"/>
      <c r="AC82" s="138"/>
      <c r="AD82" s="138"/>
      <c r="AE82" s="138"/>
      <c r="AF82" s="138"/>
      <c r="AG82" s="138"/>
      <c r="AH82" s="138"/>
      <c r="AI82" s="138"/>
      <c r="AX82" s="498" t="s">
        <v>518</v>
      </c>
      <c r="AY82" s="103">
        <v>77</v>
      </c>
      <c r="AZ82" s="7">
        <v>620.83333333333337</v>
      </c>
    </row>
    <row r="83" spans="4:52" x14ac:dyDescent="0.35">
      <c r="D83" s="136">
        <v>73</v>
      </c>
      <c r="E83" s="136">
        <v>500</v>
      </c>
      <c r="F83" s="136">
        <v>560</v>
      </c>
      <c r="G83" s="137" t="s">
        <v>17</v>
      </c>
      <c r="H83" s="138">
        <v>681</v>
      </c>
      <c r="I83" s="138">
        <v>669.2</v>
      </c>
      <c r="J83" s="138">
        <v>682.2</v>
      </c>
      <c r="K83" s="138">
        <v>647.79999999999995</v>
      </c>
      <c r="L83" s="138">
        <v>585.20000000000005</v>
      </c>
      <c r="M83" s="138">
        <v>550.5</v>
      </c>
      <c r="N83" s="138">
        <v>556.29999999999995</v>
      </c>
      <c r="O83" s="138">
        <v>563.1</v>
      </c>
      <c r="P83" s="138">
        <v>572.4</v>
      </c>
      <c r="Q83" s="138">
        <v>574</v>
      </c>
      <c r="R83" s="138">
        <v>568.79999999999995</v>
      </c>
      <c r="S83" s="138">
        <v>567</v>
      </c>
      <c r="T83" s="138">
        <v>563.6</v>
      </c>
      <c r="U83" s="138"/>
      <c r="V83" s="138"/>
      <c r="W83" s="138"/>
      <c r="X83" s="138"/>
      <c r="Y83" s="138"/>
      <c r="Z83" s="138"/>
      <c r="AA83" s="138"/>
      <c r="AB83" s="138"/>
      <c r="AC83" s="138"/>
      <c r="AD83" s="138"/>
      <c r="AE83" s="138"/>
      <c r="AF83" s="138"/>
      <c r="AG83" s="138"/>
      <c r="AH83" s="138"/>
      <c r="AI83" s="138"/>
      <c r="AX83" s="498" t="s">
        <v>519</v>
      </c>
      <c r="AY83" s="103">
        <v>78</v>
      </c>
      <c r="AZ83" s="7">
        <v>625.16666666666663</v>
      </c>
    </row>
    <row r="84" spans="4:52" x14ac:dyDescent="0.35">
      <c r="D84" s="139">
        <v>74</v>
      </c>
      <c r="E84" s="139">
        <v>500</v>
      </c>
      <c r="F84" s="139">
        <v>560</v>
      </c>
      <c r="G84" s="140" t="s">
        <v>17</v>
      </c>
      <c r="H84" s="123">
        <v>690.6</v>
      </c>
      <c r="I84" s="123">
        <v>674.8</v>
      </c>
      <c r="J84" s="123">
        <v>689.1</v>
      </c>
      <c r="K84" s="123">
        <v>652</v>
      </c>
      <c r="L84" s="123">
        <v>590.29999999999995</v>
      </c>
      <c r="M84" s="123">
        <v>555.29999999999995</v>
      </c>
      <c r="N84" s="123">
        <v>560.4</v>
      </c>
      <c r="O84" s="123">
        <v>567.20000000000005</v>
      </c>
      <c r="P84" s="123">
        <v>576.5</v>
      </c>
      <c r="Q84" s="123">
        <v>578.20000000000005</v>
      </c>
      <c r="R84" s="123">
        <v>572.79999999999995</v>
      </c>
      <c r="S84" s="123">
        <v>570.9</v>
      </c>
      <c r="T84" s="123">
        <v>567.70000000000005</v>
      </c>
      <c r="U84" s="123"/>
      <c r="V84" s="123"/>
      <c r="W84" s="123"/>
      <c r="X84" s="123"/>
      <c r="Y84" s="123"/>
      <c r="Z84" s="123"/>
      <c r="AA84" s="123"/>
      <c r="AB84" s="123"/>
      <c r="AC84" s="123"/>
      <c r="AD84" s="123"/>
      <c r="AE84" s="123"/>
      <c r="AF84" s="123"/>
      <c r="AG84" s="123"/>
      <c r="AH84" s="123"/>
      <c r="AI84" s="123"/>
      <c r="AX84" s="498" t="s">
        <v>520</v>
      </c>
      <c r="AY84" s="103">
        <v>79</v>
      </c>
      <c r="AZ84" s="7">
        <v>629.61111111111109</v>
      </c>
    </row>
    <row r="85" spans="4:52" x14ac:dyDescent="0.35">
      <c r="D85" s="136">
        <v>75</v>
      </c>
      <c r="E85" s="136">
        <v>500</v>
      </c>
      <c r="F85" s="136">
        <v>560</v>
      </c>
      <c r="G85" s="141" t="s">
        <v>17</v>
      </c>
      <c r="H85" s="121">
        <v>704.6</v>
      </c>
      <c r="I85" s="121">
        <v>682.1</v>
      </c>
      <c r="J85" s="121">
        <v>695.9</v>
      </c>
      <c r="K85" s="121">
        <v>656.2</v>
      </c>
      <c r="L85" s="121">
        <v>595.6</v>
      </c>
      <c r="M85" s="121">
        <v>559.5</v>
      </c>
      <c r="N85" s="121">
        <v>564.5</v>
      </c>
      <c r="O85" s="121">
        <v>571.20000000000005</v>
      </c>
      <c r="P85" s="121">
        <v>580.79999999999995</v>
      </c>
      <c r="Q85" s="121">
        <v>582.70000000000005</v>
      </c>
      <c r="R85" s="121">
        <v>577</v>
      </c>
      <c r="S85" s="121">
        <v>575</v>
      </c>
      <c r="T85" s="121">
        <v>571.70000000000005</v>
      </c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X85" s="498" t="s">
        <v>521</v>
      </c>
      <c r="AY85" s="103">
        <v>80</v>
      </c>
      <c r="AZ85" s="7">
        <v>633.88888888888891</v>
      </c>
    </row>
    <row r="86" spans="4:52" x14ac:dyDescent="0.35">
      <c r="D86" s="136">
        <v>76</v>
      </c>
      <c r="E86" s="136">
        <v>500</v>
      </c>
      <c r="F86" s="136">
        <v>560</v>
      </c>
      <c r="G86" s="141" t="s">
        <v>17</v>
      </c>
      <c r="H86" s="121" t="s">
        <v>17</v>
      </c>
      <c r="I86" s="121">
        <v>689</v>
      </c>
      <c r="J86" s="121">
        <v>703.9</v>
      </c>
      <c r="K86" s="121">
        <v>661.4</v>
      </c>
      <c r="L86" s="121">
        <v>601.20000000000005</v>
      </c>
      <c r="M86" s="121">
        <v>563.6</v>
      </c>
      <c r="N86" s="121">
        <v>568.5</v>
      </c>
      <c r="O86" s="121">
        <v>575.20000000000005</v>
      </c>
      <c r="P86" s="121">
        <v>585.20000000000005</v>
      </c>
      <c r="Q86" s="121">
        <v>587.1</v>
      </c>
      <c r="R86" s="121">
        <v>581.4</v>
      </c>
      <c r="S86" s="121">
        <v>579.29999999999995</v>
      </c>
      <c r="T86" s="121">
        <v>575.79999999999995</v>
      </c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X86" s="498" t="s">
        <v>522</v>
      </c>
      <c r="AY86" s="103">
        <v>81</v>
      </c>
      <c r="AZ86" s="7">
        <v>638.44444444444446</v>
      </c>
    </row>
    <row r="87" spans="4:52" x14ac:dyDescent="0.35">
      <c r="D87" s="136">
        <v>77</v>
      </c>
      <c r="E87" s="136">
        <v>500</v>
      </c>
      <c r="F87" s="136">
        <v>560</v>
      </c>
      <c r="G87" s="141" t="s">
        <v>17</v>
      </c>
      <c r="H87" s="121" t="s">
        <v>17</v>
      </c>
      <c r="I87" s="121">
        <v>695.7</v>
      </c>
      <c r="J87" s="121">
        <v>713.1</v>
      </c>
      <c r="K87" s="121">
        <v>667.6</v>
      </c>
      <c r="L87" s="121">
        <v>607.20000000000005</v>
      </c>
      <c r="M87" s="121">
        <v>567.70000000000005</v>
      </c>
      <c r="N87" s="121">
        <v>572.4</v>
      </c>
      <c r="O87" s="121">
        <v>579.5</v>
      </c>
      <c r="P87" s="121">
        <v>589.70000000000005</v>
      </c>
      <c r="Q87" s="121">
        <v>591.70000000000005</v>
      </c>
      <c r="R87" s="121">
        <v>585.9</v>
      </c>
      <c r="S87" s="121">
        <v>583.79999999999995</v>
      </c>
      <c r="T87" s="121">
        <v>580</v>
      </c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X87" s="498" t="s">
        <v>523</v>
      </c>
      <c r="AY87" s="103">
        <v>82</v>
      </c>
      <c r="AZ87" s="7">
        <v>643.33333333333337</v>
      </c>
    </row>
    <row r="88" spans="4:52" x14ac:dyDescent="0.35">
      <c r="D88" s="136">
        <v>78</v>
      </c>
      <c r="E88" s="136">
        <v>500</v>
      </c>
      <c r="F88" s="136">
        <v>560</v>
      </c>
      <c r="G88" s="141" t="s">
        <v>17</v>
      </c>
      <c r="H88" s="121" t="s">
        <v>17</v>
      </c>
      <c r="I88" s="121">
        <v>703.8</v>
      </c>
      <c r="J88" s="121" t="s">
        <v>17</v>
      </c>
      <c r="K88" s="121">
        <v>674</v>
      </c>
      <c r="L88" s="121">
        <v>613.29999999999995</v>
      </c>
      <c r="M88" s="121">
        <v>571.70000000000005</v>
      </c>
      <c r="N88" s="121">
        <v>576.5</v>
      </c>
      <c r="O88" s="121">
        <v>583.9</v>
      </c>
      <c r="P88" s="121">
        <v>594.20000000000005</v>
      </c>
      <c r="Q88" s="121">
        <v>596.29999999999995</v>
      </c>
      <c r="R88" s="121">
        <v>590.4</v>
      </c>
      <c r="S88" s="121">
        <v>588.29999999999995</v>
      </c>
      <c r="T88" s="121">
        <v>584.4</v>
      </c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X88" s="498" t="s">
        <v>524</v>
      </c>
      <c r="AY88" s="103">
        <v>83</v>
      </c>
      <c r="AZ88" s="7">
        <v>648.66666666666663</v>
      </c>
    </row>
    <row r="89" spans="4:52" x14ac:dyDescent="0.35">
      <c r="D89" s="136">
        <v>79</v>
      </c>
      <c r="E89" s="136">
        <v>500</v>
      </c>
      <c r="F89" s="136">
        <v>560</v>
      </c>
      <c r="G89" s="141" t="s">
        <v>17</v>
      </c>
      <c r="H89" s="121" t="s">
        <v>17</v>
      </c>
      <c r="I89" s="121">
        <v>713.1</v>
      </c>
      <c r="J89" s="121" t="s">
        <v>17</v>
      </c>
      <c r="K89" s="121">
        <v>682.9</v>
      </c>
      <c r="L89" s="121">
        <v>620</v>
      </c>
      <c r="M89" s="121">
        <v>575.70000000000005</v>
      </c>
      <c r="N89" s="121">
        <v>580.79999999999995</v>
      </c>
      <c r="O89" s="121">
        <v>588.4</v>
      </c>
      <c r="P89" s="121">
        <v>598.9</v>
      </c>
      <c r="Q89" s="121">
        <v>601.1</v>
      </c>
      <c r="R89" s="121">
        <v>595.1</v>
      </c>
      <c r="S89" s="121">
        <v>592.9</v>
      </c>
      <c r="T89" s="121">
        <v>588.79999999999995</v>
      </c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X89" s="498" t="s">
        <v>525</v>
      </c>
      <c r="AY89" s="103">
        <v>84</v>
      </c>
      <c r="AZ89" s="7">
        <v>654.22222222222217</v>
      </c>
    </row>
    <row r="90" spans="4:52" x14ac:dyDescent="0.35">
      <c r="D90" s="430">
        <v>80</v>
      </c>
      <c r="E90" s="430">
        <v>500</v>
      </c>
      <c r="F90" s="430">
        <v>560</v>
      </c>
      <c r="G90" s="433" t="s">
        <v>17</v>
      </c>
      <c r="H90" s="434" t="s">
        <v>17</v>
      </c>
      <c r="I90" s="434" t="s">
        <v>17</v>
      </c>
      <c r="J90" s="434" t="s">
        <v>17</v>
      </c>
      <c r="K90" s="434">
        <v>693.6</v>
      </c>
      <c r="L90" s="434">
        <v>627.20000000000005</v>
      </c>
      <c r="M90" s="434">
        <v>580</v>
      </c>
      <c r="N90" s="434">
        <v>585.1</v>
      </c>
      <c r="O90" s="434">
        <v>592.9</v>
      </c>
      <c r="P90" s="434">
        <v>603.9</v>
      </c>
      <c r="Q90" s="434">
        <v>606.29999999999995</v>
      </c>
      <c r="R90" s="434">
        <v>599.9</v>
      </c>
      <c r="S90" s="434">
        <v>597.6</v>
      </c>
      <c r="T90" s="434">
        <v>593.4</v>
      </c>
      <c r="U90" s="434"/>
      <c r="V90" s="434"/>
      <c r="W90" s="434"/>
      <c r="X90" s="434"/>
      <c r="Y90" s="434"/>
      <c r="Z90" s="434"/>
      <c r="AA90" s="434"/>
      <c r="AB90" s="434"/>
      <c r="AC90" s="434"/>
      <c r="AD90" s="434"/>
      <c r="AE90" s="434"/>
      <c r="AF90" s="434"/>
      <c r="AG90" s="434"/>
      <c r="AH90" s="434"/>
      <c r="AI90" s="434"/>
      <c r="AX90" s="498" t="s">
        <v>526</v>
      </c>
      <c r="AY90" s="103">
        <v>85</v>
      </c>
      <c r="AZ90" s="7">
        <v>659.88888888888891</v>
      </c>
    </row>
    <row r="91" spans="4:52" x14ac:dyDescent="0.35">
      <c r="D91" s="136">
        <v>81</v>
      </c>
      <c r="E91" s="136">
        <v>500</v>
      </c>
      <c r="F91" s="136">
        <v>560</v>
      </c>
      <c r="G91" s="141" t="s">
        <v>17</v>
      </c>
      <c r="H91" s="121" t="s">
        <v>17</v>
      </c>
      <c r="I91" s="121" t="s">
        <v>17</v>
      </c>
      <c r="J91" s="121" t="s">
        <v>17</v>
      </c>
      <c r="K91" s="121" t="s">
        <v>17</v>
      </c>
      <c r="L91" s="121">
        <v>634.5</v>
      </c>
      <c r="M91" s="121">
        <v>584.5</v>
      </c>
      <c r="N91" s="121">
        <v>589.6</v>
      </c>
      <c r="O91" s="121">
        <v>597.6</v>
      </c>
      <c r="P91" s="121">
        <v>609.1</v>
      </c>
      <c r="Q91" s="121">
        <v>611.70000000000005</v>
      </c>
      <c r="R91" s="121">
        <v>605.1</v>
      </c>
      <c r="S91" s="121">
        <v>602.70000000000005</v>
      </c>
      <c r="T91" s="121">
        <v>598.1</v>
      </c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X91" s="498" t="s">
        <v>527</v>
      </c>
      <c r="AY91" s="103">
        <v>86</v>
      </c>
      <c r="AZ91" s="7">
        <v>667.05555555555554</v>
      </c>
    </row>
    <row r="92" spans="4:52" x14ac:dyDescent="0.35">
      <c r="D92" s="136">
        <v>82</v>
      </c>
      <c r="E92" s="136">
        <v>500</v>
      </c>
      <c r="F92" s="136">
        <v>560</v>
      </c>
      <c r="G92" s="141" t="s">
        <v>17</v>
      </c>
      <c r="H92" s="121" t="s">
        <v>17</v>
      </c>
      <c r="I92" s="121" t="s">
        <v>17</v>
      </c>
      <c r="J92" s="121" t="s">
        <v>17</v>
      </c>
      <c r="K92" s="121" t="s">
        <v>17</v>
      </c>
      <c r="L92" s="121">
        <v>642.79999999999995</v>
      </c>
      <c r="M92" s="121">
        <v>588.9</v>
      </c>
      <c r="N92" s="121">
        <v>594.1</v>
      </c>
      <c r="O92" s="121">
        <v>602.6</v>
      </c>
      <c r="P92" s="121">
        <v>614.5</v>
      </c>
      <c r="Q92" s="121">
        <v>617.4</v>
      </c>
      <c r="R92" s="121">
        <v>610.5</v>
      </c>
      <c r="S92" s="121">
        <v>608.1</v>
      </c>
      <c r="T92" s="121">
        <v>603.20000000000005</v>
      </c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X92" s="498" t="s">
        <v>528</v>
      </c>
      <c r="AY92" s="103">
        <v>87</v>
      </c>
      <c r="AZ92" s="7">
        <v>674.27777777777783</v>
      </c>
    </row>
    <row r="93" spans="4:52" x14ac:dyDescent="0.35">
      <c r="D93" s="136">
        <v>83</v>
      </c>
      <c r="E93" s="136">
        <v>500</v>
      </c>
      <c r="F93" s="136">
        <v>560</v>
      </c>
      <c r="G93" s="141" t="s">
        <v>17</v>
      </c>
      <c r="H93" s="121" t="s">
        <v>17</v>
      </c>
      <c r="I93" s="121" t="s">
        <v>17</v>
      </c>
      <c r="J93" s="121" t="s">
        <v>17</v>
      </c>
      <c r="K93" s="121" t="s">
        <v>17</v>
      </c>
      <c r="L93" s="121">
        <v>652</v>
      </c>
      <c r="M93" s="121">
        <v>593.5</v>
      </c>
      <c r="N93" s="121">
        <v>598.79999999999995</v>
      </c>
      <c r="O93" s="121">
        <v>607.9</v>
      </c>
      <c r="P93" s="121">
        <v>620.4</v>
      </c>
      <c r="Q93" s="121">
        <v>623.5</v>
      </c>
      <c r="R93" s="121">
        <v>616.1</v>
      </c>
      <c r="S93" s="121">
        <v>613.6</v>
      </c>
      <c r="T93" s="121">
        <v>608.5</v>
      </c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X93" s="498" t="s">
        <v>529</v>
      </c>
      <c r="AY93" s="103">
        <v>88</v>
      </c>
      <c r="AZ93" s="7">
        <v>683.27777777777783</v>
      </c>
    </row>
    <row r="94" spans="4:52" x14ac:dyDescent="0.35">
      <c r="D94" s="136">
        <v>84</v>
      </c>
      <c r="E94" s="136">
        <v>500</v>
      </c>
      <c r="F94" s="136">
        <v>560</v>
      </c>
      <c r="G94" s="141" t="s">
        <v>17</v>
      </c>
      <c r="H94" s="121" t="s">
        <v>17</v>
      </c>
      <c r="I94" s="121" t="s">
        <v>17</v>
      </c>
      <c r="J94" s="121" t="s">
        <v>17</v>
      </c>
      <c r="K94" s="121" t="s">
        <v>17</v>
      </c>
      <c r="L94" s="121">
        <v>662.7</v>
      </c>
      <c r="M94" s="121">
        <v>598.20000000000005</v>
      </c>
      <c r="N94" s="121">
        <v>603.79999999999995</v>
      </c>
      <c r="O94" s="121">
        <v>613.29999999999995</v>
      </c>
      <c r="P94" s="121">
        <v>626.4</v>
      </c>
      <c r="Q94" s="121">
        <v>629.6</v>
      </c>
      <c r="R94" s="121">
        <v>622.4</v>
      </c>
      <c r="S94" s="121">
        <v>619.6</v>
      </c>
      <c r="T94" s="121">
        <v>614</v>
      </c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X94" s="498" t="s">
        <v>530</v>
      </c>
      <c r="AY94" s="103">
        <v>89</v>
      </c>
      <c r="AZ94" s="7">
        <v>692.83333333333337</v>
      </c>
    </row>
    <row r="95" spans="4:52" x14ac:dyDescent="0.35">
      <c r="D95" s="136">
        <v>85</v>
      </c>
      <c r="E95" s="136">
        <v>500</v>
      </c>
      <c r="F95" s="136">
        <v>560</v>
      </c>
      <c r="G95" s="141" t="s">
        <v>17</v>
      </c>
      <c r="H95" s="121" t="s">
        <v>17</v>
      </c>
      <c r="I95" s="121" t="s">
        <v>17</v>
      </c>
      <c r="J95" s="121" t="s">
        <v>17</v>
      </c>
      <c r="K95" s="121" t="s">
        <v>17</v>
      </c>
      <c r="L95" s="121">
        <v>677.1</v>
      </c>
      <c r="M95" s="121">
        <v>603.20000000000005</v>
      </c>
      <c r="N95" s="121">
        <v>609</v>
      </c>
      <c r="O95" s="121">
        <v>619.20000000000005</v>
      </c>
      <c r="P95" s="121">
        <v>632.5</v>
      </c>
      <c r="Q95" s="121">
        <v>636</v>
      </c>
      <c r="R95" s="121">
        <v>628.5</v>
      </c>
      <c r="S95" s="121">
        <v>625.79999999999995</v>
      </c>
      <c r="T95" s="121">
        <v>619.9</v>
      </c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X95" s="498" t="s">
        <v>531</v>
      </c>
      <c r="AY95" s="103">
        <v>90</v>
      </c>
      <c r="AZ95" s="7">
        <v>705.27777777777783</v>
      </c>
    </row>
    <row r="96" spans="4:52" x14ac:dyDescent="0.35">
      <c r="D96" s="136">
        <v>86</v>
      </c>
      <c r="E96" s="136">
        <v>500</v>
      </c>
      <c r="F96" s="136">
        <v>560</v>
      </c>
      <c r="G96" s="141" t="s">
        <v>17</v>
      </c>
      <c r="H96" s="121" t="s">
        <v>17</v>
      </c>
      <c r="I96" s="121" t="s">
        <v>17</v>
      </c>
      <c r="J96" s="121" t="s">
        <v>17</v>
      </c>
      <c r="K96" s="121" t="s">
        <v>17</v>
      </c>
      <c r="L96" s="121">
        <v>695.1</v>
      </c>
      <c r="M96" s="121">
        <v>608.6</v>
      </c>
      <c r="N96" s="121">
        <v>614.4</v>
      </c>
      <c r="O96" s="121">
        <v>625.29999999999995</v>
      </c>
      <c r="P96" s="121">
        <v>639.29999999999995</v>
      </c>
      <c r="Q96" s="121">
        <v>643.20000000000005</v>
      </c>
      <c r="R96" s="121">
        <v>635</v>
      </c>
      <c r="S96" s="121">
        <v>632.29999999999995</v>
      </c>
      <c r="T96" s="121">
        <v>626.20000000000005</v>
      </c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X96" s="498" t="s">
        <v>532</v>
      </c>
      <c r="AY96" s="103">
        <v>91</v>
      </c>
      <c r="AZ96" s="7">
        <v>726.05555555555554</v>
      </c>
    </row>
    <row r="97" spans="4:51" x14ac:dyDescent="0.35">
      <c r="D97" s="136">
        <v>87</v>
      </c>
      <c r="E97" s="136">
        <v>500</v>
      </c>
      <c r="F97" s="136">
        <v>560</v>
      </c>
      <c r="G97" s="141" t="s">
        <v>17</v>
      </c>
      <c r="H97" s="121" t="s">
        <v>17</v>
      </c>
      <c r="I97" s="121" t="s">
        <v>17</v>
      </c>
      <c r="J97" s="121" t="s">
        <v>17</v>
      </c>
      <c r="K97" s="121" t="s">
        <v>17</v>
      </c>
      <c r="L97" s="121" t="s">
        <v>17</v>
      </c>
      <c r="M97" s="121">
        <v>614</v>
      </c>
      <c r="N97" s="121">
        <v>620.4</v>
      </c>
      <c r="O97" s="121">
        <v>631.5</v>
      </c>
      <c r="P97" s="121">
        <v>646.70000000000005</v>
      </c>
      <c r="Q97" s="121">
        <v>651</v>
      </c>
      <c r="R97" s="121">
        <v>642.29999999999995</v>
      </c>
      <c r="S97" s="121">
        <v>639.29999999999995</v>
      </c>
      <c r="T97" s="121">
        <v>632.6</v>
      </c>
      <c r="U97" s="121"/>
      <c r="V97" s="121"/>
      <c r="W97" s="121"/>
      <c r="X97" s="121"/>
      <c r="Y97" s="121"/>
      <c r="Z97" s="121"/>
      <c r="AA97" s="121"/>
      <c r="AB97" s="121"/>
      <c r="AC97" s="121"/>
      <c r="AD97" s="121"/>
      <c r="AE97" s="121"/>
      <c r="AF97" s="121"/>
      <c r="AG97" s="121"/>
      <c r="AH97" s="121"/>
      <c r="AI97" s="121"/>
      <c r="AX97" s="498" t="s">
        <v>533</v>
      </c>
      <c r="AY97" s="103">
        <v>92</v>
      </c>
    </row>
    <row r="98" spans="4:51" x14ac:dyDescent="0.35">
      <c r="D98" s="136">
        <v>88</v>
      </c>
      <c r="E98" s="136">
        <v>500</v>
      </c>
      <c r="F98" s="136">
        <v>560</v>
      </c>
      <c r="G98" s="141" t="s">
        <v>17</v>
      </c>
      <c r="H98" s="121" t="s">
        <v>17</v>
      </c>
      <c r="I98" s="121" t="s">
        <v>17</v>
      </c>
      <c r="J98" s="121" t="s">
        <v>17</v>
      </c>
      <c r="K98" s="121" t="s">
        <v>17</v>
      </c>
      <c r="L98" s="121" t="s">
        <v>17</v>
      </c>
      <c r="M98" s="121">
        <v>620</v>
      </c>
      <c r="N98" s="121">
        <v>626.4</v>
      </c>
      <c r="O98" s="121">
        <v>638.20000000000005</v>
      </c>
      <c r="P98" s="121">
        <v>654.29999999999995</v>
      </c>
      <c r="Q98" s="121">
        <v>659.1</v>
      </c>
      <c r="R98" s="121">
        <v>650.1</v>
      </c>
      <c r="S98" s="121">
        <v>647.20000000000005</v>
      </c>
      <c r="T98" s="121">
        <v>639.5</v>
      </c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X98" s="498" t="s">
        <v>534</v>
      </c>
      <c r="AY98" s="103">
        <v>93</v>
      </c>
    </row>
    <row r="99" spans="4:51" x14ac:dyDescent="0.35">
      <c r="D99" s="136">
        <v>89</v>
      </c>
      <c r="E99" s="136">
        <v>500</v>
      </c>
      <c r="F99" s="136">
        <v>560</v>
      </c>
      <c r="G99" s="141" t="s">
        <v>17</v>
      </c>
      <c r="H99" s="121" t="s">
        <v>17</v>
      </c>
      <c r="I99" s="121" t="s">
        <v>17</v>
      </c>
      <c r="J99" s="121" t="s">
        <v>17</v>
      </c>
      <c r="K99" s="121" t="s">
        <v>17</v>
      </c>
      <c r="L99" s="121" t="s">
        <v>17</v>
      </c>
      <c r="M99" s="121">
        <v>626.1</v>
      </c>
      <c r="N99" s="121">
        <v>632.6</v>
      </c>
      <c r="O99" s="121">
        <v>645.70000000000005</v>
      </c>
      <c r="P99" s="121">
        <v>663.4</v>
      </c>
      <c r="Q99" s="121">
        <v>670.2</v>
      </c>
      <c r="R99" s="121">
        <v>658.3</v>
      </c>
      <c r="S99" s="121">
        <v>655.29999999999995</v>
      </c>
      <c r="T99" s="121">
        <v>647.29999999999995</v>
      </c>
      <c r="U99" s="121"/>
      <c r="V99" s="121"/>
      <c r="W99" s="121"/>
      <c r="X99" s="121"/>
      <c r="Y99" s="121"/>
      <c r="Z99" s="121"/>
      <c r="AA99" s="121"/>
      <c r="AB99" s="121"/>
      <c r="AC99" s="121"/>
      <c r="AD99" s="121"/>
      <c r="AE99" s="121"/>
      <c r="AF99" s="121"/>
      <c r="AG99" s="121"/>
      <c r="AH99" s="121"/>
      <c r="AI99" s="121"/>
      <c r="AX99" s="498" t="s">
        <v>535</v>
      </c>
      <c r="AY99" s="103">
        <v>94</v>
      </c>
    </row>
    <row r="100" spans="4:51" x14ac:dyDescent="0.35">
      <c r="D100" s="430">
        <v>90</v>
      </c>
      <c r="E100" s="430">
        <v>500</v>
      </c>
      <c r="F100" s="430">
        <v>560</v>
      </c>
      <c r="G100" s="433" t="s">
        <v>17</v>
      </c>
      <c r="H100" s="434" t="s">
        <v>17</v>
      </c>
      <c r="I100" s="434" t="s">
        <v>17</v>
      </c>
      <c r="J100" s="434" t="s">
        <v>17</v>
      </c>
      <c r="K100" s="434" t="s">
        <v>17</v>
      </c>
      <c r="L100" s="434" t="s">
        <v>17</v>
      </c>
      <c r="M100" s="434">
        <v>632.4</v>
      </c>
      <c r="N100" s="434">
        <v>639.4</v>
      </c>
      <c r="O100" s="434">
        <v>653.5</v>
      </c>
      <c r="P100" s="434">
        <v>674.2</v>
      </c>
      <c r="Q100" s="434">
        <v>682.2</v>
      </c>
      <c r="R100" s="434">
        <v>669.6</v>
      </c>
      <c r="S100" s="434">
        <v>665.6</v>
      </c>
      <c r="T100" s="434">
        <v>655.29999999999995</v>
      </c>
      <c r="U100" s="434"/>
      <c r="V100" s="434"/>
      <c r="W100" s="434"/>
      <c r="X100" s="434"/>
      <c r="Y100" s="434"/>
      <c r="Z100" s="434"/>
      <c r="AA100" s="434"/>
      <c r="AB100" s="434"/>
      <c r="AC100" s="434"/>
      <c r="AD100" s="434"/>
      <c r="AE100" s="434"/>
      <c r="AF100" s="434"/>
      <c r="AG100" s="434"/>
      <c r="AH100" s="434"/>
      <c r="AI100" s="434"/>
      <c r="AX100" s="498" t="s">
        <v>536</v>
      </c>
      <c r="AY100" s="103">
        <v>95</v>
      </c>
    </row>
    <row r="101" spans="4:51" x14ac:dyDescent="0.35">
      <c r="D101" s="136">
        <v>91</v>
      </c>
      <c r="E101" s="136">
        <v>500</v>
      </c>
      <c r="F101" s="136">
        <v>560</v>
      </c>
      <c r="G101" s="121" t="s">
        <v>17</v>
      </c>
      <c r="H101" s="121" t="s">
        <v>17</v>
      </c>
      <c r="I101" s="121" t="s">
        <v>17</v>
      </c>
      <c r="J101" s="121" t="s">
        <v>17</v>
      </c>
      <c r="K101" s="121" t="s">
        <v>17</v>
      </c>
      <c r="L101" s="121" t="s">
        <v>17</v>
      </c>
      <c r="M101" s="121">
        <v>639.29999999999995</v>
      </c>
      <c r="N101" s="121">
        <v>646.79999999999995</v>
      </c>
      <c r="O101" s="121">
        <v>662.4</v>
      </c>
      <c r="P101" s="121">
        <v>686.8</v>
      </c>
      <c r="Q101" s="121">
        <v>695</v>
      </c>
      <c r="R101" s="121">
        <v>681.9</v>
      </c>
      <c r="S101" s="121">
        <v>677.8</v>
      </c>
      <c r="T101" s="121">
        <v>665.3</v>
      </c>
      <c r="U101" s="121"/>
      <c r="V101" s="121"/>
      <c r="W101" s="121"/>
      <c r="X101" s="121"/>
      <c r="Y101" s="121"/>
      <c r="Z101" s="121"/>
      <c r="AA101" s="121"/>
      <c r="AB101" s="121"/>
      <c r="AC101" s="121"/>
      <c r="AD101" s="121"/>
      <c r="AE101" s="121"/>
      <c r="AF101" s="121"/>
      <c r="AG101" s="121"/>
      <c r="AH101" s="121"/>
      <c r="AI101" s="121"/>
      <c r="AX101" s="498" t="s">
        <v>537</v>
      </c>
      <c r="AY101" s="103">
        <v>96</v>
      </c>
    </row>
    <row r="102" spans="4:51" x14ac:dyDescent="0.35">
      <c r="D102" s="136">
        <v>92</v>
      </c>
      <c r="E102" s="136">
        <v>500</v>
      </c>
      <c r="F102" s="136">
        <v>560</v>
      </c>
      <c r="G102" s="121" t="s">
        <v>17</v>
      </c>
      <c r="H102" s="121" t="s">
        <v>17</v>
      </c>
      <c r="I102" s="121" t="s">
        <v>17</v>
      </c>
      <c r="J102" s="121" t="s">
        <v>17</v>
      </c>
      <c r="K102" s="121" t="s">
        <v>17</v>
      </c>
      <c r="L102" s="121" t="s">
        <v>17</v>
      </c>
      <c r="M102" s="121">
        <v>646.9</v>
      </c>
      <c r="N102" s="121">
        <v>654.6</v>
      </c>
      <c r="O102" s="121">
        <v>673.4</v>
      </c>
      <c r="P102" s="121">
        <v>700.2</v>
      </c>
      <c r="Q102" s="121">
        <v>711.1</v>
      </c>
      <c r="R102" s="121">
        <v>695.1</v>
      </c>
      <c r="S102" s="121">
        <v>692</v>
      </c>
      <c r="T102" s="121">
        <v>676.8</v>
      </c>
      <c r="U102" s="121"/>
      <c r="V102" s="121"/>
      <c r="W102" s="121"/>
      <c r="X102" s="121"/>
      <c r="Y102" s="121"/>
      <c r="Z102" s="121"/>
      <c r="AA102" s="121"/>
      <c r="AB102" s="121"/>
      <c r="AC102" s="121"/>
      <c r="AD102" s="121"/>
      <c r="AE102" s="121"/>
      <c r="AF102" s="121"/>
      <c r="AG102" s="121"/>
      <c r="AH102" s="121"/>
      <c r="AI102" s="121"/>
      <c r="AX102" s="498" t="s">
        <v>538</v>
      </c>
      <c r="AY102" s="103">
        <v>97</v>
      </c>
    </row>
    <row r="103" spans="4:51" x14ac:dyDescent="0.35">
      <c r="D103" s="136">
        <v>93</v>
      </c>
      <c r="E103" s="136">
        <v>500</v>
      </c>
      <c r="F103" s="136">
        <v>560</v>
      </c>
      <c r="G103" s="121" t="s">
        <v>17</v>
      </c>
      <c r="H103" s="121" t="s">
        <v>17</v>
      </c>
      <c r="I103" s="121" t="s">
        <v>17</v>
      </c>
      <c r="J103" s="121" t="s">
        <v>17</v>
      </c>
      <c r="K103" s="121" t="s">
        <v>17</v>
      </c>
      <c r="L103" s="121" t="s">
        <v>17</v>
      </c>
      <c r="M103" s="121">
        <v>654.79999999999995</v>
      </c>
      <c r="N103" s="121">
        <v>663.9</v>
      </c>
      <c r="O103" s="121">
        <v>686.1</v>
      </c>
      <c r="P103" s="121">
        <v>716.3</v>
      </c>
      <c r="Q103" s="121" t="s">
        <v>17</v>
      </c>
      <c r="R103" s="121">
        <v>712.1</v>
      </c>
      <c r="S103" s="121">
        <v>708.1</v>
      </c>
      <c r="T103" s="121">
        <v>690.3</v>
      </c>
      <c r="U103" s="121"/>
      <c r="V103" s="121"/>
      <c r="W103" s="121"/>
      <c r="X103" s="121"/>
      <c r="Y103" s="121"/>
      <c r="Z103" s="121"/>
      <c r="AA103" s="121"/>
      <c r="AB103" s="121"/>
      <c r="AC103" s="121"/>
      <c r="AD103" s="121"/>
      <c r="AE103" s="121"/>
      <c r="AF103" s="121"/>
      <c r="AG103" s="121"/>
      <c r="AH103" s="121"/>
      <c r="AI103" s="121"/>
      <c r="AX103" s="498" t="s">
        <v>539</v>
      </c>
      <c r="AY103" s="103">
        <v>98</v>
      </c>
    </row>
    <row r="104" spans="4:51" x14ac:dyDescent="0.35">
      <c r="D104" s="136">
        <v>94</v>
      </c>
      <c r="E104" s="136">
        <v>500</v>
      </c>
      <c r="F104" s="136">
        <v>560</v>
      </c>
      <c r="G104" s="121" t="s">
        <v>17</v>
      </c>
      <c r="H104" s="121" t="s">
        <v>17</v>
      </c>
      <c r="I104" s="121" t="s">
        <v>17</v>
      </c>
      <c r="J104" s="121" t="s">
        <v>17</v>
      </c>
      <c r="K104" s="121" t="s">
        <v>17</v>
      </c>
      <c r="L104" s="121" t="s">
        <v>17</v>
      </c>
      <c r="M104" s="121">
        <v>664.4</v>
      </c>
      <c r="N104" s="121">
        <v>674.9</v>
      </c>
      <c r="O104" s="121">
        <v>699.7</v>
      </c>
      <c r="P104" s="121" t="s">
        <v>17</v>
      </c>
      <c r="Q104" s="121" t="s">
        <v>17</v>
      </c>
      <c r="R104" s="121" t="s">
        <v>17</v>
      </c>
      <c r="S104" s="121"/>
      <c r="T104" s="121">
        <v>704.3</v>
      </c>
      <c r="U104" s="121"/>
      <c r="V104" s="121"/>
      <c r="W104" s="121"/>
      <c r="X104" s="121"/>
      <c r="Y104" s="121"/>
      <c r="Z104" s="121"/>
      <c r="AA104" s="121"/>
      <c r="AB104" s="121"/>
      <c r="AC104" s="121"/>
      <c r="AD104" s="121"/>
      <c r="AE104" s="121"/>
      <c r="AF104" s="121"/>
      <c r="AG104" s="121"/>
      <c r="AH104" s="121"/>
      <c r="AI104" s="121"/>
      <c r="AX104" s="499" t="s">
        <v>540</v>
      </c>
      <c r="AY104" s="103">
        <v>99</v>
      </c>
    </row>
    <row r="105" spans="4:51" x14ac:dyDescent="0.35">
      <c r="D105" s="430">
        <v>95</v>
      </c>
      <c r="E105" s="430">
        <v>500</v>
      </c>
      <c r="F105" s="430">
        <v>560</v>
      </c>
      <c r="G105" s="434" t="s">
        <v>17</v>
      </c>
      <c r="H105" s="434" t="s">
        <v>17</v>
      </c>
      <c r="I105" s="434" t="s">
        <v>17</v>
      </c>
      <c r="J105" s="434" t="s">
        <v>17</v>
      </c>
      <c r="K105" s="434" t="s">
        <v>17</v>
      </c>
      <c r="L105" s="434" t="s">
        <v>17</v>
      </c>
      <c r="M105" s="434">
        <v>675.6</v>
      </c>
      <c r="N105" s="434">
        <v>688</v>
      </c>
      <c r="O105" s="434">
        <v>715.6</v>
      </c>
      <c r="P105" s="434" t="s">
        <v>17</v>
      </c>
      <c r="Q105" s="434" t="s">
        <v>17</v>
      </c>
      <c r="R105" s="434" t="s">
        <v>17</v>
      </c>
      <c r="S105" s="434"/>
      <c r="T105" s="434" t="s">
        <v>17</v>
      </c>
      <c r="U105" s="434"/>
      <c r="V105" s="434"/>
      <c r="W105" s="434"/>
      <c r="X105" s="434"/>
      <c r="Y105" s="434"/>
      <c r="Z105" s="434"/>
      <c r="AA105" s="434"/>
      <c r="AB105" s="434"/>
      <c r="AC105" s="434"/>
      <c r="AD105" s="434"/>
      <c r="AE105" s="434"/>
      <c r="AF105" s="434"/>
      <c r="AG105" s="434"/>
      <c r="AH105" s="434"/>
      <c r="AI105" s="434"/>
    </row>
    <row r="106" spans="4:51" x14ac:dyDescent="0.35">
      <c r="D106" s="136">
        <v>96</v>
      </c>
      <c r="E106" s="136">
        <v>500</v>
      </c>
      <c r="F106" s="136">
        <v>560</v>
      </c>
      <c r="G106" s="121" t="s">
        <v>17</v>
      </c>
      <c r="H106" s="121" t="s">
        <v>17</v>
      </c>
      <c r="I106" s="121" t="s">
        <v>17</v>
      </c>
      <c r="J106" s="121" t="s">
        <v>17</v>
      </c>
      <c r="K106" s="121" t="s">
        <v>17</v>
      </c>
      <c r="L106" s="121" t="s">
        <v>17</v>
      </c>
      <c r="M106" s="121">
        <v>688.9</v>
      </c>
      <c r="N106" s="121">
        <v>701.7</v>
      </c>
      <c r="O106" s="121" t="s">
        <v>17</v>
      </c>
      <c r="P106" s="121" t="s">
        <v>17</v>
      </c>
      <c r="Q106" s="121" t="s">
        <v>17</v>
      </c>
      <c r="R106" s="121" t="s">
        <v>17</v>
      </c>
      <c r="S106" s="121"/>
      <c r="T106" s="121" t="s">
        <v>17</v>
      </c>
      <c r="U106" s="121"/>
      <c r="V106" s="121"/>
      <c r="W106" s="121"/>
      <c r="X106" s="121"/>
      <c r="Y106" s="121"/>
      <c r="Z106" s="121"/>
      <c r="AA106" s="121"/>
      <c r="AB106" s="121"/>
      <c r="AC106" s="121"/>
      <c r="AD106" s="121"/>
      <c r="AE106" s="121"/>
      <c r="AF106" s="121"/>
      <c r="AG106" s="121"/>
      <c r="AH106" s="121"/>
      <c r="AI106" s="121"/>
    </row>
    <row r="107" spans="4:51" x14ac:dyDescent="0.35">
      <c r="D107" s="136">
        <v>97</v>
      </c>
      <c r="E107" s="136">
        <v>500</v>
      </c>
      <c r="F107" s="136">
        <v>560</v>
      </c>
      <c r="G107" s="121" t="s">
        <v>17</v>
      </c>
      <c r="H107" s="121" t="s">
        <v>17</v>
      </c>
      <c r="I107" s="121" t="s">
        <v>17</v>
      </c>
      <c r="J107" s="121" t="s">
        <v>17</v>
      </c>
      <c r="K107" s="121" t="s">
        <v>17</v>
      </c>
      <c r="L107" s="121" t="s">
        <v>17</v>
      </c>
      <c r="M107" s="121">
        <v>702.8</v>
      </c>
      <c r="N107" s="121">
        <v>718.8</v>
      </c>
      <c r="O107" s="121" t="s">
        <v>17</v>
      </c>
      <c r="P107" s="121" t="s">
        <v>17</v>
      </c>
      <c r="Q107" s="121" t="s">
        <v>17</v>
      </c>
      <c r="R107" s="121" t="s">
        <v>17</v>
      </c>
      <c r="S107" s="121"/>
      <c r="T107" s="121" t="s">
        <v>17</v>
      </c>
      <c r="U107" s="121"/>
      <c r="V107" s="121"/>
      <c r="W107" s="121"/>
      <c r="X107" s="121"/>
      <c r="Y107" s="121"/>
      <c r="Z107" s="121"/>
      <c r="AA107" s="121"/>
      <c r="AB107" s="121"/>
      <c r="AC107" s="121"/>
      <c r="AD107" s="121"/>
      <c r="AE107" s="121"/>
      <c r="AF107" s="121"/>
      <c r="AG107" s="121"/>
      <c r="AH107" s="121"/>
      <c r="AI107" s="121"/>
    </row>
    <row r="108" spans="4:51" x14ac:dyDescent="0.35">
      <c r="D108" s="136">
        <v>98</v>
      </c>
      <c r="E108" s="136">
        <v>500</v>
      </c>
      <c r="F108" s="136">
        <v>560</v>
      </c>
      <c r="G108" s="121" t="s">
        <v>17</v>
      </c>
      <c r="H108" s="121" t="s">
        <v>17</v>
      </c>
      <c r="I108" s="121" t="s">
        <v>17</v>
      </c>
      <c r="J108" s="121" t="s">
        <v>17</v>
      </c>
      <c r="K108" s="121" t="s">
        <v>17</v>
      </c>
      <c r="L108" s="121" t="s">
        <v>17</v>
      </c>
      <c r="M108" s="121" t="s">
        <v>17</v>
      </c>
      <c r="N108" s="121" t="s">
        <v>17</v>
      </c>
      <c r="O108" s="121" t="s">
        <v>17</v>
      </c>
      <c r="P108" s="121" t="s">
        <v>17</v>
      </c>
      <c r="Q108" s="121" t="s">
        <v>17</v>
      </c>
      <c r="R108" s="121" t="s">
        <v>17</v>
      </c>
      <c r="S108" s="121"/>
      <c r="T108" s="121" t="s">
        <v>17</v>
      </c>
      <c r="U108" s="121"/>
      <c r="V108" s="121"/>
      <c r="W108" s="121"/>
      <c r="X108" s="121"/>
      <c r="Y108" s="121"/>
      <c r="Z108" s="121"/>
      <c r="AA108" s="121"/>
      <c r="AB108" s="121"/>
      <c r="AC108" s="121"/>
      <c r="AD108" s="121"/>
      <c r="AE108" s="121"/>
      <c r="AF108" s="121"/>
      <c r="AG108" s="121"/>
      <c r="AH108" s="121"/>
      <c r="AI108" s="121"/>
    </row>
    <row r="109" spans="4:51" x14ac:dyDescent="0.35">
      <c r="D109" s="136">
        <v>99</v>
      </c>
      <c r="E109" s="136">
        <v>500</v>
      </c>
      <c r="F109" s="136">
        <v>560</v>
      </c>
      <c r="G109" s="121" t="s">
        <v>17</v>
      </c>
      <c r="H109" s="121" t="s">
        <v>17</v>
      </c>
      <c r="I109" s="121" t="s">
        <v>17</v>
      </c>
      <c r="J109" s="121" t="s">
        <v>17</v>
      </c>
      <c r="K109" s="121" t="s">
        <v>17</v>
      </c>
      <c r="L109" s="121" t="s">
        <v>17</v>
      </c>
      <c r="M109" s="121" t="s">
        <v>17</v>
      </c>
      <c r="N109" s="121" t="s">
        <v>17</v>
      </c>
      <c r="O109" s="121" t="s">
        <v>17</v>
      </c>
      <c r="P109" s="121" t="s">
        <v>17</v>
      </c>
      <c r="Q109" s="121" t="s">
        <v>17</v>
      </c>
      <c r="R109" s="121" t="s">
        <v>17</v>
      </c>
      <c r="S109" s="121"/>
      <c r="T109" s="121" t="s">
        <v>17</v>
      </c>
      <c r="U109" s="121"/>
      <c r="V109" s="121"/>
      <c r="W109" s="121"/>
      <c r="X109" s="121"/>
      <c r="Y109" s="121"/>
      <c r="Z109" s="121"/>
      <c r="AA109" s="121"/>
      <c r="AB109" s="121"/>
      <c r="AC109" s="121"/>
      <c r="AD109" s="121"/>
      <c r="AE109" s="121"/>
      <c r="AF109" s="121"/>
      <c r="AG109" s="121"/>
      <c r="AH109" s="121"/>
      <c r="AI109" s="121"/>
    </row>
    <row r="110" spans="4:51" x14ac:dyDescent="0.35">
      <c r="D110" s="430">
        <v>100</v>
      </c>
      <c r="E110" s="430">
        <v>500</v>
      </c>
      <c r="F110" s="430">
        <v>560</v>
      </c>
      <c r="G110" s="434" t="s">
        <v>17</v>
      </c>
      <c r="H110" s="434" t="s">
        <v>17</v>
      </c>
      <c r="I110" s="434" t="s">
        <v>17</v>
      </c>
      <c r="J110" s="434" t="s">
        <v>17</v>
      </c>
      <c r="K110" s="434" t="s">
        <v>17</v>
      </c>
      <c r="L110" s="434" t="s">
        <v>17</v>
      </c>
      <c r="M110" s="434" t="s">
        <v>17</v>
      </c>
      <c r="N110" s="434" t="s">
        <v>17</v>
      </c>
      <c r="O110" s="434" t="s">
        <v>17</v>
      </c>
      <c r="P110" s="434" t="s">
        <v>17</v>
      </c>
      <c r="Q110" s="434" t="s">
        <v>17</v>
      </c>
      <c r="R110" s="434" t="s">
        <v>17</v>
      </c>
      <c r="S110" s="434"/>
      <c r="T110" s="434" t="s">
        <v>17</v>
      </c>
      <c r="U110" s="434"/>
      <c r="V110" s="434"/>
      <c r="W110" s="434"/>
      <c r="X110" s="434"/>
      <c r="Y110" s="434"/>
      <c r="Z110" s="434"/>
      <c r="AA110" s="434"/>
      <c r="AB110" s="434"/>
      <c r="AC110" s="434"/>
      <c r="AD110" s="434"/>
      <c r="AE110" s="434"/>
      <c r="AF110" s="434"/>
      <c r="AG110" s="434"/>
      <c r="AH110" s="434"/>
      <c r="AI110" s="434"/>
    </row>
    <row r="111" spans="4:51" x14ac:dyDescent="0.35">
      <c r="H111" s="205"/>
      <c r="L111" s="205"/>
      <c r="R111" s="205"/>
    </row>
    <row r="112" spans="4:51" x14ac:dyDescent="0.35">
      <c r="H112" s="218" t="s">
        <v>94</v>
      </c>
      <c r="I112" s="13"/>
      <c r="J112" s="13"/>
      <c r="K112" s="129"/>
      <c r="L112" s="219"/>
      <c r="M112" s="13"/>
      <c r="N112" s="13"/>
      <c r="O112" s="13"/>
      <c r="P112" s="13"/>
      <c r="Q112" s="13"/>
      <c r="R112" s="1364"/>
      <c r="S112" s="13"/>
      <c r="T112" s="13"/>
      <c r="U112" s="1369"/>
      <c r="V112" s="13"/>
      <c r="W112" s="13"/>
      <c r="X112" s="103"/>
      <c r="Y112" s="103"/>
      <c r="Z112" s="103"/>
      <c r="AA112" s="1369"/>
      <c r="AB112" s="103"/>
      <c r="AC112" s="103"/>
      <c r="AD112" s="103"/>
      <c r="AE112" s="103"/>
      <c r="AF112" s="103"/>
      <c r="AG112" s="103"/>
      <c r="AH112" s="103"/>
      <c r="AI112" s="103"/>
    </row>
    <row r="113" spans="4:37" x14ac:dyDescent="0.35">
      <c r="H113" s="211">
        <v>1</v>
      </c>
      <c r="I113" s="212">
        <v>2</v>
      </c>
      <c r="J113" s="212">
        <v>3</v>
      </c>
      <c r="K113" s="212">
        <v>4</v>
      </c>
      <c r="L113" s="211">
        <v>5</v>
      </c>
      <c r="M113" s="212">
        <v>6</v>
      </c>
      <c r="N113" s="214">
        <v>7</v>
      </c>
      <c r="O113" s="214">
        <v>8</v>
      </c>
      <c r="P113" s="214">
        <v>9</v>
      </c>
      <c r="Q113" s="214">
        <v>10</v>
      </c>
      <c r="R113" s="2512">
        <v>11</v>
      </c>
      <c r="S113" s="2512">
        <v>12</v>
      </c>
      <c r="T113" s="2512">
        <v>13</v>
      </c>
      <c r="U113" s="1367">
        <v>14</v>
      </c>
      <c r="V113" s="214">
        <v>15</v>
      </c>
      <c r="W113" s="214">
        <v>16</v>
      </c>
      <c r="X113" s="214">
        <v>17</v>
      </c>
      <c r="Y113" s="214">
        <v>18</v>
      </c>
      <c r="Z113" s="214">
        <v>19</v>
      </c>
      <c r="AA113" s="1367">
        <v>20</v>
      </c>
      <c r="AB113" s="214">
        <v>21</v>
      </c>
      <c r="AC113" s="214">
        <v>22</v>
      </c>
      <c r="AD113" s="214">
        <v>23</v>
      </c>
      <c r="AE113" s="214">
        <v>24</v>
      </c>
      <c r="AF113" s="214">
        <v>25</v>
      </c>
      <c r="AG113" s="214">
        <v>26</v>
      </c>
      <c r="AH113" s="214">
        <v>27</v>
      </c>
      <c r="AI113" s="214">
        <v>28</v>
      </c>
      <c r="AJ113" s="1015"/>
      <c r="AK113" s="1015"/>
    </row>
    <row r="114" spans="4:37" ht="16.5" thickBot="1" x14ac:dyDescent="0.4">
      <c r="D114" s="143" t="s">
        <v>0</v>
      </c>
      <c r="H114" s="215"/>
      <c r="I114" s="133" t="s">
        <v>1073</v>
      </c>
      <c r="J114" s="2626">
        <v>46086</v>
      </c>
      <c r="K114" s="2626">
        <v>46087</v>
      </c>
      <c r="L114" s="2627">
        <v>46088</v>
      </c>
      <c r="M114" s="12"/>
      <c r="N114" s="132"/>
      <c r="O114" s="132"/>
      <c r="P114" s="132"/>
      <c r="Q114" s="132"/>
      <c r="R114" s="1365"/>
      <c r="S114" s="132"/>
      <c r="T114" s="132"/>
      <c r="U114" s="1368"/>
      <c r="V114" s="132"/>
      <c r="W114" s="132"/>
      <c r="X114" s="132"/>
      <c r="Y114" s="132"/>
      <c r="Z114" s="132"/>
      <c r="AA114" s="1368"/>
      <c r="AB114" s="132"/>
      <c r="AC114" s="132"/>
      <c r="AD114" s="132"/>
      <c r="AE114" s="132"/>
      <c r="AF114" s="132"/>
      <c r="AG114" s="132"/>
      <c r="AH114" s="132"/>
      <c r="AI114" s="132"/>
    </row>
    <row r="115" spans="4:37" x14ac:dyDescent="0.35">
      <c r="D115" s="134" t="s">
        <v>92</v>
      </c>
      <c r="E115" s="135"/>
      <c r="F115" s="135"/>
      <c r="G115" s="135"/>
      <c r="H115" s="429"/>
      <c r="I115" s="429"/>
      <c r="J115" s="429"/>
      <c r="K115" s="429"/>
      <c r="L115" s="429"/>
      <c r="M115" s="429"/>
      <c r="N115" s="429"/>
      <c r="O115" s="429"/>
      <c r="P115" s="429"/>
      <c r="Q115" s="429" t="s">
        <v>1118</v>
      </c>
      <c r="R115" s="429" t="s">
        <v>930</v>
      </c>
      <c r="S115" s="429" t="s">
        <v>932</v>
      </c>
      <c r="T115" s="429" t="s">
        <v>933</v>
      </c>
      <c r="U115" s="429"/>
      <c r="V115" s="429"/>
      <c r="W115" s="429"/>
      <c r="X115" s="429"/>
      <c r="Y115" s="429"/>
      <c r="Z115" s="429"/>
      <c r="AA115" s="429"/>
      <c r="AB115" s="429"/>
      <c r="AC115" s="429"/>
      <c r="AD115" s="429"/>
      <c r="AE115" s="429"/>
      <c r="AF115" s="429"/>
      <c r="AG115" s="429"/>
      <c r="AH115" s="429"/>
      <c r="AI115" s="429"/>
      <c r="AJ115" s="12"/>
      <c r="AK115" s="12"/>
    </row>
    <row r="116" spans="4:37" x14ac:dyDescent="0.35">
      <c r="D116" s="136">
        <v>0</v>
      </c>
      <c r="E116" s="437"/>
      <c r="F116" s="437"/>
      <c r="G116" s="438"/>
      <c r="H116" s="138"/>
      <c r="I116" s="138">
        <v>71.400000000000006</v>
      </c>
      <c r="J116" s="138">
        <v>39</v>
      </c>
      <c r="K116" s="138">
        <v>43.8</v>
      </c>
      <c r="L116" s="138">
        <v>69.400000000000006</v>
      </c>
      <c r="M116" s="138">
        <v>38.700000000000003</v>
      </c>
      <c r="N116" s="138">
        <v>70.2</v>
      </c>
      <c r="O116" s="138">
        <v>55.8</v>
      </c>
      <c r="P116" s="138">
        <v>69.099999999999994</v>
      </c>
      <c r="Q116" s="138">
        <v>75.8</v>
      </c>
      <c r="R116" s="138">
        <v>57.5</v>
      </c>
      <c r="S116" s="138">
        <v>60.4</v>
      </c>
      <c r="T116" s="138">
        <v>68.099999999999994</v>
      </c>
      <c r="U116" s="138"/>
      <c r="V116" s="138"/>
      <c r="W116" s="138"/>
      <c r="X116" s="138"/>
      <c r="Y116" s="138"/>
      <c r="Z116" s="138"/>
      <c r="AA116" s="138"/>
      <c r="AB116" s="138"/>
      <c r="AC116" s="138"/>
      <c r="AD116" s="138"/>
      <c r="AE116" s="138"/>
      <c r="AF116" s="138"/>
      <c r="AG116" s="138"/>
      <c r="AH116" s="138"/>
      <c r="AI116" s="138"/>
      <c r="AJ116" s="12"/>
      <c r="AK116" s="12"/>
    </row>
    <row r="117" spans="4:37" x14ac:dyDescent="0.35">
      <c r="D117" s="136">
        <v>1</v>
      </c>
      <c r="E117" s="437"/>
      <c r="F117" s="437"/>
      <c r="G117" s="438"/>
      <c r="H117" s="138"/>
      <c r="I117" s="138">
        <v>88.1</v>
      </c>
      <c r="J117" s="138">
        <v>57.6</v>
      </c>
      <c r="K117" s="138">
        <v>60.6</v>
      </c>
      <c r="L117" s="138">
        <v>85.8</v>
      </c>
      <c r="M117" s="138">
        <v>57.5</v>
      </c>
      <c r="N117" s="138">
        <v>88.9</v>
      </c>
      <c r="O117" s="138">
        <v>69.3</v>
      </c>
      <c r="P117" s="138">
        <v>78.2</v>
      </c>
      <c r="Q117" s="138">
        <v>90.8</v>
      </c>
      <c r="R117" s="138">
        <v>69.8</v>
      </c>
      <c r="S117" s="138">
        <v>70.5</v>
      </c>
      <c r="T117" s="138">
        <v>82.3</v>
      </c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  <c r="AG117" s="138"/>
      <c r="AH117" s="138"/>
      <c r="AI117" s="138"/>
      <c r="AJ117" s="180"/>
      <c r="AK117" s="180"/>
    </row>
    <row r="118" spans="4:37" x14ac:dyDescent="0.35">
      <c r="D118" s="136">
        <v>2</v>
      </c>
      <c r="E118" s="437"/>
      <c r="F118" s="437"/>
      <c r="G118" s="438"/>
      <c r="H118" s="138"/>
      <c r="I118" s="138">
        <v>98.5</v>
      </c>
      <c r="J118" s="138">
        <v>69.5</v>
      </c>
      <c r="K118" s="138">
        <v>70</v>
      </c>
      <c r="L118" s="138">
        <v>98.2</v>
      </c>
      <c r="M118" s="138">
        <v>69.7</v>
      </c>
      <c r="N118" s="138">
        <v>99.8</v>
      </c>
      <c r="O118" s="138">
        <v>88.4</v>
      </c>
      <c r="P118" s="138">
        <v>93.4</v>
      </c>
      <c r="Q118" s="138">
        <v>102.6</v>
      </c>
      <c r="R118" s="138">
        <v>89.6</v>
      </c>
      <c r="S118" s="138">
        <v>90.4</v>
      </c>
      <c r="T118" s="138">
        <v>97.1</v>
      </c>
      <c r="U118" s="138"/>
      <c r="V118" s="138"/>
      <c r="W118" s="138"/>
      <c r="X118" s="138"/>
      <c r="Y118" s="138"/>
      <c r="Z118" s="138"/>
      <c r="AA118" s="138"/>
      <c r="AB118" s="138"/>
      <c r="AC118" s="138"/>
      <c r="AD118" s="138"/>
      <c r="AE118" s="138"/>
      <c r="AF118" s="138"/>
      <c r="AG118" s="138"/>
      <c r="AH118" s="138"/>
      <c r="AI118" s="138"/>
      <c r="AJ118" s="180"/>
      <c r="AK118" s="180"/>
    </row>
    <row r="119" spans="4:37" x14ac:dyDescent="0.35">
      <c r="D119" s="136">
        <v>3</v>
      </c>
      <c r="E119" s="437"/>
      <c r="F119" s="437"/>
      <c r="G119" s="438"/>
      <c r="H119" s="138"/>
      <c r="I119" s="138">
        <v>99.2</v>
      </c>
      <c r="J119" s="138">
        <v>83.9</v>
      </c>
      <c r="K119" s="138">
        <v>85</v>
      </c>
      <c r="L119" s="138">
        <v>102.7</v>
      </c>
      <c r="M119" s="138">
        <v>84.4</v>
      </c>
      <c r="N119" s="138">
        <v>114</v>
      </c>
      <c r="O119" s="138">
        <v>98.7</v>
      </c>
      <c r="P119" s="138">
        <v>99.5</v>
      </c>
      <c r="Q119" s="138">
        <v>114.5</v>
      </c>
      <c r="R119" s="138">
        <v>99</v>
      </c>
      <c r="S119" s="138">
        <v>99.1</v>
      </c>
      <c r="T119" s="138">
        <v>101</v>
      </c>
      <c r="U119" s="138"/>
      <c r="V119" s="138"/>
      <c r="W119" s="138"/>
      <c r="X119" s="138"/>
      <c r="Y119" s="138"/>
      <c r="Z119" s="138"/>
      <c r="AA119" s="138"/>
      <c r="AB119" s="138"/>
      <c r="AC119" s="138"/>
      <c r="AD119" s="138"/>
      <c r="AE119" s="138"/>
      <c r="AF119" s="138"/>
      <c r="AG119" s="138"/>
      <c r="AH119" s="138"/>
      <c r="AI119" s="138"/>
      <c r="AJ119" s="180"/>
      <c r="AK119" s="180"/>
    </row>
    <row r="120" spans="4:37" x14ac:dyDescent="0.35">
      <c r="D120" s="136">
        <v>4</v>
      </c>
      <c r="E120" s="437"/>
      <c r="F120" s="437"/>
      <c r="G120" s="438"/>
      <c r="H120" s="138"/>
      <c r="I120" s="138">
        <v>99.6</v>
      </c>
      <c r="J120" s="138">
        <v>88.6</v>
      </c>
      <c r="K120" s="138">
        <v>89.4</v>
      </c>
      <c r="L120" s="138">
        <v>112.6</v>
      </c>
      <c r="M120" s="138">
        <v>89.3</v>
      </c>
      <c r="N120" s="138">
        <v>118.4</v>
      </c>
      <c r="O120" s="138">
        <v>103.7</v>
      </c>
      <c r="P120" s="138">
        <v>105.8</v>
      </c>
      <c r="Q120" s="138">
        <v>118.8</v>
      </c>
      <c r="R120" s="138">
        <v>104.3</v>
      </c>
      <c r="S120" s="138">
        <v>104.8</v>
      </c>
      <c r="T120" s="138">
        <v>113.3</v>
      </c>
      <c r="U120" s="138"/>
      <c r="V120" s="138"/>
      <c r="W120" s="138"/>
      <c r="X120" s="138"/>
      <c r="Y120" s="138"/>
      <c r="Z120" s="138"/>
      <c r="AA120" s="138"/>
      <c r="AB120" s="138"/>
      <c r="AC120" s="138"/>
      <c r="AD120" s="138"/>
      <c r="AE120" s="138"/>
      <c r="AF120" s="138"/>
      <c r="AG120" s="138"/>
      <c r="AH120" s="138"/>
      <c r="AI120" s="138"/>
      <c r="AJ120" s="180"/>
      <c r="AK120" s="180"/>
    </row>
    <row r="121" spans="4:37" x14ac:dyDescent="0.35">
      <c r="D121" s="430">
        <v>5</v>
      </c>
      <c r="E121" s="437"/>
      <c r="F121" s="437"/>
      <c r="G121" s="438"/>
      <c r="H121" s="432"/>
      <c r="I121" s="432">
        <v>99.9</v>
      </c>
      <c r="J121" s="432">
        <v>95.1</v>
      </c>
      <c r="K121" s="432">
        <v>96.1</v>
      </c>
      <c r="L121" s="432">
        <v>116.7</v>
      </c>
      <c r="M121" s="432">
        <v>97.5</v>
      </c>
      <c r="N121" s="432">
        <v>126.6</v>
      </c>
      <c r="O121" s="432">
        <v>114.8</v>
      </c>
      <c r="P121" s="432">
        <v>115.7</v>
      </c>
      <c r="Q121" s="432">
        <v>126.5</v>
      </c>
      <c r="R121" s="432">
        <v>115.5</v>
      </c>
      <c r="S121" s="432">
        <v>115.8</v>
      </c>
      <c r="T121" s="432">
        <v>117.3</v>
      </c>
      <c r="U121" s="432"/>
      <c r="V121" s="432"/>
      <c r="W121" s="432"/>
      <c r="X121" s="432"/>
      <c r="Y121" s="432"/>
      <c r="Z121" s="432"/>
      <c r="AA121" s="432"/>
      <c r="AB121" s="432"/>
      <c r="AC121" s="432"/>
      <c r="AD121" s="432"/>
      <c r="AE121" s="432"/>
      <c r="AF121" s="432"/>
      <c r="AG121" s="432"/>
      <c r="AH121" s="432"/>
      <c r="AI121" s="432"/>
      <c r="AJ121" s="180"/>
      <c r="AK121" s="180"/>
    </row>
    <row r="122" spans="4:37" x14ac:dyDescent="0.35">
      <c r="D122" s="136">
        <v>6</v>
      </c>
      <c r="E122" s="437"/>
      <c r="F122" s="437"/>
      <c r="G122" s="438"/>
      <c r="H122" s="138"/>
      <c r="I122" s="138">
        <v>100.3</v>
      </c>
      <c r="J122" s="138">
        <v>99</v>
      </c>
      <c r="K122" s="138">
        <v>99.2</v>
      </c>
      <c r="L122" s="138">
        <v>119.7</v>
      </c>
      <c r="M122" s="138">
        <v>99.3</v>
      </c>
      <c r="N122" s="138">
        <v>127.6</v>
      </c>
      <c r="O122" s="138">
        <v>118.1</v>
      </c>
      <c r="P122" s="138">
        <v>118.5</v>
      </c>
      <c r="Q122" s="138">
        <v>127.8</v>
      </c>
      <c r="R122" s="138">
        <v>118.4</v>
      </c>
      <c r="S122" s="138">
        <v>118.8</v>
      </c>
      <c r="T122" s="138">
        <v>122.6</v>
      </c>
      <c r="U122" s="138"/>
      <c r="V122" s="138"/>
      <c r="W122" s="138"/>
      <c r="X122" s="138"/>
      <c r="Y122" s="138"/>
      <c r="Z122" s="138"/>
      <c r="AA122" s="138"/>
      <c r="AB122" s="138"/>
      <c r="AC122" s="138"/>
      <c r="AD122" s="138"/>
      <c r="AE122" s="138"/>
      <c r="AF122" s="138"/>
      <c r="AG122" s="138"/>
      <c r="AH122" s="138"/>
      <c r="AI122" s="138"/>
      <c r="AJ122" s="180"/>
      <c r="AK122" s="180"/>
    </row>
    <row r="123" spans="4:37" x14ac:dyDescent="0.35">
      <c r="D123" s="136">
        <v>7</v>
      </c>
      <c r="E123" s="437"/>
      <c r="F123" s="437"/>
      <c r="G123" s="438"/>
      <c r="H123" s="138"/>
      <c r="I123" s="138">
        <v>104.2</v>
      </c>
      <c r="J123" s="138">
        <v>102.8</v>
      </c>
      <c r="K123" s="138">
        <v>102.5</v>
      </c>
      <c r="L123" s="138">
        <v>126.7</v>
      </c>
      <c r="M123" s="138">
        <v>103.2</v>
      </c>
      <c r="N123" s="138">
        <v>133.9</v>
      </c>
      <c r="O123" s="138">
        <v>124.2</v>
      </c>
      <c r="P123" s="138">
        <v>123.8</v>
      </c>
      <c r="Q123" s="138">
        <v>133.9</v>
      </c>
      <c r="R123" s="138">
        <v>125.3</v>
      </c>
      <c r="S123" s="138">
        <v>126.1</v>
      </c>
      <c r="T123" s="138">
        <v>127.1</v>
      </c>
      <c r="U123" s="138"/>
      <c r="V123" s="138"/>
      <c r="W123" s="138"/>
      <c r="X123" s="138"/>
      <c r="Y123" s="138"/>
      <c r="Z123" s="138"/>
      <c r="AA123" s="138"/>
      <c r="AB123" s="138"/>
      <c r="AC123" s="138"/>
      <c r="AD123" s="138"/>
      <c r="AE123" s="138"/>
      <c r="AF123" s="138"/>
      <c r="AG123" s="138"/>
      <c r="AH123" s="138"/>
      <c r="AI123" s="138"/>
      <c r="AJ123" s="181"/>
      <c r="AK123" s="181"/>
    </row>
    <row r="124" spans="4:37" x14ac:dyDescent="0.35">
      <c r="D124" s="136">
        <v>8</v>
      </c>
      <c r="E124" s="437"/>
      <c r="F124" s="437"/>
      <c r="G124" s="438"/>
      <c r="H124" s="138"/>
      <c r="I124" s="138">
        <v>113.8</v>
      </c>
      <c r="J124" s="138">
        <v>106.3</v>
      </c>
      <c r="K124" s="138">
        <v>105.7</v>
      </c>
      <c r="L124" s="138">
        <v>127.6</v>
      </c>
      <c r="M124" s="138">
        <v>106.9</v>
      </c>
      <c r="N124" s="138">
        <v>138.69999999999999</v>
      </c>
      <c r="O124" s="138">
        <v>127.3</v>
      </c>
      <c r="P124" s="138">
        <v>127.3</v>
      </c>
      <c r="Q124" s="138">
        <v>138.69999999999999</v>
      </c>
      <c r="R124" s="138">
        <v>127.4</v>
      </c>
      <c r="S124" s="138">
        <v>127.5</v>
      </c>
      <c r="T124" s="138">
        <v>128.1</v>
      </c>
      <c r="U124" s="138"/>
      <c r="V124" s="138"/>
      <c r="W124" s="138"/>
      <c r="X124" s="138"/>
      <c r="Y124" s="138"/>
      <c r="Z124" s="138"/>
      <c r="AA124" s="138"/>
      <c r="AB124" s="138"/>
      <c r="AC124" s="138"/>
      <c r="AD124" s="138"/>
      <c r="AE124" s="138"/>
      <c r="AF124" s="138"/>
      <c r="AG124" s="138"/>
      <c r="AH124" s="138"/>
      <c r="AI124" s="138"/>
      <c r="AJ124" s="18"/>
      <c r="AK124" s="18"/>
    </row>
    <row r="125" spans="4:37" x14ac:dyDescent="0.35">
      <c r="D125" s="136">
        <v>9</v>
      </c>
      <c r="E125" s="437"/>
      <c r="F125" s="437"/>
      <c r="G125" s="438"/>
      <c r="H125" s="138"/>
      <c r="I125" s="138">
        <v>117.1</v>
      </c>
      <c r="J125" s="138">
        <v>114.5</v>
      </c>
      <c r="K125" s="138">
        <v>114.1</v>
      </c>
      <c r="L125" s="138">
        <v>133.19999999999999</v>
      </c>
      <c r="M125" s="138">
        <v>115.3</v>
      </c>
      <c r="N125" s="138">
        <v>141.80000000000001</v>
      </c>
      <c r="O125" s="138">
        <v>128.80000000000001</v>
      </c>
      <c r="P125" s="138">
        <v>128.30000000000001</v>
      </c>
      <c r="Q125" s="138">
        <v>142</v>
      </c>
      <c r="R125" s="138">
        <v>129.4</v>
      </c>
      <c r="S125" s="138">
        <v>130.5</v>
      </c>
      <c r="T125" s="138">
        <v>134.19999999999999</v>
      </c>
      <c r="U125" s="138"/>
      <c r="V125" s="138"/>
      <c r="W125" s="138"/>
      <c r="X125" s="138"/>
      <c r="Y125" s="138"/>
      <c r="Z125" s="138"/>
      <c r="AA125" s="138"/>
      <c r="AB125" s="138"/>
      <c r="AC125" s="138"/>
      <c r="AD125" s="138"/>
      <c r="AE125" s="138"/>
      <c r="AF125" s="138"/>
      <c r="AG125" s="138"/>
      <c r="AH125" s="138"/>
      <c r="AI125" s="138"/>
    </row>
    <row r="126" spans="4:37" x14ac:dyDescent="0.35">
      <c r="D126" s="430">
        <v>10</v>
      </c>
      <c r="E126" s="437"/>
      <c r="F126" s="437"/>
      <c r="G126" s="438"/>
      <c r="H126" s="432"/>
      <c r="I126" s="432">
        <v>121.8</v>
      </c>
      <c r="J126" s="432">
        <v>117.2</v>
      </c>
      <c r="K126" s="432">
        <v>117</v>
      </c>
      <c r="L126" s="432">
        <v>135.9</v>
      </c>
      <c r="M126" s="432">
        <v>117.6</v>
      </c>
      <c r="N126" s="432">
        <v>144.19999999999999</v>
      </c>
      <c r="O126" s="432">
        <v>134.69999999999999</v>
      </c>
      <c r="P126" s="432">
        <v>133.9</v>
      </c>
      <c r="Q126" s="432">
        <v>144.6</v>
      </c>
      <c r="R126" s="432">
        <v>134.9</v>
      </c>
      <c r="S126" s="432">
        <v>135.19999999999999</v>
      </c>
      <c r="T126" s="432">
        <v>138.80000000000001</v>
      </c>
      <c r="U126" s="432"/>
      <c r="V126" s="432"/>
      <c r="W126" s="432"/>
      <c r="X126" s="432"/>
      <c r="Y126" s="432"/>
      <c r="Z126" s="432"/>
      <c r="AA126" s="432"/>
      <c r="AB126" s="432"/>
      <c r="AC126" s="432"/>
      <c r="AD126" s="432"/>
      <c r="AE126" s="432"/>
      <c r="AF126" s="432"/>
      <c r="AG126" s="432"/>
      <c r="AH126" s="432"/>
      <c r="AI126" s="432"/>
    </row>
    <row r="127" spans="4:37" x14ac:dyDescent="0.35">
      <c r="D127" s="136">
        <v>11</v>
      </c>
      <c r="E127" s="437"/>
      <c r="F127" s="437"/>
      <c r="G127" s="438"/>
      <c r="H127" s="138"/>
      <c r="I127" s="138">
        <v>127.2</v>
      </c>
      <c r="J127" s="138">
        <v>119.7</v>
      </c>
      <c r="K127" s="138">
        <v>119.2</v>
      </c>
      <c r="L127" s="138">
        <v>140.6</v>
      </c>
      <c r="M127" s="138">
        <v>120.1</v>
      </c>
      <c r="N127" s="138">
        <v>147</v>
      </c>
      <c r="O127" s="138">
        <v>139.4</v>
      </c>
      <c r="P127" s="138">
        <v>137.6</v>
      </c>
      <c r="Q127" s="138">
        <v>147.5</v>
      </c>
      <c r="R127" s="138">
        <v>140</v>
      </c>
      <c r="S127" s="138">
        <v>140.30000000000001</v>
      </c>
      <c r="T127" s="138">
        <v>141.80000000000001</v>
      </c>
      <c r="U127" s="138"/>
      <c r="V127" s="138"/>
      <c r="W127" s="138"/>
      <c r="X127" s="138"/>
      <c r="Y127" s="138"/>
      <c r="Z127" s="138"/>
      <c r="AA127" s="138"/>
      <c r="AB127" s="138"/>
      <c r="AC127" s="138"/>
      <c r="AD127" s="138"/>
      <c r="AE127" s="138"/>
      <c r="AF127" s="138"/>
      <c r="AG127" s="138"/>
      <c r="AH127" s="138"/>
      <c r="AI127" s="138"/>
    </row>
    <row r="128" spans="4:37" x14ac:dyDescent="0.35">
      <c r="D128" s="136">
        <v>12</v>
      </c>
      <c r="E128" s="437"/>
      <c r="F128" s="437"/>
      <c r="G128" s="438"/>
      <c r="H128" s="138"/>
      <c r="I128" s="138">
        <v>128.9</v>
      </c>
      <c r="J128" s="138">
        <v>126.6</v>
      </c>
      <c r="K128" s="138">
        <v>125.2</v>
      </c>
      <c r="L128" s="138">
        <v>142.69999999999999</v>
      </c>
      <c r="M128" s="138">
        <v>126.8</v>
      </c>
      <c r="N128" s="138">
        <v>151.80000000000001</v>
      </c>
      <c r="O128" s="138">
        <v>142.1</v>
      </c>
      <c r="P128" s="138">
        <v>141.19999999999999</v>
      </c>
      <c r="Q128" s="138">
        <v>152</v>
      </c>
      <c r="R128" s="138">
        <v>142.5</v>
      </c>
      <c r="S128" s="138">
        <v>142.69999999999999</v>
      </c>
      <c r="T128" s="138">
        <v>144</v>
      </c>
      <c r="U128" s="138"/>
      <c r="V128" s="138"/>
      <c r="W128" s="138"/>
      <c r="X128" s="138"/>
      <c r="Y128" s="138"/>
      <c r="Z128" s="138"/>
      <c r="AA128" s="138"/>
      <c r="AB128" s="138"/>
      <c r="AC128" s="138"/>
      <c r="AD128" s="138"/>
      <c r="AE128" s="138"/>
      <c r="AF128" s="138"/>
      <c r="AG128" s="138"/>
      <c r="AH128" s="138"/>
      <c r="AI128" s="138"/>
    </row>
    <row r="129" spans="4:35" x14ac:dyDescent="0.35">
      <c r="D129" s="136">
        <v>13</v>
      </c>
      <c r="E129" s="437"/>
      <c r="F129" s="437"/>
      <c r="G129" s="438"/>
      <c r="H129" s="138"/>
      <c r="I129" s="138">
        <v>134.80000000000001</v>
      </c>
      <c r="J129" s="138">
        <v>127.5</v>
      </c>
      <c r="K129" s="138">
        <v>127.4</v>
      </c>
      <c r="L129" s="138">
        <v>144.9</v>
      </c>
      <c r="M129" s="138">
        <v>127.7</v>
      </c>
      <c r="N129" s="138">
        <v>152.80000000000001</v>
      </c>
      <c r="O129" s="138">
        <v>144.4</v>
      </c>
      <c r="P129" s="138">
        <v>143.30000000000001</v>
      </c>
      <c r="Q129" s="138">
        <v>153</v>
      </c>
      <c r="R129" s="138">
        <v>144.69999999999999</v>
      </c>
      <c r="S129" s="138">
        <v>144.9</v>
      </c>
      <c r="T129" s="138">
        <v>146.6</v>
      </c>
      <c r="U129" s="138"/>
      <c r="V129" s="138"/>
      <c r="W129" s="138"/>
      <c r="X129" s="138"/>
      <c r="Y129" s="138"/>
      <c r="Z129" s="138"/>
      <c r="AA129" s="138"/>
      <c r="AB129" s="138"/>
      <c r="AC129" s="138"/>
      <c r="AD129" s="138"/>
      <c r="AE129" s="138"/>
      <c r="AF129" s="138"/>
      <c r="AG129" s="138"/>
      <c r="AH129" s="138"/>
      <c r="AI129" s="138"/>
    </row>
    <row r="130" spans="4:35" x14ac:dyDescent="0.35">
      <c r="D130" s="136">
        <v>14</v>
      </c>
      <c r="E130" s="437"/>
      <c r="F130" s="437"/>
      <c r="G130" s="438"/>
      <c r="H130" s="138"/>
      <c r="I130" s="138">
        <v>140.4</v>
      </c>
      <c r="J130" s="138">
        <v>132.6</v>
      </c>
      <c r="K130" s="138">
        <v>128.1</v>
      </c>
      <c r="L130" s="138">
        <v>147.5</v>
      </c>
      <c r="M130" s="138">
        <v>129.5</v>
      </c>
      <c r="N130" s="138">
        <v>153.5</v>
      </c>
      <c r="O130" s="138">
        <v>146.9</v>
      </c>
      <c r="P130" s="138">
        <v>145.4</v>
      </c>
      <c r="Q130" s="138">
        <v>155.5</v>
      </c>
      <c r="R130" s="138">
        <v>147.30000000000001</v>
      </c>
      <c r="S130" s="138">
        <v>147.5</v>
      </c>
      <c r="T130" s="138">
        <v>149.80000000000001</v>
      </c>
      <c r="U130" s="138"/>
      <c r="V130" s="138"/>
      <c r="W130" s="138"/>
      <c r="X130" s="138"/>
      <c r="Y130" s="138"/>
      <c r="Z130" s="138"/>
      <c r="AA130" s="138"/>
      <c r="AB130" s="138"/>
      <c r="AC130" s="138"/>
      <c r="AD130" s="138"/>
      <c r="AE130" s="138"/>
      <c r="AF130" s="138"/>
      <c r="AG130" s="138"/>
      <c r="AH130" s="138"/>
      <c r="AI130" s="138"/>
    </row>
    <row r="131" spans="4:35" x14ac:dyDescent="0.35">
      <c r="D131" s="430">
        <v>15</v>
      </c>
      <c r="E131" s="437"/>
      <c r="F131" s="437"/>
      <c r="G131" s="438"/>
      <c r="H131" s="432"/>
      <c r="I131" s="432">
        <v>142.80000000000001</v>
      </c>
      <c r="J131" s="432">
        <v>135.1</v>
      </c>
      <c r="K131" s="432">
        <v>133.80000000000001</v>
      </c>
      <c r="L131" s="432">
        <v>152</v>
      </c>
      <c r="M131" s="432">
        <v>134.6</v>
      </c>
      <c r="N131" s="432">
        <v>158.19999999999999</v>
      </c>
      <c r="O131" s="432">
        <v>151.19999999999999</v>
      </c>
      <c r="P131" s="432">
        <v>147.9</v>
      </c>
      <c r="Q131" s="432">
        <v>159.80000000000001</v>
      </c>
      <c r="R131" s="432">
        <v>151.9</v>
      </c>
      <c r="S131" s="432">
        <v>152</v>
      </c>
      <c r="T131" s="432">
        <v>152.6</v>
      </c>
      <c r="U131" s="432"/>
      <c r="V131" s="432"/>
      <c r="W131" s="432"/>
      <c r="X131" s="432"/>
      <c r="Y131" s="432"/>
      <c r="Z131" s="432"/>
      <c r="AA131" s="432"/>
      <c r="AB131" s="432"/>
      <c r="AC131" s="432"/>
      <c r="AD131" s="432"/>
      <c r="AE131" s="432"/>
      <c r="AF131" s="432"/>
      <c r="AG131" s="432"/>
      <c r="AH131" s="432"/>
      <c r="AI131" s="432"/>
    </row>
    <row r="132" spans="4:35" x14ac:dyDescent="0.35">
      <c r="D132" s="136">
        <v>16</v>
      </c>
      <c r="E132" s="437"/>
      <c r="F132" s="437"/>
      <c r="G132" s="438"/>
      <c r="H132" s="138"/>
      <c r="I132" s="138">
        <v>145.4</v>
      </c>
      <c r="J132" s="138">
        <v>140</v>
      </c>
      <c r="K132" s="138">
        <v>136.4</v>
      </c>
      <c r="L132" s="138">
        <v>152.80000000000001</v>
      </c>
      <c r="M132" s="138">
        <v>139.1</v>
      </c>
      <c r="N132" s="138">
        <v>161.1</v>
      </c>
      <c r="O132" s="138">
        <v>152.69999999999999</v>
      </c>
      <c r="P132" s="138">
        <v>152.1</v>
      </c>
      <c r="Q132" s="138">
        <v>162.6</v>
      </c>
      <c r="R132" s="138">
        <v>152.9</v>
      </c>
      <c r="S132" s="138">
        <v>152.9</v>
      </c>
      <c r="T132" s="138">
        <v>153.30000000000001</v>
      </c>
      <c r="U132" s="138"/>
      <c r="V132" s="138"/>
      <c r="W132" s="138"/>
      <c r="X132" s="138"/>
      <c r="Y132" s="138"/>
      <c r="Z132" s="138"/>
      <c r="AA132" s="138"/>
      <c r="AB132" s="138"/>
      <c r="AC132" s="138"/>
      <c r="AD132" s="138"/>
      <c r="AE132" s="138"/>
      <c r="AF132" s="138"/>
      <c r="AG132" s="138"/>
      <c r="AH132" s="138"/>
      <c r="AI132" s="138"/>
    </row>
    <row r="133" spans="4:35" x14ac:dyDescent="0.35">
      <c r="D133" s="136">
        <v>17</v>
      </c>
      <c r="E133" s="437"/>
      <c r="F133" s="437"/>
      <c r="G133" s="438"/>
      <c r="H133" s="138"/>
      <c r="I133" s="138">
        <v>149.30000000000001</v>
      </c>
      <c r="J133" s="138">
        <v>142.30000000000001</v>
      </c>
      <c r="K133" s="138">
        <v>140.80000000000001</v>
      </c>
      <c r="L133" s="138">
        <v>154.4</v>
      </c>
      <c r="M133" s="138">
        <v>141.69999999999999</v>
      </c>
      <c r="N133" s="138">
        <v>163.5</v>
      </c>
      <c r="O133" s="138">
        <v>153.4</v>
      </c>
      <c r="P133" s="138">
        <v>153</v>
      </c>
      <c r="Q133" s="138">
        <v>164.6</v>
      </c>
      <c r="R133" s="138">
        <v>153.69999999999999</v>
      </c>
      <c r="S133" s="138">
        <v>153.69999999999999</v>
      </c>
      <c r="T133" s="138">
        <v>156.19999999999999</v>
      </c>
      <c r="U133" s="138"/>
      <c r="V133" s="138"/>
      <c r="W133" s="138"/>
      <c r="X133" s="138"/>
      <c r="Y133" s="138"/>
      <c r="Z133" s="138"/>
      <c r="AA133" s="138"/>
      <c r="AB133" s="138"/>
      <c r="AC133" s="138"/>
      <c r="AD133" s="138"/>
      <c r="AE133" s="138"/>
      <c r="AF133" s="138"/>
      <c r="AG133" s="138"/>
      <c r="AH133" s="138"/>
      <c r="AI133" s="138"/>
    </row>
    <row r="134" spans="4:35" x14ac:dyDescent="0.35">
      <c r="D134" s="136">
        <v>18</v>
      </c>
      <c r="E134" s="437"/>
      <c r="F134" s="437"/>
      <c r="G134" s="438"/>
      <c r="H134" s="138"/>
      <c r="I134" s="138">
        <v>152.6</v>
      </c>
      <c r="J134" s="138">
        <v>144.69999999999999</v>
      </c>
      <c r="K134" s="138">
        <v>142.9</v>
      </c>
      <c r="L134" s="138">
        <v>158.5</v>
      </c>
      <c r="M134" s="138">
        <v>143.69999999999999</v>
      </c>
      <c r="N134" s="138">
        <v>165.3</v>
      </c>
      <c r="O134" s="138">
        <v>157.30000000000001</v>
      </c>
      <c r="P134" s="138">
        <v>154.19999999999999</v>
      </c>
      <c r="Q134" s="138">
        <v>167.1</v>
      </c>
      <c r="R134" s="138">
        <v>158.30000000000001</v>
      </c>
      <c r="S134" s="138">
        <v>158.1</v>
      </c>
      <c r="T134" s="138">
        <v>160.1</v>
      </c>
      <c r="U134" s="138"/>
      <c r="V134" s="138"/>
      <c r="W134" s="138"/>
      <c r="X134" s="138"/>
      <c r="Y134" s="138"/>
      <c r="Z134" s="138"/>
      <c r="AA134" s="138"/>
      <c r="AB134" s="138"/>
      <c r="AC134" s="138"/>
      <c r="AD134" s="138"/>
      <c r="AE134" s="138"/>
      <c r="AF134" s="138"/>
      <c r="AG134" s="138"/>
      <c r="AH134" s="138"/>
      <c r="AI134" s="138"/>
    </row>
    <row r="135" spans="4:35" x14ac:dyDescent="0.35">
      <c r="D135" s="136">
        <v>19</v>
      </c>
      <c r="E135" s="437"/>
      <c r="F135" s="437"/>
      <c r="G135" s="438"/>
      <c r="H135" s="138"/>
      <c r="I135" s="138">
        <v>153.69999999999999</v>
      </c>
      <c r="J135" s="138">
        <v>147.6</v>
      </c>
      <c r="K135" s="138">
        <v>145.1</v>
      </c>
      <c r="L135" s="138">
        <v>161.19999999999999</v>
      </c>
      <c r="M135" s="138">
        <v>146.19999999999999</v>
      </c>
      <c r="N135" s="138">
        <v>167.4</v>
      </c>
      <c r="O135" s="138">
        <v>160.5</v>
      </c>
      <c r="P135" s="138">
        <v>158.1</v>
      </c>
      <c r="Q135" s="138">
        <v>168.4</v>
      </c>
      <c r="R135" s="138">
        <v>161.1</v>
      </c>
      <c r="S135" s="138">
        <v>161</v>
      </c>
      <c r="T135" s="138">
        <v>162.5</v>
      </c>
      <c r="U135" s="138"/>
      <c r="V135" s="138"/>
      <c r="W135" s="138"/>
      <c r="X135" s="138"/>
      <c r="Y135" s="138"/>
      <c r="Z135" s="138"/>
      <c r="AA135" s="138"/>
      <c r="AB135" s="138"/>
      <c r="AC135" s="138"/>
      <c r="AD135" s="138"/>
      <c r="AE135" s="138"/>
      <c r="AF135" s="138"/>
      <c r="AG135" s="138"/>
      <c r="AH135" s="138"/>
      <c r="AI135" s="138"/>
    </row>
    <row r="136" spans="4:35" x14ac:dyDescent="0.35">
      <c r="D136" s="430">
        <v>20</v>
      </c>
      <c r="E136" s="437"/>
      <c r="F136" s="437"/>
      <c r="G136" s="438"/>
      <c r="H136" s="432"/>
      <c r="I136" s="432">
        <v>158.6</v>
      </c>
      <c r="J136" s="432">
        <v>152.19999999999999</v>
      </c>
      <c r="K136" s="432">
        <v>147.80000000000001</v>
      </c>
      <c r="L136" s="432">
        <v>163.5</v>
      </c>
      <c r="M136" s="432">
        <v>148.9</v>
      </c>
      <c r="N136" s="432">
        <v>168.4</v>
      </c>
      <c r="O136" s="432">
        <v>163.1</v>
      </c>
      <c r="P136" s="432">
        <v>161</v>
      </c>
      <c r="Q136" s="432">
        <v>170.9</v>
      </c>
      <c r="R136" s="432">
        <v>163.6</v>
      </c>
      <c r="S136" s="432">
        <v>163.4</v>
      </c>
      <c r="T136" s="432">
        <v>164.3</v>
      </c>
      <c r="U136" s="432"/>
      <c r="V136" s="432"/>
      <c r="W136" s="432"/>
      <c r="X136" s="432"/>
      <c r="Y136" s="432"/>
      <c r="Z136" s="432"/>
      <c r="AA136" s="432"/>
      <c r="AB136" s="432"/>
      <c r="AC136" s="432"/>
      <c r="AD136" s="432"/>
      <c r="AE136" s="432"/>
      <c r="AF136" s="432"/>
      <c r="AG136" s="432"/>
      <c r="AH136" s="432"/>
      <c r="AI136" s="432"/>
    </row>
    <row r="137" spans="4:35" x14ac:dyDescent="0.35">
      <c r="D137" s="136">
        <v>21</v>
      </c>
      <c r="E137" s="437"/>
      <c r="F137" s="437"/>
      <c r="G137" s="438"/>
      <c r="H137" s="138"/>
      <c r="I137" s="138">
        <v>161.6</v>
      </c>
      <c r="J137" s="138">
        <v>152.9</v>
      </c>
      <c r="K137" s="138">
        <v>152.30000000000001</v>
      </c>
      <c r="L137" s="138">
        <v>165.5</v>
      </c>
      <c r="M137" s="138">
        <v>152.6</v>
      </c>
      <c r="N137" s="138">
        <v>171</v>
      </c>
      <c r="O137" s="138">
        <v>164.7</v>
      </c>
      <c r="P137" s="138">
        <v>163.5</v>
      </c>
      <c r="Q137" s="138">
        <v>174.1</v>
      </c>
      <c r="R137" s="138">
        <v>165.6</v>
      </c>
      <c r="S137" s="138">
        <v>165.2</v>
      </c>
      <c r="T137" s="138">
        <v>166.9</v>
      </c>
      <c r="U137" s="138"/>
      <c r="V137" s="138"/>
      <c r="W137" s="138"/>
      <c r="X137" s="138"/>
      <c r="Y137" s="138"/>
      <c r="Z137" s="138"/>
      <c r="AA137" s="138"/>
      <c r="AB137" s="138"/>
      <c r="AC137" s="138"/>
      <c r="AD137" s="138"/>
      <c r="AE137" s="138"/>
      <c r="AF137" s="138"/>
      <c r="AG137" s="138"/>
      <c r="AH137" s="138"/>
      <c r="AI137" s="138"/>
    </row>
    <row r="138" spans="4:35" x14ac:dyDescent="0.35">
      <c r="D138" s="136">
        <v>22</v>
      </c>
      <c r="E138" s="437"/>
      <c r="F138" s="437"/>
      <c r="G138" s="438"/>
      <c r="H138" s="138"/>
      <c r="I138" s="138">
        <v>163.9</v>
      </c>
      <c r="J138" s="138">
        <v>156.1</v>
      </c>
      <c r="K138" s="138">
        <v>153</v>
      </c>
      <c r="L138" s="138">
        <v>167.4</v>
      </c>
      <c r="M138" s="138">
        <v>153.19999999999999</v>
      </c>
      <c r="N138" s="138">
        <v>172.9</v>
      </c>
      <c r="O138" s="138">
        <v>167.1</v>
      </c>
      <c r="P138" s="138">
        <v>165.2</v>
      </c>
      <c r="Q138" s="138">
        <v>175.8</v>
      </c>
      <c r="R138" s="138">
        <v>167.5</v>
      </c>
      <c r="S138" s="138">
        <v>167.4</v>
      </c>
      <c r="T138" s="138">
        <v>168</v>
      </c>
      <c r="U138" s="138"/>
      <c r="V138" s="138"/>
      <c r="W138" s="138"/>
      <c r="X138" s="138"/>
      <c r="Y138" s="138"/>
      <c r="Z138" s="138"/>
      <c r="AA138" s="138"/>
      <c r="AB138" s="138"/>
      <c r="AC138" s="138"/>
      <c r="AD138" s="138"/>
      <c r="AE138" s="138"/>
      <c r="AF138" s="138"/>
      <c r="AG138" s="138"/>
      <c r="AH138" s="138"/>
      <c r="AI138" s="138"/>
    </row>
    <row r="139" spans="4:35" x14ac:dyDescent="0.35">
      <c r="D139" s="136">
        <v>23</v>
      </c>
      <c r="E139" s="437"/>
      <c r="F139" s="437"/>
      <c r="G139" s="438"/>
      <c r="H139" s="138"/>
      <c r="I139" s="138">
        <v>166.7</v>
      </c>
      <c r="J139" s="138">
        <v>160.1</v>
      </c>
      <c r="K139" s="138">
        <v>155.1</v>
      </c>
      <c r="L139" s="138">
        <v>168.7</v>
      </c>
      <c r="M139" s="138">
        <v>156.1</v>
      </c>
      <c r="N139" s="138">
        <v>175.7</v>
      </c>
      <c r="O139" s="138">
        <v>168.2</v>
      </c>
      <c r="P139" s="138">
        <v>167.4</v>
      </c>
      <c r="Q139" s="138">
        <v>176.9</v>
      </c>
      <c r="R139" s="138">
        <v>168.6</v>
      </c>
      <c r="S139" s="138">
        <v>168.4</v>
      </c>
      <c r="T139" s="138">
        <v>169.4</v>
      </c>
      <c r="U139" s="138"/>
      <c r="V139" s="138"/>
      <c r="W139" s="138"/>
      <c r="X139" s="138"/>
      <c r="Y139" s="138"/>
      <c r="Z139" s="138"/>
      <c r="AA139" s="138"/>
      <c r="AB139" s="138"/>
      <c r="AC139" s="138"/>
      <c r="AD139" s="138"/>
      <c r="AE139" s="138"/>
      <c r="AF139" s="138"/>
      <c r="AG139" s="138"/>
      <c r="AH139" s="138"/>
      <c r="AI139" s="138"/>
    </row>
    <row r="140" spans="4:35" x14ac:dyDescent="0.35">
      <c r="D140" s="136">
        <v>24</v>
      </c>
      <c r="E140" s="437"/>
      <c r="F140" s="437"/>
      <c r="G140" s="438"/>
      <c r="H140" s="138"/>
      <c r="I140" s="138">
        <v>168.2</v>
      </c>
      <c r="J140" s="138">
        <v>162.69999999999999</v>
      </c>
      <c r="K140" s="138">
        <v>159.30000000000001</v>
      </c>
      <c r="L140" s="138">
        <v>171.1</v>
      </c>
      <c r="M140" s="138">
        <v>160.1</v>
      </c>
      <c r="N140" s="138">
        <v>176.5</v>
      </c>
      <c r="O140" s="138">
        <v>170.3</v>
      </c>
      <c r="P140" s="138">
        <v>168.4</v>
      </c>
      <c r="Q140" s="138">
        <v>179</v>
      </c>
      <c r="R140" s="138">
        <v>171.1</v>
      </c>
      <c r="S140" s="138">
        <v>170.7</v>
      </c>
      <c r="T140" s="138">
        <v>171.6</v>
      </c>
      <c r="U140" s="138"/>
      <c r="V140" s="138"/>
      <c r="W140" s="138"/>
      <c r="X140" s="138"/>
      <c r="Y140" s="138"/>
      <c r="Z140" s="138"/>
      <c r="AA140" s="138"/>
      <c r="AB140" s="138"/>
      <c r="AC140" s="138"/>
      <c r="AD140" s="138"/>
      <c r="AE140" s="138"/>
      <c r="AF140" s="138"/>
      <c r="AG140" s="138"/>
      <c r="AH140" s="138"/>
      <c r="AI140" s="138"/>
    </row>
    <row r="141" spans="4:35" x14ac:dyDescent="0.35">
      <c r="D141" s="136">
        <v>25</v>
      </c>
      <c r="E141" s="437"/>
      <c r="F141" s="437"/>
      <c r="G141" s="438"/>
      <c r="H141" s="138"/>
      <c r="I141" s="138">
        <v>170.9</v>
      </c>
      <c r="J141" s="138">
        <v>164.8</v>
      </c>
      <c r="K141" s="138">
        <v>161.80000000000001</v>
      </c>
      <c r="L141" s="138">
        <v>174.6</v>
      </c>
      <c r="M141" s="138">
        <v>162.69999999999999</v>
      </c>
      <c r="N141" s="138">
        <v>177.8</v>
      </c>
      <c r="O141" s="138">
        <v>172</v>
      </c>
      <c r="P141" s="138">
        <v>170.7</v>
      </c>
      <c r="Q141" s="138">
        <v>181.5</v>
      </c>
      <c r="R141" s="138">
        <v>174.2</v>
      </c>
      <c r="S141" s="138">
        <v>172.5</v>
      </c>
      <c r="T141" s="138">
        <v>175.1</v>
      </c>
      <c r="U141" s="138"/>
      <c r="V141" s="138"/>
      <c r="W141" s="138"/>
      <c r="X141" s="138"/>
      <c r="Y141" s="138"/>
      <c r="Z141" s="138"/>
      <c r="AA141" s="138"/>
      <c r="AB141" s="138"/>
      <c r="AC141" s="138"/>
      <c r="AD141" s="138"/>
      <c r="AE141" s="138"/>
      <c r="AF141" s="138"/>
      <c r="AG141" s="138"/>
      <c r="AH141" s="138"/>
      <c r="AI141" s="138"/>
    </row>
    <row r="142" spans="4:35" x14ac:dyDescent="0.35">
      <c r="D142" s="136">
        <v>26</v>
      </c>
      <c r="E142" s="437"/>
      <c r="F142" s="437"/>
      <c r="G142" s="438"/>
      <c r="H142" s="138"/>
      <c r="I142" s="138">
        <v>174.5</v>
      </c>
      <c r="J142" s="138">
        <v>167.2</v>
      </c>
      <c r="K142" s="138">
        <v>164</v>
      </c>
      <c r="L142" s="138">
        <v>175.8</v>
      </c>
      <c r="M142" s="138">
        <v>164.4</v>
      </c>
      <c r="N142" s="138">
        <v>180.2</v>
      </c>
      <c r="O142" s="138">
        <v>175.5</v>
      </c>
      <c r="P142" s="138">
        <v>172.4</v>
      </c>
      <c r="Q142" s="138">
        <v>184</v>
      </c>
      <c r="R142" s="138">
        <v>175.9</v>
      </c>
      <c r="S142" s="138">
        <v>175.7</v>
      </c>
      <c r="T142" s="138">
        <v>176.1</v>
      </c>
      <c r="U142" s="138"/>
      <c r="V142" s="138"/>
      <c r="W142" s="138"/>
      <c r="X142" s="138"/>
      <c r="Y142" s="138"/>
      <c r="Z142" s="138"/>
      <c r="AA142" s="138"/>
      <c r="AB142" s="138"/>
      <c r="AC142" s="138"/>
      <c r="AD142" s="138"/>
      <c r="AE142" s="138"/>
      <c r="AF142" s="138"/>
      <c r="AG142" s="138"/>
      <c r="AH142" s="138"/>
      <c r="AI142" s="138"/>
    </row>
    <row r="143" spans="4:35" x14ac:dyDescent="0.35">
      <c r="D143" s="136">
        <v>27</v>
      </c>
      <c r="E143" s="437"/>
      <c r="F143" s="437"/>
      <c r="G143" s="438"/>
      <c r="H143" s="138"/>
      <c r="I143" s="138">
        <v>175.9</v>
      </c>
      <c r="J143" s="138">
        <v>168.8</v>
      </c>
      <c r="K143" s="138">
        <v>166.7</v>
      </c>
      <c r="L143" s="138">
        <v>176.7</v>
      </c>
      <c r="M143" s="138">
        <v>167</v>
      </c>
      <c r="N143" s="138">
        <v>182.2</v>
      </c>
      <c r="O143" s="138">
        <v>176.3</v>
      </c>
      <c r="P143" s="138">
        <v>175.6</v>
      </c>
      <c r="Q143" s="138">
        <v>186.2</v>
      </c>
      <c r="R143" s="138">
        <v>176.6</v>
      </c>
      <c r="S143" s="138">
        <v>176.4</v>
      </c>
      <c r="T143" s="138">
        <v>176.9</v>
      </c>
      <c r="U143" s="138"/>
      <c r="V143" s="138"/>
      <c r="W143" s="138"/>
      <c r="X143" s="138"/>
      <c r="Y143" s="138"/>
      <c r="Z143" s="138"/>
      <c r="AA143" s="138"/>
      <c r="AB143" s="138"/>
      <c r="AC143" s="138"/>
      <c r="AD143" s="138"/>
      <c r="AE143" s="138"/>
      <c r="AF143" s="138"/>
      <c r="AG143" s="138"/>
      <c r="AH143" s="138"/>
      <c r="AI143" s="138"/>
    </row>
    <row r="144" spans="4:35" x14ac:dyDescent="0.35">
      <c r="D144" s="136">
        <v>28</v>
      </c>
      <c r="E144" s="437"/>
      <c r="F144" s="437"/>
      <c r="G144" s="438"/>
      <c r="H144" s="138"/>
      <c r="I144" s="138">
        <v>177.2</v>
      </c>
      <c r="J144" s="138">
        <v>171.3</v>
      </c>
      <c r="K144" s="138">
        <v>168</v>
      </c>
      <c r="L144" s="138">
        <v>178.6</v>
      </c>
      <c r="M144" s="138">
        <v>168.1</v>
      </c>
      <c r="N144" s="138">
        <v>184.4</v>
      </c>
      <c r="O144" s="138">
        <v>177.4</v>
      </c>
      <c r="P144" s="138">
        <v>176.4</v>
      </c>
      <c r="Q144" s="138">
        <v>189</v>
      </c>
      <c r="R144" s="138">
        <v>178.2</v>
      </c>
      <c r="S144" s="138">
        <v>177.7</v>
      </c>
      <c r="T144" s="138">
        <v>178.8</v>
      </c>
      <c r="U144" s="138"/>
      <c r="V144" s="138"/>
      <c r="W144" s="138"/>
      <c r="X144" s="138"/>
      <c r="Y144" s="138"/>
      <c r="Z144" s="138"/>
      <c r="AA144" s="138"/>
      <c r="AB144" s="138"/>
      <c r="AC144" s="138"/>
      <c r="AD144" s="138"/>
      <c r="AE144" s="138"/>
      <c r="AF144" s="138"/>
      <c r="AG144" s="138"/>
      <c r="AH144" s="138"/>
      <c r="AI144" s="138"/>
    </row>
    <row r="145" spans="4:35" x14ac:dyDescent="0.35">
      <c r="D145" s="136">
        <v>29</v>
      </c>
      <c r="E145" s="437"/>
      <c r="F145" s="437"/>
      <c r="G145" s="438"/>
      <c r="H145" s="138"/>
      <c r="I145" s="138">
        <v>180</v>
      </c>
      <c r="J145" s="138">
        <v>175.1</v>
      </c>
      <c r="K145" s="138">
        <v>170.6</v>
      </c>
      <c r="L145" s="138">
        <v>180.9</v>
      </c>
      <c r="M145" s="138">
        <v>170.6</v>
      </c>
      <c r="N145" s="138">
        <v>186.1</v>
      </c>
      <c r="O145" s="138">
        <v>179.6</v>
      </c>
      <c r="P145" s="138">
        <v>177.7</v>
      </c>
      <c r="Q145" s="138">
        <v>190.5</v>
      </c>
      <c r="R145" s="138">
        <v>180.8</v>
      </c>
      <c r="S145" s="138">
        <v>179.9</v>
      </c>
      <c r="T145" s="138">
        <v>181.1</v>
      </c>
      <c r="U145" s="138"/>
      <c r="V145" s="138"/>
      <c r="W145" s="138"/>
      <c r="X145" s="138"/>
      <c r="Y145" s="138"/>
      <c r="Z145" s="138"/>
      <c r="AA145" s="138"/>
      <c r="AB145" s="138"/>
      <c r="AC145" s="138"/>
      <c r="AD145" s="138"/>
      <c r="AE145" s="138"/>
      <c r="AF145" s="138"/>
      <c r="AG145" s="138"/>
      <c r="AH145" s="138"/>
      <c r="AI145" s="138"/>
    </row>
    <row r="146" spans="4:35" x14ac:dyDescent="0.35">
      <c r="D146" s="430">
        <v>30</v>
      </c>
      <c r="E146" s="437"/>
      <c r="F146" s="437"/>
      <c r="G146" s="438"/>
      <c r="H146" s="432"/>
      <c r="I146" s="432">
        <v>182.8</v>
      </c>
      <c r="J146" s="432">
        <v>176.1</v>
      </c>
      <c r="K146" s="432">
        <v>173</v>
      </c>
      <c r="L146" s="432">
        <v>183.4</v>
      </c>
      <c r="M146" s="432">
        <v>172.3</v>
      </c>
      <c r="N146" s="432">
        <v>188.8</v>
      </c>
      <c r="O146" s="432">
        <v>181.8</v>
      </c>
      <c r="P146" s="432">
        <v>179.8</v>
      </c>
      <c r="Q146" s="432">
        <v>193.1</v>
      </c>
      <c r="R146" s="432">
        <v>183.2</v>
      </c>
      <c r="S146" s="432">
        <v>182</v>
      </c>
      <c r="T146" s="432">
        <v>183.5</v>
      </c>
      <c r="U146" s="432"/>
      <c r="V146" s="432"/>
      <c r="W146" s="432"/>
      <c r="X146" s="432"/>
      <c r="Y146" s="432"/>
      <c r="Z146" s="432"/>
      <c r="AA146" s="432"/>
      <c r="AB146" s="432"/>
      <c r="AC146" s="432"/>
      <c r="AD146" s="432"/>
      <c r="AE146" s="432"/>
      <c r="AF146" s="432"/>
      <c r="AG146" s="432"/>
      <c r="AH146" s="432"/>
      <c r="AI146" s="432"/>
    </row>
    <row r="147" spans="4:35" x14ac:dyDescent="0.35">
      <c r="D147" s="136">
        <v>31</v>
      </c>
      <c r="E147" s="437"/>
      <c r="F147" s="437"/>
      <c r="G147" s="438"/>
      <c r="H147" s="138"/>
      <c r="I147" s="138">
        <v>185.2</v>
      </c>
      <c r="J147" s="138">
        <v>177.8</v>
      </c>
      <c r="K147" s="138">
        <v>175.7</v>
      </c>
      <c r="L147" s="138">
        <v>185.3</v>
      </c>
      <c r="M147" s="138">
        <v>175.6</v>
      </c>
      <c r="N147" s="138">
        <v>190.1</v>
      </c>
      <c r="O147" s="138">
        <v>184.1</v>
      </c>
      <c r="P147" s="138">
        <v>182</v>
      </c>
      <c r="Q147" s="138">
        <v>196.4</v>
      </c>
      <c r="R147" s="138">
        <v>185.1</v>
      </c>
      <c r="S147" s="138">
        <v>184.2</v>
      </c>
      <c r="T147" s="138">
        <v>185.3</v>
      </c>
      <c r="U147" s="138"/>
      <c r="V147" s="138"/>
      <c r="W147" s="138"/>
      <c r="X147" s="138"/>
      <c r="Y147" s="138"/>
      <c r="Z147" s="138"/>
      <c r="AA147" s="138"/>
      <c r="AB147" s="138"/>
      <c r="AC147" s="138"/>
      <c r="AD147" s="138"/>
      <c r="AE147" s="138"/>
      <c r="AF147" s="138"/>
      <c r="AG147" s="138"/>
      <c r="AH147" s="138"/>
      <c r="AI147" s="138"/>
    </row>
    <row r="148" spans="4:35" x14ac:dyDescent="0.35">
      <c r="D148" s="136">
        <v>32</v>
      </c>
      <c r="E148" s="437"/>
      <c r="F148" s="437"/>
      <c r="G148" s="438"/>
      <c r="H148" s="138"/>
      <c r="I148" s="138">
        <v>188.4</v>
      </c>
      <c r="J148" s="138">
        <v>180.6</v>
      </c>
      <c r="K148" s="138">
        <v>176.5</v>
      </c>
      <c r="L148" s="138">
        <v>187.9</v>
      </c>
      <c r="M148" s="138">
        <v>176.4</v>
      </c>
      <c r="N148" s="138">
        <v>191.4</v>
      </c>
      <c r="O148" s="138">
        <v>185.9</v>
      </c>
      <c r="P148" s="138">
        <v>184.2</v>
      </c>
      <c r="Q148" s="138">
        <v>197.6</v>
      </c>
      <c r="R148" s="138">
        <v>187.4</v>
      </c>
      <c r="S148" s="138">
        <v>186.1</v>
      </c>
      <c r="T148" s="138">
        <v>187.5</v>
      </c>
      <c r="U148" s="138"/>
      <c r="V148" s="138"/>
      <c r="W148" s="138"/>
      <c r="X148" s="138"/>
      <c r="Y148" s="138"/>
      <c r="Z148" s="138"/>
      <c r="AA148" s="138"/>
      <c r="AB148" s="138"/>
      <c r="AC148" s="138"/>
      <c r="AD148" s="138"/>
      <c r="AE148" s="138"/>
      <c r="AF148" s="138"/>
      <c r="AG148" s="138"/>
      <c r="AH148" s="138"/>
      <c r="AI148" s="138"/>
    </row>
    <row r="149" spans="4:35" x14ac:dyDescent="0.35">
      <c r="D149" s="136">
        <v>33</v>
      </c>
      <c r="E149" s="437"/>
      <c r="F149" s="437"/>
      <c r="G149" s="438"/>
      <c r="H149" s="138"/>
      <c r="I149" s="138">
        <v>190.2</v>
      </c>
      <c r="J149" s="138">
        <v>183.4</v>
      </c>
      <c r="K149" s="138">
        <v>178.6</v>
      </c>
      <c r="L149" s="138">
        <v>189.7</v>
      </c>
      <c r="M149" s="138">
        <v>177.9</v>
      </c>
      <c r="N149" s="138">
        <v>194.9</v>
      </c>
      <c r="O149" s="138">
        <v>188.6</v>
      </c>
      <c r="P149" s="138">
        <v>186.1</v>
      </c>
      <c r="Q149" s="138">
        <v>198.6</v>
      </c>
      <c r="R149" s="138">
        <v>189.6</v>
      </c>
      <c r="S149" s="138">
        <v>188.8</v>
      </c>
      <c r="T149" s="138">
        <v>189.6</v>
      </c>
      <c r="U149" s="138"/>
      <c r="V149" s="138"/>
      <c r="W149" s="138"/>
      <c r="X149" s="138"/>
      <c r="Y149" s="138"/>
      <c r="Z149" s="138"/>
      <c r="AA149" s="138"/>
      <c r="AB149" s="138"/>
      <c r="AC149" s="138"/>
      <c r="AD149" s="138"/>
      <c r="AE149" s="138"/>
      <c r="AF149" s="138"/>
      <c r="AG149" s="138"/>
      <c r="AH149" s="138"/>
      <c r="AI149" s="138"/>
    </row>
    <row r="150" spans="4:35" x14ac:dyDescent="0.35">
      <c r="D150" s="136">
        <v>34</v>
      </c>
      <c r="E150" s="437"/>
      <c r="F150" s="437"/>
      <c r="G150" s="438"/>
      <c r="H150" s="138"/>
      <c r="I150" s="138">
        <v>193.5</v>
      </c>
      <c r="J150" s="138">
        <v>185.6</v>
      </c>
      <c r="K150" s="138">
        <v>181.1</v>
      </c>
      <c r="L150" s="138">
        <v>191.2</v>
      </c>
      <c r="M150" s="138">
        <v>180.6</v>
      </c>
      <c r="N150" s="138">
        <v>197.1</v>
      </c>
      <c r="O150" s="138">
        <v>190.1</v>
      </c>
      <c r="P150" s="138">
        <v>188.8</v>
      </c>
      <c r="Q150" s="138">
        <v>201.7</v>
      </c>
      <c r="R150" s="138">
        <v>190.9</v>
      </c>
      <c r="S150" s="138">
        <v>190.1</v>
      </c>
      <c r="T150" s="138">
        <v>190.9</v>
      </c>
      <c r="U150" s="138"/>
      <c r="V150" s="138"/>
      <c r="W150" s="138"/>
      <c r="X150" s="138"/>
      <c r="Y150" s="138"/>
      <c r="Z150" s="138"/>
      <c r="AA150" s="138"/>
      <c r="AB150" s="138"/>
      <c r="AC150" s="138"/>
      <c r="AD150" s="138"/>
      <c r="AE150" s="138"/>
      <c r="AF150" s="138"/>
      <c r="AG150" s="138"/>
      <c r="AH150" s="138"/>
      <c r="AI150" s="138"/>
    </row>
    <row r="151" spans="4:35" x14ac:dyDescent="0.35">
      <c r="D151" s="136">
        <v>35</v>
      </c>
      <c r="E151" s="437"/>
      <c r="F151" s="437"/>
      <c r="G151" s="438"/>
      <c r="H151" s="138"/>
      <c r="I151" s="138">
        <v>196.7</v>
      </c>
      <c r="J151" s="138">
        <v>188.7</v>
      </c>
      <c r="K151" s="138">
        <v>183.8</v>
      </c>
      <c r="L151" s="138">
        <v>194.8</v>
      </c>
      <c r="M151" s="138">
        <v>183</v>
      </c>
      <c r="N151" s="138">
        <v>197.9</v>
      </c>
      <c r="O151" s="138">
        <v>191.4</v>
      </c>
      <c r="P151" s="138">
        <v>190.2</v>
      </c>
      <c r="Q151" s="138">
        <v>203.9</v>
      </c>
      <c r="R151" s="138">
        <v>193.8</v>
      </c>
      <c r="S151" s="138">
        <v>191.4</v>
      </c>
      <c r="T151" s="138">
        <v>193.3</v>
      </c>
      <c r="U151" s="138"/>
      <c r="V151" s="138"/>
      <c r="W151" s="138"/>
      <c r="X151" s="138"/>
      <c r="Y151" s="138"/>
      <c r="Z151" s="138"/>
      <c r="AA151" s="138"/>
      <c r="AB151" s="138"/>
      <c r="AC151" s="138"/>
      <c r="AD151" s="138"/>
      <c r="AE151" s="138"/>
      <c r="AF151" s="138"/>
      <c r="AG151" s="138"/>
      <c r="AH151" s="138"/>
      <c r="AI151" s="138"/>
    </row>
    <row r="152" spans="4:35" x14ac:dyDescent="0.35">
      <c r="D152" s="136">
        <v>36</v>
      </c>
      <c r="E152" s="437"/>
      <c r="F152" s="437"/>
      <c r="G152" s="438"/>
      <c r="H152" s="138"/>
      <c r="I152" s="138">
        <v>197.7</v>
      </c>
      <c r="J152" s="138">
        <v>190.5</v>
      </c>
      <c r="K152" s="138">
        <v>186.1</v>
      </c>
      <c r="L152" s="138">
        <v>197</v>
      </c>
      <c r="M152" s="138">
        <v>185</v>
      </c>
      <c r="N152" s="138">
        <v>198.6</v>
      </c>
      <c r="O152" s="138">
        <v>194.8</v>
      </c>
      <c r="P152" s="138">
        <v>191.6</v>
      </c>
      <c r="Q152" s="138">
        <v>205.8</v>
      </c>
      <c r="R152" s="138">
        <v>196.6</v>
      </c>
      <c r="S152" s="138">
        <v>194.9</v>
      </c>
      <c r="T152" s="138">
        <v>196.2</v>
      </c>
      <c r="U152" s="138"/>
      <c r="V152" s="138"/>
      <c r="W152" s="138"/>
      <c r="X152" s="138"/>
      <c r="Y152" s="138"/>
      <c r="Z152" s="138"/>
      <c r="AA152" s="138"/>
      <c r="AB152" s="138"/>
      <c r="AC152" s="138"/>
      <c r="AD152" s="138"/>
      <c r="AE152" s="138"/>
      <c r="AF152" s="138"/>
      <c r="AG152" s="138"/>
      <c r="AH152" s="138"/>
      <c r="AI152" s="138"/>
    </row>
    <row r="153" spans="4:35" x14ac:dyDescent="0.35">
      <c r="D153" s="136">
        <v>37</v>
      </c>
      <c r="E153" s="437"/>
      <c r="F153" s="437"/>
      <c r="G153" s="438"/>
      <c r="H153" s="138"/>
      <c r="I153" s="138">
        <v>199.4</v>
      </c>
      <c r="J153" s="138">
        <v>194</v>
      </c>
      <c r="K153" s="138">
        <v>189.1</v>
      </c>
      <c r="L153" s="138">
        <v>197.8</v>
      </c>
      <c r="M153" s="138">
        <v>187.2</v>
      </c>
      <c r="N153" s="138">
        <v>201.6</v>
      </c>
      <c r="O153" s="138">
        <v>197.1</v>
      </c>
      <c r="P153" s="138">
        <v>195</v>
      </c>
      <c r="Q153" s="138">
        <v>208.1</v>
      </c>
      <c r="R153" s="138">
        <v>197.7</v>
      </c>
      <c r="S153" s="138">
        <v>197.1</v>
      </c>
      <c r="T153" s="138">
        <v>197.6</v>
      </c>
      <c r="U153" s="138"/>
      <c r="V153" s="138"/>
      <c r="W153" s="138"/>
      <c r="X153" s="138"/>
      <c r="Y153" s="138"/>
      <c r="Z153" s="138"/>
      <c r="AA153" s="138"/>
      <c r="AB153" s="138"/>
      <c r="AC153" s="138"/>
      <c r="AD153" s="138"/>
      <c r="AE153" s="138"/>
      <c r="AF153" s="138"/>
      <c r="AG153" s="138"/>
      <c r="AH153" s="138"/>
      <c r="AI153" s="138"/>
    </row>
    <row r="154" spans="4:35" x14ac:dyDescent="0.35">
      <c r="D154" s="136">
        <v>38</v>
      </c>
      <c r="E154" s="437"/>
      <c r="F154" s="437"/>
      <c r="G154" s="438"/>
      <c r="H154" s="138"/>
      <c r="I154" s="138">
        <v>203</v>
      </c>
      <c r="J154" s="138">
        <v>196.7</v>
      </c>
      <c r="K154" s="138">
        <v>190.6</v>
      </c>
      <c r="L154" s="138">
        <v>198.9</v>
      </c>
      <c r="M154" s="138">
        <v>189.6</v>
      </c>
      <c r="N154" s="138">
        <v>203.7</v>
      </c>
      <c r="O154" s="138">
        <v>198</v>
      </c>
      <c r="P154" s="138">
        <v>197.2</v>
      </c>
      <c r="Q154" s="138">
        <v>210.3</v>
      </c>
      <c r="R154" s="138">
        <v>198.4</v>
      </c>
      <c r="S154" s="138">
        <v>198</v>
      </c>
      <c r="T154" s="138">
        <v>198.3</v>
      </c>
      <c r="U154" s="138"/>
      <c r="V154" s="138"/>
      <c r="W154" s="138"/>
      <c r="X154" s="138"/>
      <c r="Y154" s="138"/>
      <c r="Z154" s="138"/>
      <c r="AA154" s="138"/>
      <c r="AB154" s="138"/>
      <c r="AC154" s="138"/>
      <c r="AD154" s="138"/>
      <c r="AE154" s="138"/>
      <c r="AF154" s="138"/>
      <c r="AG154" s="138"/>
      <c r="AH154" s="138"/>
      <c r="AI154" s="138"/>
    </row>
    <row r="155" spans="4:35" x14ac:dyDescent="0.35">
      <c r="D155" s="136">
        <v>39</v>
      </c>
      <c r="E155" s="437"/>
      <c r="F155" s="437"/>
      <c r="G155" s="438"/>
      <c r="H155" s="138"/>
      <c r="I155" s="138">
        <v>205</v>
      </c>
      <c r="J155" s="138">
        <v>197.7</v>
      </c>
      <c r="K155" s="138">
        <v>194.2</v>
      </c>
      <c r="L155" s="138">
        <v>202.1</v>
      </c>
      <c r="M155" s="138">
        <v>191</v>
      </c>
      <c r="N155" s="138">
        <v>205.2</v>
      </c>
      <c r="O155" s="138">
        <v>198.7</v>
      </c>
      <c r="P155" s="138">
        <v>198</v>
      </c>
      <c r="Q155" s="138">
        <v>212.9</v>
      </c>
      <c r="R155" s="138">
        <v>201.3</v>
      </c>
      <c r="S155" s="138">
        <v>198.7</v>
      </c>
      <c r="T155" s="138">
        <v>200.2</v>
      </c>
      <c r="U155" s="138"/>
      <c r="V155" s="138"/>
      <c r="W155" s="138"/>
      <c r="X155" s="138"/>
      <c r="Y155" s="138"/>
      <c r="Z155" s="138"/>
      <c r="AA155" s="138"/>
      <c r="AB155" s="138"/>
      <c r="AC155" s="138"/>
      <c r="AD155" s="138"/>
      <c r="AE155" s="138"/>
      <c r="AF155" s="138"/>
      <c r="AG155" s="138"/>
      <c r="AH155" s="138"/>
      <c r="AI155" s="138"/>
    </row>
    <row r="156" spans="4:35" x14ac:dyDescent="0.35">
      <c r="D156" s="430">
        <v>40</v>
      </c>
      <c r="E156" s="437"/>
      <c r="F156" s="437"/>
      <c r="G156" s="438"/>
      <c r="H156" s="432"/>
      <c r="I156" s="432">
        <v>207.5</v>
      </c>
      <c r="J156" s="432">
        <v>199.5</v>
      </c>
      <c r="K156" s="432">
        <v>196.8</v>
      </c>
      <c r="L156" s="432">
        <v>204</v>
      </c>
      <c r="M156" s="432">
        <v>194.2</v>
      </c>
      <c r="N156" s="432">
        <v>206.8</v>
      </c>
      <c r="O156" s="432">
        <v>201.9</v>
      </c>
      <c r="P156" s="432">
        <v>199</v>
      </c>
      <c r="Q156" s="432">
        <v>215.5</v>
      </c>
      <c r="R156" s="432">
        <v>203.6</v>
      </c>
      <c r="S156" s="432">
        <v>201.8</v>
      </c>
      <c r="T156" s="432">
        <v>203</v>
      </c>
      <c r="U156" s="432"/>
      <c r="V156" s="432"/>
      <c r="W156" s="432"/>
      <c r="X156" s="432"/>
      <c r="Y156" s="432"/>
      <c r="Z156" s="432"/>
      <c r="AA156" s="432"/>
      <c r="AB156" s="432"/>
      <c r="AC156" s="432"/>
      <c r="AD156" s="432"/>
      <c r="AE156" s="432"/>
      <c r="AF156" s="432"/>
      <c r="AG156" s="432"/>
      <c r="AH156" s="432"/>
      <c r="AI156" s="432"/>
    </row>
    <row r="157" spans="4:35" x14ac:dyDescent="0.35">
      <c r="D157" s="136">
        <v>41</v>
      </c>
      <c r="E157" s="437"/>
      <c r="F157" s="437"/>
      <c r="G157" s="438"/>
      <c r="H157" s="138"/>
      <c r="I157" s="138">
        <v>210.1</v>
      </c>
      <c r="J157" s="138">
        <v>202.9</v>
      </c>
      <c r="K157" s="138">
        <v>197.8</v>
      </c>
      <c r="L157" s="138">
        <v>205.8</v>
      </c>
      <c r="M157" s="138">
        <v>196.8</v>
      </c>
      <c r="N157" s="138">
        <v>208.7</v>
      </c>
      <c r="O157" s="138">
        <v>203.9</v>
      </c>
      <c r="P157" s="138">
        <v>202.1</v>
      </c>
      <c r="Q157" s="138">
        <v>217.5</v>
      </c>
      <c r="R157" s="138">
        <v>205.2</v>
      </c>
      <c r="S157" s="138">
        <v>203.8</v>
      </c>
      <c r="T157" s="138">
        <v>204.6</v>
      </c>
      <c r="U157" s="138"/>
      <c r="V157" s="138"/>
      <c r="W157" s="138"/>
      <c r="X157" s="138"/>
      <c r="Y157" s="138"/>
      <c r="Z157" s="138"/>
      <c r="AA157" s="138"/>
      <c r="AB157" s="138"/>
      <c r="AC157" s="138"/>
      <c r="AD157" s="138"/>
      <c r="AE157" s="138"/>
      <c r="AF157" s="138"/>
      <c r="AG157" s="138"/>
      <c r="AH157" s="138"/>
      <c r="AI157" s="138"/>
    </row>
    <row r="158" spans="4:35" x14ac:dyDescent="0.35">
      <c r="D158" s="136">
        <v>42</v>
      </c>
      <c r="E158" s="437"/>
      <c r="F158" s="437"/>
      <c r="G158" s="438"/>
      <c r="H158" s="138"/>
      <c r="I158" s="138">
        <v>213</v>
      </c>
      <c r="J158" s="138">
        <v>204.8</v>
      </c>
      <c r="K158" s="138">
        <v>199.1</v>
      </c>
      <c r="L158" s="138">
        <v>207.9</v>
      </c>
      <c r="M158" s="138">
        <v>197.8</v>
      </c>
      <c r="N158" s="138">
        <v>210.8</v>
      </c>
      <c r="O158" s="138">
        <v>205.5</v>
      </c>
      <c r="P158" s="138">
        <v>204</v>
      </c>
      <c r="Q158" s="138">
        <v>218.7</v>
      </c>
      <c r="R158" s="138">
        <v>207.1</v>
      </c>
      <c r="S158" s="138">
        <v>205.4</v>
      </c>
      <c r="T158" s="138">
        <v>206.2</v>
      </c>
      <c r="U158" s="138"/>
      <c r="V158" s="138"/>
      <c r="W158" s="138"/>
      <c r="X158" s="138"/>
      <c r="Y158" s="138"/>
      <c r="Z158" s="138"/>
      <c r="AA158" s="138"/>
      <c r="AB158" s="138"/>
      <c r="AC158" s="138"/>
      <c r="AD158" s="138"/>
      <c r="AE158" s="138"/>
      <c r="AF158" s="138"/>
      <c r="AG158" s="138"/>
      <c r="AH158" s="138"/>
      <c r="AI158" s="138"/>
    </row>
    <row r="159" spans="4:35" x14ac:dyDescent="0.35">
      <c r="D159" s="136">
        <v>43</v>
      </c>
      <c r="E159" s="437"/>
      <c r="F159" s="437"/>
      <c r="G159" s="438"/>
      <c r="H159" s="138"/>
      <c r="I159" s="138">
        <v>216</v>
      </c>
      <c r="J159" s="138">
        <v>207.3</v>
      </c>
      <c r="K159" s="138">
        <v>202.6</v>
      </c>
      <c r="L159" s="138">
        <v>210</v>
      </c>
      <c r="M159" s="138">
        <v>198.7</v>
      </c>
      <c r="N159" s="138">
        <v>213</v>
      </c>
      <c r="O159" s="138">
        <v>207.3</v>
      </c>
      <c r="P159" s="138">
        <v>205.7</v>
      </c>
      <c r="Q159" s="138">
        <v>220.9</v>
      </c>
      <c r="R159" s="138">
        <v>209.1</v>
      </c>
      <c r="S159" s="138">
        <v>207.3</v>
      </c>
      <c r="T159" s="138">
        <v>208.2</v>
      </c>
      <c r="U159" s="138"/>
      <c r="V159" s="138"/>
      <c r="W159" s="138"/>
      <c r="X159" s="138"/>
      <c r="Y159" s="138"/>
      <c r="Z159" s="138"/>
      <c r="AA159" s="138"/>
      <c r="AB159" s="138"/>
      <c r="AC159" s="138"/>
      <c r="AD159" s="138"/>
      <c r="AE159" s="138"/>
      <c r="AF159" s="138"/>
      <c r="AG159" s="138"/>
      <c r="AH159" s="138"/>
      <c r="AI159" s="138"/>
    </row>
    <row r="160" spans="4:35" x14ac:dyDescent="0.35">
      <c r="D160" s="136">
        <v>44</v>
      </c>
      <c r="E160" s="437"/>
      <c r="F160" s="437"/>
      <c r="G160" s="438"/>
      <c r="H160" s="138"/>
      <c r="I160" s="138">
        <v>217.7</v>
      </c>
      <c r="J160" s="138">
        <v>209.7</v>
      </c>
      <c r="K160" s="138">
        <v>204.6</v>
      </c>
      <c r="L160" s="138">
        <v>212.4</v>
      </c>
      <c r="M160" s="138">
        <v>202</v>
      </c>
      <c r="N160" s="138">
        <v>215.1</v>
      </c>
      <c r="O160" s="138">
        <v>209.3</v>
      </c>
      <c r="P160" s="138">
        <v>207.7</v>
      </c>
      <c r="Q160" s="138">
        <v>223.5</v>
      </c>
      <c r="R160" s="138">
        <v>211.4</v>
      </c>
      <c r="S160" s="138">
        <v>209.2</v>
      </c>
      <c r="T160" s="138">
        <v>210.2</v>
      </c>
      <c r="U160" s="138"/>
      <c r="V160" s="138"/>
      <c r="W160" s="138"/>
      <c r="X160" s="138"/>
      <c r="Y160" s="138"/>
      <c r="Z160" s="138"/>
      <c r="AA160" s="138"/>
      <c r="AB160" s="138"/>
      <c r="AC160" s="138"/>
      <c r="AD160" s="138"/>
      <c r="AE160" s="138"/>
      <c r="AF160" s="138"/>
      <c r="AG160" s="138"/>
      <c r="AH160" s="138"/>
      <c r="AI160" s="138"/>
    </row>
    <row r="161" spans="4:35" x14ac:dyDescent="0.35">
      <c r="D161" s="136">
        <v>45</v>
      </c>
      <c r="E161" s="437"/>
      <c r="F161" s="437"/>
      <c r="G161" s="438"/>
      <c r="H161" s="138"/>
      <c r="I161" s="138">
        <v>219.6</v>
      </c>
      <c r="J161" s="138">
        <v>212.4</v>
      </c>
      <c r="K161" s="138">
        <v>206.7</v>
      </c>
      <c r="L161" s="138">
        <v>214.8</v>
      </c>
      <c r="M161" s="138">
        <v>204</v>
      </c>
      <c r="N161" s="138">
        <v>217.3</v>
      </c>
      <c r="O161" s="138">
        <v>211.5</v>
      </c>
      <c r="P161" s="138">
        <v>209.7</v>
      </c>
      <c r="Q161" s="138">
        <v>226.3</v>
      </c>
      <c r="R161" s="138">
        <v>213.7</v>
      </c>
      <c r="S161" s="138">
        <v>211.4</v>
      </c>
      <c r="T161" s="138">
        <v>212.4</v>
      </c>
      <c r="U161" s="138"/>
      <c r="V161" s="138"/>
      <c r="W161" s="138"/>
      <c r="X161" s="138"/>
      <c r="Y161" s="138"/>
      <c r="Z161" s="138"/>
      <c r="AA161" s="138"/>
      <c r="AB161" s="138"/>
      <c r="AC161" s="138"/>
      <c r="AD161" s="138"/>
      <c r="AE161" s="138"/>
      <c r="AF161" s="138"/>
      <c r="AG161" s="138"/>
      <c r="AH161" s="138"/>
      <c r="AI161" s="138"/>
    </row>
    <row r="162" spans="4:35" x14ac:dyDescent="0.35">
      <c r="D162" s="136">
        <v>46</v>
      </c>
      <c r="E162" s="437"/>
      <c r="F162" s="437"/>
      <c r="G162" s="438"/>
      <c r="H162" s="138"/>
      <c r="I162" s="138">
        <v>222.2</v>
      </c>
      <c r="J162" s="138">
        <v>215.2</v>
      </c>
      <c r="K162" s="138">
        <v>209.1</v>
      </c>
      <c r="L162" s="138">
        <v>217.1</v>
      </c>
      <c r="M162" s="138">
        <v>205.8</v>
      </c>
      <c r="N162" s="138">
        <v>218.2</v>
      </c>
      <c r="O162" s="138">
        <v>213.8</v>
      </c>
      <c r="P162" s="138">
        <v>211.8</v>
      </c>
      <c r="Q162" s="138">
        <v>228.7</v>
      </c>
      <c r="R162" s="138">
        <v>216.3</v>
      </c>
      <c r="S162" s="138">
        <v>213.6</v>
      </c>
      <c r="T162" s="138">
        <v>214.7</v>
      </c>
      <c r="U162" s="138"/>
      <c r="V162" s="138"/>
      <c r="W162" s="138"/>
      <c r="X162" s="138"/>
      <c r="Y162" s="138"/>
      <c r="Z162" s="138"/>
      <c r="AA162" s="138"/>
      <c r="AB162" s="138"/>
      <c r="AC162" s="138"/>
      <c r="AD162" s="138"/>
      <c r="AE162" s="138"/>
      <c r="AF162" s="138"/>
      <c r="AG162" s="138"/>
      <c r="AH162" s="138"/>
      <c r="AI162" s="138"/>
    </row>
    <row r="163" spans="4:35" x14ac:dyDescent="0.35">
      <c r="D163" s="136">
        <v>47</v>
      </c>
      <c r="E163" s="437"/>
      <c r="F163" s="437"/>
      <c r="G163" s="438"/>
      <c r="H163" s="138"/>
      <c r="I163" s="138">
        <v>225.5</v>
      </c>
      <c r="J163" s="138">
        <v>217.4</v>
      </c>
      <c r="K163" s="138">
        <v>211.7</v>
      </c>
      <c r="L163" s="138">
        <v>218</v>
      </c>
      <c r="M163" s="138">
        <v>207.9</v>
      </c>
      <c r="N163" s="138">
        <v>220</v>
      </c>
      <c r="O163" s="138">
        <v>216.4</v>
      </c>
      <c r="P163" s="138">
        <v>214.2</v>
      </c>
      <c r="Q163" s="138">
        <v>230.9</v>
      </c>
      <c r="R163" s="138">
        <v>217.7</v>
      </c>
      <c r="S163" s="138">
        <v>216.1</v>
      </c>
      <c r="T163" s="138">
        <v>217.1</v>
      </c>
      <c r="U163" s="138"/>
      <c r="V163" s="138"/>
      <c r="W163" s="138"/>
      <c r="X163" s="138"/>
      <c r="Y163" s="138"/>
      <c r="Z163" s="138"/>
      <c r="AA163" s="138"/>
      <c r="AB163" s="138"/>
      <c r="AC163" s="138"/>
      <c r="AD163" s="138"/>
      <c r="AE163" s="138"/>
      <c r="AF163" s="138"/>
      <c r="AG163" s="138"/>
      <c r="AH163" s="138"/>
      <c r="AI163" s="138"/>
    </row>
    <row r="164" spans="4:35" x14ac:dyDescent="0.35">
      <c r="D164" s="136">
        <v>48</v>
      </c>
      <c r="E164" s="437"/>
      <c r="F164" s="437"/>
      <c r="G164" s="438"/>
      <c r="H164" s="138"/>
      <c r="I164" s="138">
        <v>228.2</v>
      </c>
      <c r="J164" s="138">
        <v>218.7</v>
      </c>
      <c r="K164" s="138">
        <v>214.4</v>
      </c>
      <c r="L164" s="138">
        <v>220.1</v>
      </c>
      <c r="M164" s="138">
        <v>210</v>
      </c>
      <c r="N164" s="138">
        <v>221.8</v>
      </c>
      <c r="O164" s="138">
        <v>217.8</v>
      </c>
      <c r="P164" s="138">
        <v>216.8</v>
      </c>
      <c r="Q164" s="138">
        <v>233.2</v>
      </c>
      <c r="R164" s="138">
        <v>218.7</v>
      </c>
      <c r="S164" s="138">
        <v>217.7</v>
      </c>
      <c r="T164" s="138">
        <v>218.1</v>
      </c>
      <c r="U164" s="138"/>
      <c r="V164" s="138"/>
      <c r="W164" s="138"/>
      <c r="X164" s="138"/>
      <c r="Y164" s="138"/>
      <c r="Z164" s="138"/>
      <c r="AA164" s="138"/>
      <c r="AB164" s="138"/>
      <c r="AC164" s="138"/>
      <c r="AD164" s="138"/>
      <c r="AE164" s="138"/>
      <c r="AF164" s="138"/>
      <c r="AG164" s="138"/>
      <c r="AH164" s="138"/>
      <c r="AI164" s="138"/>
    </row>
    <row r="165" spans="4:35" x14ac:dyDescent="0.35">
      <c r="D165" s="136">
        <v>49</v>
      </c>
      <c r="E165" s="437"/>
      <c r="F165" s="437"/>
      <c r="G165" s="438"/>
      <c r="H165" s="138"/>
      <c r="I165" s="138">
        <v>230.7</v>
      </c>
      <c r="J165" s="138">
        <v>221.2</v>
      </c>
      <c r="K165" s="138">
        <v>217.1</v>
      </c>
      <c r="L165" s="138">
        <v>222.3</v>
      </c>
      <c r="M165" s="138">
        <v>212.4</v>
      </c>
      <c r="N165" s="138">
        <v>224.2</v>
      </c>
      <c r="O165" s="138">
        <v>218.7</v>
      </c>
      <c r="P165" s="138">
        <v>218</v>
      </c>
      <c r="Q165" s="138">
        <v>236.3</v>
      </c>
      <c r="R165" s="138">
        <v>220.9</v>
      </c>
      <c r="S165" s="138">
        <v>218.5</v>
      </c>
      <c r="T165" s="138">
        <v>219.6</v>
      </c>
      <c r="U165" s="138"/>
      <c r="V165" s="138"/>
      <c r="W165" s="138"/>
      <c r="X165" s="138"/>
      <c r="Y165" s="138"/>
      <c r="Z165" s="138"/>
      <c r="AA165" s="138"/>
      <c r="AB165" s="138"/>
      <c r="AC165" s="138"/>
      <c r="AD165" s="138"/>
      <c r="AE165" s="138"/>
      <c r="AF165" s="138"/>
      <c r="AG165" s="138"/>
      <c r="AH165" s="138"/>
      <c r="AI165" s="138"/>
    </row>
    <row r="166" spans="4:35" x14ac:dyDescent="0.35">
      <c r="D166" s="430">
        <v>50</v>
      </c>
      <c r="E166" s="437"/>
      <c r="F166" s="437"/>
      <c r="G166" s="438"/>
      <c r="H166" s="432"/>
      <c r="I166" s="432">
        <v>233.3</v>
      </c>
      <c r="J166" s="432">
        <v>224.2</v>
      </c>
      <c r="K166" s="432">
        <v>218.1</v>
      </c>
      <c r="L166" s="432">
        <v>225</v>
      </c>
      <c r="M166" s="432">
        <v>214.9</v>
      </c>
      <c r="N166" s="432">
        <v>226.6</v>
      </c>
      <c r="O166" s="432">
        <v>220.9</v>
      </c>
      <c r="P166" s="432">
        <v>219.3</v>
      </c>
      <c r="Q166" s="432">
        <v>237.4</v>
      </c>
      <c r="R166" s="432">
        <v>223.5</v>
      </c>
      <c r="S166" s="432">
        <v>220.6</v>
      </c>
      <c r="T166" s="432">
        <v>221.5</v>
      </c>
      <c r="U166" s="432"/>
      <c r="V166" s="432"/>
      <c r="W166" s="432"/>
      <c r="X166" s="432"/>
      <c r="Y166" s="432"/>
      <c r="Z166" s="432"/>
      <c r="AA166" s="432"/>
      <c r="AB166" s="432"/>
      <c r="AC166" s="432"/>
      <c r="AD166" s="432"/>
      <c r="AE166" s="432"/>
      <c r="AF166" s="432"/>
      <c r="AG166" s="432"/>
      <c r="AH166" s="432"/>
      <c r="AI166" s="432"/>
    </row>
    <row r="167" spans="4:35" x14ac:dyDescent="0.35">
      <c r="D167" s="136">
        <v>51</v>
      </c>
      <c r="E167" s="437"/>
      <c r="F167" s="437"/>
      <c r="G167" s="438"/>
      <c r="H167" s="138"/>
      <c r="I167" s="138">
        <v>236.5</v>
      </c>
      <c r="J167" s="138">
        <v>227.2</v>
      </c>
      <c r="K167" s="138">
        <v>220.4</v>
      </c>
      <c r="L167" s="138">
        <v>227.4</v>
      </c>
      <c r="M167" s="138">
        <v>217.3</v>
      </c>
      <c r="N167" s="138">
        <v>228.6</v>
      </c>
      <c r="O167" s="138">
        <v>223.3</v>
      </c>
      <c r="P167" s="138">
        <v>221.3</v>
      </c>
      <c r="Q167" s="138">
        <v>239.4</v>
      </c>
      <c r="R167" s="138">
        <v>226.2</v>
      </c>
      <c r="S167" s="138">
        <v>222.8</v>
      </c>
      <c r="T167" s="138">
        <v>223.9</v>
      </c>
      <c r="U167" s="138"/>
      <c r="V167" s="138"/>
      <c r="W167" s="138"/>
      <c r="X167" s="138"/>
      <c r="Y167" s="138"/>
      <c r="Z167" s="138"/>
      <c r="AA167" s="138"/>
      <c r="AB167" s="138"/>
      <c r="AC167" s="138"/>
      <c r="AD167" s="138"/>
      <c r="AE167" s="138"/>
      <c r="AF167" s="138"/>
      <c r="AG167" s="138"/>
      <c r="AH167" s="138"/>
      <c r="AI167" s="138"/>
    </row>
    <row r="168" spans="4:35" x14ac:dyDescent="0.35">
      <c r="D168" s="136">
        <v>52</v>
      </c>
      <c r="E168" s="437"/>
      <c r="F168" s="437"/>
      <c r="G168" s="438"/>
      <c r="H168" s="138"/>
      <c r="I168" s="138">
        <v>237.7</v>
      </c>
      <c r="J168" s="138">
        <v>229.6</v>
      </c>
      <c r="K168" s="138">
        <v>223</v>
      </c>
      <c r="L168" s="138">
        <v>229.6</v>
      </c>
      <c r="M168" s="138">
        <v>218.2</v>
      </c>
      <c r="N168" s="138">
        <v>230.5</v>
      </c>
      <c r="O168" s="138">
        <v>225.9</v>
      </c>
      <c r="P168" s="138">
        <v>223.8</v>
      </c>
      <c r="Q168" s="138">
        <v>242.5</v>
      </c>
      <c r="R168" s="138">
        <v>228.3</v>
      </c>
      <c r="S168" s="138">
        <v>225.4</v>
      </c>
      <c r="T168" s="138">
        <v>226.4</v>
      </c>
      <c r="U168" s="138"/>
      <c r="V168" s="138"/>
      <c r="W168" s="138"/>
      <c r="X168" s="138"/>
      <c r="Y168" s="138"/>
      <c r="Z168" s="138"/>
      <c r="AA168" s="138"/>
      <c r="AB168" s="138"/>
      <c r="AC168" s="138"/>
      <c r="AD168" s="138"/>
      <c r="AE168" s="138"/>
      <c r="AF168" s="138"/>
      <c r="AG168" s="138"/>
      <c r="AH168" s="138"/>
      <c r="AI168" s="138"/>
    </row>
    <row r="169" spans="4:35" x14ac:dyDescent="0.35">
      <c r="D169" s="136">
        <v>53</v>
      </c>
      <c r="E169" s="437"/>
      <c r="F169" s="437"/>
      <c r="G169" s="438"/>
      <c r="H169" s="138"/>
      <c r="I169" s="138">
        <v>240.6</v>
      </c>
      <c r="J169" s="138">
        <v>231.8</v>
      </c>
      <c r="K169" s="138">
        <v>226.1</v>
      </c>
      <c r="L169" s="138">
        <v>231.5</v>
      </c>
      <c r="M169" s="138">
        <v>220.4</v>
      </c>
      <c r="N169" s="138">
        <v>232.1</v>
      </c>
      <c r="O169" s="138">
        <v>228</v>
      </c>
      <c r="P169" s="138">
        <v>226.4</v>
      </c>
      <c r="Q169" s="138">
        <v>245.9</v>
      </c>
      <c r="R169" s="138">
        <v>230.4</v>
      </c>
      <c r="S169" s="138">
        <v>227.7</v>
      </c>
      <c r="T169" s="138">
        <v>228.6</v>
      </c>
      <c r="U169" s="138"/>
      <c r="V169" s="138"/>
      <c r="W169" s="138"/>
      <c r="X169" s="138"/>
      <c r="Y169" s="138"/>
      <c r="Z169" s="138"/>
      <c r="AA169" s="138"/>
      <c r="AB169" s="138"/>
      <c r="AC169" s="138"/>
      <c r="AD169" s="138"/>
      <c r="AE169" s="138"/>
      <c r="AF169" s="138"/>
      <c r="AG169" s="138"/>
      <c r="AH169" s="138"/>
      <c r="AI169" s="138"/>
    </row>
    <row r="170" spans="4:35" x14ac:dyDescent="0.35">
      <c r="D170" s="136">
        <v>54</v>
      </c>
      <c r="E170" s="437"/>
      <c r="F170" s="437"/>
      <c r="G170" s="438"/>
      <c r="H170" s="138"/>
      <c r="I170" s="138">
        <v>244.2</v>
      </c>
      <c r="J170" s="138">
        <v>235.3</v>
      </c>
      <c r="K170" s="138">
        <v>228.7</v>
      </c>
      <c r="L170" s="138">
        <v>234.2</v>
      </c>
      <c r="M170" s="138">
        <v>222.7</v>
      </c>
      <c r="N170" s="138">
        <v>235</v>
      </c>
      <c r="O170" s="138">
        <v>230</v>
      </c>
      <c r="P170" s="138">
        <v>228.6</v>
      </c>
      <c r="Q170" s="138">
        <v>248.5</v>
      </c>
      <c r="R170" s="138">
        <v>232.2</v>
      </c>
      <c r="S170" s="138">
        <v>229.7</v>
      </c>
      <c r="T170" s="138">
        <v>230.5</v>
      </c>
      <c r="U170" s="138"/>
      <c r="V170" s="138"/>
      <c r="W170" s="138"/>
      <c r="X170" s="138"/>
      <c r="Y170" s="138"/>
      <c r="Z170" s="138"/>
      <c r="AA170" s="138"/>
      <c r="AB170" s="138"/>
      <c r="AC170" s="138"/>
      <c r="AD170" s="138"/>
      <c r="AE170" s="138"/>
      <c r="AF170" s="138"/>
      <c r="AG170" s="138"/>
      <c r="AH170" s="138"/>
      <c r="AI170" s="138"/>
    </row>
    <row r="171" spans="4:35" x14ac:dyDescent="0.35">
      <c r="D171" s="136">
        <v>55</v>
      </c>
      <c r="E171" s="437"/>
      <c r="F171" s="437"/>
      <c r="G171" s="438"/>
      <c r="H171" s="138"/>
      <c r="I171" s="138">
        <v>247.4</v>
      </c>
      <c r="J171" s="138">
        <v>237</v>
      </c>
      <c r="K171" s="138">
        <v>230.9</v>
      </c>
      <c r="L171" s="138">
        <v>236.6</v>
      </c>
      <c r="M171" s="138">
        <v>225.6</v>
      </c>
      <c r="N171" s="138">
        <v>237</v>
      </c>
      <c r="O171" s="138">
        <v>231.8</v>
      </c>
      <c r="P171" s="138">
        <v>230.6</v>
      </c>
      <c r="Q171" s="138">
        <v>251.2</v>
      </c>
      <c r="R171" s="138">
        <v>235.5</v>
      </c>
      <c r="S171" s="138">
        <v>231.5</v>
      </c>
      <c r="T171" s="138">
        <v>232.3</v>
      </c>
      <c r="U171" s="138"/>
      <c r="V171" s="138"/>
      <c r="W171" s="138"/>
      <c r="X171" s="138"/>
      <c r="Y171" s="138"/>
      <c r="Z171" s="138"/>
      <c r="AA171" s="138"/>
      <c r="AB171" s="138"/>
      <c r="AC171" s="138"/>
      <c r="AD171" s="138"/>
      <c r="AE171" s="138"/>
      <c r="AF171" s="138"/>
      <c r="AG171" s="138"/>
      <c r="AH171" s="138"/>
      <c r="AI171" s="138"/>
    </row>
    <row r="172" spans="4:35" x14ac:dyDescent="0.35">
      <c r="D172" s="136">
        <v>56</v>
      </c>
      <c r="E172" s="437"/>
      <c r="F172" s="437"/>
      <c r="G172" s="438"/>
      <c r="H172" s="138"/>
      <c r="I172" s="138">
        <v>250.3</v>
      </c>
      <c r="J172" s="138">
        <v>238.7</v>
      </c>
      <c r="K172" s="138">
        <v>233.5</v>
      </c>
      <c r="L172" s="138">
        <v>237.6</v>
      </c>
      <c r="M172" s="138">
        <v>227.8</v>
      </c>
      <c r="N172" s="138">
        <v>237.8</v>
      </c>
      <c r="O172" s="138">
        <v>234.5</v>
      </c>
      <c r="P172" s="138">
        <v>232.4</v>
      </c>
      <c r="Q172" s="138">
        <v>254.4</v>
      </c>
      <c r="R172" s="138">
        <v>237</v>
      </c>
      <c r="S172" s="138">
        <v>233.9</v>
      </c>
      <c r="T172" s="138">
        <v>235.3</v>
      </c>
      <c r="U172" s="138"/>
      <c r="V172" s="138"/>
      <c r="W172" s="138"/>
      <c r="X172" s="138"/>
      <c r="Y172" s="138"/>
      <c r="Z172" s="138"/>
      <c r="AA172" s="138"/>
      <c r="AB172" s="138"/>
      <c r="AC172" s="138"/>
      <c r="AD172" s="138"/>
      <c r="AE172" s="138"/>
      <c r="AF172" s="138"/>
      <c r="AG172" s="138"/>
      <c r="AH172" s="138"/>
      <c r="AI172" s="138"/>
    </row>
    <row r="173" spans="4:35" x14ac:dyDescent="0.35">
      <c r="D173" s="136">
        <v>57</v>
      </c>
      <c r="E173" s="437"/>
      <c r="F173" s="437"/>
      <c r="G173" s="438"/>
      <c r="H173" s="138"/>
      <c r="I173" s="138">
        <v>253.8</v>
      </c>
      <c r="J173" s="138">
        <v>241.9</v>
      </c>
      <c r="K173" s="138">
        <v>236.5</v>
      </c>
      <c r="L173" s="138">
        <v>240</v>
      </c>
      <c r="M173" s="138">
        <v>230</v>
      </c>
      <c r="N173" s="138">
        <v>239.8</v>
      </c>
      <c r="O173" s="138">
        <v>236.9</v>
      </c>
      <c r="P173" s="138">
        <v>235.6</v>
      </c>
      <c r="Q173" s="138">
        <v>256</v>
      </c>
      <c r="R173" s="138">
        <v>238.1</v>
      </c>
      <c r="S173" s="138">
        <v>236.7</v>
      </c>
      <c r="T173" s="138">
        <v>237.1</v>
      </c>
      <c r="U173" s="138"/>
      <c r="V173" s="138"/>
      <c r="W173" s="138"/>
      <c r="X173" s="138"/>
      <c r="Y173" s="138"/>
      <c r="Z173" s="138"/>
      <c r="AA173" s="138"/>
      <c r="AB173" s="138"/>
      <c r="AC173" s="138"/>
      <c r="AD173" s="138"/>
      <c r="AE173" s="138"/>
      <c r="AF173" s="138"/>
      <c r="AG173" s="138"/>
      <c r="AH173" s="138"/>
      <c r="AI173" s="138"/>
    </row>
    <row r="174" spans="4:35" x14ac:dyDescent="0.35">
      <c r="D174" s="136">
        <v>58</v>
      </c>
      <c r="E174" s="437"/>
      <c r="F174" s="437"/>
      <c r="G174" s="438"/>
      <c r="H174" s="138"/>
      <c r="I174" s="138">
        <v>255.8</v>
      </c>
      <c r="J174" s="138">
        <v>245.6</v>
      </c>
      <c r="K174" s="138">
        <v>237.5</v>
      </c>
      <c r="L174" s="138">
        <v>243</v>
      </c>
      <c r="M174" s="138">
        <v>231.9</v>
      </c>
      <c r="N174" s="138">
        <v>242.5</v>
      </c>
      <c r="O174" s="138">
        <v>237.8</v>
      </c>
      <c r="P174" s="138">
        <v>237.1</v>
      </c>
      <c r="Q174" s="138">
        <v>257.8</v>
      </c>
      <c r="R174" s="138">
        <v>240.7</v>
      </c>
      <c r="S174" s="138">
        <v>237.6</v>
      </c>
      <c r="T174" s="138">
        <v>238</v>
      </c>
      <c r="U174" s="138"/>
      <c r="V174" s="138"/>
      <c r="W174" s="138"/>
      <c r="X174" s="138"/>
      <c r="Y174" s="138"/>
      <c r="Z174" s="138"/>
      <c r="AA174" s="138"/>
      <c r="AB174" s="138"/>
      <c r="AC174" s="138"/>
      <c r="AD174" s="138"/>
      <c r="AE174" s="138"/>
      <c r="AF174" s="138"/>
      <c r="AG174" s="138"/>
      <c r="AH174" s="138"/>
      <c r="AI174" s="138"/>
    </row>
    <row r="175" spans="4:35" x14ac:dyDescent="0.35">
      <c r="D175" s="136">
        <v>59</v>
      </c>
      <c r="E175" s="437"/>
      <c r="F175" s="437"/>
      <c r="G175" s="438"/>
      <c r="H175" s="138"/>
      <c r="I175" s="138">
        <v>257.8</v>
      </c>
      <c r="J175" s="138">
        <v>248.4</v>
      </c>
      <c r="K175" s="138">
        <v>240.3</v>
      </c>
      <c r="L175" s="138">
        <v>246.1</v>
      </c>
      <c r="M175" s="138">
        <v>235.2</v>
      </c>
      <c r="N175" s="138">
        <v>245.4</v>
      </c>
      <c r="O175" s="138">
        <v>239.8</v>
      </c>
      <c r="P175" s="138">
        <v>238.3</v>
      </c>
      <c r="Q175" s="138">
        <v>260.89999999999998</v>
      </c>
      <c r="R175" s="138">
        <v>243.9</v>
      </c>
      <c r="S175" s="138">
        <v>239.3</v>
      </c>
      <c r="T175" s="138">
        <v>240.3</v>
      </c>
      <c r="U175" s="138"/>
      <c r="V175" s="138"/>
      <c r="W175" s="138"/>
      <c r="X175" s="138"/>
      <c r="Y175" s="138"/>
      <c r="Z175" s="138"/>
      <c r="AA175" s="138"/>
      <c r="AB175" s="138"/>
      <c r="AC175" s="138"/>
      <c r="AD175" s="138"/>
      <c r="AE175" s="138"/>
      <c r="AF175" s="138"/>
      <c r="AG175" s="138"/>
      <c r="AH175" s="138"/>
      <c r="AI175" s="138"/>
    </row>
    <row r="176" spans="4:35" x14ac:dyDescent="0.35">
      <c r="D176" s="430">
        <v>60</v>
      </c>
      <c r="E176" s="437"/>
      <c r="F176" s="437"/>
      <c r="G176" s="438"/>
      <c r="H176" s="432"/>
      <c r="I176" s="432">
        <v>261.3</v>
      </c>
      <c r="J176" s="432">
        <v>251.3</v>
      </c>
      <c r="K176" s="432">
        <v>243.8</v>
      </c>
      <c r="L176" s="432">
        <v>248.6</v>
      </c>
      <c r="M176" s="432">
        <v>237</v>
      </c>
      <c r="N176" s="432">
        <v>247.8</v>
      </c>
      <c r="O176" s="432">
        <v>242.7</v>
      </c>
      <c r="P176" s="432">
        <v>240.7</v>
      </c>
      <c r="Q176" s="432">
        <v>264.39999999999998</v>
      </c>
      <c r="R176" s="432">
        <v>246.8</v>
      </c>
      <c r="S176" s="432">
        <v>242.1</v>
      </c>
      <c r="T176" s="432">
        <v>243.3</v>
      </c>
      <c r="U176" s="432"/>
      <c r="V176" s="432"/>
      <c r="W176" s="432"/>
      <c r="X176" s="432"/>
      <c r="Y176" s="432"/>
      <c r="Z176" s="432"/>
      <c r="AA176" s="432"/>
      <c r="AB176" s="432"/>
      <c r="AC176" s="432"/>
      <c r="AD176" s="432"/>
      <c r="AE176" s="432"/>
      <c r="AF176" s="432"/>
      <c r="AG176" s="432"/>
      <c r="AH176" s="432"/>
      <c r="AI176" s="432"/>
    </row>
    <row r="177" spans="4:35" x14ac:dyDescent="0.35">
      <c r="D177" s="136">
        <v>61</v>
      </c>
      <c r="E177" s="437"/>
      <c r="F177" s="437"/>
      <c r="G177" s="438"/>
      <c r="H177" s="138"/>
      <c r="I177" s="138">
        <v>264.8</v>
      </c>
      <c r="J177" s="138">
        <v>254.7</v>
      </c>
      <c r="K177" s="138">
        <v>246.9</v>
      </c>
      <c r="L177" s="138">
        <v>251.2</v>
      </c>
      <c r="M177" s="138">
        <v>238.1</v>
      </c>
      <c r="N177" s="138">
        <v>250.2</v>
      </c>
      <c r="O177" s="138">
        <v>245.8</v>
      </c>
      <c r="P177" s="138">
        <v>243.9</v>
      </c>
      <c r="Q177" s="138">
        <v>266.7</v>
      </c>
      <c r="R177" s="138">
        <v>249.3</v>
      </c>
      <c r="S177" s="138">
        <v>245.1</v>
      </c>
      <c r="T177" s="138">
        <v>246.3</v>
      </c>
      <c r="U177" s="138"/>
      <c r="V177" s="138"/>
      <c r="W177" s="138"/>
      <c r="X177" s="138"/>
      <c r="Y177" s="138"/>
      <c r="Z177" s="138"/>
      <c r="AA177" s="138"/>
      <c r="AB177" s="138"/>
      <c r="AC177" s="138"/>
      <c r="AD177" s="138"/>
      <c r="AE177" s="138"/>
      <c r="AF177" s="138"/>
      <c r="AG177" s="138"/>
      <c r="AH177" s="138"/>
      <c r="AI177" s="138"/>
    </row>
    <row r="178" spans="4:35" x14ac:dyDescent="0.35">
      <c r="D178" s="136">
        <v>62</v>
      </c>
      <c r="E178" s="437"/>
      <c r="F178" s="437"/>
      <c r="G178" s="438"/>
      <c r="H178" s="138"/>
      <c r="I178" s="138">
        <v>267.2</v>
      </c>
      <c r="J178" s="138">
        <v>256.10000000000002</v>
      </c>
      <c r="K178" s="138">
        <v>249.8</v>
      </c>
      <c r="L178" s="138">
        <v>254.3</v>
      </c>
      <c r="M178" s="138">
        <v>240.8</v>
      </c>
      <c r="N178" s="138">
        <v>252.8</v>
      </c>
      <c r="O178" s="138">
        <v>248.2</v>
      </c>
      <c r="P178" s="138">
        <v>246.8</v>
      </c>
      <c r="Q178" s="138">
        <v>269.7</v>
      </c>
      <c r="R178" s="138">
        <v>251.8</v>
      </c>
      <c r="S178" s="138">
        <v>247.7</v>
      </c>
      <c r="T178" s="138">
        <v>248.6</v>
      </c>
      <c r="U178" s="138"/>
      <c r="V178" s="138"/>
      <c r="W178" s="138"/>
      <c r="X178" s="138"/>
      <c r="Y178" s="138"/>
      <c r="Z178" s="138"/>
      <c r="AA178" s="138"/>
      <c r="AB178" s="138"/>
      <c r="AC178" s="138"/>
      <c r="AD178" s="138"/>
      <c r="AE178" s="138"/>
      <c r="AF178" s="138"/>
      <c r="AG178" s="138"/>
      <c r="AH178" s="138"/>
      <c r="AI178" s="138"/>
    </row>
    <row r="179" spans="4:35" x14ac:dyDescent="0.35">
      <c r="D179" s="136">
        <v>63</v>
      </c>
      <c r="E179" s="437"/>
      <c r="F179" s="437"/>
      <c r="G179" s="438"/>
      <c r="H179" s="138"/>
      <c r="I179" s="138">
        <v>270.7</v>
      </c>
      <c r="J179" s="138">
        <v>258.60000000000002</v>
      </c>
      <c r="K179" s="138">
        <v>252.8</v>
      </c>
      <c r="L179" s="138">
        <v>255.8</v>
      </c>
      <c r="M179" s="138">
        <v>244.1</v>
      </c>
      <c r="N179" s="138">
        <v>255.4</v>
      </c>
      <c r="O179" s="138">
        <v>250.8</v>
      </c>
      <c r="P179" s="138">
        <v>249.2</v>
      </c>
      <c r="Q179" s="138">
        <v>272.5</v>
      </c>
      <c r="R179" s="138">
        <v>255</v>
      </c>
      <c r="S179" s="138">
        <v>250.2</v>
      </c>
      <c r="T179" s="138">
        <v>251.1</v>
      </c>
      <c r="U179" s="138"/>
      <c r="V179" s="138"/>
      <c r="W179" s="138"/>
      <c r="X179" s="138"/>
      <c r="Y179" s="138"/>
      <c r="Z179" s="138"/>
      <c r="AA179" s="138"/>
      <c r="AB179" s="138"/>
      <c r="AC179" s="138"/>
      <c r="AD179" s="138"/>
      <c r="AE179" s="138"/>
      <c r="AF179" s="138"/>
      <c r="AG179" s="138"/>
      <c r="AH179" s="138"/>
      <c r="AI179" s="138"/>
    </row>
    <row r="180" spans="4:35" x14ac:dyDescent="0.35">
      <c r="D180" s="136">
        <v>64</v>
      </c>
      <c r="E180" s="437"/>
      <c r="F180" s="437"/>
      <c r="G180" s="438"/>
      <c r="H180" s="138"/>
      <c r="I180" s="138">
        <v>273</v>
      </c>
      <c r="J180" s="138">
        <v>262.10000000000002</v>
      </c>
      <c r="K180" s="138">
        <v>255.5</v>
      </c>
      <c r="L180" s="138">
        <v>257.60000000000002</v>
      </c>
      <c r="M180" s="138">
        <v>247</v>
      </c>
      <c r="N180" s="138">
        <v>256.39999999999998</v>
      </c>
      <c r="O180" s="138">
        <v>253.7</v>
      </c>
      <c r="P180" s="138">
        <v>251.7</v>
      </c>
      <c r="Q180" s="138">
        <v>274.3</v>
      </c>
      <c r="R180" s="138">
        <v>256.2</v>
      </c>
      <c r="S180" s="138">
        <v>252.9</v>
      </c>
      <c r="T180" s="138">
        <v>254.1</v>
      </c>
      <c r="U180" s="138"/>
      <c r="V180" s="138"/>
      <c r="W180" s="138"/>
      <c r="X180" s="138"/>
      <c r="Y180" s="138"/>
      <c r="Z180" s="138"/>
      <c r="AA180" s="138"/>
      <c r="AB180" s="138"/>
      <c r="AC180" s="138"/>
      <c r="AD180" s="138"/>
      <c r="AE180" s="138"/>
      <c r="AF180" s="138"/>
      <c r="AG180" s="138"/>
      <c r="AH180" s="138"/>
      <c r="AI180" s="138"/>
    </row>
    <row r="181" spans="4:35" x14ac:dyDescent="0.35">
      <c r="D181" s="136">
        <v>65</v>
      </c>
      <c r="E181" s="437"/>
      <c r="F181" s="437"/>
      <c r="G181" s="438"/>
      <c r="H181" s="138"/>
      <c r="I181" s="138">
        <v>276.10000000000002</v>
      </c>
      <c r="J181" s="138">
        <v>265.2</v>
      </c>
      <c r="K181" s="138">
        <v>256.89999999999998</v>
      </c>
      <c r="L181" s="138">
        <v>260.60000000000002</v>
      </c>
      <c r="M181" s="138">
        <v>249.7</v>
      </c>
      <c r="N181" s="138">
        <v>258.39999999999998</v>
      </c>
      <c r="O181" s="138">
        <v>255.8</v>
      </c>
      <c r="P181" s="138">
        <v>254.9</v>
      </c>
      <c r="Q181" s="138">
        <v>278</v>
      </c>
      <c r="R181" s="138">
        <v>258.2</v>
      </c>
      <c r="S181" s="138">
        <v>255.5</v>
      </c>
      <c r="T181" s="138">
        <v>255.9</v>
      </c>
      <c r="U181" s="138"/>
      <c r="V181" s="138"/>
      <c r="W181" s="138"/>
      <c r="X181" s="138"/>
      <c r="Y181" s="138"/>
      <c r="Z181" s="138"/>
      <c r="AA181" s="138"/>
      <c r="AB181" s="138"/>
      <c r="AC181" s="138"/>
      <c r="AD181" s="138"/>
      <c r="AE181" s="138"/>
      <c r="AF181" s="138"/>
      <c r="AG181" s="138"/>
      <c r="AH181" s="138"/>
      <c r="AI181" s="138"/>
    </row>
    <row r="182" spans="4:35" x14ac:dyDescent="0.35">
      <c r="D182" s="136">
        <v>66</v>
      </c>
      <c r="E182" s="437"/>
      <c r="F182" s="437"/>
      <c r="G182" s="438"/>
      <c r="H182" s="138"/>
      <c r="I182" s="138">
        <v>280</v>
      </c>
      <c r="J182" s="138">
        <v>267.60000000000002</v>
      </c>
      <c r="K182" s="138">
        <v>260.2</v>
      </c>
      <c r="L182" s="138">
        <v>263.89999999999998</v>
      </c>
      <c r="M182" s="138">
        <v>252.5</v>
      </c>
      <c r="N182" s="138">
        <v>261.5</v>
      </c>
      <c r="O182" s="138">
        <v>256.89999999999998</v>
      </c>
      <c r="P182" s="138">
        <v>256.2</v>
      </c>
      <c r="Q182" s="138">
        <v>281.39999999999998</v>
      </c>
      <c r="R182" s="138">
        <v>261.39999999999998</v>
      </c>
      <c r="S182" s="138">
        <v>256.60000000000002</v>
      </c>
      <c r="T182" s="138">
        <v>257.10000000000002</v>
      </c>
      <c r="U182" s="138"/>
      <c r="V182" s="138"/>
      <c r="W182" s="138"/>
      <c r="X182" s="138"/>
      <c r="Y182" s="138"/>
      <c r="Z182" s="138"/>
      <c r="AA182" s="138"/>
      <c r="AB182" s="138"/>
      <c r="AC182" s="138"/>
      <c r="AD182" s="138"/>
      <c r="AE182" s="138"/>
      <c r="AF182" s="138"/>
      <c r="AG182" s="138"/>
      <c r="AH182" s="138"/>
      <c r="AI182" s="138"/>
    </row>
    <row r="183" spans="4:35" x14ac:dyDescent="0.35">
      <c r="D183" s="136">
        <v>67</v>
      </c>
      <c r="E183" s="437"/>
      <c r="F183" s="437"/>
      <c r="G183" s="438"/>
      <c r="H183" s="138"/>
      <c r="I183" s="138">
        <v>283.2</v>
      </c>
      <c r="J183" s="138">
        <v>271.3</v>
      </c>
      <c r="K183" s="138">
        <v>263.8</v>
      </c>
      <c r="L183" s="138">
        <v>266.2</v>
      </c>
      <c r="M183" s="138">
        <v>255.4</v>
      </c>
      <c r="N183" s="138">
        <v>264.60000000000002</v>
      </c>
      <c r="O183" s="138">
        <v>259.7</v>
      </c>
      <c r="P183" s="138">
        <v>258</v>
      </c>
      <c r="Q183" s="138">
        <v>284.39999999999998</v>
      </c>
      <c r="R183" s="138">
        <v>264.7</v>
      </c>
      <c r="S183" s="138">
        <v>258.89999999999998</v>
      </c>
      <c r="T183" s="138">
        <v>260</v>
      </c>
      <c r="U183" s="138"/>
      <c r="V183" s="138"/>
      <c r="W183" s="138"/>
      <c r="X183" s="138"/>
      <c r="Y183" s="138"/>
      <c r="Z183" s="138"/>
      <c r="AA183" s="138"/>
      <c r="AB183" s="138"/>
      <c r="AC183" s="138"/>
      <c r="AD183" s="138"/>
      <c r="AE183" s="138"/>
      <c r="AF183" s="138"/>
      <c r="AG183" s="138"/>
      <c r="AH183" s="138"/>
      <c r="AI183" s="138"/>
    </row>
    <row r="184" spans="4:35" x14ac:dyDescent="0.35">
      <c r="D184" s="136">
        <v>68</v>
      </c>
      <c r="E184" s="437"/>
      <c r="F184" s="437"/>
      <c r="G184" s="438"/>
      <c r="H184" s="138"/>
      <c r="I184" s="138">
        <v>287.10000000000002</v>
      </c>
      <c r="J184" s="138">
        <v>273.10000000000002</v>
      </c>
      <c r="K184" s="138">
        <v>266.3</v>
      </c>
      <c r="L184" s="138">
        <v>268.89999999999998</v>
      </c>
      <c r="M184" s="138">
        <v>256.5</v>
      </c>
      <c r="N184" s="138">
        <v>266.60000000000002</v>
      </c>
      <c r="O184" s="138">
        <v>263.10000000000002</v>
      </c>
      <c r="P184" s="138">
        <v>261.10000000000002</v>
      </c>
      <c r="Q184" s="138">
        <v>288</v>
      </c>
      <c r="R184" s="138">
        <v>266.8</v>
      </c>
      <c r="S184" s="138">
        <v>262.3</v>
      </c>
      <c r="T184" s="138">
        <v>263.3</v>
      </c>
      <c r="U184" s="138"/>
      <c r="V184" s="138"/>
      <c r="W184" s="138"/>
      <c r="X184" s="138"/>
      <c r="Y184" s="138"/>
      <c r="Z184" s="138"/>
      <c r="AA184" s="138"/>
      <c r="AB184" s="138"/>
      <c r="AC184" s="138"/>
      <c r="AD184" s="138"/>
      <c r="AE184" s="138"/>
      <c r="AF184" s="138"/>
      <c r="AG184" s="138"/>
      <c r="AH184" s="138"/>
      <c r="AI184" s="138"/>
    </row>
    <row r="185" spans="4:35" x14ac:dyDescent="0.35">
      <c r="D185" s="136">
        <v>69</v>
      </c>
      <c r="E185" s="437"/>
      <c r="F185" s="437"/>
      <c r="G185" s="438"/>
      <c r="H185" s="138"/>
      <c r="I185" s="138">
        <v>289.2</v>
      </c>
      <c r="J185" s="138">
        <v>276.3</v>
      </c>
      <c r="K185" s="138">
        <v>269.3</v>
      </c>
      <c r="L185" s="138">
        <v>272.10000000000002</v>
      </c>
      <c r="M185" s="138">
        <v>259.39999999999998</v>
      </c>
      <c r="N185" s="138">
        <v>269.3</v>
      </c>
      <c r="O185" s="138">
        <v>265.7</v>
      </c>
      <c r="P185" s="138">
        <v>264.39999999999998</v>
      </c>
      <c r="Q185" s="138">
        <v>289.60000000000002</v>
      </c>
      <c r="R185" s="138">
        <v>270</v>
      </c>
      <c r="S185" s="138">
        <v>265.2</v>
      </c>
      <c r="T185" s="138">
        <v>265.8</v>
      </c>
      <c r="U185" s="138"/>
      <c r="V185" s="138"/>
      <c r="W185" s="138"/>
      <c r="X185" s="138"/>
      <c r="Y185" s="138"/>
      <c r="Z185" s="138"/>
      <c r="AA185" s="138"/>
      <c r="AB185" s="138"/>
      <c r="AC185" s="138"/>
      <c r="AD185" s="138"/>
      <c r="AE185" s="138"/>
      <c r="AF185" s="138"/>
      <c r="AG185" s="138"/>
      <c r="AH185" s="138"/>
      <c r="AI185" s="138"/>
    </row>
    <row r="186" spans="4:35" x14ac:dyDescent="0.35">
      <c r="D186" s="430">
        <v>70</v>
      </c>
      <c r="E186" s="437"/>
      <c r="F186" s="437"/>
      <c r="G186" s="438"/>
      <c r="H186" s="432"/>
      <c r="I186" s="432">
        <v>293.2</v>
      </c>
      <c r="J186" s="432">
        <v>280.10000000000002</v>
      </c>
      <c r="K186" s="432">
        <v>272.39999999999998</v>
      </c>
      <c r="L186" s="432">
        <v>273.60000000000002</v>
      </c>
      <c r="M186" s="432">
        <v>263</v>
      </c>
      <c r="N186" s="432">
        <v>272.3</v>
      </c>
      <c r="O186" s="432">
        <v>267.8</v>
      </c>
      <c r="P186" s="432">
        <v>266.60000000000002</v>
      </c>
      <c r="Q186" s="432">
        <v>293.39999999999998</v>
      </c>
      <c r="R186" s="432">
        <v>272.60000000000002</v>
      </c>
      <c r="S186" s="432">
        <v>267.3</v>
      </c>
      <c r="T186" s="432">
        <v>268</v>
      </c>
      <c r="U186" s="432"/>
      <c r="V186" s="432"/>
      <c r="W186" s="432"/>
      <c r="X186" s="432"/>
      <c r="Y186" s="432"/>
      <c r="Z186" s="432"/>
      <c r="AA186" s="432"/>
      <c r="AB186" s="432"/>
      <c r="AC186" s="432"/>
      <c r="AD186" s="432"/>
      <c r="AE186" s="432"/>
      <c r="AF186" s="432"/>
      <c r="AG186" s="432"/>
      <c r="AH186" s="432"/>
      <c r="AI186" s="432"/>
    </row>
    <row r="187" spans="4:35" x14ac:dyDescent="0.35">
      <c r="D187" s="136">
        <v>71</v>
      </c>
      <c r="E187" s="437"/>
      <c r="F187" s="437"/>
      <c r="G187" s="438"/>
      <c r="H187" s="138"/>
      <c r="I187" s="138">
        <v>296.89999999999998</v>
      </c>
      <c r="J187" s="138">
        <v>283.3</v>
      </c>
      <c r="K187" s="138">
        <v>274.5</v>
      </c>
      <c r="L187" s="138">
        <v>277.10000000000002</v>
      </c>
      <c r="M187" s="138">
        <v>265.8</v>
      </c>
      <c r="N187" s="138">
        <v>273.60000000000002</v>
      </c>
      <c r="O187" s="138">
        <v>271.3</v>
      </c>
      <c r="P187" s="138">
        <v>269.5</v>
      </c>
      <c r="Q187" s="138">
        <v>297</v>
      </c>
      <c r="R187" s="138">
        <v>274.5</v>
      </c>
      <c r="S187" s="138">
        <v>270.5</v>
      </c>
      <c r="T187" s="138">
        <v>271.5</v>
      </c>
      <c r="U187" s="138"/>
      <c r="V187" s="138"/>
      <c r="W187" s="138"/>
      <c r="X187" s="138"/>
      <c r="Y187" s="138"/>
      <c r="Z187" s="138"/>
      <c r="AA187" s="138"/>
      <c r="AB187" s="138"/>
      <c r="AC187" s="138"/>
      <c r="AD187" s="138"/>
      <c r="AE187" s="138"/>
      <c r="AF187" s="138"/>
      <c r="AG187" s="138"/>
      <c r="AH187" s="138"/>
      <c r="AI187" s="138"/>
    </row>
    <row r="188" spans="4:35" x14ac:dyDescent="0.35">
      <c r="D188" s="136">
        <v>72</v>
      </c>
      <c r="E188" s="437"/>
      <c r="F188" s="437"/>
      <c r="G188" s="438"/>
      <c r="H188" s="138"/>
      <c r="I188" s="138">
        <v>300.7</v>
      </c>
      <c r="J188" s="138">
        <v>287.2</v>
      </c>
      <c r="K188" s="138">
        <v>278.39999999999998</v>
      </c>
      <c r="L188" s="138">
        <v>280.5</v>
      </c>
      <c r="M188" s="138">
        <v>268.2</v>
      </c>
      <c r="N188" s="138">
        <v>276.89999999999998</v>
      </c>
      <c r="O188" s="138">
        <v>273.2</v>
      </c>
      <c r="P188" s="138">
        <v>272.5</v>
      </c>
      <c r="Q188" s="138">
        <v>300.60000000000002</v>
      </c>
      <c r="R188" s="138">
        <v>278.3</v>
      </c>
      <c r="S188" s="138">
        <v>272.89999999999998</v>
      </c>
      <c r="T188" s="138">
        <v>273.2</v>
      </c>
      <c r="U188" s="138"/>
      <c r="V188" s="138"/>
      <c r="W188" s="138"/>
      <c r="X188" s="138"/>
      <c r="Y188" s="138"/>
      <c r="Z188" s="138"/>
      <c r="AA188" s="138"/>
      <c r="AB188" s="138"/>
      <c r="AC188" s="138"/>
      <c r="AD188" s="138"/>
      <c r="AE188" s="138"/>
      <c r="AF188" s="138"/>
      <c r="AG188" s="138"/>
      <c r="AH188" s="138"/>
      <c r="AI188" s="138"/>
    </row>
    <row r="189" spans="4:35" x14ac:dyDescent="0.35">
      <c r="D189" s="136">
        <v>73</v>
      </c>
      <c r="E189" s="437"/>
      <c r="F189" s="437"/>
      <c r="G189" s="438"/>
      <c r="H189" s="138"/>
      <c r="I189" s="138">
        <v>303.89999999999998</v>
      </c>
      <c r="J189" s="138">
        <v>289.10000000000002</v>
      </c>
      <c r="K189" s="138">
        <v>281.89999999999998</v>
      </c>
      <c r="L189" s="138">
        <v>283.39999999999998</v>
      </c>
      <c r="M189" s="138">
        <v>271.8</v>
      </c>
      <c r="N189" s="138">
        <v>280.2</v>
      </c>
      <c r="O189" s="138">
        <v>275.7</v>
      </c>
      <c r="P189" s="138">
        <v>274.10000000000002</v>
      </c>
      <c r="Q189" s="138">
        <v>303.7</v>
      </c>
      <c r="R189" s="138">
        <v>281.60000000000002</v>
      </c>
      <c r="S189" s="138">
        <v>274.89999999999998</v>
      </c>
      <c r="T189" s="138">
        <v>275.8</v>
      </c>
      <c r="U189" s="138"/>
      <c r="V189" s="138"/>
      <c r="W189" s="138"/>
      <c r="X189" s="138"/>
      <c r="Y189" s="138"/>
      <c r="Z189" s="138"/>
      <c r="AA189" s="138"/>
      <c r="AB189" s="138"/>
      <c r="AC189" s="138"/>
      <c r="AD189" s="138"/>
      <c r="AE189" s="138"/>
      <c r="AF189" s="138"/>
      <c r="AG189" s="138"/>
      <c r="AH189" s="138"/>
      <c r="AI189" s="138"/>
    </row>
    <row r="190" spans="4:35" x14ac:dyDescent="0.35">
      <c r="D190" s="139">
        <v>74</v>
      </c>
      <c r="E190" s="439"/>
      <c r="F190" s="439"/>
      <c r="G190" s="440"/>
      <c r="H190" s="123"/>
      <c r="I190" s="123">
        <v>307.3</v>
      </c>
      <c r="J190" s="123">
        <v>293.10000000000002</v>
      </c>
      <c r="K190" s="123">
        <v>285.3</v>
      </c>
      <c r="L190" s="123">
        <v>287</v>
      </c>
      <c r="M190" s="123">
        <v>273.39999999999998</v>
      </c>
      <c r="N190" s="123">
        <v>283</v>
      </c>
      <c r="O190" s="123">
        <v>279.5</v>
      </c>
      <c r="P190" s="123">
        <v>277.8</v>
      </c>
      <c r="Q190" s="123">
        <v>306.60000000000002</v>
      </c>
      <c r="R190" s="123">
        <v>284.60000000000002</v>
      </c>
      <c r="S190" s="123">
        <v>278.7</v>
      </c>
      <c r="T190" s="123">
        <v>279.60000000000002</v>
      </c>
      <c r="U190" s="123"/>
      <c r="V190" s="123"/>
      <c r="W190" s="123"/>
      <c r="X190" s="123"/>
      <c r="Y190" s="123"/>
      <c r="Z190" s="123"/>
      <c r="AA190" s="123"/>
      <c r="AB190" s="123"/>
      <c r="AC190" s="123"/>
      <c r="AD190" s="123"/>
      <c r="AE190" s="123"/>
      <c r="AF190" s="123"/>
      <c r="AG190" s="123"/>
      <c r="AH190" s="123"/>
      <c r="AI190" s="123"/>
    </row>
    <row r="191" spans="4:35" x14ac:dyDescent="0.35">
      <c r="D191" s="136">
        <v>75</v>
      </c>
      <c r="E191" s="437"/>
      <c r="F191" s="437"/>
      <c r="G191" s="441"/>
      <c r="H191" s="121"/>
      <c r="I191" s="121">
        <v>311.39999999999998</v>
      </c>
      <c r="J191" s="121">
        <v>296.8</v>
      </c>
      <c r="K191" s="121">
        <v>288.5</v>
      </c>
      <c r="L191" s="121">
        <v>289.10000000000002</v>
      </c>
      <c r="M191" s="121">
        <v>277.10000000000002</v>
      </c>
      <c r="N191" s="121">
        <v>286.2</v>
      </c>
      <c r="O191" s="121">
        <v>282.5</v>
      </c>
      <c r="P191" s="121">
        <v>281.2</v>
      </c>
      <c r="Q191" s="121">
        <v>310.7</v>
      </c>
      <c r="R191" s="121">
        <v>288.10000000000002</v>
      </c>
      <c r="S191" s="121">
        <v>281.89999999999998</v>
      </c>
      <c r="T191" s="121">
        <v>282.60000000000002</v>
      </c>
      <c r="U191" s="121"/>
      <c r="V191" s="121"/>
      <c r="W191" s="121"/>
      <c r="X191" s="121"/>
      <c r="Y191" s="121"/>
      <c r="Z191" s="121"/>
      <c r="AA191" s="121"/>
      <c r="AB191" s="121"/>
      <c r="AC191" s="121"/>
      <c r="AD191" s="121"/>
      <c r="AE191" s="121"/>
      <c r="AF191" s="121"/>
      <c r="AG191" s="121"/>
      <c r="AH191" s="121"/>
      <c r="AI191" s="121"/>
    </row>
    <row r="192" spans="4:35" x14ac:dyDescent="0.35">
      <c r="D192" s="136">
        <v>76</v>
      </c>
      <c r="E192" s="437"/>
      <c r="F192" s="437"/>
      <c r="G192" s="441"/>
      <c r="H192" s="121"/>
      <c r="I192" s="121">
        <v>315.60000000000002</v>
      </c>
      <c r="J192" s="121">
        <v>300.60000000000002</v>
      </c>
      <c r="K192" s="121">
        <v>291.5</v>
      </c>
      <c r="L192" s="121">
        <v>292.7</v>
      </c>
      <c r="M192" s="121">
        <v>280.7</v>
      </c>
      <c r="N192" s="121">
        <v>288.7</v>
      </c>
      <c r="O192" s="121">
        <v>285.5</v>
      </c>
      <c r="P192" s="121">
        <v>284.10000000000002</v>
      </c>
      <c r="Q192" s="121">
        <v>314.60000000000002</v>
      </c>
      <c r="R192" s="121">
        <v>290</v>
      </c>
      <c r="S192" s="121">
        <v>284.89999999999998</v>
      </c>
      <c r="T192" s="121">
        <v>285.7</v>
      </c>
      <c r="U192" s="121"/>
      <c r="V192" s="121"/>
      <c r="W192" s="121"/>
      <c r="X192" s="121"/>
      <c r="Y192" s="121"/>
      <c r="Z192" s="121"/>
      <c r="AA192" s="121"/>
      <c r="AB192" s="121"/>
      <c r="AC192" s="121"/>
      <c r="AD192" s="121"/>
      <c r="AE192" s="121"/>
      <c r="AF192" s="121"/>
      <c r="AG192" s="121"/>
      <c r="AH192" s="121"/>
      <c r="AI192" s="121"/>
    </row>
    <row r="193" spans="4:35" x14ac:dyDescent="0.35">
      <c r="D193" s="136">
        <v>77</v>
      </c>
      <c r="E193" s="437"/>
      <c r="F193" s="437"/>
      <c r="G193" s="441"/>
      <c r="H193" s="121"/>
      <c r="I193" s="121">
        <v>318.7</v>
      </c>
      <c r="J193" s="121">
        <v>303.8</v>
      </c>
      <c r="K193" s="121">
        <v>295.8</v>
      </c>
      <c r="L193" s="121">
        <v>296.39999999999998</v>
      </c>
      <c r="M193" s="121">
        <v>283.8</v>
      </c>
      <c r="N193" s="121">
        <v>291.3</v>
      </c>
      <c r="O193" s="121">
        <v>288.60000000000002</v>
      </c>
      <c r="P193" s="121">
        <v>287.8</v>
      </c>
      <c r="Q193" s="121">
        <v>317.89999999999998</v>
      </c>
      <c r="R193" s="121">
        <v>294.39999999999998</v>
      </c>
      <c r="S193" s="121">
        <v>288.3</v>
      </c>
      <c r="T193" s="121">
        <v>288.60000000000002</v>
      </c>
      <c r="U193" s="121"/>
      <c r="V193" s="121"/>
      <c r="W193" s="121"/>
      <c r="X193" s="121"/>
      <c r="Y193" s="121"/>
      <c r="Z193" s="121"/>
      <c r="AA193" s="121"/>
      <c r="AB193" s="121"/>
      <c r="AC193" s="121"/>
      <c r="AD193" s="121"/>
      <c r="AE193" s="121"/>
      <c r="AF193" s="121"/>
      <c r="AG193" s="121"/>
      <c r="AH193" s="121"/>
      <c r="AI193" s="121"/>
    </row>
    <row r="194" spans="4:35" x14ac:dyDescent="0.35">
      <c r="D194" s="136">
        <v>78</v>
      </c>
      <c r="E194" s="437"/>
      <c r="F194" s="437"/>
      <c r="G194" s="441"/>
      <c r="H194" s="121"/>
      <c r="I194" s="121">
        <v>323.10000000000002</v>
      </c>
      <c r="J194" s="121">
        <v>307.2</v>
      </c>
      <c r="K194" s="121">
        <v>299.2</v>
      </c>
      <c r="L194" s="121">
        <v>299.8</v>
      </c>
      <c r="M194" s="121">
        <v>287.60000000000002</v>
      </c>
      <c r="N194" s="121">
        <v>295.39999999999998</v>
      </c>
      <c r="O194" s="121">
        <v>290.89999999999998</v>
      </c>
      <c r="P194" s="121">
        <v>289.60000000000002</v>
      </c>
      <c r="Q194" s="121">
        <v>321.7</v>
      </c>
      <c r="R194" s="121">
        <v>297.8</v>
      </c>
      <c r="S194" s="121">
        <v>290.3</v>
      </c>
      <c r="T194" s="121">
        <v>291.10000000000002</v>
      </c>
      <c r="U194" s="121"/>
      <c r="V194" s="121"/>
      <c r="W194" s="121"/>
      <c r="X194" s="121"/>
      <c r="Y194" s="121"/>
      <c r="Z194" s="121"/>
      <c r="AA194" s="121"/>
      <c r="AB194" s="121"/>
      <c r="AC194" s="121"/>
      <c r="AD194" s="121"/>
      <c r="AE194" s="121"/>
      <c r="AF194" s="121"/>
      <c r="AG194" s="121"/>
      <c r="AH194" s="121"/>
      <c r="AI194" s="121"/>
    </row>
    <row r="195" spans="4:35" x14ac:dyDescent="0.35">
      <c r="D195" s="136">
        <v>79</v>
      </c>
      <c r="E195" s="437"/>
      <c r="F195" s="437"/>
      <c r="G195" s="441"/>
      <c r="H195" s="121"/>
      <c r="I195" s="121">
        <v>327.5</v>
      </c>
      <c r="J195" s="121">
        <v>311.3</v>
      </c>
      <c r="K195" s="121">
        <v>303.2</v>
      </c>
      <c r="L195" s="121">
        <v>303.39999999999998</v>
      </c>
      <c r="M195" s="121">
        <v>289.60000000000002</v>
      </c>
      <c r="N195" s="121">
        <v>298.39999999999998</v>
      </c>
      <c r="O195" s="121">
        <v>295.3</v>
      </c>
      <c r="P195" s="121">
        <v>293.8</v>
      </c>
      <c r="Q195" s="121">
        <v>326.10000000000002</v>
      </c>
      <c r="R195" s="121">
        <v>301.7</v>
      </c>
      <c r="S195" s="121">
        <v>294.7</v>
      </c>
      <c r="T195" s="121">
        <v>295.5</v>
      </c>
      <c r="U195" s="121"/>
      <c r="V195" s="121"/>
      <c r="W195" s="121"/>
      <c r="X195" s="121"/>
      <c r="Y195" s="121"/>
      <c r="Z195" s="121"/>
      <c r="AA195" s="121"/>
      <c r="AB195" s="121"/>
      <c r="AC195" s="121"/>
      <c r="AD195" s="121"/>
      <c r="AE195" s="121"/>
      <c r="AF195" s="121"/>
      <c r="AG195" s="121"/>
      <c r="AH195" s="121"/>
      <c r="AI195" s="121"/>
    </row>
    <row r="196" spans="4:35" x14ac:dyDescent="0.35">
      <c r="D196" s="430">
        <v>80</v>
      </c>
      <c r="E196" s="437"/>
      <c r="F196" s="437"/>
      <c r="G196" s="441"/>
      <c r="H196" s="434"/>
      <c r="I196" s="434">
        <v>331.7</v>
      </c>
      <c r="J196" s="434">
        <v>315.60000000000002</v>
      </c>
      <c r="K196" s="434">
        <v>306</v>
      </c>
      <c r="L196" s="434">
        <v>306</v>
      </c>
      <c r="M196" s="434">
        <v>294.2</v>
      </c>
      <c r="N196" s="434">
        <v>302.10000000000002</v>
      </c>
      <c r="O196" s="434">
        <v>298.5</v>
      </c>
      <c r="P196" s="434">
        <v>297.39999999999998</v>
      </c>
      <c r="Q196" s="434">
        <v>330.8</v>
      </c>
      <c r="R196" s="434">
        <v>304.2</v>
      </c>
      <c r="S196" s="434">
        <v>298</v>
      </c>
      <c r="T196" s="434">
        <v>298.60000000000002</v>
      </c>
      <c r="U196" s="434"/>
      <c r="V196" s="434"/>
      <c r="W196" s="434"/>
      <c r="X196" s="434"/>
      <c r="Y196" s="434"/>
      <c r="Z196" s="434"/>
      <c r="AA196" s="434"/>
      <c r="AB196" s="434"/>
      <c r="AC196" s="434"/>
      <c r="AD196" s="434"/>
      <c r="AE196" s="434"/>
      <c r="AF196" s="434"/>
      <c r="AG196" s="434"/>
      <c r="AH196" s="434"/>
      <c r="AI196" s="434"/>
    </row>
    <row r="197" spans="4:35" x14ac:dyDescent="0.35">
      <c r="D197" s="136">
        <v>81</v>
      </c>
      <c r="E197" s="437"/>
      <c r="F197" s="437"/>
      <c r="G197" s="441"/>
      <c r="H197" s="121"/>
      <c r="I197" s="121">
        <v>336.1</v>
      </c>
      <c r="J197" s="121">
        <v>318.7</v>
      </c>
      <c r="K197" s="121">
        <v>310.39999999999998</v>
      </c>
      <c r="L197" s="121">
        <v>310.2</v>
      </c>
      <c r="M197" s="121">
        <v>297.8</v>
      </c>
      <c r="N197" s="121">
        <v>304.3</v>
      </c>
      <c r="O197" s="121">
        <v>302.39999999999998</v>
      </c>
      <c r="P197" s="121">
        <v>301.2</v>
      </c>
      <c r="Q197" s="121">
        <v>334.5</v>
      </c>
      <c r="R197" s="121">
        <v>308.2</v>
      </c>
      <c r="S197" s="121">
        <v>302</v>
      </c>
      <c r="T197" s="121">
        <v>302.60000000000002</v>
      </c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</row>
    <row r="198" spans="4:35" x14ac:dyDescent="0.35">
      <c r="D198" s="136">
        <v>82</v>
      </c>
      <c r="E198" s="437"/>
      <c r="F198" s="437"/>
      <c r="G198" s="441"/>
      <c r="H198" s="121"/>
      <c r="I198" s="121">
        <v>341</v>
      </c>
      <c r="J198" s="121">
        <v>323.39999999999998</v>
      </c>
      <c r="K198" s="121">
        <v>314.60000000000002</v>
      </c>
      <c r="L198" s="121">
        <v>314</v>
      </c>
      <c r="M198" s="121">
        <v>301.89999999999998</v>
      </c>
      <c r="N198" s="121">
        <v>308.2</v>
      </c>
      <c r="O198" s="121">
        <v>304.7</v>
      </c>
      <c r="P198" s="121">
        <v>304</v>
      </c>
      <c r="Q198" s="121">
        <v>339.8</v>
      </c>
      <c r="R198" s="121">
        <v>312.10000000000002</v>
      </c>
      <c r="S198" s="121">
        <v>304.39999999999998</v>
      </c>
      <c r="T198" s="121">
        <v>304.8</v>
      </c>
      <c r="U198" s="121"/>
      <c r="V198" s="121"/>
      <c r="W198" s="121"/>
      <c r="X198" s="121"/>
      <c r="Y198" s="121"/>
      <c r="Z198" s="121"/>
      <c r="AA198" s="121"/>
      <c r="AB198" s="121"/>
      <c r="AC198" s="121"/>
      <c r="AD198" s="121"/>
      <c r="AE198" s="121"/>
      <c r="AF198" s="121"/>
      <c r="AG198" s="121"/>
      <c r="AH198" s="121"/>
      <c r="AI198" s="121"/>
    </row>
    <row r="199" spans="4:35" x14ac:dyDescent="0.35">
      <c r="D199" s="136">
        <v>83</v>
      </c>
      <c r="E199" s="437"/>
      <c r="F199" s="437"/>
      <c r="G199" s="441"/>
      <c r="H199" s="121"/>
      <c r="I199" s="121">
        <v>345.6</v>
      </c>
      <c r="J199" s="121">
        <v>328</v>
      </c>
      <c r="K199" s="121">
        <v>318.2</v>
      </c>
      <c r="L199" s="121">
        <v>317.8</v>
      </c>
      <c r="M199" s="121">
        <v>304.39999999999998</v>
      </c>
      <c r="N199" s="121">
        <v>311.8</v>
      </c>
      <c r="O199" s="121">
        <v>308.89999999999998</v>
      </c>
      <c r="P199" s="121">
        <v>307.60000000000002</v>
      </c>
      <c r="Q199" s="121">
        <v>344.9</v>
      </c>
      <c r="R199" s="121">
        <v>316.60000000000002</v>
      </c>
      <c r="S199" s="121">
        <v>308.39999999999998</v>
      </c>
      <c r="T199" s="121">
        <v>309.10000000000002</v>
      </c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</row>
    <row r="200" spans="4:35" x14ac:dyDescent="0.35">
      <c r="D200" s="136">
        <v>84</v>
      </c>
      <c r="E200" s="437"/>
      <c r="F200" s="437"/>
      <c r="G200" s="441"/>
      <c r="H200" s="121"/>
      <c r="I200" s="121">
        <v>350</v>
      </c>
      <c r="J200" s="121">
        <v>332.2</v>
      </c>
      <c r="K200" s="121">
        <v>323</v>
      </c>
      <c r="L200" s="121">
        <v>321.89999999999998</v>
      </c>
      <c r="M200" s="121">
        <v>308.89999999999998</v>
      </c>
      <c r="N200" s="121">
        <v>316.10000000000002</v>
      </c>
      <c r="O200" s="121">
        <v>312.60000000000002</v>
      </c>
      <c r="P200" s="121">
        <v>311.60000000000002</v>
      </c>
      <c r="Q200" s="121">
        <v>349</v>
      </c>
      <c r="R200" s="121">
        <v>319.60000000000002</v>
      </c>
      <c r="S200" s="121">
        <v>312.3</v>
      </c>
      <c r="T200" s="121">
        <v>312.8</v>
      </c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</row>
    <row r="201" spans="4:35" x14ac:dyDescent="0.35">
      <c r="D201" s="136">
        <v>85</v>
      </c>
      <c r="E201" s="437"/>
      <c r="F201" s="437"/>
      <c r="G201" s="441"/>
      <c r="H201" s="121"/>
      <c r="I201" s="121">
        <v>355</v>
      </c>
      <c r="J201" s="121">
        <v>337.4</v>
      </c>
      <c r="K201" s="121">
        <v>327.8</v>
      </c>
      <c r="L201" s="121">
        <v>326.5</v>
      </c>
      <c r="M201" s="121">
        <v>312.89999999999998</v>
      </c>
      <c r="N201" s="121">
        <v>319</v>
      </c>
      <c r="O201" s="121">
        <v>317.10000000000002</v>
      </c>
      <c r="P201" s="121">
        <v>316.10000000000002</v>
      </c>
      <c r="Q201" s="121">
        <v>354.2</v>
      </c>
      <c r="R201" s="121">
        <v>324.8</v>
      </c>
      <c r="S201" s="121">
        <v>316.8</v>
      </c>
      <c r="T201" s="121">
        <v>317.2</v>
      </c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</row>
    <row r="202" spans="4:35" x14ac:dyDescent="0.35">
      <c r="D202" s="136">
        <v>86</v>
      </c>
      <c r="E202" s="437"/>
      <c r="F202" s="437"/>
      <c r="G202" s="441"/>
      <c r="H202" s="121"/>
      <c r="I202" s="121">
        <v>359.3</v>
      </c>
      <c r="J202" s="121">
        <v>342.9</v>
      </c>
      <c r="K202" s="121">
        <v>332.2</v>
      </c>
      <c r="L202" s="121">
        <v>331.3</v>
      </c>
      <c r="M202" s="121">
        <v>317.39999999999998</v>
      </c>
      <c r="N202" s="121">
        <v>323.89999999999998</v>
      </c>
      <c r="O202" s="121">
        <v>320.39999999999998</v>
      </c>
      <c r="P202" s="121">
        <v>319.3</v>
      </c>
      <c r="Q202" s="121">
        <v>358.6</v>
      </c>
      <c r="R202" s="121">
        <v>329.8</v>
      </c>
      <c r="S202" s="121">
        <v>320</v>
      </c>
      <c r="T202" s="121">
        <v>320.60000000000002</v>
      </c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</row>
    <row r="203" spans="4:35" x14ac:dyDescent="0.35">
      <c r="D203" s="136">
        <v>87</v>
      </c>
      <c r="E203" s="437"/>
      <c r="F203" s="437"/>
      <c r="G203" s="441"/>
      <c r="H203" s="121"/>
      <c r="I203" s="121">
        <v>364.6</v>
      </c>
      <c r="J203" s="121">
        <v>347.3</v>
      </c>
      <c r="K203" s="121">
        <v>337.9</v>
      </c>
      <c r="L203" s="121">
        <v>335.9</v>
      </c>
      <c r="M203" s="121">
        <v>321.7</v>
      </c>
      <c r="N203" s="121">
        <v>328.5</v>
      </c>
      <c r="O203" s="121">
        <v>325.5</v>
      </c>
      <c r="P203" s="121">
        <v>324.5</v>
      </c>
      <c r="Q203" s="121">
        <v>364.1</v>
      </c>
      <c r="R203" s="121">
        <v>333.9</v>
      </c>
      <c r="S203" s="121">
        <v>325.2</v>
      </c>
      <c r="T203" s="121">
        <v>325.60000000000002</v>
      </c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</row>
    <row r="204" spans="4:35" x14ac:dyDescent="0.35">
      <c r="D204" s="136">
        <v>88</v>
      </c>
      <c r="E204" s="437"/>
      <c r="F204" s="437"/>
      <c r="G204" s="441"/>
      <c r="H204" s="121"/>
      <c r="I204" s="121">
        <v>369.7</v>
      </c>
      <c r="J204" s="121">
        <v>353</v>
      </c>
      <c r="K204" s="121">
        <v>343.8</v>
      </c>
      <c r="L204" s="121">
        <v>341.4</v>
      </c>
      <c r="M204" s="121">
        <v>326.8</v>
      </c>
      <c r="N204" s="121">
        <v>332.6</v>
      </c>
      <c r="O204" s="121">
        <v>330.6</v>
      </c>
      <c r="P204" s="121">
        <v>329.6</v>
      </c>
      <c r="Q204" s="121">
        <v>369.4</v>
      </c>
      <c r="R204" s="121">
        <v>339.9</v>
      </c>
      <c r="S204" s="121">
        <v>330.3</v>
      </c>
      <c r="T204" s="121">
        <v>330.8</v>
      </c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</row>
    <row r="205" spans="4:35" x14ac:dyDescent="0.35">
      <c r="D205" s="136">
        <v>89</v>
      </c>
      <c r="E205" s="437"/>
      <c r="F205" s="437"/>
      <c r="G205" s="441"/>
      <c r="H205" s="121"/>
      <c r="I205" s="121">
        <v>374.7</v>
      </c>
      <c r="J205" s="121">
        <v>358.2</v>
      </c>
      <c r="K205" s="121">
        <v>348.8</v>
      </c>
      <c r="L205" s="121">
        <v>346.3</v>
      </c>
      <c r="M205" s="121">
        <v>331.8</v>
      </c>
      <c r="N205" s="121">
        <v>338.3</v>
      </c>
      <c r="O205" s="121">
        <v>335</v>
      </c>
      <c r="P205" s="121">
        <v>334</v>
      </c>
      <c r="Q205" s="121">
        <v>374.3</v>
      </c>
      <c r="R205" s="121">
        <v>345.4</v>
      </c>
      <c r="S205" s="121">
        <v>334.7</v>
      </c>
      <c r="T205" s="121">
        <v>335.3</v>
      </c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</row>
    <row r="206" spans="4:35" x14ac:dyDescent="0.35">
      <c r="D206" s="430">
        <v>90</v>
      </c>
      <c r="E206" s="437"/>
      <c r="F206" s="437"/>
      <c r="G206" s="441"/>
      <c r="H206" s="434"/>
      <c r="I206" s="434">
        <v>380.5</v>
      </c>
      <c r="J206" s="434">
        <v>364.3</v>
      </c>
      <c r="K206" s="434">
        <v>355</v>
      </c>
      <c r="L206" s="434">
        <v>352.3</v>
      </c>
      <c r="M206" s="434">
        <v>337.8</v>
      </c>
      <c r="N206" s="434">
        <v>344.3</v>
      </c>
      <c r="O206" s="434">
        <v>341</v>
      </c>
      <c r="P206" s="434">
        <v>340.2</v>
      </c>
      <c r="Q206" s="434">
        <v>380.1</v>
      </c>
      <c r="R206" s="434">
        <v>351.1</v>
      </c>
      <c r="S206" s="434">
        <v>340.8</v>
      </c>
      <c r="T206" s="434">
        <v>341.3</v>
      </c>
      <c r="U206" s="434"/>
      <c r="V206" s="434"/>
      <c r="W206" s="434"/>
      <c r="X206" s="434"/>
      <c r="Y206" s="434"/>
      <c r="Z206" s="434"/>
      <c r="AA206" s="434"/>
      <c r="AB206" s="434"/>
      <c r="AC206" s="434"/>
      <c r="AD206" s="434"/>
      <c r="AE206" s="434"/>
      <c r="AF206" s="434"/>
      <c r="AG206" s="434"/>
      <c r="AH206" s="434"/>
      <c r="AI206" s="434"/>
    </row>
    <row r="207" spans="4:35" x14ac:dyDescent="0.35">
      <c r="D207" s="136">
        <v>91</v>
      </c>
      <c r="E207" s="437"/>
      <c r="F207" s="437"/>
      <c r="G207" s="442"/>
      <c r="H207" s="121"/>
      <c r="I207" s="121">
        <v>385.5</v>
      </c>
      <c r="J207" s="121">
        <v>370</v>
      </c>
      <c r="K207" s="121">
        <v>361</v>
      </c>
      <c r="L207" s="121">
        <v>358.1</v>
      </c>
      <c r="M207" s="121">
        <v>344.4</v>
      </c>
      <c r="N207" s="121">
        <v>349.3</v>
      </c>
      <c r="O207" s="121">
        <v>346.3</v>
      </c>
      <c r="P207" s="121">
        <v>345.7</v>
      </c>
      <c r="Q207" s="121">
        <v>384.9</v>
      </c>
      <c r="R207" s="121">
        <v>357.4</v>
      </c>
      <c r="S207" s="121">
        <v>346.1</v>
      </c>
      <c r="T207" s="121">
        <v>346.5</v>
      </c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</row>
    <row r="208" spans="4:35" x14ac:dyDescent="0.35">
      <c r="D208" s="136">
        <v>92</v>
      </c>
      <c r="E208" s="437"/>
      <c r="F208" s="437"/>
      <c r="G208" s="442"/>
      <c r="H208" s="121"/>
      <c r="I208" s="121">
        <v>391.8</v>
      </c>
      <c r="J208" s="121">
        <v>376.7</v>
      </c>
      <c r="K208" s="121">
        <v>368.1</v>
      </c>
      <c r="L208" s="121">
        <v>364.9</v>
      </c>
      <c r="M208" s="121">
        <v>350.1</v>
      </c>
      <c r="N208" s="121">
        <v>355.6</v>
      </c>
      <c r="O208" s="121">
        <v>352.9</v>
      </c>
      <c r="P208" s="121">
        <v>352.2</v>
      </c>
      <c r="Q208" s="121">
        <v>391.1</v>
      </c>
      <c r="R208" s="121">
        <v>363.9</v>
      </c>
      <c r="S208" s="121">
        <v>352.8</v>
      </c>
      <c r="T208" s="121">
        <v>353.1</v>
      </c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</row>
    <row r="209" spans="4:37" x14ac:dyDescent="0.35">
      <c r="D209" s="136">
        <v>93</v>
      </c>
      <c r="E209" s="437"/>
      <c r="F209" s="437"/>
      <c r="G209" s="442"/>
      <c r="H209" s="121"/>
      <c r="I209" s="121">
        <v>397.6</v>
      </c>
      <c r="J209" s="121">
        <v>383</v>
      </c>
      <c r="K209" s="121">
        <v>375.1</v>
      </c>
      <c r="L209" s="121">
        <v>371.7</v>
      </c>
      <c r="M209" s="121">
        <v>357.2</v>
      </c>
      <c r="N209" s="121">
        <v>362.2</v>
      </c>
      <c r="O209" s="121">
        <v>359.2</v>
      </c>
      <c r="P209" s="121">
        <v>358.5</v>
      </c>
      <c r="Q209" s="121">
        <v>396.3</v>
      </c>
      <c r="R209" s="121">
        <v>370.5</v>
      </c>
      <c r="S209" s="121">
        <v>359.1</v>
      </c>
      <c r="T209" s="121">
        <v>359.5</v>
      </c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</row>
    <row r="210" spans="4:37" x14ac:dyDescent="0.35">
      <c r="D210" s="136">
        <v>94</v>
      </c>
      <c r="E210" s="437"/>
      <c r="F210" s="437"/>
      <c r="G210" s="442"/>
      <c r="H210" s="121"/>
      <c r="I210" s="121">
        <v>404</v>
      </c>
      <c r="J210" s="121">
        <v>390.9</v>
      </c>
      <c r="K210" s="121">
        <v>382.9</v>
      </c>
      <c r="L210" s="121">
        <v>380.2</v>
      </c>
      <c r="M210" s="121">
        <v>364.8</v>
      </c>
      <c r="N210" s="121">
        <v>369.5</v>
      </c>
      <c r="O210" s="121">
        <v>367.2</v>
      </c>
      <c r="P210" s="121">
        <v>366.6</v>
      </c>
      <c r="Q210" s="121">
        <v>402.8</v>
      </c>
      <c r="R210" s="121">
        <v>378.9</v>
      </c>
      <c r="S210" s="121">
        <v>367.2</v>
      </c>
      <c r="T210" s="121">
        <v>367.6</v>
      </c>
      <c r="U210" s="121"/>
      <c r="V210" s="121"/>
      <c r="W210" s="121"/>
      <c r="X210" s="121"/>
      <c r="Y210" s="121"/>
      <c r="Z210" s="121"/>
      <c r="AA210" s="121"/>
      <c r="AB210" s="121"/>
      <c r="AC210" s="121"/>
      <c r="AD210" s="121"/>
      <c r="AE210" s="121"/>
      <c r="AF210" s="121"/>
      <c r="AG210" s="121"/>
      <c r="AH210" s="121"/>
      <c r="AI210" s="121"/>
    </row>
    <row r="211" spans="4:37" x14ac:dyDescent="0.35">
      <c r="D211" s="430">
        <v>95</v>
      </c>
      <c r="E211" s="437"/>
      <c r="F211" s="437"/>
      <c r="G211" s="442"/>
      <c r="H211" s="434"/>
      <c r="I211" s="434">
        <v>412.1</v>
      </c>
      <c r="J211" s="434">
        <v>398.6</v>
      </c>
      <c r="K211" s="434">
        <v>392</v>
      </c>
      <c r="L211" s="434">
        <v>389</v>
      </c>
      <c r="M211" s="434">
        <v>373.3</v>
      </c>
      <c r="N211" s="434">
        <v>378.1</v>
      </c>
      <c r="O211" s="434">
        <v>375.4</v>
      </c>
      <c r="P211" s="434">
        <v>374.8</v>
      </c>
      <c r="Q211" s="434">
        <v>409.6</v>
      </c>
      <c r="R211" s="434">
        <v>387.2</v>
      </c>
      <c r="S211" s="434">
        <v>375.5</v>
      </c>
      <c r="T211" s="434">
        <v>375.8</v>
      </c>
      <c r="U211" s="434"/>
      <c r="V211" s="434"/>
      <c r="W211" s="434"/>
      <c r="X211" s="434"/>
      <c r="Y211" s="434"/>
      <c r="Z211" s="434"/>
      <c r="AA211" s="434"/>
      <c r="AB211" s="434"/>
      <c r="AC211" s="434"/>
      <c r="AD211" s="434"/>
      <c r="AE211" s="434"/>
      <c r="AF211" s="434"/>
      <c r="AG211" s="434"/>
      <c r="AH211" s="434"/>
      <c r="AI211" s="434"/>
    </row>
    <row r="212" spans="4:37" x14ac:dyDescent="0.35">
      <c r="D212" s="136">
        <v>96</v>
      </c>
      <c r="E212" s="437"/>
      <c r="F212" s="437"/>
      <c r="G212" s="442"/>
      <c r="H212" s="121"/>
      <c r="I212" s="121">
        <v>420.5</v>
      </c>
      <c r="J212" s="121">
        <v>407.6</v>
      </c>
      <c r="K212" s="121">
        <v>402.2</v>
      </c>
      <c r="L212" s="121">
        <v>399.3</v>
      </c>
      <c r="M212" s="121">
        <v>383.3</v>
      </c>
      <c r="N212" s="121">
        <v>388</v>
      </c>
      <c r="O212" s="121">
        <v>385.3</v>
      </c>
      <c r="P212" s="121">
        <v>384.8</v>
      </c>
      <c r="Q212" s="121">
        <v>417.3</v>
      </c>
      <c r="R212" s="121">
        <v>396.6</v>
      </c>
      <c r="S212" s="121">
        <v>385.4</v>
      </c>
      <c r="T212" s="121">
        <v>385.7</v>
      </c>
      <c r="U212" s="121"/>
      <c r="V212" s="121"/>
      <c r="W212" s="121"/>
      <c r="X212" s="121"/>
      <c r="Y212" s="121"/>
      <c r="Z212" s="121"/>
      <c r="AA212" s="121"/>
      <c r="AB212" s="121"/>
      <c r="AC212" s="121"/>
      <c r="AD212" s="121"/>
      <c r="AE212" s="121"/>
      <c r="AF212" s="121"/>
      <c r="AG212" s="121"/>
      <c r="AH212" s="121"/>
      <c r="AI212" s="121"/>
    </row>
    <row r="213" spans="4:37" x14ac:dyDescent="0.35">
      <c r="D213" s="136">
        <v>97</v>
      </c>
      <c r="E213" s="437"/>
      <c r="F213" s="437"/>
      <c r="G213" s="442"/>
      <c r="H213" s="121"/>
      <c r="I213" s="121">
        <v>430.8</v>
      </c>
      <c r="J213" s="121">
        <v>418.6</v>
      </c>
      <c r="K213" s="121">
        <v>414.1</v>
      </c>
      <c r="L213" s="121">
        <v>411.8</v>
      </c>
      <c r="M213" s="121">
        <v>395.8</v>
      </c>
      <c r="N213" s="121">
        <v>400.1</v>
      </c>
      <c r="O213" s="121">
        <v>397.5</v>
      </c>
      <c r="P213" s="121">
        <v>397</v>
      </c>
      <c r="Q213" s="121">
        <v>426.6</v>
      </c>
      <c r="R213" s="121">
        <v>407.8</v>
      </c>
      <c r="S213" s="121">
        <v>397.6</v>
      </c>
      <c r="T213" s="121">
        <v>397.9</v>
      </c>
      <c r="U213" s="121"/>
      <c r="V213" s="121"/>
      <c r="W213" s="121"/>
      <c r="X213" s="121"/>
      <c r="Y213" s="121"/>
      <c r="Z213" s="121"/>
      <c r="AA213" s="121"/>
      <c r="AB213" s="121"/>
      <c r="AC213" s="121"/>
      <c r="AD213" s="121"/>
      <c r="AE213" s="121"/>
      <c r="AF213" s="121"/>
      <c r="AG213" s="121"/>
      <c r="AH213" s="121"/>
      <c r="AI213" s="121"/>
    </row>
    <row r="214" spans="4:37" x14ac:dyDescent="0.35">
      <c r="D214" s="136">
        <v>98</v>
      </c>
      <c r="E214" s="437"/>
      <c r="F214" s="437"/>
      <c r="G214" s="442"/>
      <c r="H214" s="121"/>
      <c r="I214" s="121">
        <v>443.5</v>
      </c>
      <c r="J214" s="121">
        <v>432.6</v>
      </c>
      <c r="K214" s="121">
        <v>430.1</v>
      </c>
      <c r="L214" s="121">
        <v>427.7</v>
      </c>
      <c r="M214" s="121">
        <v>411.8</v>
      </c>
      <c r="N214" s="121">
        <v>415.5</v>
      </c>
      <c r="O214" s="121">
        <v>412.9</v>
      </c>
      <c r="P214" s="121">
        <v>412.7</v>
      </c>
      <c r="Q214" s="121">
        <v>438.9</v>
      </c>
      <c r="R214" s="121">
        <v>422.2</v>
      </c>
      <c r="S214" s="121">
        <v>413</v>
      </c>
      <c r="T214" s="121">
        <v>413.3</v>
      </c>
      <c r="U214" s="121"/>
      <c r="V214" s="121"/>
      <c r="W214" s="121"/>
      <c r="X214" s="121"/>
      <c r="Y214" s="121"/>
      <c r="Z214" s="121"/>
      <c r="AA214" s="121"/>
      <c r="AB214" s="121"/>
      <c r="AC214" s="121"/>
      <c r="AD214" s="121"/>
      <c r="AE214" s="121"/>
      <c r="AF214" s="121"/>
      <c r="AG214" s="121"/>
      <c r="AH214" s="121"/>
      <c r="AI214" s="121"/>
    </row>
    <row r="215" spans="4:37" x14ac:dyDescent="0.35">
      <c r="D215" s="136">
        <v>99</v>
      </c>
      <c r="E215" s="437"/>
      <c r="F215" s="437"/>
      <c r="G215" s="442"/>
      <c r="H215" s="121"/>
      <c r="I215" s="121">
        <v>463.3</v>
      </c>
      <c r="J215" s="121">
        <v>454.3</v>
      </c>
      <c r="K215" s="121">
        <v>453.1</v>
      </c>
      <c r="L215" s="121">
        <v>451.5</v>
      </c>
      <c r="M215" s="121">
        <v>435</v>
      </c>
      <c r="N215" s="121">
        <v>439.2</v>
      </c>
      <c r="O215" s="121">
        <v>436.8</v>
      </c>
      <c r="P215" s="121">
        <v>436.6</v>
      </c>
      <c r="Q215" s="121">
        <v>456.8</v>
      </c>
      <c r="R215" s="121">
        <v>443.4</v>
      </c>
      <c r="S215" s="121">
        <v>436.9</v>
      </c>
      <c r="T215" s="121">
        <v>437.2</v>
      </c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1"/>
      <c r="AG215" s="121"/>
      <c r="AH215" s="121"/>
      <c r="AI215" s="121"/>
    </row>
    <row r="216" spans="4:37" x14ac:dyDescent="0.35">
      <c r="D216" s="430">
        <v>100</v>
      </c>
      <c r="E216" s="437"/>
      <c r="F216" s="437"/>
      <c r="G216" s="442"/>
      <c r="H216" s="434"/>
      <c r="I216" s="434">
        <v>479.3</v>
      </c>
      <c r="J216" s="434">
        <v>472</v>
      </c>
      <c r="K216" s="434">
        <v>471.4</v>
      </c>
      <c r="L216" s="434">
        <v>470.4</v>
      </c>
      <c r="M216" s="434">
        <v>454.1</v>
      </c>
      <c r="N216" s="434">
        <v>458.4</v>
      </c>
      <c r="O216" s="434">
        <v>456.5</v>
      </c>
      <c r="P216" s="434">
        <v>456.5</v>
      </c>
      <c r="Q216" s="434">
        <v>471.8</v>
      </c>
      <c r="R216" s="434">
        <v>461</v>
      </c>
      <c r="S216" s="434">
        <v>456.6</v>
      </c>
      <c r="T216" s="434">
        <v>456.9</v>
      </c>
      <c r="U216" s="434"/>
      <c r="V216" s="434"/>
      <c r="W216" s="434"/>
      <c r="X216" s="434"/>
      <c r="Y216" s="434"/>
      <c r="Z216" s="434"/>
      <c r="AA216" s="434"/>
      <c r="AB216" s="434"/>
      <c r="AC216" s="434"/>
      <c r="AD216" s="434"/>
      <c r="AE216" s="434"/>
      <c r="AF216" s="434"/>
      <c r="AG216" s="434"/>
      <c r="AH216" s="434"/>
      <c r="AI216" s="434"/>
    </row>
    <row r="219" spans="4:37" x14ac:dyDescent="0.35">
      <c r="H219" s="218" t="s">
        <v>94</v>
      </c>
      <c r="I219" s="13"/>
      <c r="J219" s="13"/>
      <c r="K219" s="129"/>
      <c r="L219" s="219"/>
      <c r="M219" s="13"/>
      <c r="N219" s="13"/>
      <c r="O219" s="13"/>
      <c r="P219" s="13"/>
      <c r="Q219" s="13"/>
      <c r="R219" s="1364"/>
      <c r="S219" s="13"/>
      <c r="T219" s="13"/>
      <c r="U219" s="1369"/>
      <c r="V219" s="13"/>
      <c r="W219" s="13"/>
      <c r="X219" s="103"/>
      <c r="Y219" s="103"/>
      <c r="Z219" s="103"/>
      <c r="AA219" s="1369"/>
      <c r="AB219" s="103"/>
      <c r="AC219" s="103"/>
      <c r="AD219" s="103"/>
      <c r="AE219" s="103"/>
      <c r="AF219" s="103"/>
      <c r="AG219" s="103"/>
      <c r="AH219" s="103"/>
      <c r="AI219" s="103"/>
    </row>
    <row r="220" spans="4:37" x14ac:dyDescent="0.35">
      <c r="H220" s="211">
        <v>1</v>
      </c>
      <c r="I220" s="212">
        <v>2</v>
      </c>
      <c r="J220" s="212">
        <v>3</v>
      </c>
      <c r="K220" s="212">
        <v>4</v>
      </c>
      <c r="L220" s="211">
        <v>5</v>
      </c>
      <c r="M220" s="212">
        <v>6</v>
      </c>
      <c r="N220" s="214">
        <v>7</v>
      </c>
      <c r="O220" s="214">
        <v>8</v>
      </c>
      <c r="P220" s="214">
        <v>9</v>
      </c>
      <c r="Q220" s="214">
        <v>10</v>
      </c>
      <c r="R220" s="2512">
        <v>11</v>
      </c>
      <c r="S220" s="2512">
        <v>12</v>
      </c>
      <c r="T220" s="2512">
        <v>13</v>
      </c>
      <c r="U220" s="1367">
        <v>14</v>
      </c>
      <c r="V220" s="214">
        <v>15</v>
      </c>
      <c r="W220" s="214">
        <v>16</v>
      </c>
      <c r="X220" s="214">
        <v>17</v>
      </c>
      <c r="Y220" s="214">
        <v>18</v>
      </c>
      <c r="Z220" s="214">
        <v>19</v>
      </c>
      <c r="AA220" s="1367">
        <v>20</v>
      </c>
      <c r="AB220" s="214">
        <v>21</v>
      </c>
      <c r="AC220" s="214">
        <v>22</v>
      </c>
      <c r="AD220" s="214">
        <v>23</v>
      </c>
      <c r="AE220" s="214">
        <v>24</v>
      </c>
      <c r="AF220" s="214">
        <v>25</v>
      </c>
      <c r="AG220" s="214">
        <v>26</v>
      </c>
      <c r="AH220" s="214">
        <v>27</v>
      </c>
      <c r="AI220" s="214">
        <v>28</v>
      </c>
      <c r="AJ220" s="1015"/>
      <c r="AK220" s="1015"/>
    </row>
    <row r="221" spans="4:37" ht="16.5" thickBot="1" x14ac:dyDescent="0.4">
      <c r="D221" s="436" t="s">
        <v>390</v>
      </c>
      <c r="H221" s="215"/>
      <c r="I221" s="133"/>
      <c r="J221" s="132"/>
      <c r="K221" s="132"/>
      <c r="L221" s="216"/>
      <c r="M221" s="12"/>
      <c r="N221" s="132"/>
      <c r="O221" s="132"/>
      <c r="P221" s="132"/>
      <c r="Q221" s="132"/>
      <c r="R221" s="1365"/>
      <c r="S221" s="132"/>
      <c r="T221" s="132"/>
      <c r="U221" s="1368"/>
      <c r="V221" s="132"/>
      <c r="W221" s="132"/>
      <c r="X221" s="132"/>
      <c r="Y221" s="132"/>
      <c r="Z221" s="132"/>
      <c r="AA221" s="1368"/>
      <c r="AB221" s="132"/>
      <c r="AC221" s="132"/>
      <c r="AD221" s="132"/>
      <c r="AE221" s="132"/>
      <c r="AF221" s="132"/>
      <c r="AG221" s="132"/>
      <c r="AH221" s="132"/>
      <c r="AI221" s="132"/>
    </row>
    <row r="222" spans="4:37" x14ac:dyDescent="0.35">
      <c r="D222" s="134" t="s">
        <v>92</v>
      </c>
      <c r="E222" s="135"/>
      <c r="F222" s="135"/>
      <c r="G222" s="135"/>
      <c r="H222" s="429"/>
      <c r="I222" s="429"/>
      <c r="J222" s="429"/>
      <c r="K222" s="429"/>
      <c r="L222" s="429"/>
      <c r="M222" s="429"/>
      <c r="N222" s="429"/>
      <c r="O222" s="429"/>
      <c r="P222" s="429"/>
      <c r="Q222" s="429"/>
      <c r="R222" s="429"/>
      <c r="S222" s="429"/>
      <c r="T222" s="429"/>
      <c r="U222" s="429"/>
      <c r="V222" s="429"/>
      <c r="W222" s="429"/>
      <c r="X222" s="429"/>
      <c r="Y222" s="429"/>
      <c r="Z222" s="429"/>
      <c r="AA222" s="429"/>
      <c r="AB222" s="429"/>
      <c r="AC222" s="429"/>
      <c r="AD222" s="429"/>
      <c r="AE222" s="429"/>
      <c r="AF222" s="429"/>
      <c r="AG222" s="429"/>
      <c r="AH222" s="429"/>
      <c r="AI222" s="429"/>
      <c r="AJ222" s="12"/>
      <c r="AK222" s="12"/>
    </row>
    <row r="223" spans="4:37" x14ac:dyDescent="0.35">
      <c r="D223" s="136">
        <v>0</v>
      </c>
      <c r="E223" s="437"/>
      <c r="F223" s="437"/>
      <c r="G223" s="438"/>
      <c r="H223" s="138"/>
      <c r="I223" s="138">
        <v>99.5</v>
      </c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  <c r="AB223" s="138"/>
      <c r="AC223" s="138"/>
      <c r="AD223" s="138"/>
      <c r="AE223" s="138"/>
      <c r="AF223" s="138"/>
      <c r="AG223" s="138"/>
      <c r="AH223" s="138"/>
      <c r="AI223" s="138"/>
      <c r="AJ223" s="12"/>
      <c r="AK223" s="12"/>
    </row>
    <row r="224" spans="4:37" x14ac:dyDescent="0.35">
      <c r="D224" s="136">
        <v>1</v>
      </c>
      <c r="E224" s="437"/>
      <c r="F224" s="437"/>
      <c r="G224" s="438"/>
      <c r="H224" s="138"/>
      <c r="I224" s="138">
        <v>104.7</v>
      </c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  <c r="AB224" s="138"/>
      <c r="AC224" s="138"/>
      <c r="AD224" s="138"/>
      <c r="AE224" s="138"/>
      <c r="AF224" s="138"/>
      <c r="AG224" s="138"/>
      <c r="AH224" s="138"/>
      <c r="AI224" s="138"/>
      <c r="AJ224" s="180"/>
      <c r="AK224" s="180"/>
    </row>
    <row r="225" spans="4:37" x14ac:dyDescent="0.35">
      <c r="D225" s="136">
        <v>2</v>
      </c>
      <c r="E225" s="437"/>
      <c r="F225" s="437"/>
      <c r="G225" s="438"/>
      <c r="H225" s="138"/>
      <c r="I225" s="138">
        <v>106.6</v>
      </c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  <c r="AB225" s="138"/>
      <c r="AC225" s="138"/>
      <c r="AD225" s="138"/>
      <c r="AE225" s="138"/>
      <c r="AF225" s="138"/>
      <c r="AG225" s="138"/>
      <c r="AH225" s="138"/>
      <c r="AI225" s="138"/>
      <c r="AJ225" s="180"/>
      <c r="AK225" s="180"/>
    </row>
    <row r="226" spans="4:37" x14ac:dyDescent="0.35">
      <c r="D226" s="136">
        <v>3</v>
      </c>
      <c r="E226" s="437"/>
      <c r="F226" s="437"/>
      <c r="G226" s="438"/>
      <c r="H226" s="138"/>
      <c r="I226" s="138">
        <v>107.6</v>
      </c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  <c r="AB226" s="138"/>
      <c r="AC226" s="138"/>
      <c r="AD226" s="138"/>
      <c r="AE226" s="138"/>
      <c r="AF226" s="138"/>
      <c r="AG226" s="138"/>
      <c r="AH226" s="138"/>
      <c r="AI226" s="138"/>
      <c r="AJ226" s="180"/>
      <c r="AK226" s="180"/>
    </row>
    <row r="227" spans="4:37" x14ac:dyDescent="0.35">
      <c r="D227" s="136">
        <v>4</v>
      </c>
      <c r="E227" s="437"/>
      <c r="F227" s="437"/>
      <c r="G227" s="438"/>
      <c r="H227" s="138"/>
      <c r="I227" s="138">
        <v>107.8</v>
      </c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  <c r="AB227" s="138"/>
      <c r="AC227" s="138"/>
      <c r="AD227" s="138"/>
      <c r="AE227" s="138"/>
      <c r="AF227" s="138"/>
      <c r="AG227" s="138"/>
      <c r="AH227" s="138"/>
      <c r="AI227" s="138"/>
      <c r="AJ227" s="180"/>
      <c r="AK227" s="180"/>
    </row>
    <row r="228" spans="4:37" x14ac:dyDescent="0.35">
      <c r="D228" s="430">
        <v>5</v>
      </c>
      <c r="E228" s="437"/>
      <c r="F228" s="437"/>
      <c r="G228" s="438"/>
      <c r="H228" s="432"/>
      <c r="I228" s="432">
        <v>108.7</v>
      </c>
      <c r="J228" s="432"/>
      <c r="K228" s="432"/>
      <c r="L228" s="432"/>
      <c r="M228" s="432"/>
      <c r="N228" s="432"/>
      <c r="O228" s="432"/>
      <c r="P228" s="432"/>
      <c r="Q228" s="432"/>
      <c r="R228" s="432"/>
      <c r="S228" s="432"/>
      <c r="T228" s="432"/>
      <c r="U228" s="432"/>
      <c r="V228" s="432"/>
      <c r="W228" s="432"/>
      <c r="X228" s="432"/>
      <c r="Y228" s="432"/>
      <c r="Z228" s="432"/>
      <c r="AA228" s="432"/>
      <c r="AB228" s="432"/>
      <c r="AC228" s="432"/>
      <c r="AD228" s="432"/>
      <c r="AE228" s="432"/>
      <c r="AF228" s="432"/>
      <c r="AG228" s="432"/>
      <c r="AH228" s="432"/>
      <c r="AI228" s="432"/>
      <c r="AJ228" s="180"/>
      <c r="AK228" s="180"/>
    </row>
    <row r="229" spans="4:37" x14ac:dyDescent="0.35">
      <c r="D229" s="136">
        <v>6</v>
      </c>
      <c r="E229" s="437"/>
      <c r="F229" s="437"/>
      <c r="G229" s="438"/>
      <c r="H229" s="138"/>
      <c r="I229" s="138">
        <v>109.7</v>
      </c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  <c r="AB229" s="138"/>
      <c r="AC229" s="138"/>
      <c r="AD229" s="138"/>
      <c r="AE229" s="138"/>
      <c r="AF229" s="138"/>
      <c r="AG229" s="138"/>
      <c r="AH229" s="138"/>
      <c r="AI229" s="138"/>
      <c r="AJ229" s="180"/>
      <c r="AK229" s="180"/>
    </row>
    <row r="230" spans="4:37" x14ac:dyDescent="0.35">
      <c r="D230" s="136">
        <v>7</v>
      </c>
      <c r="E230" s="437"/>
      <c r="F230" s="437"/>
      <c r="G230" s="438"/>
      <c r="H230" s="138"/>
      <c r="I230" s="138">
        <v>110.6</v>
      </c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  <c r="AB230" s="138"/>
      <c r="AC230" s="138"/>
      <c r="AD230" s="138"/>
      <c r="AE230" s="138"/>
      <c r="AF230" s="138"/>
      <c r="AG230" s="138"/>
      <c r="AH230" s="138"/>
      <c r="AI230" s="138"/>
      <c r="AJ230" s="181"/>
      <c r="AK230" s="181"/>
    </row>
    <row r="231" spans="4:37" x14ac:dyDescent="0.35">
      <c r="D231" s="136">
        <v>8</v>
      </c>
      <c r="E231" s="437"/>
      <c r="F231" s="437"/>
      <c r="G231" s="438"/>
      <c r="H231" s="138"/>
      <c r="I231" s="138">
        <v>110.8</v>
      </c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  <c r="AB231" s="138"/>
      <c r="AC231" s="138"/>
      <c r="AD231" s="138"/>
      <c r="AE231" s="138"/>
      <c r="AF231" s="138"/>
      <c r="AG231" s="138"/>
      <c r="AH231" s="138"/>
      <c r="AI231" s="138"/>
      <c r="AJ231" s="18"/>
      <c r="AK231" s="18"/>
    </row>
    <row r="232" spans="4:37" x14ac:dyDescent="0.35">
      <c r="D232" s="136">
        <v>9</v>
      </c>
      <c r="E232" s="437"/>
      <c r="F232" s="437"/>
      <c r="G232" s="438"/>
      <c r="H232" s="138"/>
      <c r="I232" s="138">
        <v>111.8</v>
      </c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  <c r="AB232" s="138"/>
      <c r="AC232" s="138"/>
      <c r="AD232" s="138"/>
      <c r="AE232" s="138"/>
      <c r="AF232" s="138"/>
      <c r="AG232" s="138"/>
      <c r="AH232" s="138"/>
      <c r="AI232" s="138"/>
    </row>
    <row r="233" spans="4:37" x14ac:dyDescent="0.35">
      <c r="D233" s="430">
        <v>10</v>
      </c>
      <c r="E233" s="437"/>
      <c r="F233" s="437"/>
      <c r="G233" s="438"/>
      <c r="H233" s="432"/>
      <c r="I233" s="432">
        <v>112.8</v>
      </c>
      <c r="J233" s="432"/>
      <c r="K233" s="432"/>
      <c r="L233" s="432"/>
      <c r="M233" s="432"/>
      <c r="N233" s="432"/>
      <c r="O233" s="432"/>
      <c r="P233" s="432"/>
      <c r="Q233" s="432"/>
      <c r="R233" s="432"/>
      <c r="S233" s="432"/>
      <c r="T233" s="432"/>
      <c r="U233" s="432"/>
      <c r="V233" s="432"/>
      <c r="W233" s="432"/>
      <c r="X233" s="432"/>
      <c r="Y233" s="432"/>
      <c r="Z233" s="432"/>
      <c r="AA233" s="432"/>
      <c r="AB233" s="432"/>
      <c r="AC233" s="432"/>
      <c r="AD233" s="432"/>
      <c r="AE233" s="432"/>
      <c r="AF233" s="432"/>
      <c r="AG233" s="432"/>
      <c r="AH233" s="432"/>
      <c r="AI233" s="432"/>
    </row>
    <row r="234" spans="4:37" x14ac:dyDescent="0.35">
      <c r="D234" s="136">
        <v>11</v>
      </c>
      <c r="E234" s="437"/>
      <c r="F234" s="437"/>
      <c r="G234" s="438"/>
      <c r="H234" s="138"/>
      <c r="I234" s="138">
        <v>114.9</v>
      </c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  <c r="AB234" s="138"/>
      <c r="AC234" s="138"/>
      <c r="AD234" s="138"/>
      <c r="AE234" s="138"/>
      <c r="AF234" s="138"/>
      <c r="AG234" s="138"/>
      <c r="AH234" s="138"/>
      <c r="AI234" s="138"/>
    </row>
    <row r="235" spans="4:37" x14ac:dyDescent="0.35">
      <c r="D235" s="136">
        <v>12</v>
      </c>
      <c r="E235" s="437"/>
      <c r="F235" s="437"/>
      <c r="G235" s="438"/>
      <c r="H235" s="138"/>
      <c r="I235" s="138">
        <v>124.9</v>
      </c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  <c r="AB235" s="138"/>
      <c r="AC235" s="138"/>
      <c r="AD235" s="138"/>
      <c r="AE235" s="138"/>
      <c r="AF235" s="138"/>
      <c r="AG235" s="138"/>
      <c r="AH235" s="138"/>
      <c r="AI235" s="138"/>
    </row>
    <row r="236" spans="4:37" x14ac:dyDescent="0.35">
      <c r="D236" s="136">
        <v>13</v>
      </c>
      <c r="E236" s="437"/>
      <c r="F236" s="437"/>
      <c r="G236" s="438"/>
      <c r="H236" s="138"/>
      <c r="I236" s="138">
        <v>181.1</v>
      </c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  <c r="AB236" s="138"/>
      <c r="AC236" s="138"/>
      <c r="AD236" s="138"/>
      <c r="AE236" s="138"/>
      <c r="AF236" s="138"/>
      <c r="AG236" s="138"/>
      <c r="AH236" s="138"/>
      <c r="AI236" s="138"/>
    </row>
    <row r="237" spans="4:37" x14ac:dyDescent="0.35">
      <c r="D237" s="136">
        <v>14</v>
      </c>
      <c r="E237" s="437"/>
      <c r="F237" s="437"/>
      <c r="G237" s="438"/>
      <c r="H237" s="138"/>
      <c r="I237" s="138">
        <v>235.7</v>
      </c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  <c r="AB237" s="138"/>
      <c r="AC237" s="138"/>
      <c r="AD237" s="138"/>
      <c r="AE237" s="138"/>
      <c r="AF237" s="138"/>
      <c r="AG237" s="138"/>
      <c r="AH237" s="138"/>
      <c r="AI237" s="138"/>
    </row>
    <row r="238" spans="4:37" x14ac:dyDescent="0.35">
      <c r="D238" s="430">
        <v>15</v>
      </c>
      <c r="E238" s="437"/>
      <c r="F238" s="437"/>
      <c r="G238" s="438"/>
      <c r="H238" s="432"/>
      <c r="I238" s="432">
        <v>289.3</v>
      </c>
      <c r="J238" s="432"/>
      <c r="K238" s="432"/>
      <c r="L238" s="432"/>
      <c r="M238" s="432"/>
      <c r="N238" s="432"/>
      <c r="O238" s="432"/>
      <c r="P238" s="432"/>
      <c r="Q238" s="432"/>
      <c r="R238" s="432"/>
      <c r="S238" s="432"/>
      <c r="T238" s="432"/>
      <c r="U238" s="432"/>
      <c r="V238" s="432"/>
      <c r="W238" s="432"/>
      <c r="X238" s="432"/>
      <c r="Y238" s="432"/>
      <c r="Z238" s="432"/>
      <c r="AA238" s="432"/>
      <c r="AB238" s="432"/>
      <c r="AC238" s="432"/>
      <c r="AD238" s="432"/>
      <c r="AE238" s="432"/>
      <c r="AF238" s="432"/>
      <c r="AG238" s="432"/>
      <c r="AH238" s="432"/>
      <c r="AI238" s="432"/>
    </row>
    <row r="239" spans="4:37" x14ac:dyDescent="0.35">
      <c r="D239" s="136">
        <v>16</v>
      </c>
      <c r="E239" s="437"/>
      <c r="F239" s="437"/>
      <c r="G239" s="438"/>
      <c r="H239" s="138"/>
      <c r="I239" s="138">
        <v>327</v>
      </c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  <c r="AB239" s="138"/>
      <c r="AC239" s="138"/>
      <c r="AD239" s="138"/>
      <c r="AE239" s="138"/>
      <c r="AF239" s="138"/>
      <c r="AG239" s="138"/>
      <c r="AH239" s="138"/>
      <c r="AI239" s="138"/>
    </row>
    <row r="240" spans="4:37" x14ac:dyDescent="0.35">
      <c r="D240" s="136">
        <v>17</v>
      </c>
      <c r="E240" s="437"/>
      <c r="F240" s="437"/>
      <c r="G240" s="438"/>
      <c r="H240" s="138"/>
      <c r="I240" s="138">
        <v>355.3</v>
      </c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  <c r="AB240" s="138"/>
      <c r="AC240" s="138"/>
      <c r="AD240" s="138"/>
      <c r="AE240" s="138"/>
      <c r="AF240" s="138"/>
      <c r="AG240" s="138"/>
      <c r="AH240" s="138"/>
      <c r="AI240" s="138"/>
    </row>
    <row r="241" spans="4:35" x14ac:dyDescent="0.35">
      <c r="D241" s="136">
        <v>18</v>
      </c>
      <c r="E241" s="437"/>
      <c r="F241" s="437"/>
      <c r="G241" s="438"/>
      <c r="H241" s="138"/>
      <c r="I241" s="138">
        <v>376.4</v>
      </c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  <c r="AB241" s="138"/>
      <c r="AC241" s="138"/>
      <c r="AD241" s="138"/>
      <c r="AE241" s="138"/>
      <c r="AF241" s="138"/>
      <c r="AG241" s="138"/>
      <c r="AH241" s="138"/>
      <c r="AI241" s="138"/>
    </row>
    <row r="242" spans="4:35" x14ac:dyDescent="0.35">
      <c r="D242" s="136">
        <v>19</v>
      </c>
      <c r="E242" s="437"/>
      <c r="F242" s="437"/>
      <c r="G242" s="438"/>
      <c r="H242" s="138"/>
      <c r="I242" s="138">
        <v>392</v>
      </c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  <c r="AB242" s="138"/>
      <c r="AC242" s="138"/>
      <c r="AD242" s="138"/>
      <c r="AE242" s="138"/>
      <c r="AF242" s="138"/>
      <c r="AG242" s="138"/>
      <c r="AH242" s="138"/>
      <c r="AI242" s="138"/>
    </row>
    <row r="243" spans="4:35" x14ac:dyDescent="0.35">
      <c r="D243" s="430">
        <v>20</v>
      </c>
      <c r="E243" s="437"/>
      <c r="F243" s="437"/>
      <c r="G243" s="438"/>
      <c r="H243" s="432"/>
      <c r="I243" s="432">
        <v>408.4</v>
      </c>
      <c r="J243" s="432"/>
      <c r="K243" s="432"/>
      <c r="L243" s="432"/>
      <c r="M243" s="432"/>
      <c r="N243" s="432"/>
      <c r="O243" s="432"/>
      <c r="P243" s="432"/>
      <c r="Q243" s="432"/>
      <c r="R243" s="432"/>
      <c r="S243" s="432"/>
      <c r="T243" s="432"/>
      <c r="U243" s="432"/>
      <c r="V243" s="432"/>
      <c r="W243" s="432"/>
      <c r="X243" s="432"/>
      <c r="Y243" s="432"/>
      <c r="Z243" s="432"/>
      <c r="AA243" s="432"/>
      <c r="AB243" s="432"/>
      <c r="AC243" s="432"/>
      <c r="AD243" s="432"/>
      <c r="AE243" s="432"/>
      <c r="AF243" s="432"/>
      <c r="AG243" s="432"/>
      <c r="AH243" s="432"/>
      <c r="AI243" s="432"/>
    </row>
    <row r="244" spans="4:35" x14ac:dyDescent="0.35">
      <c r="D244" s="136">
        <v>21</v>
      </c>
      <c r="E244" s="437"/>
      <c r="F244" s="437"/>
      <c r="G244" s="438"/>
      <c r="H244" s="138"/>
      <c r="I244" s="138">
        <v>422.1</v>
      </c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  <c r="AB244" s="138"/>
      <c r="AC244" s="138"/>
      <c r="AD244" s="138"/>
      <c r="AE244" s="138"/>
      <c r="AF244" s="138"/>
      <c r="AG244" s="138"/>
      <c r="AH244" s="138"/>
      <c r="AI244" s="138"/>
    </row>
    <row r="245" spans="4:35" x14ac:dyDescent="0.35">
      <c r="D245" s="136">
        <v>22</v>
      </c>
      <c r="E245" s="437"/>
      <c r="F245" s="437"/>
      <c r="G245" s="438"/>
      <c r="H245" s="138"/>
      <c r="I245" s="138">
        <v>435.2</v>
      </c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  <c r="AB245" s="138"/>
      <c r="AC245" s="138"/>
      <c r="AD245" s="138"/>
      <c r="AE245" s="138"/>
      <c r="AF245" s="138"/>
      <c r="AG245" s="138"/>
      <c r="AH245" s="138"/>
      <c r="AI245" s="138"/>
    </row>
    <row r="246" spans="4:35" x14ac:dyDescent="0.35">
      <c r="D246" s="136">
        <v>23</v>
      </c>
      <c r="E246" s="437"/>
      <c r="F246" s="437"/>
      <c r="G246" s="438"/>
      <c r="H246" s="138"/>
      <c r="I246" s="138">
        <v>448.4</v>
      </c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  <c r="AB246" s="138"/>
      <c r="AC246" s="138"/>
      <c r="AD246" s="138"/>
      <c r="AE246" s="138"/>
      <c r="AF246" s="138"/>
      <c r="AG246" s="138"/>
      <c r="AH246" s="138"/>
      <c r="AI246" s="138"/>
    </row>
    <row r="247" spans="4:35" x14ac:dyDescent="0.35">
      <c r="D247" s="136">
        <v>24</v>
      </c>
      <c r="E247" s="437"/>
      <c r="F247" s="437"/>
      <c r="G247" s="438"/>
      <c r="H247" s="138"/>
      <c r="I247" s="138">
        <v>460.4</v>
      </c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  <c r="AB247" s="138"/>
      <c r="AC247" s="138"/>
      <c r="AD247" s="138"/>
      <c r="AE247" s="138"/>
      <c r="AF247" s="138"/>
      <c r="AG247" s="138"/>
      <c r="AH247" s="138"/>
      <c r="AI247" s="138"/>
    </row>
    <row r="248" spans="4:35" x14ac:dyDescent="0.35">
      <c r="D248" s="136">
        <v>25</v>
      </c>
      <c r="E248" s="437"/>
      <c r="F248" s="437"/>
      <c r="G248" s="438"/>
      <c r="H248" s="138"/>
      <c r="I248" s="138">
        <v>472.4</v>
      </c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  <c r="AB248" s="138"/>
      <c r="AC248" s="138"/>
      <c r="AD248" s="138"/>
      <c r="AE248" s="138"/>
      <c r="AF248" s="138"/>
      <c r="AG248" s="138"/>
      <c r="AH248" s="138"/>
      <c r="AI248" s="138"/>
    </row>
    <row r="249" spans="4:35" x14ac:dyDescent="0.35">
      <c r="D249" s="136">
        <v>26</v>
      </c>
      <c r="E249" s="437"/>
      <c r="F249" s="437"/>
      <c r="G249" s="438"/>
      <c r="H249" s="138"/>
      <c r="I249" s="138">
        <v>484.1</v>
      </c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  <c r="AB249" s="138"/>
      <c r="AC249" s="138"/>
      <c r="AD249" s="138"/>
      <c r="AE249" s="138"/>
      <c r="AF249" s="138"/>
      <c r="AG249" s="138"/>
      <c r="AH249" s="138"/>
      <c r="AI249" s="138"/>
    </row>
    <row r="250" spans="4:35" x14ac:dyDescent="0.35">
      <c r="D250" s="136">
        <v>27</v>
      </c>
      <c r="E250" s="437"/>
      <c r="F250" s="437"/>
      <c r="G250" s="438"/>
      <c r="H250" s="138"/>
      <c r="I250" s="138">
        <v>494.2</v>
      </c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  <c r="AB250" s="138"/>
      <c r="AC250" s="138"/>
      <c r="AD250" s="138"/>
      <c r="AE250" s="138"/>
      <c r="AF250" s="138"/>
      <c r="AG250" s="138"/>
      <c r="AH250" s="138"/>
      <c r="AI250" s="138"/>
    </row>
    <row r="251" spans="4:35" x14ac:dyDescent="0.35">
      <c r="D251" s="136">
        <v>28</v>
      </c>
      <c r="E251" s="437"/>
      <c r="F251" s="437"/>
      <c r="G251" s="438"/>
      <c r="H251" s="138"/>
      <c r="I251" s="138">
        <v>503.7</v>
      </c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  <c r="AB251" s="138"/>
      <c r="AC251" s="138"/>
      <c r="AD251" s="138"/>
      <c r="AE251" s="138"/>
      <c r="AF251" s="138"/>
      <c r="AG251" s="138"/>
      <c r="AH251" s="138"/>
      <c r="AI251" s="138"/>
    </row>
    <row r="252" spans="4:35" x14ac:dyDescent="0.35">
      <c r="D252" s="136">
        <v>29</v>
      </c>
      <c r="E252" s="437"/>
      <c r="F252" s="437"/>
      <c r="G252" s="438"/>
      <c r="H252" s="138"/>
      <c r="I252" s="138">
        <v>512.29999999999995</v>
      </c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  <c r="AB252" s="138"/>
      <c r="AC252" s="138"/>
      <c r="AD252" s="138"/>
      <c r="AE252" s="138"/>
      <c r="AF252" s="138"/>
      <c r="AG252" s="138"/>
      <c r="AH252" s="138"/>
      <c r="AI252" s="138"/>
    </row>
    <row r="253" spans="4:35" x14ac:dyDescent="0.35">
      <c r="D253" s="430">
        <v>30</v>
      </c>
      <c r="E253" s="437"/>
      <c r="F253" s="437"/>
      <c r="G253" s="438"/>
      <c r="H253" s="432"/>
      <c r="I253" s="432">
        <v>519.9</v>
      </c>
      <c r="J253" s="432"/>
      <c r="K253" s="432"/>
      <c r="L253" s="432"/>
      <c r="M253" s="432"/>
      <c r="N253" s="432"/>
      <c r="O253" s="432"/>
      <c r="P253" s="432"/>
      <c r="Q253" s="432"/>
      <c r="R253" s="432"/>
      <c r="S253" s="432"/>
      <c r="T253" s="432"/>
      <c r="U253" s="432"/>
      <c r="V253" s="432"/>
      <c r="W253" s="432"/>
      <c r="X253" s="432"/>
      <c r="Y253" s="432"/>
      <c r="Z253" s="432"/>
      <c r="AA253" s="432"/>
      <c r="AB253" s="432"/>
      <c r="AC253" s="432"/>
      <c r="AD253" s="432"/>
      <c r="AE253" s="432"/>
      <c r="AF253" s="432"/>
      <c r="AG253" s="432"/>
      <c r="AH253" s="432"/>
      <c r="AI253" s="432"/>
    </row>
    <row r="254" spans="4:35" x14ac:dyDescent="0.35">
      <c r="D254" s="136">
        <v>31</v>
      </c>
      <c r="E254" s="437"/>
      <c r="F254" s="437"/>
      <c r="G254" s="438"/>
      <c r="H254" s="138"/>
      <c r="I254" s="138">
        <v>527</v>
      </c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  <c r="AB254" s="138"/>
      <c r="AC254" s="138"/>
      <c r="AD254" s="138"/>
      <c r="AE254" s="138"/>
      <c r="AF254" s="138"/>
      <c r="AG254" s="138"/>
      <c r="AH254" s="138"/>
      <c r="AI254" s="138"/>
    </row>
    <row r="255" spans="4:35" x14ac:dyDescent="0.35">
      <c r="D255" s="136">
        <v>32</v>
      </c>
      <c r="E255" s="437"/>
      <c r="F255" s="437"/>
      <c r="G255" s="438"/>
      <c r="H255" s="138"/>
      <c r="I255" s="138">
        <v>533.6</v>
      </c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  <c r="AB255" s="138"/>
      <c r="AC255" s="138"/>
      <c r="AD255" s="138"/>
      <c r="AE255" s="138"/>
      <c r="AF255" s="138"/>
      <c r="AG255" s="138"/>
      <c r="AH255" s="138"/>
      <c r="AI255" s="138"/>
    </row>
    <row r="256" spans="4:35" x14ac:dyDescent="0.35">
      <c r="D256" s="136">
        <v>33</v>
      </c>
      <c r="E256" s="437"/>
      <c r="F256" s="437"/>
      <c r="G256" s="438"/>
      <c r="H256" s="138"/>
      <c r="I256" s="138">
        <v>538.79999999999995</v>
      </c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  <c r="AB256" s="138"/>
      <c r="AC256" s="138"/>
      <c r="AD256" s="138"/>
      <c r="AE256" s="138"/>
      <c r="AF256" s="138"/>
      <c r="AG256" s="138"/>
      <c r="AH256" s="138"/>
      <c r="AI256" s="138"/>
    </row>
    <row r="257" spans="4:35" x14ac:dyDescent="0.35">
      <c r="D257" s="136">
        <v>34</v>
      </c>
      <c r="E257" s="437"/>
      <c r="F257" s="437"/>
      <c r="G257" s="438"/>
      <c r="H257" s="138"/>
      <c r="I257" s="138">
        <v>543.6</v>
      </c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  <c r="AB257" s="138"/>
      <c r="AC257" s="138"/>
      <c r="AD257" s="138"/>
      <c r="AE257" s="138"/>
      <c r="AF257" s="138"/>
      <c r="AG257" s="138"/>
      <c r="AH257" s="138"/>
      <c r="AI257" s="138"/>
    </row>
    <row r="258" spans="4:35" x14ac:dyDescent="0.35">
      <c r="D258" s="136">
        <v>35</v>
      </c>
      <c r="E258" s="437"/>
      <c r="F258" s="437"/>
      <c r="G258" s="438"/>
      <c r="H258" s="138"/>
      <c r="I258" s="138">
        <v>548.79999999999995</v>
      </c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  <c r="AB258" s="138"/>
      <c r="AC258" s="138"/>
      <c r="AD258" s="138"/>
      <c r="AE258" s="138"/>
      <c r="AF258" s="138"/>
      <c r="AG258" s="138"/>
      <c r="AH258" s="138"/>
      <c r="AI258" s="138"/>
    </row>
    <row r="259" spans="4:35" x14ac:dyDescent="0.35">
      <c r="D259" s="136">
        <v>36</v>
      </c>
      <c r="E259" s="437"/>
      <c r="F259" s="437"/>
      <c r="G259" s="438"/>
      <c r="H259" s="138"/>
      <c r="I259" s="138">
        <v>553.9</v>
      </c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  <c r="AG259" s="138"/>
      <c r="AH259" s="138"/>
      <c r="AI259" s="138"/>
    </row>
    <row r="260" spans="4:35" x14ac:dyDescent="0.35">
      <c r="D260" s="136">
        <v>37</v>
      </c>
      <c r="E260" s="437"/>
      <c r="F260" s="437"/>
      <c r="G260" s="438"/>
      <c r="H260" s="138"/>
      <c r="I260" s="138">
        <v>558.5</v>
      </c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  <c r="AB260" s="138"/>
      <c r="AC260" s="138"/>
      <c r="AD260" s="138"/>
      <c r="AE260" s="138"/>
      <c r="AF260" s="138"/>
      <c r="AG260" s="138"/>
      <c r="AH260" s="138"/>
      <c r="AI260" s="138"/>
    </row>
    <row r="261" spans="4:35" x14ac:dyDescent="0.35">
      <c r="D261" s="136">
        <v>38</v>
      </c>
      <c r="E261" s="437"/>
      <c r="F261" s="437"/>
      <c r="G261" s="438"/>
      <c r="H261" s="138"/>
      <c r="I261" s="138">
        <v>562.5</v>
      </c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  <c r="AB261" s="138"/>
      <c r="AC261" s="138"/>
      <c r="AD261" s="138"/>
      <c r="AE261" s="138"/>
      <c r="AF261" s="138"/>
      <c r="AG261" s="138"/>
      <c r="AH261" s="138"/>
      <c r="AI261" s="138"/>
    </row>
    <row r="262" spans="4:35" x14ac:dyDescent="0.35">
      <c r="D262" s="136">
        <v>39</v>
      </c>
      <c r="E262" s="437"/>
      <c r="F262" s="437"/>
      <c r="G262" s="438"/>
      <c r="H262" s="138"/>
      <c r="I262" s="138">
        <v>566.5</v>
      </c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  <c r="AB262" s="138"/>
      <c r="AC262" s="138"/>
      <c r="AD262" s="138"/>
      <c r="AE262" s="138"/>
      <c r="AF262" s="138"/>
      <c r="AG262" s="138"/>
      <c r="AH262" s="138"/>
      <c r="AI262" s="138"/>
    </row>
    <row r="263" spans="4:35" x14ac:dyDescent="0.35">
      <c r="D263" s="430">
        <v>40</v>
      </c>
      <c r="E263" s="437"/>
      <c r="F263" s="437"/>
      <c r="G263" s="438"/>
      <c r="H263" s="432"/>
      <c r="I263" s="432">
        <v>570.1</v>
      </c>
      <c r="J263" s="432"/>
      <c r="K263" s="432"/>
      <c r="L263" s="432"/>
      <c r="M263" s="432"/>
      <c r="N263" s="432"/>
      <c r="O263" s="432"/>
      <c r="P263" s="432"/>
      <c r="Q263" s="432"/>
      <c r="R263" s="432"/>
      <c r="S263" s="432"/>
      <c r="T263" s="432"/>
      <c r="U263" s="432"/>
      <c r="V263" s="432"/>
      <c r="W263" s="432"/>
      <c r="X263" s="432"/>
      <c r="Y263" s="432"/>
      <c r="Z263" s="432"/>
      <c r="AA263" s="432"/>
      <c r="AB263" s="432"/>
      <c r="AC263" s="432"/>
      <c r="AD263" s="432"/>
      <c r="AE263" s="432"/>
      <c r="AF263" s="432"/>
      <c r="AG263" s="432"/>
      <c r="AH263" s="432"/>
      <c r="AI263" s="432"/>
    </row>
    <row r="264" spans="4:35" x14ac:dyDescent="0.35">
      <c r="D264" s="136">
        <v>41</v>
      </c>
      <c r="E264" s="437"/>
      <c r="F264" s="437"/>
      <c r="G264" s="438"/>
      <c r="H264" s="138"/>
      <c r="I264" s="138">
        <v>573.6</v>
      </c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  <c r="AB264" s="138"/>
      <c r="AC264" s="138"/>
      <c r="AD264" s="138"/>
      <c r="AE264" s="138"/>
      <c r="AF264" s="138"/>
      <c r="AG264" s="138"/>
      <c r="AH264" s="138"/>
      <c r="AI264" s="138"/>
    </row>
    <row r="265" spans="4:35" x14ac:dyDescent="0.35">
      <c r="D265" s="136">
        <v>42</v>
      </c>
      <c r="E265" s="437"/>
      <c r="F265" s="437"/>
      <c r="G265" s="438"/>
      <c r="H265" s="138"/>
      <c r="I265" s="138">
        <v>577.20000000000005</v>
      </c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  <c r="AB265" s="138"/>
      <c r="AC265" s="138"/>
      <c r="AD265" s="138"/>
      <c r="AE265" s="138"/>
      <c r="AF265" s="138"/>
      <c r="AG265" s="138"/>
      <c r="AH265" s="138"/>
      <c r="AI265" s="138"/>
    </row>
    <row r="266" spans="4:35" x14ac:dyDescent="0.35">
      <c r="D266" s="136">
        <v>43</v>
      </c>
      <c r="E266" s="437"/>
      <c r="F266" s="437"/>
      <c r="G266" s="438"/>
      <c r="H266" s="138"/>
      <c r="I266" s="138">
        <v>580.79999999999995</v>
      </c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  <c r="AB266" s="138"/>
      <c r="AC266" s="138"/>
      <c r="AD266" s="138"/>
      <c r="AE266" s="138"/>
      <c r="AF266" s="138"/>
      <c r="AG266" s="138"/>
      <c r="AH266" s="138"/>
      <c r="AI266" s="138"/>
    </row>
    <row r="267" spans="4:35" x14ac:dyDescent="0.35">
      <c r="D267" s="136">
        <v>44</v>
      </c>
      <c r="E267" s="437"/>
      <c r="F267" s="437"/>
      <c r="G267" s="438"/>
      <c r="H267" s="138"/>
      <c r="I267" s="138">
        <v>584.29999999999995</v>
      </c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  <c r="AB267" s="138"/>
      <c r="AC267" s="138"/>
      <c r="AD267" s="138"/>
      <c r="AE267" s="138"/>
      <c r="AF267" s="138"/>
      <c r="AG267" s="138"/>
      <c r="AH267" s="138"/>
      <c r="AI267" s="138"/>
    </row>
    <row r="268" spans="4:35" x14ac:dyDescent="0.35">
      <c r="D268" s="136">
        <v>45</v>
      </c>
      <c r="E268" s="437"/>
      <c r="F268" s="437"/>
      <c r="G268" s="438"/>
      <c r="H268" s="138"/>
      <c r="I268" s="138">
        <v>587.79999999999995</v>
      </c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  <c r="AB268" s="138"/>
      <c r="AC268" s="138"/>
      <c r="AD268" s="138"/>
      <c r="AE268" s="138"/>
      <c r="AF268" s="138"/>
      <c r="AG268" s="138"/>
      <c r="AH268" s="138"/>
      <c r="AI268" s="138"/>
    </row>
    <row r="269" spans="4:35" x14ac:dyDescent="0.35">
      <c r="D269" s="136">
        <v>46</v>
      </c>
      <c r="E269" s="437"/>
      <c r="F269" s="437"/>
      <c r="G269" s="438"/>
      <c r="H269" s="138"/>
      <c r="I269" s="138">
        <v>591.4</v>
      </c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  <c r="AB269" s="138"/>
      <c r="AC269" s="138"/>
      <c r="AD269" s="138"/>
      <c r="AE269" s="138"/>
      <c r="AF269" s="138"/>
      <c r="AG269" s="138"/>
      <c r="AH269" s="138"/>
      <c r="AI269" s="138"/>
    </row>
    <row r="270" spans="4:35" x14ac:dyDescent="0.35">
      <c r="D270" s="136">
        <v>47</v>
      </c>
      <c r="E270" s="437"/>
      <c r="F270" s="437"/>
      <c r="G270" s="438"/>
      <c r="H270" s="138"/>
      <c r="I270" s="138">
        <v>594.79999999999995</v>
      </c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  <c r="AB270" s="138"/>
      <c r="AC270" s="138"/>
      <c r="AD270" s="138"/>
      <c r="AE270" s="138"/>
      <c r="AF270" s="138"/>
      <c r="AG270" s="138"/>
      <c r="AH270" s="138"/>
      <c r="AI270" s="138"/>
    </row>
    <row r="271" spans="4:35" x14ac:dyDescent="0.35">
      <c r="D271" s="136">
        <v>48</v>
      </c>
      <c r="E271" s="437"/>
      <c r="F271" s="437"/>
      <c r="G271" s="438"/>
      <c r="H271" s="138"/>
      <c r="I271" s="138">
        <v>598.29999999999995</v>
      </c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  <c r="AB271" s="138"/>
      <c r="AC271" s="138"/>
      <c r="AD271" s="138"/>
      <c r="AE271" s="138"/>
      <c r="AF271" s="138"/>
      <c r="AG271" s="138"/>
      <c r="AH271" s="138"/>
      <c r="AI271" s="138"/>
    </row>
    <row r="272" spans="4:35" x14ac:dyDescent="0.35">
      <c r="D272" s="136">
        <v>49</v>
      </c>
      <c r="E272" s="437"/>
      <c r="F272" s="437"/>
      <c r="G272" s="438"/>
      <c r="H272" s="138"/>
      <c r="I272" s="138">
        <v>601.9</v>
      </c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  <c r="AB272" s="138"/>
      <c r="AC272" s="138"/>
      <c r="AD272" s="138"/>
      <c r="AE272" s="138"/>
      <c r="AF272" s="138"/>
      <c r="AG272" s="138"/>
      <c r="AH272" s="138"/>
      <c r="AI272" s="138"/>
    </row>
    <row r="273" spans="4:35" x14ac:dyDescent="0.35">
      <c r="D273" s="430">
        <v>50</v>
      </c>
      <c r="E273" s="437"/>
      <c r="F273" s="437"/>
      <c r="G273" s="438"/>
      <c r="H273" s="432"/>
      <c r="I273" s="432">
        <v>605.6</v>
      </c>
      <c r="J273" s="432"/>
      <c r="K273" s="432"/>
      <c r="L273" s="432"/>
      <c r="M273" s="432"/>
      <c r="N273" s="432"/>
      <c r="O273" s="432"/>
      <c r="P273" s="432"/>
      <c r="Q273" s="432"/>
      <c r="R273" s="432"/>
      <c r="S273" s="432"/>
      <c r="T273" s="432"/>
      <c r="U273" s="432"/>
      <c r="V273" s="432"/>
      <c r="W273" s="432"/>
      <c r="X273" s="432"/>
      <c r="Y273" s="432"/>
      <c r="Z273" s="432"/>
      <c r="AA273" s="432"/>
      <c r="AB273" s="432"/>
      <c r="AC273" s="432"/>
      <c r="AD273" s="432"/>
      <c r="AE273" s="432"/>
      <c r="AF273" s="432"/>
      <c r="AG273" s="432"/>
      <c r="AH273" s="432"/>
      <c r="AI273" s="432"/>
    </row>
    <row r="274" spans="4:35" x14ac:dyDescent="0.35">
      <c r="D274" s="136">
        <v>51</v>
      </c>
      <c r="E274" s="437"/>
      <c r="F274" s="437"/>
      <c r="G274" s="438"/>
      <c r="H274" s="138"/>
      <c r="I274" s="138">
        <v>609.29999999999995</v>
      </c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  <c r="AB274" s="138"/>
      <c r="AC274" s="138"/>
      <c r="AD274" s="138"/>
      <c r="AE274" s="138"/>
      <c r="AF274" s="138"/>
      <c r="AG274" s="138"/>
      <c r="AH274" s="138"/>
      <c r="AI274" s="138"/>
    </row>
    <row r="275" spans="4:35" x14ac:dyDescent="0.35">
      <c r="D275" s="136">
        <v>52</v>
      </c>
      <c r="E275" s="437"/>
      <c r="F275" s="437"/>
      <c r="G275" s="438"/>
      <c r="H275" s="138"/>
      <c r="I275" s="138">
        <v>613</v>
      </c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  <c r="AB275" s="138"/>
      <c r="AC275" s="138"/>
      <c r="AD275" s="138"/>
      <c r="AE275" s="138"/>
      <c r="AF275" s="138"/>
      <c r="AG275" s="138"/>
      <c r="AH275" s="138"/>
      <c r="AI275" s="138"/>
    </row>
    <row r="276" spans="4:35" x14ac:dyDescent="0.35">
      <c r="D276" s="136">
        <v>53</v>
      </c>
      <c r="E276" s="437"/>
      <c r="F276" s="437"/>
      <c r="G276" s="438"/>
      <c r="H276" s="138"/>
      <c r="I276" s="138">
        <v>616.79999999999995</v>
      </c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  <c r="AB276" s="138"/>
      <c r="AC276" s="138"/>
      <c r="AD276" s="138"/>
      <c r="AE276" s="138"/>
      <c r="AF276" s="138"/>
      <c r="AG276" s="138"/>
      <c r="AH276" s="138"/>
      <c r="AI276" s="138"/>
    </row>
    <row r="277" spans="4:35" x14ac:dyDescent="0.35">
      <c r="D277" s="136">
        <v>54</v>
      </c>
      <c r="E277" s="437"/>
      <c r="F277" s="437"/>
      <c r="G277" s="438"/>
      <c r="H277" s="138"/>
      <c r="I277" s="138">
        <v>620.6</v>
      </c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  <c r="AB277" s="138"/>
      <c r="AC277" s="138"/>
      <c r="AD277" s="138"/>
      <c r="AE277" s="138"/>
      <c r="AF277" s="138"/>
      <c r="AG277" s="138"/>
      <c r="AH277" s="138"/>
      <c r="AI277" s="138"/>
    </row>
    <row r="278" spans="4:35" x14ac:dyDescent="0.35">
      <c r="D278" s="136">
        <v>55</v>
      </c>
      <c r="E278" s="437"/>
      <c r="F278" s="437"/>
      <c r="G278" s="438"/>
      <c r="H278" s="138"/>
      <c r="I278" s="138">
        <v>624.5</v>
      </c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  <c r="AB278" s="138"/>
      <c r="AC278" s="138"/>
      <c r="AD278" s="138"/>
      <c r="AE278" s="138"/>
      <c r="AF278" s="138"/>
      <c r="AG278" s="138"/>
      <c r="AH278" s="138"/>
      <c r="AI278" s="138"/>
    </row>
    <row r="279" spans="4:35" x14ac:dyDescent="0.35">
      <c r="D279" s="136">
        <v>56</v>
      </c>
      <c r="E279" s="437"/>
      <c r="F279" s="437"/>
      <c r="G279" s="438"/>
      <c r="H279" s="138"/>
      <c r="I279" s="138">
        <v>628.5</v>
      </c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  <c r="AB279" s="138"/>
      <c r="AC279" s="138"/>
      <c r="AD279" s="138"/>
      <c r="AE279" s="138"/>
      <c r="AF279" s="138"/>
      <c r="AG279" s="138"/>
      <c r="AH279" s="138"/>
      <c r="AI279" s="138"/>
    </row>
    <row r="280" spans="4:35" x14ac:dyDescent="0.35">
      <c r="D280" s="136">
        <v>57</v>
      </c>
      <c r="E280" s="437"/>
      <c r="F280" s="437"/>
      <c r="G280" s="438"/>
      <c r="H280" s="138"/>
      <c r="I280" s="138">
        <v>632.29999999999995</v>
      </c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  <c r="AB280" s="138"/>
      <c r="AC280" s="138"/>
      <c r="AD280" s="138"/>
      <c r="AE280" s="138"/>
      <c r="AF280" s="138"/>
      <c r="AG280" s="138"/>
      <c r="AH280" s="138"/>
      <c r="AI280" s="138"/>
    </row>
    <row r="281" spans="4:35" x14ac:dyDescent="0.35">
      <c r="D281" s="136">
        <v>58</v>
      </c>
      <c r="E281" s="437"/>
      <c r="F281" s="437"/>
      <c r="G281" s="438"/>
      <c r="H281" s="138"/>
      <c r="I281" s="138">
        <v>636.20000000000005</v>
      </c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  <c r="AB281" s="138"/>
      <c r="AC281" s="138"/>
      <c r="AD281" s="138"/>
      <c r="AE281" s="138"/>
      <c r="AF281" s="138"/>
      <c r="AG281" s="138"/>
      <c r="AH281" s="138"/>
      <c r="AI281" s="138"/>
    </row>
    <row r="282" spans="4:35" x14ac:dyDescent="0.35">
      <c r="D282" s="136">
        <v>59</v>
      </c>
      <c r="E282" s="437"/>
      <c r="F282" s="437"/>
      <c r="G282" s="438"/>
      <c r="H282" s="138"/>
      <c r="I282" s="138">
        <v>640.4</v>
      </c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  <c r="AB282" s="138"/>
      <c r="AC282" s="138"/>
      <c r="AD282" s="138"/>
      <c r="AE282" s="138"/>
      <c r="AF282" s="138"/>
      <c r="AG282" s="138"/>
      <c r="AH282" s="138"/>
      <c r="AI282" s="138"/>
    </row>
    <row r="283" spans="4:35" x14ac:dyDescent="0.35">
      <c r="D283" s="430">
        <v>60</v>
      </c>
      <c r="E283" s="437"/>
      <c r="F283" s="437"/>
      <c r="G283" s="438"/>
      <c r="H283" s="432"/>
      <c r="I283" s="432">
        <v>644.79999999999995</v>
      </c>
      <c r="J283" s="432"/>
      <c r="K283" s="432"/>
      <c r="L283" s="432"/>
      <c r="M283" s="432"/>
      <c r="N283" s="432"/>
      <c r="O283" s="432"/>
      <c r="P283" s="432"/>
      <c r="Q283" s="432"/>
      <c r="R283" s="432"/>
      <c r="S283" s="432"/>
      <c r="T283" s="432"/>
      <c r="U283" s="432"/>
      <c r="V283" s="432"/>
      <c r="W283" s="432"/>
      <c r="X283" s="432"/>
      <c r="Y283" s="432"/>
      <c r="Z283" s="432"/>
      <c r="AA283" s="432"/>
      <c r="AB283" s="432"/>
      <c r="AC283" s="432"/>
      <c r="AD283" s="432"/>
      <c r="AE283" s="432"/>
      <c r="AF283" s="432"/>
      <c r="AG283" s="432"/>
      <c r="AH283" s="432"/>
      <c r="AI283" s="432"/>
    </row>
    <row r="284" spans="4:35" x14ac:dyDescent="0.35">
      <c r="D284" s="136">
        <v>61</v>
      </c>
      <c r="E284" s="437"/>
      <c r="F284" s="437"/>
      <c r="G284" s="438"/>
      <c r="H284" s="138"/>
      <c r="I284" s="138">
        <v>649.1</v>
      </c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  <c r="AB284" s="138"/>
      <c r="AC284" s="138"/>
      <c r="AD284" s="138"/>
      <c r="AE284" s="138"/>
      <c r="AF284" s="138"/>
      <c r="AG284" s="138"/>
      <c r="AH284" s="138"/>
      <c r="AI284" s="138"/>
    </row>
    <row r="285" spans="4:35" x14ac:dyDescent="0.35">
      <c r="D285" s="136">
        <v>62</v>
      </c>
      <c r="E285" s="437"/>
      <c r="F285" s="437"/>
      <c r="G285" s="438"/>
      <c r="H285" s="138"/>
      <c r="I285" s="138">
        <v>653.5</v>
      </c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  <c r="AB285" s="138"/>
      <c r="AC285" s="138"/>
      <c r="AD285" s="138"/>
      <c r="AE285" s="138"/>
      <c r="AF285" s="138"/>
      <c r="AG285" s="138"/>
      <c r="AH285" s="138"/>
      <c r="AI285" s="138"/>
    </row>
    <row r="286" spans="4:35" x14ac:dyDescent="0.35">
      <c r="D286" s="136">
        <v>63</v>
      </c>
      <c r="E286" s="437"/>
      <c r="F286" s="437"/>
      <c r="G286" s="438"/>
      <c r="H286" s="138"/>
      <c r="I286" s="138">
        <v>657.7</v>
      </c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  <c r="AB286" s="138"/>
      <c r="AC286" s="138"/>
      <c r="AD286" s="138"/>
      <c r="AE286" s="138"/>
      <c r="AF286" s="138"/>
      <c r="AG286" s="138"/>
      <c r="AH286" s="138"/>
      <c r="AI286" s="138"/>
    </row>
    <row r="287" spans="4:35" x14ac:dyDescent="0.35">
      <c r="D287" s="136">
        <v>64</v>
      </c>
      <c r="E287" s="437"/>
      <c r="F287" s="437"/>
      <c r="G287" s="438"/>
      <c r="H287" s="138"/>
      <c r="I287" s="138">
        <v>663.3</v>
      </c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  <c r="AB287" s="138"/>
      <c r="AC287" s="138"/>
      <c r="AD287" s="138"/>
      <c r="AE287" s="138"/>
      <c r="AF287" s="138"/>
      <c r="AG287" s="138"/>
      <c r="AH287" s="138"/>
      <c r="AI287" s="138"/>
    </row>
    <row r="288" spans="4:35" x14ac:dyDescent="0.35">
      <c r="D288" s="136">
        <v>65</v>
      </c>
      <c r="E288" s="437"/>
      <c r="F288" s="437"/>
      <c r="G288" s="438"/>
      <c r="H288" s="138"/>
      <c r="I288" s="138">
        <v>669.1</v>
      </c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  <c r="AB288" s="138"/>
      <c r="AC288" s="138"/>
      <c r="AD288" s="138"/>
      <c r="AE288" s="138"/>
      <c r="AF288" s="138"/>
      <c r="AG288" s="138"/>
      <c r="AH288" s="138"/>
      <c r="AI288" s="138"/>
    </row>
    <row r="289" spans="4:35" x14ac:dyDescent="0.35">
      <c r="D289" s="136">
        <v>66</v>
      </c>
      <c r="E289" s="437"/>
      <c r="F289" s="437"/>
      <c r="G289" s="438"/>
      <c r="H289" s="138"/>
      <c r="I289" s="138">
        <v>674.4</v>
      </c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  <c r="AB289" s="138"/>
      <c r="AC289" s="138"/>
      <c r="AD289" s="138"/>
      <c r="AE289" s="138"/>
      <c r="AF289" s="138"/>
      <c r="AG289" s="138"/>
      <c r="AH289" s="138"/>
      <c r="AI289" s="138"/>
    </row>
    <row r="290" spans="4:35" x14ac:dyDescent="0.35">
      <c r="D290" s="136">
        <v>67</v>
      </c>
      <c r="E290" s="437"/>
      <c r="F290" s="437"/>
      <c r="G290" s="438"/>
      <c r="H290" s="138"/>
      <c r="I290" s="138">
        <v>681.2</v>
      </c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  <c r="AB290" s="138"/>
      <c r="AC290" s="138"/>
      <c r="AD290" s="138"/>
      <c r="AE290" s="138"/>
      <c r="AF290" s="138"/>
      <c r="AG290" s="138"/>
      <c r="AH290" s="138"/>
      <c r="AI290" s="138"/>
    </row>
    <row r="291" spans="4:35" x14ac:dyDescent="0.35">
      <c r="D291" s="136">
        <v>68</v>
      </c>
      <c r="E291" s="437"/>
      <c r="F291" s="437"/>
      <c r="G291" s="438"/>
      <c r="H291" s="138"/>
      <c r="I291" s="138">
        <v>687.4</v>
      </c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  <c r="AB291" s="138"/>
      <c r="AC291" s="138"/>
      <c r="AD291" s="138"/>
      <c r="AE291" s="138"/>
      <c r="AF291" s="138"/>
      <c r="AG291" s="138"/>
      <c r="AH291" s="138"/>
      <c r="AI291" s="138"/>
    </row>
    <row r="292" spans="4:35" x14ac:dyDescent="0.35">
      <c r="D292" s="136">
        <v>69</v>
      </c>
      <c r="E292" s="437"/>
      <c r="F292" s="437"/>
      <c r="G292" s="438"/>
      <c r="H292" s="138"/>
      <c r="I292" s="138">
        <v>693.5</v>
      </c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  <c r="AB292" s="138"/>
      <c r="AC292" s="138"/>
      <c r="AD292" s="138"/>
      <c r="AE292" s="138"/>
      <c r="AF292" s="138"/>
      <c r="AG292" s="138"/>
      <c r="AH292" s="138"/>
      <c r="AI292" s="138"/>
    </row>
    <row r="293" spans="4:35" x14ac:dyDescent="0.35">
      <c r="D293" s="430">
        <v>70</v>
      </c>
      <c r="E293" s="437"/>
      <c r="F293" s="437"/>
      <c r="G293" s="438"/>
      <c r="H293" s="432"/>
      <c r="I293" s="432">
        <v>700.5</v>
      </c>
      <c r="J293" s="432"/>
      <c r="K293" s="432"/>
      <c r="L293" s="432"/>
      <c r="M293" s="432"/>
      <c r="N293" s="432"/>
      <c r="O293" s="432"/>
      <c r="P293" s="432"/>
      <c r="Q293" s="432"/>
      <c r="R293" s="432"/>
      <c r="S293" s="432"/>
      <c r="T293" s="432"/>
      <c r="U293" s="432"/>
      <c r="V293" s="432"/>
      <c r="W293" s="432"/>
      <c r="X293" s="432"/>
      <c r="Y293" s="432"/>
      <c r="Z293" s="432"/>
      <c r="AA293" s="432"/>
      <c r="AB293" s="432"/>
      <c r="AC293" s="432"/>
      <c r="AD293" s="432"/>
      <c r="AE293" s="432"/>
      <c r="AF293" s="432"/>
      <c r="AG293" s="432"/>
      <c r="AH293" s="432"/>
      <c r="AI293" s="432"/>
    </row>
    <row r="294" spans="4:35" x14ac:dyDescent="0.35">
      <c r="D294" s="136">
        <v>71</v>
      </c>
      <c r="E294" s="437"/>
      <c r="F294" s="437"/>
      <c r="G294" s="438"/>
      <c r="H294" s="138"/>
      <c r="I294" s="138">
        <v>707.3</v>
      </c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  <c r="AB294" s="138"/>
      <c r="AC294" s="138"/>
      <c r="AD294" s="138"/>
      <c r="AE294" s="138"/>
      <c r="AF294" s="138"/>
      <c r="AG294" s="138"/>
      <c r="AH294" s="138"/>
      <c r="AI294" s="138"/>
    </row>
    <row r="295" spans="4:35" x14ac:dyDescent="0.35">
      <c r="D295" s="136">
        <v>72</v>
      </c>
      <c r="E295" s="437"/>
      <c r="F295" s="437"/>
      <c r="G295" s="438"/>
      <c r="H295" s="138"/>
      <c r="I295" s="138">
        <v>716</v>
      </c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  <c r="AB295" s="138"/>
      <c r="AC295" s="138"/>
      <c r="AD295" s="138"/>
      <c r="AE295" s="138"/>
      <c r="AF295" s="138"/>
      <c r="AG295" s="138"/>
      <c r="AH295" s="138"/>
      <c r="AI295" s="138"/>
    </row>
    <row r="296" spans="4:35" x14ac:dyDescent="0.35">
      <c r="D296" s="136">
        <v>73</v>
      </c>
      <c r="E296" s="437"/>
      <c r="F296" s="437"/>
      <c r="G296" s="438"/>
      <c r="H296" s="138"/>
      <c r="I296" s="138" t="s">
        <v>17</v>
      </c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  <c r="AB296" s="138"/>
      <c r="AC296" s="138"/>
      <c r="AD296" s="138"/>
      <c r="AE296" s="138"/>
      <c r="AF296" s="138"/>
      <c r="AG296" s="138"/>
      <c r="AH296" s="138"/>
      <c r="AI296" s="138"/>
    </row>
    <row r="297" spans="4:35" x14ac:dyDescent="0.35">
      <c r="D297" s="139">
        <v>74</v>
      </c>
      <c r="E297" s="439"/>
      <c r="F297" s="439"/>
      <c r="G297" s="440"/>
      <c r="H297" s="123"/>
      <c r="I297" s="123" t="s">
        <v>17</v>
      </c>
      <c r="J297" s="123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  <c r="AA297" s="123"/>
      <c r="AB297" s="123"/>
      <c r="AC297" s="123"/>
      <c r="AD297" s="123"/>
      <c r="AE297" s="123"/>
      <c r="AF297" s="123"/>
      <c r="AG297" s="123"/>
      <c r="AH297" s="123"/>
      <c r="AI297" s="123"/>
    </row>
    <row r="298" spans="4:35" x14ac:dyDescent="0.35">
      <c r="D298" s="136">
        <v>75</v>
      </c>
      <c r="E298" s="437"/>
      <c r="F298" s="437"/>
      <c r="G298" s="441"/>
      <c r="H298" s="121"/>
      <c r="I298" s="121" t="s">
        <v>17</v>
      </c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1"/>
      <c r="V298" s="121"/>
      <c r="W298" s="121"/>
      <c r="X298" s="121"/>
      <c r="Y298" s="121"/>
      <c r="Z298" s="121"/>
      <c r="AA298" s="121"/>
      <c r="AB298" s="121"/>
      <c r="AC298" s="121"/>
      <c r="AD298" s="121"/>
      <c r="AE298" s="121"/>
      <c r="AF298" s="121"/>
      <c r="AG298" s="121"/>
      <c r="AH298" s="121"/>
      <c r="AI298" s="121"/>
    </row>
    <row r="299" spans="4:35" x14ac:dyDescent="0.35">
      <c r="D299" s="136">
        <v>76</v>
      </c>
      <c r="E299" s="437"/>
      <c r="F299" s="437"/>
      <c r="G299" s="441"/>
      <c r="H299" s="121"/>
      <c r="I299" s="121" t="s">
        <v>17</v>
      </c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1"/>
      <c r="V299" s="121"/>
      <c r="W299" s="121"/>
      <c r="X299" s="121"/>
      <c r="Y299" s="121"/>
      <c r="Z299" s="121"/>
      <c r="AA299" s="121"/>
      <c r="AB299" s="121"/>
      <c r="AC299" s="121"/>
      <c r="AD299" s="121"/>
      <c r="AE299" s="121"/>
      <c r="AF299" s="121"/>
      <c r="AG299" s="121"/>
      <c r="AH299" s="121"/>
      <c r="AI299" s="121"/>
    </row>
    <row r="300" spans="4:35" x14ac:dyDescent="0.35">
      <c r="D300" s="136">
        <v>77</v>
      </c>
      <c r="E300" s="437"/>
      <c r="F300" s="437"/>
      <c r="G300" s="441"/>
      <c r="H300" s="121"/>
      <c r="I300" s="121" t="s">
        <v>17</v>
      </c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1"/>
      <c r="V300" s="121"/>
      <c r="W300" s="121"/>
      <c r="X300" s="121"/>
      <c r="Y300" s="121"/>
      <c r="Z300" s="121"/>
      <c r="AA300" s="121"/>
      <c r="AB300" s="121"/>
      <c r="AC300" s="121"/>
      <c r="AD300" s="121"/>
      <c r="AE300" s="121"/>
      <c r="AF300" s="121"/>
      <c r="AG300" s="121"/>
      <c r="AH300" s="121"/>
      <c r="AI300" s="121"/>
    </row>
    <row r="301" spans="4:35" x14ac:dyDescent="0.35">
      <c r="D301" s="136">
        <v>78</v>
      </c>
      <c r="E301" s="437"/>
      <c r="F301" s="437"/>
      <c r="G301" s="441"/>
      <c r="H301" s="121"/>
      <c r="I301" s="121" t="s">
        <v>17</v>
      </c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1"/>
      <c r="V301" s="121"/>
      <c r="W301" s="121"/>
      <c r="X301" s="121"/>
      <c r="Y301" s="121"/>
      <c r="Z301" s="121"/>
      <c r="AA301" s="121"/>
      <c r="AB301" s="121"/>
      <c r="AC301" s="121"/>
      <c r="AD301" s="121"/>
      <c r="AE301" s="121"/>
      <c r="AF301" s="121"/>
      <c r="AG301" s="121"/>
      <c r="AH301" s="121"/>
      <c r="AI301" s="121"/>
    </row>
    <row r="302" spans="4:35" x14ac:dyDescent="0.35">
      <c r="D302" s="136">
        <v>79</v>
      </c>
      <c r="E302" s="437"/>
      <c r="F302" s="437"/>
      <c r="G302" s="441"/>
      <c r="H302" s="121"/>
      <c r="I302" s="121" t="s">
        <v>17</v>
      </c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1"/>
      <c r="V302" s="121"/>
      <c r="W302" s="121"/>
      <c r="X302" s="121"/>
      <c r="Y302" s="121"/>
      <c r="Z302" s="121"/>
      <c r="AA302" s="121"/>
      <c r="AB302" s="121"/>
      <c r="AC302" s="121"/>
      <c r="AD302" s="121"/>
      <c r="AE302" s="121"/>
      <c r="AF302" s="121"/>
      <c r="AG302" s="121"/>
      <c r="AH302" s="121"/>
      <c r="AI302" s="121"/>
    </row>
    <row r="303" spans="4:35" x14ac:dyDescent="0.35">
      <c r="D303" s="430">
        <v>80</v>
      </c>
      <c r="E303" s="437"/>
      <c r="F303" s="437"/>
      <c r="G303" s="441"/>
      <c r="H303" s="434"/>
      <c r="I303" s="434" t="s">
        <v>17</v>
      </c>
      <c r="J303" s="434"/>
      <c r="K303" s="434"/>
      <c r="L303" s="434"/>
      <c r="M303" s="434"/>
      <c r="N303" s="434"/>
      <c r="O303" s="434"/>
      <c r="P303" s="434"/>
      <c r="Q303" s="434"/>
      <c r="R303" s="434"/>
      <c r="S303" s="434"/>
      <c r="T303" s="434"/>
      <c r="U303" s="434"/>
      <c r="V303" s="434"/>
      <c r="W303" s="434"/>
      <c r="X303" s="434"/>
      <c r="Y303" s="434"/>
      <c r="Z303" s="434"/>
      <c r="AA303" s="434"/>
      <c r="AB303" s="434"/>
      <c r="AC303" s="434"/>
      <c r="AD303" s="434"/>
      <c r="AE303" s="434"/>
      <c r="AF303" s="434"/>
      <c r="AG303" s="434"/>
      <c r="AH303" s="434"/>
      <c r="AI303" s="434"/>
    </row>
    <row r="304" spans="4:35" x14ac:dyDescent="0.35">
      <c r="D304" s="136">
        <v>81</v>
      </c>
      <c r="E304" s="437"/>
      <c r="F304" s="437"/>
      <c r="G304" s="441"/>
      <c r="H304" s="121"/>
      <c r="I304" s="121" t="s">
        <v>17</v>
      </c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1"/>
      <c r="V304" s="121"/>
      <c r="W304" s="121"/>
      <c r="X304" s="121"/>
      <c r="Y304" s="121"/>
      <c r="Z304" s="121"/>
      <c r="AA304" s="121"/>
      <c r="AB304" s="121"/>
      <c r="AC304" s="121"/>
      <c r="AD304" s="121"/>
      <c r="AE304" s="121"/>
      <c r="AF304" s="121"/>
      <c r="AG304" s="121"/>
      <c r="AH304" s="121"/>
      <c r="AI304" s="121"/>
    </row>
    <row r="305" spans="4:35" x14ac:dyDescent="0.35">
      <c r="D305" s="136">
        <v>82</v>
      </c>
      <c r="E305" s="437"/>
      <c r="F305" s="437"/>
      <c r="G305" s="441"/>
      <c r="H305" s="121"/>
      <c r="I305" s="121" t="s">
        <v>17</v>
      </c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1"/>
      <c r="V305" s="121"/>
      <c r="W305" s="121"/>
      <c r="X305" s="121"/>
      <c r="Y305" s="121"/>
      <c r="Z305" s="121"/>
      <c r="AA305" s="121"/>
      <c r="AB305" s="121"/>
      <c r="AC305" s="121"/>
      <c r="AD305" s="121"/>
      <c r="AE305" s="121"/>
      <c r="AF305" s="121"/>
      <c r="AG305" s="121"/>
      <c r="AH305" s="121"/>
      <c r="AI305" s="121"/>
    </row>
    <row r="306" spans="4:35" x14ac:dyDescent="0.35">
      <c r="D306" s="136">
        <v>83</v>
      </c>
      <c r="E306" s="437"/>
      <c r="F306" s="437"/>
      <c r="G306" s="441"/>
      <c r="H306" s="121"/>
      <c r="I306" s="121" t="s">
        <v>17</v>
      </c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1"/>
      <c r="V306" s="121"/>
      <c r="W306" s="121"/>
      <c r="X306" s="121"/>
      <c r="Y306" s="121"/>
      <c r="Z306" s="121"/>
      <c r="AA306" s="121"/>
      <c r="AB306" s="121"/>
      <c r="AC306" s="121"/>
      <c r="AD306" s="121"/>
      <c r="AE306" s="121"/>
      <c r="AF306" s="121"/>
      <c r="AG306" s="121"/>
      <c r="AH306" s="121"/>
      <c r="AI306" s="121"/>
    </row>
    <row r="307" spans="4:35" x14ac:dyDescent="0.35">
      <c r="D307" s="136">
        <v>84</v>
      </c>
      <c r="E307" s="437"/>
      <c r="F307" s="437"/>
      <c r="G307" s="441"/>
      <c r="H307" s="121"/>
      <c r="I307" s="121" t="s">
        <v>17</v>
      </c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1"/>
      <c r="V307" s="121"/>
      <c r="W307" s="121"/>
      <c r="X307" s="121"/>
      <c r="Y307" s="121"/>
      <c r="Z307" s="121"/>
      <c r="AA307" s="121"/>
      <c r="AB307" s="121"/>
      <c r="AC307" s="121"/>
      <c r="AD307" s="121"/>
      <c r="AE307" s="121"/>
      <c r="AF307" s="121"/>
      <c r="AG307" s="121"/>
      <c r="AH307" s="121"/>
      <c r="AI307" s="121"/>
    </row>
    <row r="308" spans="4:35" x14ac:dyDescent="0.35">
      <c r="D308" s="136">
        <v>85</v>
      </c>
      <c r="E308" s="437"/>
      <c r="F308" s="437"/>
      <c r="G308" s="441"/>
      <c r="H308" s="121"/>
      <c r="I308" s="121" t="s">
        <v>17</v>
      </c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1"/>
      <c r="V308" s="121"/>
      <c r="W308" s="121"/>
      <c r="X308" s="121"/>
      <c r="Y308" s="121"/>
      <c r="Z308" s="121"/>
      <c r="AA308" s="121"/>
      <c r="AB308" s="121"/>
      <c r="AC308" s="121"/>
      <c r="AD308" s="121"/>
      <c r="AE308" s="121"/>
      <c r="AF308" s="121"/>
      <c r="AG308" s="121"/>
      <c r="AH308" s="121"/>
      <c r="AI308" s="121"/>
    </row>
    <row r="309" spans="4:35" x14ac:dyDescent="0.35">
      <c r="D309" s="136">
        <v>86</v>
      </c>
      <c r="E309" s="437"/>
      <c r="F309" s="437"/>
      <c r="G309" s="441"/>
      <c r="H309" s="121"/>
      <c r="I309" s="121" t="s">
        <v>17</v>
      </c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1"/>
      <c r="V309" s="121"/>
      <c r="W309" s="121"/>
      <c r="X309" s="121"/>
      <c r="Y309" s="121"/>
      <c r="Z309" s="121"/>
      <c r="AA309" s="121"/>
      <c r="AB309" s="121"/>
      <c r="AC309" s="121"/>
      <c r="AD309" s="121"/>
      <c r="AE309" s="121"/>
      <c r="AF309" s="121"/>
      <c r="AG309" s="121"/>
      <c r="AH309" s="121"/>
      <c r="AI309" s="121"/>
    </row>
    <row r="310" spans="4:35" x14ac:dyDescent="0.35">
      <c r="D310" s="136">
        <v>87</v>
      </c>
      <c r="E310" s="437"/>
      <c r="F310" s="437"/>
      <c r="G310" s="441"/>
      <c r="H310" s="121"/>
      <c r="I310" s="121" t="s">
        <v>17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</row>
    <row r="311" spans="4:35" x14ac:dyDescent="0.35">
      <c r="D311" s="136">
        <v>88</v>
      </c>
      <c r="E311" s="437"/>
      <c r="F311" s="437"/>
      <c r="G311" s="441"/>
      <c r="H311" s="121"/>
      <c r="I311" s="121" t="s">
        <v>17</v>
      </c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</row>
    <row r="312" spans="4:35" x14ac:dyDescent="0.35">
      <c r="D312" s="136">
        <v>89</v>
      </c>
      <c r="E312" s="437"/>
      <c r="F312" s="437"/>
      <c r="G312" s="441"/>
      <c r="H312" s="121"/>
      <c r="I312" s="121" t="s">
        <v>17</v>
      </c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1"/>
      <c r="V312" s="121"/>
      <c r="W312" s="121"/>
      <c r="X312" s="121"/>
      <c r="Y312" s="121"/>
      <c r="Z312" s="121"/>
      <c r="AA312" s="121"/>
      <c r="AB312" s="121"/>
      <c r="AC312" s="121"/>
      <c r="AD312" s="121"/>
      <c r="AE312" s="121"/>
      <c r="AF312" s="121"/>
      <c r="AG312" s="121"/>
      <c r="AH312" s="121"/>
      <c r="AI312" s="121"/>
    </row>
    <row r="313" spans="4:35" x14ac:dyDescent="0.35">
      <c r="D313" s="430">
        <v>90</v>
      </c>
      <c r="E313" s="437"/>
      <c r="F313" s="437"/>
      <c r="G313" s="441"/>
      <c r="H313" s="434"/>
      <c r="I313" s="434" t="s">
        <v>17</v>
      </c>
      <c r="J313" s="434"/>
      <c r="K313" s="434"/>
      <c r="L313" s="434"/>
      <c r="M313" s="434"/>
      <c r="N313" s="434"/>
      <c r="O313" s="434"/>
      <c r="P313" s="434"/>
      <c r="Q313" s="434"/>
      <c r="R313" s="434"/>
      <c r="S313" s="434"/>
      <c r="T313" s="434"/>
      <c r="U313" s="434"/>
      <c r="V313" s="434"/>
      <c r="W313" s="434"/>
      <c r="X313" s="434"/>
      <c r="Y313" s="434"/>
      <c r="Z313" s="434"/>
      <c r="AA313" s="434"/>
      <c r="AB313" s="434"/>
      <c r="AC313" s="434"/>
      <c r="AD313" s="434"/>
      <c r="AE313" s="434"/>
      <c r="AF313" s="434"/>
      <c r="AG313" s="434"/>
      <c r="AH313" s="434"/>
      <c r="AI313" s="434"/>
    </row>
    <row r="314" spans="4:35" x14ac:dyDescent="0.35">
      <c r="D314" s="136">
        <v>91</v>
      </c>
      <c r="E314" s="437"/>
      <c r="F314" s="437"/>
      <c r="G314" s="442"/>
      <c r="H314" s="121"/>
      <c r="I314" s="121" t="s">
        <v>17</v>
      </c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</row>
    <row r="315" spans="4:35" x14ac:dyDescent="0.35">
      <c r="D315" s="136">
        <v>92</v>
      </c>
      <c r="E315" s="437"/>
      <c r="F315" s="437"/>
      <c r="G315" s="442"/>
      <c r="H315" s="121"/>
      <c r="I315" s="121" t="s">
        <v>17</v>
      </c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</row>
    <row r="316" spans="4:35" x14ac:dyDescent="0.35">
      <c r="D316" s="136">
        <v>93</v>
      </c>
      <c r="E316" s="437"/>
      <c r="F316" s="437"/>
      <c r="G316" s="442"/>
      <c r="H316" s="121"/>
      <c r="I316" s="121" t="s">
        <v>17</v>
      </c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</row>
    <row r="317" spans="4:35" x14ac:dyDescent="0.35">
      <c r="D317" s="136">
        <v>94</v>
      </c>
      <c r="E317" s="437"/>
      <c r="F317" s="437"/>
      <c r="G317" s="442"/>
      <c r="H317" s="121"/>
      <c r="I317" s="121" t="s">
        <v>17</v>
      </c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</row>
    <row r="318" spans="4:35" x14ac:dyDescent="0.35">
      <c r="D318" s="430">
        <v>95</v>
      </c>
      <c r="E318" s="437"/>
      <c r="F318" s="437"/>
      <c r="G318" s="442"/>
      <c r="H318" s="434"/>
      <c r="I318" s="434" t="s">
        <v>17</v>
      </c>
      <c r="J318" s="434"/>
      <c r="K318" s="434"/>
      <c r="L318" s="434"/>
      <c r="M318" s="434"/>
      <c r="N318" s="434"/>
      <c r="O318" s="434"/>
      <c r="P318" s="434"/>
      <c r="Q318" s="434"/>
      <c r="R318" s="434"/>
      <c r="S318" s="434"/>
      <c r="T318" s="434"/>
      <c r="U318" s="434"/>
      <c r="V318" s="434"/>
      <c r="W318" s="434"/>
      <c r="X318" s="434"/>
      <c r="Y318" s="434"/>
      <c r="Z318" s="434"/>
      <c r="AA318" s="434"/>
      <c r="AB318" s="434"/>
      <c r="AC318" s="434"/>
      <c r="AD318" s="434"/>
      <c r="AE318" s="434"/>
      <c r="AF318" s="434"/>
      <c r="AG318" s="434"/>
      <c r="AH318" s="434"/>
      <c r="AI318" s="434"/>
    </row>
    <row r="319" spans="4:35" x14ac:dyDescent="0.35">
      <c r="D319" s="136">
        <v>96</v>
      </c>
      <c r="E319" s="437"/>
      <c r="F319" s="437"/>
      <c r="G319" s="442"/>
      <c r="H319" s="121"/>
      <c r="I319" s="121" t="s">
        <v>17</v>
      </c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</row>
    <row r="320" spans="4:35" x14ac:dyDescent="0.35">
      <c r="D320" s="136">
        <v>97</v>
      </c>
      <c r="E320" s="437"/>
      <c r="F320" s="437"/>
      <c r="G320" s="442"/>
      <c r="H320" s="121"/>
      <c r="I320" s="121" t="s">
        <v>17</v>
      </c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</row>
    <row r="321" spans="4:35" x14ac:dyDescent="0.35">
      <c r="D321" s="136">
        <v>98</v>
      </c>
      <c r="E321" s="437"/>
      <c r="F321" s="437"/>
      <c r="G321" s="442"/>
      <c r="H321" s="121"/>
      <c r="I321" s="121" t="s">
        <v>17</v>
      </c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</row>
    <row r="322" spans="4:35" x14ac:dyDescent="0.35">
      <c r="D322" s="136">
        <v>99</v>
      </c>
      <c r="E322" s="437"/>
      <c r="F322" s="437"/>
      <c r="G322" s="442"/>
      <c r="H322" s="121"/>
      <c r="I322" s="121" t="s">
        <v>17</v>
      </c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</row>
    <row r="323" spans="4:35" x14ac:dyDescent="0.35">
      <c r="D323" s="430">
        <v>100</v>
      </c>
      <c r="E323" s="437"/>
      <c r="F323" s="437"/>
      <c r="G323" s="442"/>
      <c r="H323" s="434"/>
      <c r="I323" s="434" t="s">
        <v>17</v>
      </c>
      <c r="J323" s="434"/>
      <c r="K323" s="434"/>
      <c r="L323" s="434"/>
      <c r="M323" s="434"/>
      <c r="N323" s="434"/>
      <c r="O323" s="434"/>
      <c r="P323" s="434"/>
      <c r="Q323" s="434"/>
      <c r="R323" s="434"/>
      <c r="S323" s="434"/>
      <c r="T323" s="434"/>
      <c r="U323" s="434"/>
      <c r="V323" s="434"/>
      <c r="W323" s="434"/>
      <c r="X323" s="434"/>
      <c r="Y323" s="434"/>
      <c r="Z323" s="434"/>
      <c r="AA323" s="434"/>
      <c r="AB323" s="434"/>
      <c r="AC323" s="434"/>
      <c r="AD323" s="434"/>
      <c r="AE323" s="434"/>
      <c r="AF323" s="434"/>
      <c r="AG323" s="434"/>
      <c r="AH323" s="434"/>
      <c r="AI323" s="434"/>
    </row>
  </sheetData>
  <mergeCells count="1">
    <mergeCell ref="D1:K1"/>
  </mergeCells>
  <phoneticPr fontId="29" type="noConversion"/>
  <printOptions horizontalCentered="1"/>
  <pageMargins left="0.24" right="0.17" top="0.52" bottom="0.38" header="0.31496062992126" footer="0.16"/>
  <pageSetup paperSize="9" scale="3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1BDEF-26B1-4B7F-A12B-719BDF7A1EAB}">
  <sheetPr codeName="Sheet1">
    <tabColor theme="4" tint="0.59999389629810485"/>
  </sheetPr>
  <dimension ref="A1:FX372"/>
  <sheetViews>
    <sheetView zoomScaleNormal="100" workbookViewId="0">
      <pane xSplit="3" ySplit="7" topLeftCell="O146" activePane="bottomRight" state="frozen"/>
      <selection pane="topRight" activeCell="D1" sqref="D1"/>
      <selection pane="bottomLeft" activeCell="A8" sqref="A8"/>
      <selection pane="bottomRight" activeCell="R231" sqref="R231"/>
    </sheetView>
  </sheetViews>
  <sheetFormatPr defaultRowHeight="14.5" x14ac:dyDescent="0.35"/>
  <cols>
    <col min="1" max="2" width="1.7265625" customWidth="1"/>
    <col min="3" max="3" width="41.1796875" style="1" customWidth="1"/>
    <col min="4" max="5" width="5.7265625" style="1" customWidth="1"/>
    <col min="6" max="6" width="11.54296875" style="1029" customWidth="1"/>
    <col min="7" max="8" width="13.453125" style="232" bestFit="1" customWidth="1"/>
    <col min="9" max="9" width="13.453125" style="1236" bestFit="1" customWidth="1"/>
    <col min="10" max="10" width="9" style="643" customWidth="1"/>
    <col min="11" max="17" width="9" style="232" customWidth="1"/>
    <col min="18" max="18" width="9" style="1236" customWidth="1"/>
    <col min="19" max="19" width="9" style="643" customWidth="1"/>
    <col min="20" max="23" width="9" style="232" customWidth="1"/>
    <col min="24" max="24" width="9" style="1236" customWidth="1"/>
    <col min="25" max="25" width="9" style="643" customWidth="1"/>
    <col min="26" max="27" width="9" style="232" customWidth="1"/>
    <col min="28" max="33" width="8" style="232" hidden="1" customWidth="1"/>
    <col min="34" max="34" width="1.7265625" style="323" customWidth="1"/>
    <col min="35" max="35" width="7.7265625" style="232" customWidth="1"/>
    <col min="36" max="36" width="7.1796875" style="232" customWidth="1"/>
    <col min="37" max="37" width="8.81640625" style="232" customWidth="1"/>
    <col min="38" max="38" width="6.453125" style="1236" customWidth="1"/>
    <col min="39" max="39" width="6.453125" style="643" customWidth="1"/>
    <col min="40" max="41" width="6.453125" style="232" customWidth="1"/>
    <col min="42" max="42" width="6.7265625" style="232" customWidth="1"/>
    <col min="43" max="44" width="8.453125" style="232" customWidth="1"/>
    <col min="45" max="46" width="6.453125" style="232" customWidth="1"/>
    <col min="47" max="47" width="6.453125" style="1236" customWidth="1"/>
    <col min="48" max="48" width="6.453125" style="643" customWidth="1"/>
    <col min="49" max="52" width="6.453125" style="232" customWidth="1"/>
    <col min="53" max="53" width="6.453125" style="1236" customWidth="1"/>
    <col min="54" max="54" width="6.453125" style="643" customWidth="1"/>
    <col min="55" max="62" width="6.453125" style="232" customWidth="1"/>
    <col min="63" max="63" width="1.7265625" style="323" customWidth="1"/>
    <col min="64" max="64" width="7.1796875" style="232" customWidth="1"/>
    <col min="65" max="66" width="6.7265625" style="232" customWidth="1"/>
    <col min="67" max="67" width="6.7265625" style="1236" customWidth="1"/>
    <col min="68" max="68" width="9.1796875" style="643" customWidth="1"/>
    <col min="69" max="71" width="9.54296875" style="232" bestFit="1" customWidth="1"/>
    <col min="72" max="72" width="7.81640625" style="232" customWidth="1"/>
    <col min="73" max="73" width="10.7265625" style="232" customWidth="1"/>
    <col min="74" max="74" width="8.81640625" style="232" customWidth="1"/>
    <col min="75" max="75" width="11" style="232" customWidth="1"/>
    <col min="76" max="76" width="9.54296875" style="1236" bestFit="1" customWidth="1"/>
    <col min="77" max="77" width="8.81640625" style="643" customWidth="1"/>
    <col min="78" max="79" width="6.7265625" style="232" customWidth="1"/>
    <col min="80" max="81" width="6.453125" style="232" customWidth="1"/>
    <col min="82" max="82" width="6.453125" style="1236" customWidth="1"/>
    <col min="83" max="83" width="6.453125" style="643" customWidth="1"/>
    <col min="84" max="85" width="6.453125" style="232" customWidth="1"/>
    <col min="86" max="91" width="6.453125" style="232" hidden="1" customWidth="1"/>
    <col min="92" max="92" width="1.7265625" style="323" customWidth="1"/>
    <col min="93" max="93" width="7" style="232" customWidth="1"/>
    <col min="94" max="95" width="6.453125" style="232" customWidth="1"/>
    <col min="96" max="96" width="7.54296875" style="1236" bestFit="1" customWidth="1"/>
    <col min="97" max="97" width="6.453125" style="643" customWidth="1"/>
    <col min="98" max="104" width="6.453125" style="232" customWidth="1"/>
    <col min="105" max="105" width="6.453125" style="1236" customWidth="1"/>
    <col min="106" max="106" width="6.453125" style="643" customWidth="1"/>
    <col min="107" max="110" width="6.453125" style="232" customWidth="1"/>
    <col min="111" max="111" width="6.453125" style="1236" customWidth="1"/>
    <col min="112" max="112" width="6.453125" style="643" customWidth="1"/>
    <col min="113" max="114" width="6.453125" style="232" customWidth="1"/>
    <col min="115" max="120" width="6.453125" style="232" hidden="1" customWidth="1"/>
    <col min="121" max="121" width="1.81640625" style="323" customWidth="1"/>
    <col min="122" max="122" width="12.453125" style="238" customWidth="1"/>
    <col min="123" max="125" width="6.453125" style="232" customWidth="1"/>
    <col min="126" max="126" width="7.1796875" style="1236" customWidth="1"/>
    <col min="127" max="127" width="6.453125" style="643" customWidth="1"/>
    <col min="128" max="134" width="6.453125" style="232" customWidth="1"/>
    <col min="135" max="135" width="6.453125" style="1236" customWidth="1"/>
    <col min="136" max="136" width="6.453125" style="643" customWidth="1"/>
    <col min="137" max="138" width="6.453125" style="232" customWidth="1"/>
    <col min="139" max="140" width="6.81640625" style="232" customWidth="1"/>
    <col min="141" max="141" width="6.81640625" style="1236" customWidth="1"/>
    <col min="142" max="142" width="6.81640625" style="643" customWidth="1"/>
    <col min="143" max="144" width="6.81640625" style="232" customWidth="1"/>
    <col min="145" max="150" width="6.81640625" style="232" hidden="1" customWidth="1"/>
    <col min="151" max="151" width="4.26953125" style="323" customWidth="1"/>
    <col min="152" max="152" width="9.7265625" style="232" customWidth="1"/>
    <col min="153" max="153" width="7.81640625" style="232" bestFit="1" customWidth="1"/>
    <col min="154" max="154" width="7.453125" style="232" customWidth="1"/>
    <col min="155" max="155" width="8.81640625" style="1236" customWidth="1"/>
    <col min="156" max="156" width="9.54296875" style="643" customWidth="1"/>
    <col min="157" max="157" width="8.54296875" style="232" customWidth="1"/>
    <col min="158" max="158" width="7.453125" style="232" customWidth="1"/>
    <col min="159" max="159" width="7.81640625" style="232" bestFit="1" customWidth="1"/>
    <col min="160" max="160" width="7.453125" style="232" customWidth="1"/>
    <col min="161" max="161" width="9" style="232" customWidth="1"/>
    <col min="162" max="163" width="6.453125" style="232" customWidth="1"/>
    <col min="164" max="164" width="8.7265625" style="1236" customWidth="1"/>
    <col min="165" max="165" width="8" style="643" customWidth="1"/>
    <col min="166" max="168" width="8.7265625" style="232"/>
    <col min="169" max="169" width="9.1796875" style="232"/>
    <col min="170" max="170" width="9.1796875" style="1236"/>
    <col min="171" max="171" width="9.1796875" style="643"/>
    <col min="172" max="173" width="9.1796875" style="232"/>
    <col min="174" max="179" width="0" style="232" hidden="1" customWidth="1"/>
  </cols>
  <sheetData>
    <row r="1" spans="1:180" x14ac:dyDescent="0.35">
      <c r="O1" s="1236"/>
      <c r="P1" s="643"/>
      <c r="AI1" s="1029"/>
      <c r="BL1" s="1029"/>
      <c r="CO1" s="1029"/>
      <c r="DR1" s="1388"/>
      <c r="DS1" s="1029"/>
      <c r="EV1" s="1390"/>
      <c r="EW1" s="1391"/>
      <c r="EX1" s="1391"/>
      <c r="EY1" s="1392"/>
      <c r="EZ1" s="1393"/>
      <c r="FA1" s="1391"/>
      <c r="FB1" s="1391"/>
      <c r="FC1" s="1391"/>
      <c r="FD1" s="1391"/>
      <c r="FE1" s="1391"/>
      <c r="FF1" s="1391"/>
      <c r="FG1" s="1391"/>
      <c r="FH1" s="1392"/>
      <c r="FI1" s="1393"/>
      <c r="FJ1" s="1391"/>
      <c r="FK1" s="1391"/>
      <c r="FL1" s="1391"/>
      <c r="FM1" s="1391"/>
      <c r="FN1" s="1392"/>
      <c r="FO1" s="1393"/>
      <c r="FP1" s="1391"/>
      <c r="FQ1" s="1391"/>
      <c r="FR1" s="1391"/>
      <c r="FS1" s="1391"/>
      <c r="FT1" s="1391"/>
      <c r="FU1" s="1391"/>
      <c r="FV1" s="1391"/>
      <c r="FW1" s="1391"/>
    </row>
    <row r="2" spans="1:180" x14ac:dyDescent="0.35">
      <c r="F2" s="2722" t="s">
        <v>206</v>
      </c>
      <c r="G2" s="2723"/>
      <c r="H2" s="317"/>
      <c r="I2" s="1228"/>
      <c r="J2" s="2724"/>
      <c r="K2" s="2724"/>
      <c r="L2" s="2499"/>
      <c r="M2" s="2500"/>
      <c r="N2" s="2500"/>
      <c r="O2" s="2501"/>
      <c r="P2" s="2502"/>
      <c r="Q2" s="2502"/>
      <c r="R2" s="2503"/>
      <c r="S2" s="1406"/>
      <c r="T2" s="317"/>
      <c r="U2" s="317"/>
      <c r="Y2" s="1422"/>
      <c r="AI2" s="2722"/>
      <c r="AJ2" s="2723"/>
      <c r="AK2" s="317"/>
      <c r="AL2" s="1228"/>
      <c r="AM2" s="2724" t="s">
        <v>390</v>
      </c>
      <c r="AN2" s="2724"/>
      <c r="AO2" s="2728"/>
      <c r="AP2" s="2729"/>
      <c r="AQ2" s="2729"/>
      <c r="AR2" s="2730"/>
      <c r="AS2" s="2731"/>
      <c r="AT2" s="2732"/>
      <c r="AU2" s="2732"/>
      <c r="AV2" s="1406"/>
      <c r="AW2" s="317"/>
      <c r="AX2" s="317"/>
      <c r="BB2" s="1422"/>
      <c r="BL2" s="2722" t="s">
        <v>352</v>
      </c>
      <c r="BM2" s="2723"/>
      <c r="BN2" s="317"/>
      <c r="BO2" s="1228"/>
      <c r="BP2" s="2724" t="s">
        <v>15</v>
      </c>
      <c r="BQ2" s="2724"/>
      <c r="BR2" s="2728"/>
      <c r="BS2" s="2729"/>
      <c r="BT2" s="2729"/>
      <c r="BU2" s="2730"/>
      <c r="BV2" s="2731"/>
      <c r="BW2" s="2732"/>
      <c r="BX2" s="2732"/>
      <c r="BY2" s="1406"/>
      <c r="BZ2" s="317"/>
      <c r="CA2" s="317"/>
      <c r="CE2" s="1422"/>
      <c r="CO2" s="2734" t="s">
        <v>0</v>
      </c>
      <c r="CP2" s="2735"/>
      <c r="CQ2" s="1516"/>
      <c r="CR2" s="1517"/>
      <c r="CS2" s="2736" t="s">
        <v>0</v>
      </c>
      <c r="CT2" s="2736"/>
      <c r="CU2" s="2739"/>
      <c r="CV2" s="2740"/>
      <c r="CW2" s="2740"/>
      <c r="CX2" s="2741"/>
      <c r="CY2" s="2739"/>
      <c r="CZ2" s="2740"/>
      <c r="DA2" s="2740"/>
      <c r="DB2" s="1518"/>
      <c r="DC2" s="1516"/>
      <c r="DD2" s="1516"/>
      <c r="DE2" s="1516"/>
      <c r="DF2" s="1516"/>
      <c r="DG2" s="1517"/>
      <c r="DH2" s="1518"/>
      <c r="DI2" s="1516"/>
      <c r="DR2" s="1515"/>
      <c r="DS2" s="2745" t="s">
        <v>1</v>
      </c>
      <c r="DT2" s="2746"/>
      <c r="DU2" s="322"/>
      <c r="DV2" s="1380"/>
      <c r="DW2" s="2747" t="s">
        <v>1</v>
      </c>
      <c r="DX2" s="2747"/>
      <c r="DY2" s="2748"/>
      <c r="DZ2" s="2749"/>
      <c r="EA2" s="2749"/>
      <c r="EB2" s="2750"/>
      <c r="EC2" s="2748"/>
      <c r="ED2" s="2749"/>
      <c r="EE2" s="2749"/>
      <c r="EF2" s="1389"/>
      <c r="EG2" s="322"/>
      <c r="EH2" s="322"/>
      <c r="EI2" s="322"/>
      <c r="EJ2" s="322"/>
      <c r="EK2" s="1380"/>
      <c r="EL2" s="1389"/>
      <c r="EM2" s="322"/>
      <c r="EN2" s="322"/>
      <c r="EO2" s="322"/>
      <c r="EP2" s="322"/>
      <c r="EQ2" s="322"/>
      <c r="ER2" s="322"/>
      <c r="ES2" s="322"/>
      <c r="ET2" s="322"/>
      <c r="EV2" s="2737" t="s">
        <v>2</v>
      </c>
      <c r="EW2" s="2738"/>
      <c r="EX2" s="1391"/>
      <c r="EY2" s="1392"/>
      <c r="EZ2" s="2733" t="s">
        <v>2</v>
      </c>
      <c r="FA2" s="2733"/>
      <c r="FB2" s="2742"/>
      <c r="FC2" s="2743"/>
      <c r="FD2" s="2743"/>
      <c r="FE2" s="2744"/>
      <c r="FF2" s="2742"/>
      <c r="FG2" s="2743"/>
      <c r="FH2" s="2743"/>
      <c r="FI2" s="1393"/>
      <c r="FJ2" s="1391"/>
      <c r="FK2" s="1391"/>
      <c r="FL2" s="1391"/>
      <c r="FM2" s="1391"/>
      <c r="FN2" s="1392"/>
      <c r="FO2" s="1393"/>
      <c r="FP2" s="1391"/>
      <c r="FQ2" s="1391"/>
      <c r="FR2" s="1391"/>
      <c r="FS2" s="1391"/>
      <c r="FT2" s="1391"/>
      <c r="FU2" s="1391"/>
      <c r="FV2" s="1391"/>
      <c r="FW2" s="1391"/>
    </row>
    <row r="3" spans="1:180" ht="15" thickBot="1" x14ac:dyDescent="0.4">
      <c r="F3" s="1288" t="s">
        <v>396</v>
      </c>
      <c r="G3" s="1289"/>
      <c r="H3" s="1290"/>
      <c r="I3" s="1291"/>
      <c r="J3" s="1292"/>
      <c r="K3" s="1290"/>
      <c r="L3" s="1290"/>
      <c r="M3" s="1290"/>
      <c r="N3" s="1290"/>
      <c r="O3" s="1291"/>
      <c r="P3" s="2504"/>
      <c r="Q3" s="2505"/>
      <c r="R3" s="1291"/>
      <c r="S3" s="1407"/>
      <c r="T3" s="1290"/>
      <c r="U3" s="1290"/>
      <c r="V3" s="225"/>
      <c r="W3" s="225"/>
      <c r="X3" s="1269"/>
      <c r="Y3" s="1423"/>
      <c r="Z3" s="225"/>
      <c r="AA3" s="225"/>
      <c r="AB3" s="225"/>
      <c r="AC3" s="225"/>
      <c r="AD3" s="225"/>
      <c r="AE3" s="225"/>
      <c r="AF3" s="225"/>
      <c r="AG3" s="225"/>
      <c r="AH3" s="344"/>
      <c r="AI3" s="1288"/>
      <c r="AJ3" s="1289"/>
      <c r="AK3" s="1290"/>
      <c r="AL3" s="1291"/>
      <c r="AM3" s="1292"/>
      <c r="AN3" s="1290"/>
      <c r="AO3" s="1290"/>
      <c r="AP3" s="1290"/>
      <c r="AQ3" s="1290"/>
      <c r="AR3" s="1290"/>
      <c r="AS3" s="2506"/>
      <c r="AT3" s="2505"/>
      <c r="AU3" s="1291"/>
      <c r="AV3" s="1407"/>
      <c r="AW3" s="1290"/>
      <c r="AX3" s="1290"/>
      <c r="AY3" s="225"/>
      <c r="AZ3" s="225"/>
      <c r="BA3" s="1269"/>
      <c r="BB3" s="1423"/>
      <c r="BC3" s="225"/>
      <c r="BD3" s="225"/>
      <c r="BE3" s="225"/>
      <c r="BF3" s="225"/>
      <c r="BG3" s="225"/>
      <c r="BH3" s="225"/>
      <c r="BI3" s="225"/>
      <c r="BJ3" s="225"/>
      <c r="BK3" s="344"/>
      <c r="BL3" s="1288" t="s">
        <v>396</v>
      </c>
      <c r="BM3" s="1289"/>
      <c r="BN3" s="1290"/>
      <c r="BO3" s="1291"/>
      <c r="BP3" s="1292"/>
      <c r="BQ3" s="1290"/>
      <c r="BR3" s="1290"/>
      <c r="BS3" s="1290"/>
      <c r="BT3" s="1290"/>
      <c r="BU3" s="1290"/>
      <c r="BV3" s="2506"/>
      <c r="BW3" s="2505"/>
      <c r="BX3" s="1291"/>
      <c r="BY3" s="1407"/>
      <c r="BZ3" s="1290"/>
      <c r="CA3" s="1290"/>
      <c r="CB3" s="225"/>
      <c r="CC3" s="225"/>
      <c r="CD3" s="1269"/>
      <c r="CE3" s="1423"/>
      <c r="CF3" s="225"/>
      <c r="CG3" s="225"/>
      <c r="CH3" s="225"/>
      <c r="CI3" s="225"/>
      <c r="CJ3" s="225"/>
      <c r="CK3" s="225"/>
      <c r="CL3" s="225"/>
      <c r="CM3" s="225"/>
      <c r="CN3" s="344"/>
      <c r="CO3" s="1519" t="s">
        <v>399</v>
      </c>
      <c r="CP3" s="1520"/>
      <c r="CQ3" s="1521"/>
      <c r="CR3" s="1522"/>
      <c r="CS3" s="1523"/>
      <c r="CT3" s="1521"/>
      <c r="CU3" s="1524"/>
      <c r="CV3" s="1524"/>
      <c r="CW3" s="1524"/>
      <c r="CX3" s="1524"/>
      <c r="CY3" s="1525"/>
      <c r="CZ3" s="1526"/>
      <c r="DA3" s="1527"/>
      <c r="DB3" s="1528"/>
      <c r="DC3" s="1521"/>
      <c r="DD3" s="1521"/>
      <c r="DE3" s="1521"/>
      <c r="DF3" s="1521"/>
      <c r="DG3" s="1522"/>
      <c r="DH3" s="1528"/>
      <c r="DI3" s="1521"/>
      <c r="DJ3" s="225"/>
      <c r="DK3" s="225"/>
      <c r="DL3" s="225"/>
      <c r="DM3" s="225"/>
      <c r="DN3" s="225"/>
      <c r="DO3" s="225"/>
      <c r="DP3" s="225"/>
      <c r="DQ3" s="344"/>
      <c r="DR3" s="1381"/>
      <c r="DS3" s="1381" t="s">
        <v>397</v>
      </c>
      <c r="DT3" s="1382"/>
      <c r="DU3" s="1293"/>
      <c r="DV3" s="1383"/>
      <c r="DW3" s="1384"/>
      <c r="DX3" s="1293"/>
      <c r="DY3" s="1293"/>
      <c r="DZ3" s="1293"/>
      <c r="EA3" s="1293"/>
      <c r="EB3" s="1293"/>
      <c r="EC3" s="2507"/>
      <c r="ED3" s="1293"/>
      <c r="EE3" s="1383"/>
      <c r="EF3" s="1530"/>
      <c r="EG3" s="1293"/>
      <c r="EH3" s="1293"/>
      <c r="EI3" s="1293"/>
      <c r="EJ3" s="1293"/>
      <c r="EK3" s="1383"/>
      <c r="EL3" s="1530"/>
      <c r="EM3" s="1293"/>
      <c r="EN3" s="1293"/>
      <c r="EO3" s="1293"/>
      <c r="EP3" s="1293"/>
      <c r="EQ3" s="1293"/>
      <c r="ER3" s="1293"/>
      <c r="ES3" s="1293"/>
      <c r="ET3" s="1293"/>
      <c r="EU3" s="344"/>
      <c r="EV3" s="1394" t="s">
        <v>398</v>
      </c>
      <c r="EW3" s="1395"/>
      <c r="EX3" s="1396"/>
      <c r="EY3" s="1397"/>
      <c r="EZ3" s="1398"/>
      <c r="FA3" s="1396"/>
      <c r="FB3" s="1399"/>
      <c r="FC3" s="1399"/>
      <c r="FD3" s="1399"/>
      <c r="FE3" s="1399"/>
      <c r="FF3" s="1400"/>
      <c r="FG3" s="1400"/>
      <c r="FH3" s="1568"/>
      <c r="FI3" s="1564"/>
      <c r="FJ3" s="1396"/>
      <c r="FK3" s="1396"/>
      <c r="FL3" s="1396"/>
      <c r="FM3" s="1396"/>
      <c r="FN3" s="1397"/>
      <c r="FO3" s="1564"/>
      <c r="FP3" s="1396"/>
      <c r="FQ3" s="1396"/>
      <c r="FR3" s="1396"/>
      <c r="FS3" s="1396"/>
      <c r="FT3" s="1396"/>
      <c r="FU3" s="1396"/>
      <c r="FV3" s="1396"/>
      <c r="FW3" s="1396"/>
    </row>
    <row r="4" spans="1:180" ht="15" thickTop="1" x14ac:dyDescent="0.35">
      <c r="C4" s="163" t="s">
        <v>293</v>
      </c>
      <c r="D4" s="163"/>
      <c r="E4" s="163"/>
      <c r="F4" s="2555">
        <v>46076</v>
      </c>
      <c r="G4" s="2556">
        <v>46077</v>
      </c>
      <c r="H4" s="2557" t="s">
        <v>1106</v>
      </c>
      <c r="I4" s="2558" t="s">
        <v>1107</v>
      </c>
      <c r="J4" s="2559" t="s">
        <v>1108</v>
      </c>
      <c r="K4" s="2556" t="s">
        <v>1109</v>
      </c>
      <c r="L4" s="2557" t="s">
        <v>1110</v>
      </c>
      <c r="M4" s="2557" t="s">
        <v>1111</v>
      </c>
      <c r="N4" s="2557" t="s">
        <v>1112</v>
      </c>
      <c r="O4" s="2558" t="s">
        <v>1113</v>
      </c>
      <c r="P4" s="2559" t="s">
        <v>1114</v>
      </c>
      <c r="Q4" s="2556"/>
      <c r="R4" s="2558"/>
      <c r="S4" s="2559"/>
      <c r="T4" s="2557"/>
      <c r="U4" s="2557"/>
      <c r="V4" s="2557"/>
      <c r="W4" s="2556"/>
      <c r="X4" s="2558"/>
      <c r="Y4" s="2559"/>
      <c r="Z4" s="2557"/>
      <c r="AA4" s="2560"/>
      <c r="AB4" s="1308"/>
      <c r="AC4" s="1308"/>
      <c r="AD4" s="1308"/>
      <c r="AE4" s="1308"/>
      <c r="AF4" s="1308"/>
      <c r="AG4" s="1308"/>
      <c r="AH4" s="1309"/>
      <c r="AI4" s="1308"/>
      <c r="AJ4" s="1308"/>
      <c r="AK4" s="1308"/>
      <c r="AL4" s="1442"/>
      <c r="AM4" s="1424"/>
      <c r="AN4" s="1308"/>
      <c r="AO4" s="1308"/>
      <c r="AP4" s="1308"/>
      <c r="AQ4" s="1308"/>
      <c r="AR4" s="1308"/>
      <c r="AS4" s="1308"/>
      <c r="AT4" s="1308"/>
      <c r="AU4" s="1442"/>
      <c r="AV4" s="1424"/>
      <c r="AW4" s="1308"/>
      <c r="AX4" s="1308"/>
      <c r="AY4" s="1308"/>
      <c r="AZ4" s="1308"/>
      <c r="BA4" s="1442"/>
      <c r="BB4" s="1424"/>
      <c r="BC4" s="1308"/>
      <c r="BD4" s="1308"/>
      <c r="BE4" s="1308"/>
      <c r="BF4" s="1308"/>
      <c r="BG4" s="1308"/>
      <c r="BH4" s="1308"/>
      <c r="BI4" s="1308"/>
      <c r="BJ4" s="1308"/>
      <c r="BK4" s="1309"/>
      <c r="BL4" s="1305"/>
      <c r="BM4" s="1305"/>
      <c r="BN4" s="1305"/>
      <c r="BO4" s="1306"/>
      <c r="BP4" s="1307"/>
      <c r="BQ4" s="1305"/>
      <c r="BR4" s="1305"/>
      <c r="BS4" s="1305"/>
      <c r="BT4" s="1305"/>
      <c r="BU4" s="1305"/>
      <c r="BV4" s="1305"/>
      <c r="BW4" s="1305"/>
      <c r="BX4" s="1306"/>
      <c r="BY4" s="1307"/>
      <c r="BZ4" s="1305"/>
      <c r="CA4" s="1305"/>
      <c r="CB4" s="1305"/>
      <c r="CC4" s="1305"/>
      <c r="CD4" s="1306"/>
      <c r="CE4" s="1307"/>
      <c r="CF4" s="1305"/>
      <c r="CG4" s="1305"/>
      <c r="CH4" s="1305"/>
      <c r="CI4" s="1305"/>
      <c r="CJ4" s="1305"/>
      <c r="CK4" s="1305"/>
      <c r="CL4" s="1305"/>
      <c r="CM4" s="1305"/>
      <c r="CN4" s="1309"/>
      <c r="CO4" s="1305"/>
      <c r="CP4" s="1305"/>
      <c r="CQ4" s="1305"/>
      <c r="CR4" s="1306"/>
      <c r="CS4" s="1307"/>
      <c r="CT4" s="1305"/>
      <c r="CU4" s="1305"/>
      <c r="CV4" s="1305"/>
      <c r="CW4" s="1305"/>
      <c r="CX4" s="1305"/>
      <c r="CY4" s="1305"/>
      <c r="CZ4" s="1305"/>
      <c r="DA4" s="1306"/>
      <c r="DB4" s="1307"/>
      <c r="DC4" s="1305"/>
      <c r="DD4" s="1305"/>
      <c r="DE4" s="1308"/>
      <c r="DF4" s="1308"/>
      <c r="DG4" s="1442"/>
      <c r="DH4" s="1424"/>
      <c r="DI4" s="1308"/>
      <c r="DJ4" s="1308"/>
      <c r="DK4" s="1308"/>
      <c r="DL4" s="1308"/>
      <c r="DM4" s="1308"/>
      <c r="DN4" s="1308"/>
      <c r="DO4" s="1308"/>
      <c r="DP4" s="1308"/>
      <c r="DQ4" s="1309"/>
      <c r="DR4" s="1310"/>
      <c r="DS4" s="1305"/>
      <c r="DT4" s="1305"/>
      <c r="DU4" s="1305"/>
      <c r="DV4" s="1306"/>
      <c r="DW4" s="1307"/>
      <c r="DX4" s="1305"/>
      <c r="DY4" s="1305"/>
      <c r="DZ4" s="1305"/>
      <c r="EA4" s="1305"/>
      <c r="EB4" s="1305"/>
      <c r="EC4" s="1305"/>
      <c r="ED4" s="1305"/>
      <c r="EE4" s="1306"/>
      <c r="EF4" s="1307"/>
      <c r="EG4" s="1305"/>
      <c r="EH4" s="1305"/>
      <c r="EI4" s="1305"/>
      <c r="EJ4" s="1305"/>
      <c r="EK4" s="1306"/>
      <c r="EL4" s="1307"/>
      <c r="EM4" s="1305"/>
      <c r="EN4" s="1305"/>
      <c r="EO4" s="1305"/>
      <c r="EP4" s="1305"/>
      <c r="EQ4" s="1305"/>
      <c r="ER4" s="1305"/>
      <c r="ES4" s="1305"/>
      <c r="ET4" s="1305"/>
      <c r="EU4" s="1309"/>
      <c r="EV4" s="1305"/>
      <c r="EW4" s="1305"/>
      <c r="EX4" s="1305"/>
      <c r="EY4" s="1306"/>
      <c r="EZ4" s="1307"/>
      <c r="FA4" s="1305"/>
      <c r="FB4" s="1305"/>
      <c r="FC4" s="1305"/>
      <c r="FD4" s="1305"/>
      <c r="FE4" s="1305"/>
      <c r="FF4" s="1305"/>
      <c r="FG4" s="1305"/>
      <c r="FH4" s="1306"/>
      <c r="FI4" s="1424"/>
      <c r="FJ4" s="1308"/>
      <c r="FK4" s="1308"/>
      <c r="FL4" s="1308"/>
      <c r="FM4" s="1308"/>
      <c r="FN4" s="1442"/>
      <c r="FO4" s="1424"/>
      <c r="FP4" s="1308"/>
      <c r="FQ4" s="1308"/>
      <c r="FR4" s="1308"/>
      <c r="FS4" s="1308"/>
      <c r="FT4" s="1308"/>
      <c r="FU4" s="1308"/>
      <c r="FV4" s="1308"/>
      <c r="FW4" s="1308"/>
    </row>
    <row r="5" spans="1:180" ht="15" thickBot="1" x14ac:dyDescent="0.4">
      <c r="C5" s="163" t="s">
        <v>1026</v>
      </c>
      <c r="D5" s="163"/>
      <c r="E5" s="163"/>
      <c r="F5" s="2561">
        <f>F4+1</f>
        <v>46077</v>
      </c>
      <c r="G5" s="2562">
        <f>G4+1</f>
        <v>46078</v>
      </c>
      <c r="H5" s="2562" t="e">
        <f t="shared" ref="H5:AA5" si="0">H4+1</f>
        <v>#VALUE!</v>
      </c>
      <c r="I5" s="2563" t="e">
        <f t="shared" si="0"/>
        <v>#VALUE!</v>
      </c>
      <c r="J5" s="2564" t="e">
        <f t="shared" si="0"/>
        <v>#VALUE!</v>
      </c>
      <c r="K5" s="2562" t="e">
        <f t="shared" si="0"/>
        <v>#VALUE!</v>
      </c>
      <c r="L5" s="2562" t="e">
        <f t="shared" si="0"/>
        <v>#VALUE!</v>
      </c>
      <c r="M5" s="2562" t="e">
        <f t="shared" si="0"/>
        <v>#VALUE!</v>
      </c>
      <c r="N5" s="2562" t="e">
        <f t="shared" si="0"/>
        <v>#VALUE!</v>
      </c>
      <c r="O5" s="2563" t="e">
        <f t="shared" si="0"/>
        <v>#VALUE!</v>
      </c>
      <c r="P5" s="2564" t="e">
        <f t="shared" si="0"/>
        <v>#VALUE!</v>
      </c>
      <c r="Q5" s="2562">
        <f t="shared" si="0"/>
        <v>1</v>
      </c>
      <c r="R5" s="2563">
        <f t="shared" si="0"/>
        <v>1</v>
      </c>
      <c r="S5" s="2564">
        <f t="shared" si="0"/>
        <v>1</v>
      </c>
      <c r="T5" s="2562">
        <f t="shared" si="0"/>
        <v>1</v>
      </c>
      <c r="U5" s="2562">
        <f t="shared" si="0"/>
        <v>1</v>
      </c>
      <c r="V5" s="2562">
        <f t="shared" si="0"/>
        <v>1</v>
      </c>
      <c r="W5" s="2562">
        <f t="shared" si="0"/>
        <v>1</v>
      </c>
      <c r="X5" s="2563">
        <f t="shared" si="0"/>
        <v>1</v>
      </c>
      <c r="Y5" s="2564">
        <f t="shared" si="0"/>
        <v>1</v>
      </c>
      <c r="Z5" s="2562">
        <f t="shared" si="0"/>
        <v>1</v>
      </c>
      <c r="AA5" s="2565">
        <f t="shared" si="0"/>
        <v>1</v>
      </c>
      <c r="AB5" s="1314"/>
      <c r="AC5" s="1312"/>
      <c r="AD5" s="1312"/>
      <c r="AE5" s="1312"/>
      <c r="AF5" s="1312"/>
      <c r="AG5" s="1312"/>
      <c r="AH5" s="1315"/>
      <c r="AI5" s="1312"/>
      <c r="AJ5" s="1312"/>
      <c r="AK5" s="1312"/>
      <c r="AL5" s="1313"/>
      <c r="AM5" s="1314"/>
      <c r="AN5" s="1312"/>
      <c r="AO5" s="1312"/>
      <c r="AP5" s="1312"/>
      <c r="AQ5" s="1312"/>
      <c r="AR5" s="1312"/>
      <c r="AS5" s="1312"/>
      <c r="AT5" s="1312"/>
      <c r="AU5" s="1313"/>
      <c r="AV5" s="1314"/>
      <c r="AW5" s="1312"/>
      <c r="AX5" s="1312"/>
      <c r="AY5" s="1312"/>
      <c r="AZ5" s="1312"/>
      <c r="BA5" s="1313"/>
      <c r="BB5" s="1314"/>
      <c r="BC5" s="1312"/>
      <c r="BD5" s="1312"/>
      <c r="BE5" s="1312"/>
      <c r="BF5" s="1312"/>
      <c r="BG5" s="1312"/>
      <c r="BH5" s="1312"/>
      <c r="BI5" s="1312"/>
      <c r="BJ5" s="1312"/>
      <c r="BK5" s="1315"/>
      <c r="BL5" s="1312"/>
      <c r="BM5" s="1312"/>
      <c r="BN5" s="1312"/>
      <c r="BO5" s="1313"/>
      <c r="BP5" s="1314"/>
      <c r="BQ5" s="1312"/>
      <c r="BR5" s="1312"/>
      <c r="BS5" s="1317"/>
      <c r="BT5" s="1317"/>
      <c r="BU5" s="1312"/>
      <c r="BV5" s="1312"/>
      <c r="BW5" s="1312"/>
      <c r="BX5" s="1313"/>
      <c r="BY5" s="1314"/>
      <c r="BZ5" s="1312"/>
      <c r="CA5" s="1312"/>
      <c r="CB5" s="1312"/>
      <c r="CC5" s="1312"/>
      <c r="CD5" s="1313"/>
      <c r="CE5" s="1314"/>
      <c r="CF5" s="1312"/>
      <c r="CG5" s="1312"/>
      <c r="CH5" s="1312"/>
      <c r="CI5" s="1312"/>
      <c r="CJ5" s="1312"/>
      <c r="CK5" s="1312"/>
      <c r="CL5" s="1312"/>
      <c r="CM5" s="1312"/>
      <c r="CN5" s="1316"/>
      <c r="CO5" s="1312"/>
      <c r="CP5" s="1312"/>
      <c r="CQ5" s="1312"/>
      <c r="CR5" s="1313"/>
      <c r="CS5" s="1314"/>
      <c r="CT5" s="1312"/>
      <c r="CU5" s="1312"/>
      <c r="CV5" s="1312"/>
      <c r="CW5" s="1312"/>
      <c r="CX5" s="1312"/>
      <c r="CY5" s="1312"/>
      <c r="CZ5" s="1312"/>
      <c r="DA5" s="1313"/>
      <c r="DB5" s="1314"/>
      <c r="DC5" s="1312"/>
      <c r="DD5" s="1312"/>
      <c r="DE5" s="1317"/>
      <c r="DF5" s="1317"/>
      <c r="DG5" s="1509"/>
      <c r="DH5" s="1503"/>
      <c r="DI5" s="1317"/>
      <c r="DJ5" s="1317"/>
      <c r="DK5" s="1317"/>
      <c r="DL5" s="1317"/>
      <c r="DM5" s="1317"/>
      <c r="DN5" s="1317"/>
      <c r="DO5" s="1317"/>
      <c r="DP5" s="1317"/>
      <c r="DQ5" s="1316"/>
      <c r="DR5" s="1318"/>
      <c r="DS5" s="1312"/>
      <c r="DT5" s="1312"/>
      <c r="DU5" s="1312"/>
      <c r="DV5" s="1313"/>
      <c r="DW5" s="1314"/>
      <c r="DX5" s="1312"/>
      <c r="DY5" s="1312"/>
      <c r="DZ5" s="1312"/>
      <c r="EA5" s="1312"/>
      <c r="EB5" s="1312"/>
      <c r="EC5" s="1312"/>
      <c r="ED5" s="1312"/>
      <c r="EE5" s="1313"/>
      <c r="EF5" s="1314"/>
      <c r="EG5" s="1312"/>
      <c r="EH5" s="1312"/>
      <c r="EI5" s="1312"/>
      <c r="EJ5" s="1312"/>
      <c r="EK5" s="1313"/>
      <c r="EL5" s="1314"/>
      <c r="EM5" s="1312"/>
      <c r="EN5" s="1312"/>
      <c r="EO5" s="1312"/>
      <c r="EP5" s="1312"/>
      <c r="EQ5" s="1312"/>
      <c r="ER5" s="1312"/>
      <c r="ES5" s="1312"/>
      <c r="ET5" s="1312"/>
      <c r="EU5" s="1316"/>
      <c r="EV5" s="1312"/>
      <c r="EW5" s="1312"/>
      <c r="EX5" s="1312"/>
      <c r="EY5" s="1313"/>
      <c r="EZ5" s="1314"/>
      <c r="FA5" s="1312"/>
      <c r="FB5" s="1312"/>
      <c r="FC5" s="1312"/>
      <c r="FD5" s="1312"/>
      <c r="FE5" s="1312"/>
      <c r="FF5" s="1312"/>
      <c r="FG5" s="1312"/>
      <c r="FH5" s="1313"/>
      <c r="FI5" s="1503"/>
      <c r="FJ5" s="1317"/>
      <c r="FK5" s="1317"/>
      <c r="FL5" s="1317"/>
      <c r="FM5" s="1317"/>
      <c r="FN5" s="1509"/>
      <c r="FO5" s="1503"/>
      <c r="FP5" s="1317"/>
      <c r="FQ5" s="1317"/>
      <c r="FR5" s="1317"/>
      <c r="FS5" s="1317"/>
      <c r="FT5" s="1317"/>
      <c r="FU5" s="1317"/>
      <c r="FV5" s="1317"/>
      <c r="FW5" s="1317"/>
    </row>
    <row r="6" spans="1:180" s="299" customFormat="1" ht="15.5" thickTop="1" thickBot="1" x14ac:dyDescent="0.4">
      <c r="A6" s="664"/>
      <c r="B6" s="477"/>
      <c r="C6" s="1067" t="s">
        <v>292</v>
      </c>
      <c r="D6" s="1067"/>
      <c r="E6" s="1067"/>
      <c r="F6" s="1294">
        <v>1</v>
      </c>
      <c r="G6" s="1295">
        <v>2</v>
      </c>
      <c r="H6" s="1295">
        <v>3</v>
      </c>
      <c r="I6" s="1296">
        <v>4</v>
      </c>
      <c r="J6" s="1297">
        <v>5</v>
      </c>
      <c r="K6" s="1295">
        <v>6</v>
      </c>
      <c r="L6" s="1295">
        <v>7</v>
      </c>
      <c r="M6" s="1295">
        <v>8</v>
      </c>
      <c r="N6" s="1295">
        <v>9</v>
      </c>
      <c r="O6" s="1296">
        <v>10</v>
      </c>
      <c r="P6" s="1297">
        <v>11</v>
      </c>
      <c r="Q6" s="1295">
        <v>12</v>
      </c>
      <c r="R6" s="1296">
        <v>13</v>
      </c>
      <c r="S6" s="1297">
        <v>14</v>
      </c>
      <c r="T6" s="1295">
        <v>15</v>
      </c>
      <c r="U6" s="1295">
        <v>16</v>
      </c>
      <c r="V6" s="1298">
        <v>17</v>
      </c>
      <c r="W6" s="1298">
        <v>18</v>
      </c>
      <c r="X6" s="1443">
        <v>19</v>
      </c>
      <c r="Y6" s="1425">
        <v>20</v>
      </c>
      <c r="Z6" s="1298">
        <v>21</v>
      </c>
      <c r="AA6" s="1298">
        <v>22</v>
      </c>
      <c r="AB6" s="1298">
        <v>23</v>
      </c>
      <c r="AC6" s="1298">
        <v>24</v>
      </c>
      <c r="AD6" s="1298">
        <v>25</v>
      </c>
      <c r="AE6" s="1298">
        <v>26</v>
      </c>
      <c r="AF6" s="1298">
        <v>27</v>
      </c>
      <c r="AG6" s="1298">
        <v>28</v>
      </c>
      <c r="AH6" s="1299"/>
      <c r="AI6" s="1295">
        <v>1</v>
      </c>
      <c r="AJ6" s="2575">
        <v>2</v>
      </c>
      <c r="AK6" s="1295">
        <v>3</v>
      </c>
      <c r="AL6" s="1296">
        <v>4</v>
      </c>
      <c r="AM6" s="1297">
        <v>5</v>
      </c>
      <c r="AN6" s="2575">
        <v>6</v>
      </c>
      <c r="AO6" s="1295">
        <v>7</v>
      </c>
      <c r="AP6" s="1295">
        <v>8</v>
      </c>
      <c r="AQ6" s="1295">
        <v>9</v>
      </c>
      <c r="AR6" s="1295">
        <v>10</v>
      </c>
      <c r="AS6" s="1295">
        <v>11</v>
      </c>
      <c r="AT6" s="2575">
        <v>12</v>
      </c>
      <c r="AU6" s="1296">
        <v>13</v>
      </c>
      <c r="AV6" s="1297">
        <v>14</v>
      </c>
      <c r="AW6" s="1295">
        <v>15</v>
      </c>
      <c r="AX6" s="1295">
        <v>16</v>
      </c>
      <c r="AY6" s="1295">
        <v>17</v>
      </c>
      <c r="AZ6" s="2575">
        <v>18</v>
      </c>
      <c r="BA6" s="1296">
        <v>19</v>
      </c>
      <c r="BB6" s="1297">
        <v>20</v>
      </c>
      <c r="BC6" s="1295">
        <v>21</v>
      </c>
      <c r="BD6" s="1295">
        <v>22</v>
      </c>
      <c r="BE6" s="1295">
        <v>23</v>
      </c>
      <c r="BF6" s="1295">
        <v>24</v>
      </c>
      <c r="BG6" s="1295">
        <v>25</v>
      </c>
      <c r="BH6" s="1295">
        <v>26</v>
      </c>
      <c r="BI6" s="1295">
        <v>27</v>
      </c>
      <c r="BJ6" s="1295">
        <v>28</v>
      </c>
      <c r="BK6" s="1299"/>
      <c r="BL6" s="1295">
        <v>1</v>
      </c>
      <c r="BM6" s="1295">
        <v>2</v>
      </c>
      <c r="BN6" s="1295">
        <v>3</v>
      </c>
      <c r="BO6" s="1296">
        <v>4</v>
      </c>
      <c r="BP6" s="1297">
        <v>5</v>
      </c>
      <c r="BQ6" s="1295">
        <v>6</v>
      </c>
      <c r="BR6" s="1295">
        <v>7</v>
      </c>
      <c r="BS6" s="1295">
        <v>8</v>
      </c>
      <c r="BT6" s="1295">
        <v>9</v>
      </c>
      <c r="BU6" s="1295">
        <v>10</v>
      </c>
      <c r="BV6" s="1295">
        <v>11</v>
      </c>
      <c r="BW6" s="1295">
        <v>12</v>
      </c>
      <c r="BX6" s="1296">
        <v>13</v>
      </c>
      <c r="BY6" s="1297">
        <v>14</v>
      </c>
      <c r="BZ6" s="1295">
        <v>15</v>
      </c>
      <c r="CA6" s="1295">
        <v>16</v>
      </c>
      <c r="CB6" s="1295">
        <v>17</v>
      </c>
      <c r="CC6" s="1295">
        <v>18</v>
      </c>
      <c r="CD6" s="1296">
        <v>19</v>
      </c>
      <c r="CE6" s="1297">
        <v>20</v>
      </c>
      <c r="CF6" s="1295">
        <v>21</v>
      </c>
      <c r="CG6" s="1295">
        <v>22</v>
      </c>
      <c r="CH6" s="1295">
        <v>23</v>
      </c>
      <c r="CI6" s="1295">
        <v>24</v>
      </c>
      <c r="CJ6" s="1295">
        <v>25</v>
      </c>
      <c r="CK6" s="1295">
        <v>26</v>
      </c>
      <c r="CL6" s="1295">
        <v>27</v>
      </c>
      <c r="CM6" s="1295">
        <v>28</v>
      </c>
      <c r="CN6" s="1300"/>
      <c r="CO6" s="1295">
        <v>1</v>
      </c>
      <c r="CP6" s="1295">
        <v>2</v>
      </c>
      <c r="CQ6" s="1295">
        <v>3</v>
      </c>
      <c r="CR6" s="1296">
        <v>4</v>
      </c>
      <c r="CS6" s="1297">
        <v>5</v>
      </c>
      <c r="CT6" s="1295">
        <v>6</v>
      </c>
      <c r="CU6" s="1295">
        <v>7</v>
      </c>
      <c r="CV6" s="1301">
        <v>8</v>
      </c>
      <c r="CW6" s="1295">
        <v>9</v>
      </c>
      <c r="CX6" s="1295">
        <v>10</v>
      </c>
      <c r="CY6" s="1295">
        <v>11</v>
      </c>
      <c r="CZ6" s="1295">
        <v>12</v>
      </c>
      <c r="DA6" s="1296">
        <v>13</v>
      </c>
      <c r="DB6" s="1297">
        <v>14</v>
      </c>
      <c r="DC6" s="1295">
        <v>15</v>
      </c>
      <c r="DD6" s="1295">
        <v>16</v>
      </c>
      <c r="DE6" s="1295">
        <v>17</v>
      </c>
      <c r="DF6" s="1295">
        <v>18</v>
      </c>
      <c r="DG6" s="1296">
        <v>19</v>
      </c>
      <c r="DH6" s="1297">
        <v>20</v>
      </c>
      <c r="DI6" s="1295">
        <v>21</v>
      </c>
      <c r="DJ6" s="1295">
        <v>22</v>
      </c>
      <c r="DK6" s="1295">
        <v>23</v>
      </c>
      <c r="DL6" s="1295">
        <v>24</v>
      </c>
      <c r="DM6" s="1295">
        <v>25</v>
      </c>
      <c r="DN6" s="1295">
        <v>26</v>
      </c>
      <c r="DO6" s="1295">
        <v>27</v>
      </c>
      <c r="DP6" s="1295">
        <v>28</v>
      </c>
      <c r="DQ6" s="1299"/>
      <c r="DR6" s="1302"/>
      <c r="DS6" s="1295">
        <v>1</v>
      </c>
      <c r="DT6" s="1295">
        <v>2</v>
      </c>
      <c r="DU6" s="1295">
        <v>3</v>
      </c>
      <c r="DV6" s="1296">
        <v>4</v>
      </c>
      <c r="DW6" s="1297">
        <v>5</v>
      </c>
      <c r="DX6" s="1295">
        <v>6</v>
      </c>
      <c r="DY6" s="1295">
        <v>7</v>
      </c>
      <c r="DZ6" s="1295">
        <v>8</v>
      </c>
      <c r="EA6" s="1301">
        <v>9</v>
      </c>
      <c r="EB6" s="1301">
        <v>10</v>
      </c>
      <c r="EC6" s="1301">
        <v>11</v>
      </c>
      <c r="ED6" s="1301">
        <v>12</v>
      </c>
      <c r="EE6" s="1569">
        <v>13</v>
      </c>
      <c r="EF6" s="1565">
        <v>14</v>
      </c>
      <c r="EG6" s="1301">
        <v>15</v>
      </c>
      <c r="EH6" s="1295">
        <v>16</v>
      </c>
      <c r="EI6" s="1301">
        <v>17</v>
      </c>
      <c r="EJ6" s="1295">
        <v>18</v>
      </c>
      <c r="EK6" s="1569">
        <v>19</v>
      </c>
      <c r="EL6" s="1297">
        <v>20</v>
      </c>
      <c r="EM6" s="1301">
        <v>21</v>
      </c>
      <c r="EN6" s="1295">
        <v>22</v>
      </c>
      <c r="EO6" s="1301">
        <v>23</v>
      </c>
      <c r="EP6" s="1295">
        <v>24</v>
      </c>
      <c r="EQ6" s="1301">
        <v>25</v>
      </c>
      <c r="ER6" s="1295">
        <v>26</v>
      </c>
      <c r="ES6" s="1301">
        <v>27</v>
      </c>
      <c r="ET6" s="1295">
        <v>28</v>
      </c>
      <c r="EU6" s="1299"/>
      <c r="EV6" s="1295">
        <v>1</v>
      </c>
      <c r="EW6" s="1295">
        <v>2</v>
      </c>
      <c r="EX6" s="1295">
        <v>3</v>
      </c>
      <c r="EY6" s="1296">
        <v>4</v>
      </c>
      <c r="EZ6" s="1297">
        <v>5</v>
      </c>
      <c r="FA6" s="1295">
        <v>6</v>
      </c>
      <c r="FB6" s="1295">
        <v>7</v>
      </c>
      <c r="FC6" s="1295">
        <v>8</v>
      </c>
      <c r="FD6" s="1301">
        <v>9</v>
      </c>
      <c r="FE6" s="1301">
        <v>10</v>
      </c>
      <c r="FF6" s="1301">
        <v>11</v>
      </c>
      <c r="FG6" s="1301">
        <v>12</v>
      </c>
      <c r="FH6" s="1569">
        <v>13</v>
      </c>
      <c r="FI6" s="1565">
        <v>14</v>
      </c>
      <c r="FJ6" s="1301">
        <v>15</v>
      </c>
      <c r="FK6" s="1295">
        <v>16</v>
      </c>
      <c r="FL6" s="1301">
        <v>17</v>
      </c>
      <c r="FM6" s="1295">
        <v>18</v>
      </c>
      <c r="FN6" s="1569">
        <v>19</v>
      </c>
      <c r="FO6" s="1297">
        <v>20</v>
      </c>
      <c r="FP6" s="1301">
        <v>21</v>
      </c>
      <c r="FQ6" s="1295">
        <v>22</v>
      </c>
      <c r="FR6" s="1301">
        <v>23</v>
      </c>
      <c r="FS6" s="1295">
        <v>24</v>
      </c>
      <c r="FT6" s="1301">
        <v>25</v>
      </c>
      <c r="FU6" s="1295">
        <v>26</v>
      </c>
      <c r="FV6" s="1301">
        <v>27</v>
      </c>
      <c r="FW6" s="1303">
        <v>28</v>
      </c>
    </row>
    <row r="7" spans="1:180" s="299" customFormat="1" ht="15.5" thickTop="1" thickBot="1" x14ac:dyDescent="0.4">
      <c r="A7" s="368"/>
      <c r="B7" s="368"/>
      <c r="C7" s="1065"/>
      <c r="D7" s="1065"/>
      <c r="E7" s="1065"/>
      <c r="F7" s="2725" t="s">
        <v>36</v>
      </c>
      <c r="G7" s="2720"/>
      <c r="H7" s="2720"/>
      <c r="I7" s="2726"/>
      <c r="J7" s="2720" t="s">
        <v>36</v>
      </c>
      <c r="K7" s="2720"/>
      <c r="L7" s="2720"/>
      <c r="M7" s="2720"/>
      <c r="N7" s="2720"/>
      <c r="O7" s="2726"/>
      <c r="P7" s="2727" t="s">
        <v>36</v>
      </c>
      <c r="Q7" s="2720"/>
      <c r="R7" s="2720"/>
      <c r="S7" s="2720"/>
      <c r="T7" s="2720"/>
      <c r="U7" s="2720"/>
      <c r="V7" s="1169"/>
      <c r="W7" s="1169"/>
      <c r="X7" s="1444"/>
      <c r="Y7" s="1426"/>
      <c r="Z7" s="1169"/>
      <c r="AA7" s="1169"/>
      <c r="AB7" s="1169"/>
      <c r="AC7" s="1169"/>
      <c r="AD7" s="1169"/>
      <c r="AE7" s="1169"/>
      <c r="AF7" s="1169"/>
      <c r="AG7" s="1169"/>
      <c r="AH7" s="1170"/>
      <c r="AI7" s="2720" t="s">
        <v>36</v>
      </c>
      <c r="AJ7" s="2720"/>
      <c r="AK7" s="2720"/>
      <c r="AL7" s="2720"/>
      <c r="AM7" s="2720" t="s">
        <v>36</v>
      </c>
      <c r="AN7" s="2720"/>
      <c r="AO7" s="2720"/>
      <c r="AP7" s="2720"/>
      <c r="AQ7" s="2720"/>
      <c r="AR7" s="2720"/>
      <c r="AS7" s="2720" t="s">
        <v>36</v>
      </c>
      <c r="AT7" s="2720"/>
      <c r="AU7" s="2720"/>
      <c r="AV7" s="2720"/>
      <c r="AW7" s="2720"/>
      <c r="AX7" s="1171"/>
      <c r="AY7" s="1171"/>
      <c r="AZ7" s="1171"/>
      <c r="BA7" s="1510"/>
      <c r="BB7" s="1504"/>
      <c r="BC7" s="1171"/>
      <c r="BD7" s="1171"/>
      <c r="BE7" s="1171"/>
      <c r="BF7" s="1171"/>
      <c r="BG7" s="1171"/>
      <c r="BH7" s="1171"/>
      <c r="BI7" s="1171"/>
      <c r="BJ7" s="1171"/>
      <c r="BK7" s="1172"/>
      <c r="BL7" s="2720" t="s">
        <v>36</v>
      </c>
      <c r="BM7" s="2720"/>
      <c r="BN7" s="2720"/>
      <c r="BO7" s="2720"/>
      <c r="BP7" s="2720" t="s">
        <v>36</v>
      </c>
      <c r="BQ7" s="2720"/>
      <c r="BR7" s="2720"/>
      <c r="BS7" s="2720"/>
      <c r="BT7" s="2720"/>
      <c r="BU7" s="2720"/>
      <c r="BV7" s="2720" t="s">
        <v>36</v>
      </c>
      <c r="BW7" s="2720"/>
      <c r="BX7" s="2720"/>
      <c r="BY7" s="2720"/>
      <c r="BZ7" s="2720"/>
      <c r="CA7" s="2720"/>
      <c r="CB7" s="1169"/>
      <c r="CC7" s="1169"/>
      <c r="CD7" s="1444"/>
      <c r="CE7" s="1426"/>
      <c r="CF7" s="1169"/>
      <c r="CG7" s="1169"/>
      <c r="CH7" s="1169"/>
      <c r="CI7" s="1169"/>
      <c r="CJ7" s="1169"/>
      <c r="CK7" s="1169"/>
      <c r="CL7" s="1169"/>
      <c r="CM7" s="1169"/>
      <c r="CN7" s="1173"/>
      <c r="CO7" s="2720" t="s">
        <v>36</v>
      </c>
      <c r="CP7" s="2720"/>
      <c r="CQ7" s="2720"/>
      <c r="CR7" s="2720"/>
      <c r="CS7" s="2720" t="s">
        <v>36</v>
      </c>
      <c r="CT7" s="2720"/>
      <c r="CU7" s="2720"/>
      <c r="CV7" s="2720"/>
      <c r="CW7" s="2720"/>
      <c r="CX7" s="2720"/>
      <c r="CY7" s="2720" t="s">
        <v>36</v>
      </c>
      <c r="CZ7" s="2720"/>
      <c r="DA7" s="2720"/>
      <c r="DB7" s="2720"/>
      <c r="DC7" s="2720"/>
      <c r="DD7" s="2720"/>
      <c r="DE7" s="1171"/>
      <c r="DF7" s="1171"/>
      <c r="DG7" s="1510"/>
      <c r="DH7" s="1504"/>
      <c r="DI7" s="1171"/>
      <c r="DJ7" s="1171"/>
      <c r="DK7" s="1171"/>
      <c r="DL7" s="1171"/>
      <c r="DM7" s="1171"/>
      <c r="DN7" s="1171"/>
      <c r="DO7" s="1171"/>
      <c r="DP7" s="1171"/>
      <c r="DQ7" s="1172"/>
      <c r="DR7" s="1174"/>
      <c r="DS7" s="2720" t="s">
        <v>36</v>
      </c>
      <c r="DT7" s="2720"/>
      <c r="DU7" s="2720"/>
      <c r="DV7" s="2720"/>
      <c r="DW7" s="2720" t="s">
        <v>36</v>
      </c>
      <c r="DX7" s="2720"/>
      <c r="DY7" s="2720"/>
      <c r="DZ7" s="2720"/>
      <c r="EA7" s="2720"/>
      <c r="EB7" s="1175"/>
      <c r="EC7" s="2721" t="s">
        <v>36</v>
      </c>
      <c r="ED7" s="2721"/>
      <c r="EE7" s="2721"/>
      <c r="EF7" s="2721"/>
      <c r="EG7" s="2721"/>
      <c r="EH7" s="2721"/>
      <c r="EI7" s="2721"/>
      <c r="EJ7" s="1176"/>
      <c r="EK7" s="1580"/>
      <c r="EL7" s="1578"/>
      <c r="EM7" s="1176"/>
      <c r="EN7" s="1176"/>
      <c r="EO7" s="1176"/>
      <c r="EP7" s="1176"/>
      <c r="EQ7" s="1176"/>
      <c r="ER7" s="1176"/>
      <c r="ES7" s="1176"/>
      <c r="ET7" s="1176"/>
      <c r="EU7" s="1172"/>
      <c r="EV7" s="2720" t="s">
        <v>375</v>
      </c>
      <c r="EW7" s="2720"/>
      <c r="EX7" s="2720"/>
      <c r="EY7" s="2720"/>
      <c r="EZ7" s="2720" t="s">
        <v>375</v>
      </c>
      <c r="FA7" s="2720"/>
      <c r="FB7" s="2720"/>
      <c r="FC7" s="2720"/>
      <c r="FD7" s="2720"/>
      <c r="FE7" s="2720"/>
      <c r="FF7" s="2721" t="s">
        <v>375</v>
      </c>
      <c r="FG7" s="2721"/>
      <c r="FH7" s="2721"/>
      <c r="FI7" s="2721"/>
      <c r="FJ7" s="2721"/>
      <c r="FK7" s="2721"/>
      <c r="FL7" s="1169"/>
      <c r="FM7" s="1169"/>
      <c r="FN7" s="1444"/>
      <c r="FO7" s="1426"/>
      <c r="FP7" s="1169"/>
      <c r="FQ7" s="1169"/>
      <c r="FR7" s="1169"/>
      <c r="FS7" s="1169"/>
      <c r="FT7" s="1169"/>
      <c r="FU7" s="1169"/>
      <c r="FV7" s="1169"/>
      <c r="FW7" s="1169"/>
    </row>
    <row r="8" spans="1:180" ht="15" thickTop="1" x14ac:dyDescent="0.35">
      <c r="C8" s="1" t="s">
        <v>101</v>
      </c>
      <c r="F8" s="1023" cm="1">
        <f t="array" ref="F8:F15">'HPS DAILY'!$G$66:$G$73</f>
        <v>0</v>
      </c>
      <c r="G8" s="301" cm="1">
        <f t="array" ref="G8:G15">'HPS DAILY'!$G$66:$G$73</f>
        <v>0</v>
      </c>
      <c r="H8" s="301" cm="1">
        <f t="array" ref="H8:H15">'HPS DAILY'!$G$66:$G$73</f>
        <v>0</v>
      </c>
      <c r="I8" s="1229" cm="1">
        <f t="array" ref="I8:I15">'HPS DAILY'!$G$66:$G$73</f>
        <v>0</v>
      </c>
      <c r="J8" s="1177" cm="1">
        <f t="array" ref="J8:J15">'HPS DAILY'!$H$66:$H$73</f>
        <v>0</v>
      </c>
      <c r="K8" s="1177" cm="1">
        <f t="array" ref="K8:K15">'HPS DAILY'!$H$66:$H$73</f>
        <v>0</v>
      </c>
      <c r="L8" s="1177" cm="1">
        <f t="array" ref="L8:L15">'HPS DAILY'!$H$66:$H$73</f>
        <v>0</v>
      </c>
      <c r="M8" s="1177" cm="1">
        <f t="array" ref="M8:M15">'HPS DAILY'!$H$66:$H$73</f>
        <v>0</v>
      </c>
      <c r="N8" s="1177" cm="1">
        <f t="array" ref="N8:N15">'HPS DAILY'!$H$66:$H$73</f>
        <v>0</v>
      </c>
      <c r="O8" s="1177" cm="1">
        <f t="array" ref="O8:O15">'HPS DAILY'!$H$66:$H$73</f>
        <v>0</v>
      </c>
      <c r="P8" s="1177" cm="1">
        <f t="array" ref="P8:P15">'HPS DAILY'!$H$66:$H$73</f>
        <v>0</v>
      </c>
      <c r="Q8" s="1177" cm="1">
        <f t="array" ref="Q8:Q15">'HPS DAILY'!$H$66:$H$73</f>
        <v>0</v>
      </c>
      <c r="R8" s="1177" cm="1">
        <f t="array" ref="R8:R15">'HPS DAILY'!$H$66:$H$73</f>
        <v>0</v>
      </c>
      <c r="S8" s="1177" cm="1">
        <f t="array" ref="S8:S15">'HPS DAILY'!$H$66:$H$73</f>
        <v>0</v>
      </c>
      <c r="T8" s="1177" cm="1">
        <f t="array" ref="T8:T15">'HPS DAILY'!$H$66:$H$73</f>
        <v>0</v>
      </c>
      <c r="U8" s="1177" cm="1">
        <f t="array" ref="U8:U15">'HPS DAILY'!$H$66:$H$73</f>
        <v>0</v>
      </c>
      <c r="V8" s="1177" cm="1">
        <f t="array" ref="V8:V15">'HPS DAILY'!$H$66:$H$73</f>
        <v>0</v>
      </c>
      <c r="W8" s="1177" cm="1">
        <f t="array" ref="W8:W15">'HPS DAILY'!$H$66:$H$73</f>
        <v>0</v>
      </c>
      <c r="X8" s="1177" cm="1">
        <f t="array" ref="X8:X15">'HPS DAILY'!$G$66:$G$73</f>
        <v>0</v>
      </c>
      <c r="Y8" s="1177" cm="1">
        <f t="array" ref="Y8:Y15">'HPS DAILY'!$G$66:$G$73</f>
        <v>0</v>
      </c>
      <c r="Z8" s="1177" cm="1">
        <f t="array" ref="Z8:Z15">'HPS DAILY'!$G$66:$G$73</f>
        <v>0</v>
      </c>
      <c r="AA8" s="1177" cm="1">
        <f t="array" ref="AA8:AA15">'HPS DAILY'!$G$66:$G$73</f>
        <v>0</v>
      </c>
      <c r="AB8" s="1177" cm="1">
        <f t="array" ref="AB8:AB15">'HPS DAILY'!$J$66:$J$73</f>
        <v>0</v>
      </c>
      <c r="AC8" s="1177" cm="1">
        <f t="array" ref="AC8:AC15">'HPS DAILY'!$J$66:$J$73</f>
        <v>0</v>
      </c>
      <c r="AD8" s="1177" cm="1">
        <f t="array" ref="AD8:AD15">'HPS DAILY'!$J$66:$J$73</f>
        <v>0</v>
      </c>
      <c r="AE8" s="1177" cm="1">
        <f t="array" ref="AE8:AE15">'HPS DAILY'!$J$66:$J$73</f>
        <v>0</v>
      </c>
      <c r="AF8" s="1177" cm="1">
        <f t="array" ref="AF8:AF15">'HPS DAILY'!$J$66:$J$73</f>
        <v>0</v>
      </c>
      <c r="AG8" s="1177" cm="1">
        <f t="array" ref="AG8:AG15">'HPS DAILY'!$J$66:$J$73</f>
        <v>0</v>
      </c>
      <c r="AH8" s="1096"/>
      <c r="AI8" s="301" cm="1">
        <f t="array" ref="AI8:AI15">ISV!G65:G$72</f>
        <v>0</v>
      </c>
      <c r="AJ8" s="301" cm="1">
        <f t="array" ref="AJ8:AJ15">ISV!H65:H$72</f>
        <v>0.2</v>
      </c>
      <c r="AK8" s="301" cm="1">
        <f t="array" ref="AK8:AK15">ISV!I65:I$72</f>
        <v>0</v>
      </c>
      <c r="AL8" s="1229" cm="1">
        <f t="array" ref="AL8:AL15">ISV!J65:J$72</f>
        <v>0</v>
      </c>
      <c r="AM8" s="1177" cm="1">
        <f t="array" ref="AM8:AM15">ISV!K65:K$72</f>
        <v>0</v>
      </c>
      <c r="AN8" s="301" cm="1">
        <f t="array" ref="AN8:AN15">ISV!L65:L$72</f>
        <v>0</v>
      </c>
      <c r="AO8" s="301" cm="1">
        <f t="array" ref="AO8:AO15">ISV!M65:M$72</f>
        <v>0</v>
      </c>
      <c r="AP8" s="301" cm="1">
        <f t="array" ref="AP8:AP15">ISV!N65:N$72</f>
        <v>0</v>
      </c>
      <c r="AQ8" s="482" cm="1">
        <f t="array" ref="AQ8:AQ15">ISV!O65:O$72</f>
        <v>0</v>
      </c>
      <c r="AR8" s="482" cm="1">
        <f t="array" ref="AR8:AR15">ISV!P65:P$72</f>
        <v>0</v>
      </c>
      <c r="AS8" s="482" cm="1">
        <f t="array" ref="AS8:AS15">ISV!Q65:Q$72</f>
        <v>0</v>
      </c>
      <c r="AT8" s="482" cm="1">
        <f t="array" ref="AT8:AT15">ISV!R65:R$72</f>
        <v>0</v>
      </c>
      <c r="AU8" s="1339" cm="1">
        <f t="array" ref="AU8:AU15">ISV!S65:S$72</f>
        <v>0</v>
      </c>
      <c r="AV8" s="1340" cm="1">
        <f t="array" ref="AV8:AV15">ISV!T65:T$72</f>
        <v>0</v>
      </c>
      <c r="AW8" s="482" cm="1">
        <f t="array" ref="AW8:AW15">ISV!U65:U$72</f>
        <v>0</v>
      </c>
      <c r="AX8" s="482" cm="1">
        <f t="array" ref="AX8:AX15">ISV!V65:V$72</f>
        <v>0</v>
      </c>
      <c r="AY8" s="482" cm="1">
        <f t="array" ref="AY8:AY15">ISV!W65:W$72</f>
        <v>0</v>
      </c>
      <c r="AZ8" s="482" cm="1">
        <f t="array" ref="AZ8:AZ15">ISV!X65:X$72</f>
        <v>0</v>
      </c>
      <c r="BA8" s="1339" cm="1">
        <f t="array" ref="BA8:BA15">ISV!Y65:Y$72</f>
        <v>0</v>
      </c>
      <c r="BB8" s="1340" cm="1">
        <f t="array" ref="BB8:BB15">ISV!Z65:Z$72</f>
        <v>0</v>
      </c>
      <c r="BC8" s="482" cm="1">
        <f t="array" ref="BC8:BC15">ISV!AA65:AA$72</f>
        <v>0</v>
      </c>
      <c r="BD8" s="482" cm="1">
        <f t="array" ref="BD8:BD15">ISV!AB65:AB$72</f>
        <v>0</v>
      </c>
      <c r="BE8" s="482" cm="1">
        <f t="array" ref="BE8:BE15">ISV!AC65:AC$72</f>
        <v>0</v>
      </c>
      <c r="BF8" s="482" cm="1">
        <f t="array" ref="BF8:BF15">ISV!AD65:AD$72</f>
        <v>0</v>
      </c>
      <c r="BG8" s="482" cm="1">
        <f t="array" ref="BG8:BG15">ISV!AE65:AE$72</f>
        <v>0</v>
      </c>
      <c r="BH8" s="482" cm="1">
        <f t="array" ref="BH8:BH15">ISV!AF65:AF$72</f>
        <v>0</v>
      </c>
      <c r="BI8" s="482" cm="1">
        <f t="array" ref="BI8:BI15">ISV!AG65:AG$72</f>
        <v>0</v>
      </c>
      <c r="BJ8" s="482" cm="1">
        <f t="array" ref="BJ8:BJ15">ISV!AH65:AH$72</f>
        <v>0</v>
      </c>
      <c r="BK8" s="356"/>
      <c r="BL8" s="362" cm="1">
        <f t="array" ref="BL8:BL15">'HPS DAILY'!K$66:K$73</f>
        <v>0.11599999999999999</v>
      </c>
      <c r="BM8" s="362" cm="1">
        <f t="array" ref="BM8:BM15">'HPS DAILY'!L$66:L$73</f>
        <v>0.14600000000000002</v>
      </c>
      <c r="BN8" s="362" cm="1">
        <f t="array" ref="BN8:BN15">'HPS DAILY'!M$66:M$73</f>
        <v>7.3666666666666672E-2</v>
      </c>
      <c r="BO8" s="1590" cm="1">
        <f t="array" ref="BO8:BO15">'HPS DAILY'!N$66:N$73</f>
        <v>5.0999999999999997E-2</v>
      </c>
      <c r="BP8" s="1584" cm="1">
        <f t="array" ref="BP8:BP15">'HPS DAILY'!O$66:O$73</f>
        <v>3.4000000000000002E-2</v>
      </c>
      <c r="BQ8" s="362" cm="1">
        <f t="array" ref="BQ8:BQ15">'HPS DAILY'!P$66:P$73</f>
        <v>4.3999999999999997E-2</v>
      </c>
      <c r="BR8" s="362" cm="1">
        <f t="array" ref="BR8:BR15">'HPS DAILY'!Q$66:Q$73</f>
        <v>4.8000000000000001E-2</v>
      </c>
      <c r="BS8" s="362" cm="1">
        <f t="array" ref="BS8:BS15">'HPS DAILY'!R$66:R$73</f>
        <v>3.1E-2</v>
      </c>
      <c r="BT8" s="362" cm="1">
        <f t="array" ref="BT8:BT15">'HPS DAILY'!S$66:S$73</f>
        <v>2.1999999999999999E-2</v>
      </c>
      <c r="BU8" s="362" cm="1">
        <f t="array" ref="BU8:BU15">'HPS DAILY'!T$66:T$73</f>
        <v>3.1E-2</v>
      </c>
      <c r="BV8" s="362" cm="1">
        <f t="array" ref="BV8:BV15">'HPS DAILY'!U$66:U$73</f>
        <v>5.1999999999999998E-2</v>
      </c>
      <c r="BW8" s="362" cm="1">
        <f t="array" ref="BW8:BW15">'HPS DAILY'!V$66:V$73</f>
        <v>0.03</v>
      </c>
      <c r="BX8" s="1590" cm="1">
        <f t="array" ref="BX8:BX15">'HPS DAILY'!W$66:W$73</f>
        <v>7.8E-2</v>
      </c>
      <c r="BY8" s="1584" cm="1">
        <f t="array" ref="BY8:BY15">'HPS DAILY'!X$66:X$73</f>
        <v>0</v>
      </c>
      <c r="BZ8" s="362" cm="1">
        <f t="array" ref="BZ8:BZ15">'HPS DAILY'!Y$66:Y$73</f>
        <v>0</v>
      </c>
      <c r="CA8" s="362" cm="1">
        <f t="array" ref="CA8:CA15">'HPS DAILY'!Z$66:Z$73</f>
        <v>0</v>
      </c>
      <c r="CB8" s="362" cm="1">
        <f t="array" ref="CB8:CB15">'HPS DAILY'!AA$66:AA$73</f>
        <v>0</v>
      </c>
      <c r="CC8" s="362" cm="1">
        <f t="array" ref="CC8:CC15">'HPS DAILY'!AB$66:AB$73</f>
        <v>0</v>
      </c>
      <c r="CD8" s="1590" cm="1">
        <f t="array" ref="CD8:CD15">'HPS DAILY'!AC$66:AC$73</f>
        <v>0</v>
      </c>
      <c r="CE8" s="1584" cm="1">
        <f t="array" ref="CE8:CE15">'HPS DAILY'!AD$66:AD$73</f>
        <v>0</v>
      </c>
      <c r="CF8" s="362" cm="1">
        <f t="array" ref="CF8:CF15">'HPS DAILY'!AE$66:AE$73</f>
        <v>0</v>
      </c>
      <c r="CG8" s="362" cm="1">
        <f t="array" ref="CG8:CG15">'HPS DAILY'!AF$66:AF$73</f>
        <v>0</v>
      </c>
      <c r="CH8" s="362" cm="1">
        <f t="array" ref="CH8:CH15">'HPS DAILY'!AG$66:AG$73</f>
        <v>0</v>
      </c>
      <c r="CI8" s="362" cm="1">
        <f t="array" ref="CI8:CI15">'HPS DAILY'!AH$66:AH$73</f>
        <v>0</v>
      </c>
      <c r="CJ8" s="362" cm="1">
        <f t="array" ref="CJ8:CJ15">'HPS DAILY'!AI$66:AI$73</f>
        <v>0</v>
      </c>
      <c r="CK8" s="362" cm="1">
        <f t="array" ref="CK8:CK15">'HPS DAILY'!AJ$66:AJ$73</f>
        <v>0</v>
      </c>
      <c r="CL8" s="362" cm="1">
        <f t="array" ref="CL8:CL15">'HPS DAILY'!AK$66:AK$73</f>
        <v>0</v>
      </c>
      <c r="CM8" s="362" cm="1">
        <f t="array" ref="CM8:CM15">'HPS DAILY'!AL$66:AL$73</f>
        <v>0</v>
      </c>
      <c r="CN8" s="357"/>
      <c r="CO8" s="296" cm="1">
        <f t="array" ref="CO8:CO15">'LTO DAILY'!H$55:H$62</f>
        <v>0</v>
      </c>
      <c r="CP8" s="296" cm="1">
        <f t="array" ref="CP8:CP15">'LTO DAILY'!I$55:I$62</f>
        <v>1.2</v>
      </c>
      <c r="CQ8" s="296" cm="1">
        <f t="array" ref="CQ8:CQ15">'LTO DAILY'!J$55:J$62</f>
        <v>4.3</v>
      </c>
      <c r="CR8" s="1235" cm="1">
        <f t="array" ref="CR8:CR15">'LTO DAILY'!K$55:K$62</f>
        <v>4.0999999999999996</v>
      </c>
      <c r="CS8" s="1187" cm="1">
        <f t="array" ref="CS8:CS15">'LTO DAILY'!L$55:L$62</f>
        <v>1.5</v>
      </c>
      <c r="CT8" s="296" cm="1">
        <f t="array" ref="CT8:CT15">'LTO DAILY'!M$55:M$62</f>
        <v>4.2</v>
      </c>
      <c r="CU8" s="296" cm="1">
        <f t="array" ref="CU8:CU15">'LTO DAILY'!N$55:N$62</f>
        <v>1.1000000000000001</v>
      </c>
      <c r="CV8" s="296" cm="1">
        <f t="array" ref="CV8:CV15">'LTO DAILY'!O$55:O$62</f>
        <v>2.2000000000000002</v>
      </c>
      <c r="CW8" s="296" cm="1">
        <f t="array" ref="CW8:CW15">'LTO DAILY'!P$55:P$62</f>
        <v>1.1000000000000001</v>
      </c>
      <c r="CX8" s="296" cm="1">
        <f t="array" ref="CX8:CX15">'LTO DAILY'!Q$55:Q$62</f>
        <v>2.1</v>
      </c>
      <c r="CY8" s="296" cm="1">
        <f t="array" ref="CY8:CY15">'LTO DAILY'!R$55:R$62</f>
        <v>1</v>
      </c>
      <c r="CZ8" s="296" cm="1">
        <f t="array" ref="CZ8:CZ15">'LTO DAILY'!S$55:S$62</f>
        <v>1.9</v>
      </c>
      <c r="DA8" s="1235" cm="1">
        <f t="array" ref="DA8:DA15">'LTO DAILY'!T$55:T$62</f>
        <v>1.6</v>
      </c>
      <c r="DB8" s="1187" cm="1">
        <f t="array" ref="DB8:DB15">'LTO DAILY'!U$55:U$62</f>
        <v>0</v>
      </c>
      <c r="DC8" s="296" cm="1">
        <f t="array" ref="DC8:DC15">'LTO DAILY'!V$55:V$62</f>
        <v>0</v>
      </c>
      <c r="DD8" s="296" cm="1">
        <f t="array" ref="DD8:DD15">'LTO DAILY'!W$55:W$62</f>
        <v>0</v>
      </c>
      <c r="DE8" s="296" cm="1">
        <f t="array" ref="DE8:DE15">'LTO DAILY'!X$55:X$62</f>
        <v>0</v>
      </c>
      <c r="DF8" s="296" cm="1">
        <f t="array" ref="DF8:DF15">'LTO DAILY'!Y$55:Y$62</f>
        <v>0</v>
      </c>
      <c r="DG8" s="1235" cm="1">
        <f t="array" ref="DG8:DG15">'LTO DAILY'!Z$55:Z$62</f>
        <v>0</v>
      </c>
      <c r="DH8" s="1187" cm="1">
        <f t="array" ref="DH8:DH15">'LTO DAILY'!AA$55:AA$62</f>
        <v>0</v>
      </c>
      <c r="DI8" s="296" cm="1">
        <f t="array" ref="DI8:DI15">'LTO DAILY'!AB$55:AB$62</f>
        <v>0</v>
      </c>
      <c r="DJ8" s="296" cm="1">
        <f t="array" ref="DJ8:DJ15">'LTO DAILY'!AC$55:AC$62</f>
        <v>0</v>
      </c>
      <c r="DK8" s="296" cm="1">
        <f t="array" ref="DK8:DK15">'LTO DAILY'!AD$55:AD$62</f>
        <v>0</v>
      </c>
      <c r="DL8" s="296" cm="1">
        <f t="array" ref="DL8:DL15">'LTO DAILY'!AE$55:AE$62</f>
        <v>0</v>
      </c>
      <c r="DM8" s="296" cm="1">
        <f t="array" ref="DM8:DM15">'LTO DAILY'!AF$55:AF$62</f>
        <v>0</v>
      </c>
      <c r="DN8" s="296" cm="1">
        <f t="array" ref="DN8:DN15">'LTO DAILY'!AG$55:AG$62</f>
        <v>0</v>
      </c>
      <c r="DO8" s="296" cm="1">
        <f t="array" ref="DO8:DO15">'LTO DAILY'!AH$55:AH$62</f>
        <v>0</v>
      </c>
      <c r="DP8" s="296" cm="1">
        <f t="array" ref="DP8:DP15">'LTO DAILY'!AI$55:AI$62</f>
        <v>0</v>
      </c>
      <c r="DQ8" s="356"/>
      <c r="DR8" s="349" t="s">
        <v>191</v>
      </c>
      <c r="DS8" s="296" cm="1">
        <f t="array" ref="DS8:DS14">'HPS DAILY'!K106:K112</f>
        <v>59.08</v>
      </c>
      <c r="DT8" s="296" cm="1">
        <f t="array" ref="DT8:DT14">'HPS DAILY'!L106:L112</f>
        <v>73.825000000000003</v>
      </c>
      <c r="DU8" s="296" cm="1">
        <f t="array" ref="DU8:DU14">'HPS DAILY'!M106:M112</f>
        <v>72.11</v>
      </c>
      <c r="DV8" s="1235" cm="1">
        <f t="array" ref="DV8:DV14">'HPS DAILY'!N106:N112</f>
        <v>73.02</v>
      </c>
      <c r="DW8" s="1187" cm="1">
        <f t="array" ref="DW8:DW14">'HPS DAILY'!O106:O112</f>
        <v>49.76</v>
      </c>
      <c r="DX8" s="296" cm="1">
        <f t="array" ref="DX8:DX14">'HPS DAILY'!P106:P112</f>
        <v>79.959999999999994</v>
      </c>
      <c r="DY8" s="296" cm="1">
        <f t="array" ref="DY8:DY14">'HPS DAILY'!Q106:Q112</f>
        <v>51.72</v>
      </c>
      <c r="DZ8" s="296" cm="1">
        <f t="array" ref="DZ8:DZ14">'HPS DAILY'!R106:R112</f>
        <v>51.87</v>
      </c>
      <c r="EA8" s="296" cm="1">
        <f t="array" ref="EA8:EA14">'HPS DAILY'!S106:S112</f>
        <v>51.87</v>
      </c>
      <c r="EB8" s="296" cm="1">
        <f t="array" ref="EB8:EB14">'HPS DAILY'!T106:T112</f>
        <v>49.75</v>
      </c>
      <c r="EC8" s="296" cm="1">
        <f t="array" ref="EC8:EC14">'HPS DAILY'!U106:U112</f>
        <v>50.24</v>
      </c>
      <c r="ED8" s="296" cm="1">
        <f t="array" ref="ED8:ED14">'HPS DAILY'!V106:V112</f>
        <v>50.47</v>
      </c>
      <c r="EE8" s="1235" cm="1">
        <f t="array" ref="EE8:EE14">'HPS DAILY'!W106:W112</f>
        <v>50.87</v>
      </c>
      <c r="EF8" s="1187" cm="1">
        <f t="array" ref="EF8:EF14">'HPS DAILY'!X106:X112</f>
        <v>0</v>
      </c>
      <c r="EG8" s="296" cm="1">
        <f t="array" ref="EG8:EG14">'HPS DAILY'!Y106:Y112</f>
        <v>0</v>
      </c>
      <c r="EH8" s="296" cm="1">
        <f t="array" ref="EH8:EH14">'HPS DAILY'!Z106:Z112</f>
        <v>0</v>
      </c>
      <c r="EI8" s="296" cm="1">
        <f t="array" ref="EI8:EI14">'HPS DAILY'!AA106:AA112</f>
        <v>0</v>
      </c>
      <c r="EJ8" s="296" cm="1">
        <f t="array" ref="EJ8:EJ14">'HPS DAILY'!AB106:AB112</f>
        <v>0</v>
      </c>
      <c r="EK8" s="1235" cm="1">
        <f t="array" ref="EK8:EK14">'HPS DAILY'!AC106:AC112</f>
        <v>0</v>
      </c>
      <c r="EL8" s="1187" cm="1">
        <f t="array" ref="EL8:EL14">'HPS DAILY'!AD106:AD112</f>
        <v>0</v>
      </c>
      <c r="EM8" s="296" cm="1">
        <f t="array" ref="EM8:EM14">'HPS DAILY'!AE106:AE112</f>
        <v>0</v>
      </c>
      <c r="EN8" s="296" cm="1">
        <f t="array" ref="EN8:EN14">'HPS DAILY'!AF106:AF112</f>
        <v>0</v>
      </c>
      <c r="EO8" s="296" cm="1">
        <f t="array" ref="EO8:EO14">'HPS DAILY'!AG106:AG112</f>
        <v>0</v>
      </c>
      <c r="EP8" s="296" cm="1">
        <f t="array" ref="EP8:EP14">'HPS DAILY'!AH106:AH112</f>
        <v>0</v>
      </c>
      <c r="EQ8" s="296" cm="1">
        <f t="array" ref="EQ8:EQ14">'HPS DAILY'!AI106:AI112</f>
        <v>0</v>
      </c>
      <c r="ER8" s="296" cm="1">
        <f t="array" ref="ER8:ER14">'HPS DAILY'!AJ106:AJ112</f>
        <v>0</v>
      </c>
      <c r="ES8" s="296" cm="1">
        <f t="array" ref="ES8:ES14">'HPS DAILY'!AK106:AK112</f>
        <v>0</v>
      </c>
      <c r="ET8" s="296" cm="1">
        <f t="array" ref="ET8:ET14">'HPS DAILY'!AL106:AL112</f>
        <v>0</v>
      </c>
      <c r="EU8" s="356"/>
      <c r="EV8" s="296" cm="1">
        <f t="array" ref="EV8:EV14">'HPS DAILY'!K$93:K$99</f>
        <v>18.73</v>
      </c>
      <c r="EW8" s="296">
        <f t="shared" ref="EW8:EW14" si="1">EX8</f>
        <v>2.5099999999999998</v>
      </c>
      <c r="EX8" s="296" cm="1">
        <f t="array" ref="EX8:EX14">'HPS DAILY'!M$93:M$99</f>
        <v>2.5099999999999998</v>
      </c>
      <c r="EY8" s="1235" cm="1">
        <f t="array" ref="EY8:EY14">'HPS DAILY'!N$93:N$99</f>
        <v>1.03</v>
      </c>
      <c r="EZ8" s="1187" cm="1">
        <f t="array" ref="EZ8:EZ14">'HPS DAILY'!O$93:O$99</f>
        <v>1.29</v>
      </c>
      <c r="FA8" s="296" cm="1">
        <f t="array" ref="FA8:FA14">'HPS DAILY'!P$93:P$99</f>
        <v>1.42</v>
      </c>
      <c r="FB8" s="296" cm="1">
        <f t="array" ref="FB8:FB14">'HPS DAILY'!Q$93:Q$99</f>
        <v>1.61</v>
      </c>
      <c r="FC8" s="296" cm="1">
        <f t="array" ref="FC8:FC14">'HPS DAILY'!R$93:R$99</f>
        <v>0.96</v>
      </c>
      <c r="FD8" s="296" cm="1">
        <f t="array" ref="FD8:FD14">'HPS DAILY'!S$93:S$99</f>
        <v>1.66</v>
      </c>
      <c r="FE8" s="296" cm="1">
        <f t="array" ref="FE8:FE14">'HPS DAILY'!T$93:T$99</f>
        <v>1.29</v>
      </c>
      <c r="FF8" s="296" cm="1">
        <f t="array" ref="FF8:FF14">'HPS DAILY'!U$93:U$99</f>
        <v>0</v>
      </c>
      <c r="FG8" s="296" cm="1">
        <f t="array" ref="FG8:FG14">'HPS DAILY'!V$93:V$99</f>
        <v>0</v>
      </c>
      <c r="FH8" s="1235" cm="1">
        <f t="array" ref="FH8:FH14">'HPS DAILY'!W$93:W$99</f>
        <v>1.1000000000000001</v>
      </c>
      <c r="FI8" s="1187" cm="1">
        <f t="array" ref="FI8:FI14">'HPS DAILY'!X$93:X$99</f>
        <v>0</v>
      </c>
      <c r="FJ8" s="296" cm="1">
        <f t="array" ref="FJ8:FJ14">'HPS DAILY'!Y$93:Y$99</f>
        <v>0</v>
      </c>
      <c r="FK8" s="296" cm="1">
        <f t="array" ref="FK8:FK14">'HPS DAILY'!Z$93:Z$99</f>
        <v>0</v>
      </c>
      <c r="FL8" s="296" cm="1">
        <f t="array" ref="FL8:FL14">'HPS DAILY'!AA$93:AA$99</f>
        <v>0</v>
      </c>
      <c r="FM8" s="296" cm="1">
        <f t="array" ref="FM8:FM14">'HPS DAILY'!AB$93:AB$99</f>
        <v>0</v>
      </c>
      <c r="FN8" s="1235" cm="1">
        <f t="array" ref="FN8:FN14">'HPS DAILY'!AC$93:AC$99</f>
        <v>0</v>
      </c>
      <c r="FO8" s="1187" cm="1">
        <f t="array" ref="FO8:FO14">'HPS DAILY'!AD$93:AD$99</f>
        <v>0</v>
      </c>
      <c r="FP8" s="296" cm="1">
        <f t="array" ref="FP8:FP14">'HPS DAILY'!AE$93:AE$99</f>
        <v>0</v>
      </c>
      <c r="FQ8" s="296" cm="1">
        <f t="array" ref="FQ8:FQ14">'HPS DAILY'!AF$93:AF$99</f>
        <v>0</v>
      </c>
      <c r="FR8" s="296" cm="1">
        <f t="array" ref="FR8:FR14">'HPS DAILY'!AG$93:AG$99</f>
        <v>0</v>
      </c>
      <c r="FS8" s="296" cm="1">
        <f t="array" ref="FS8:FS14">'HPS DAILY'!AH$93:AH$99</f>
        <v>0</v>
      </c>
      <c r="FT8" s="296" cm="1">
        <f t="array" ref="FT8:FT14">'HPS DAILY'!AI$93:AI$99</f>
        <v>0</v>
      </c>
      <c r="FU8" s="296" cm="1">
        <f t="array" ref="FU8:FU14">'HPS DAILY'!AJ$93:AJ$99</f>
        <v>0</v>
      </c>
      <c r="FV8" s="296" cm="1">
        <f t="array" ref="FV8:FV14">'HPS DAILY'!AK$93:AK$99</f>
        <v>0</v>
      </c>
      <c r="FW8" s="296" cm="1">
        <f t="array" ref="FW8:FW14">'HPS DAILY'!AL$93:AL$99</f>
        <v>0</v>
      </c>
      <c r="FX8" s="1" t="s">
        <v>191</v>
      </c>
    </row>
    <row r="9" spans="1:180" x14ac:dyDescent="0.35">
      <c r="C9" s="1" t="s">
        <v>102</v>
      </c>
      <c r="F9" s="1024">
        <v>0</v>
      </c>
      <c r="G9" s="302">
        <v>0</v>
      </c>
      <c r="H9" s="302">
        <v>0</v>
      </c>
      <c r="I9" s="1230">
        <v>0</v>
      </c>
      <c r="J9" s="1178">
        <v>0</v>
      </c>
      <c r="K9" s="302">
        <v>0</v>
      </c>
      <c r="L9" s="1178">
        <v>0</v>
      </c>
      <c r="M9" s="302">
        <v>0</v>
      </c>
      <c r="N9" s="1178">
        <v>0</v>
      </c>
      <c r="O9" s="2628">
        <v>0</v>
      </c>
      <c r="P9" s="302">
        <v>0</v>
      </c>
      <c r="Q9" s="302">
        <v>0</v>
      </c>
      <c r="R9" s="302">
        <v>0</v>
      </c>
      <c r="S9" s="302">
        <v>0</v>
      </c>
      <c r="T9" s="302">
        <v>0</v>
      </c>
      <c r="U9" s="302">
        <v>0</v>
      </c>
      <c r="V9" s="302">
        <v>0</v>
      </c>
      <c r="W9" s="302">
        <v>0</v>
      </c>
      <c r="X9" s="302">
        <v>0</v>
      </c>
      <c r="Y9" s="302">
        <v>0</v>
      </c>
      <c r="Z9" s="302">
        <v>0</v>
      </c>
      <c r="AA9" s="302">
        <v>0</v>
      </c>
      <c r="AB9" s="302">
        <v>0</v>
      </c>
      <c r="AC9" s="302">
        <v>0</v>
      </c>
      <c r="AD9" s="302">
        <v>0</v>
      </c>
      <c r="AE9" s="302">
        <v>0</v>
      </c>
      <c r="AF9" s="302">
        <v>0</v>
      </c>
      <c r="AG9" s="302">
        <v>0</v>
      </c>
      <c r="AH9" s="324"/>
      <c r="AI9" s="302">
        <v>0</v>
      </c>
      <c r="AJ9" s="302">
        <v>12.388999999999999</v>
      </c>
      <c r="AK9" s="302">
        <v>0</v>
      </c>
      <c r="AL9" s="1230">
        <v>0</v>
      </c>
      <c r="AM9" s="1178">
        <v>0</v>
      </c>
      <c r="AN9" s="302">
        <v>0</v>
      </c>
      <c r="AO9" s="302">
        <v>0</v>
      </c>
      <c r="AP9" s="302">
        <v>0</v>
      </c>
      <c r="AQ9" s="1622">
        <v>0</v>
      </c>
      <c r="AR9" s="1622">
        <v>0</v>
      </c>
      <c r="AS9" s="1622">
        <v>0</v>
      </c>
      <c r="AT9" s="1622">
        <v>0</v>
      </c>
      <c r="AU9" s="1623">
        <v>0</v>
      </c>
      <c r="AV9" s="1624">
        <v>0</v>
      </c>
      <c r="AW9" s="1622">
        <v>0</v>
      </c>
      <c r="AX9" s="1622">
        <v>0</v>
      </c>
      <c r="AY9" s="1622">
        <v>0</v>
      </c>
      <c r="AZ9" s="1622">
        <v>0</v>
      </c>
      <c r="BA9" s="1623">
        <v>0</v>
      </c>
      <c r="BB9" s="1624">
        <v>0</v>
      </c>
      <c r="BC9" s="1622">
        <v>0</v>
      </c>
      <c r="BD9" s="1622">
        <v>0</v>
      </c>
      <c r="BE9" s="1622">
        <v>0</v>
      </c>
      <c r="BF9" s="1622">
        <v>0</v>
      </c>
      <c r="BG9" s="1622">
        <v>0</v>
      </c>
      <c r="BH9" s="1622">
        <v>0</v>
      </c>
      <c r="BI9" s="1622">
        <v>0</v>
      </c>
      <c r="BJ9" s="1622">
        <v>0</v>
      </c>
      <c r="BL9" s="243">
        <v>0.50800000000000001</v>
      </c>
      <c r="BM9" s="243">
        <v>0.49</v>
      </c>
      <c r="BN9" s="243">
        <v>0.46200000000000002</v>
      </c>
      <c r="BO9" s="1282">
        <v>0.496</v>
      </c>
      <c r="BP9" s="1225">
        <v>1.42</v>
      </c>
      <c r="BQ9" s="243">
        <v>1.446</v>
      </c>
      <c r="BR9" s="243">
        <v>1.454</v>
      </c>
      <c r="BS9" s="243">
        <v>1.411</v>
      </c>
      <c r="BT9" s="243">
        <v>1.0024999999999999</v>
      </c>
      <c r="BU9" s="243">
        <v>1.212</v>
      </c>
      <c r="BV9" s="243">
        <v>1.1120000000000001</v>
      </c>
      <c r="BW9" s="243">
        <v>1.089</v>
      </c>
      <c r="BX9" s="1282">
        <v>1.095</v>
      </c>
      <c r="BY9" s="1225">
        <v>0</v>
      </c>
      <c r="BZ9" s="243">
        <v>0</v>
      </c>
      <c r="CA9" s="243">
        <v>0</v>
      </c>
      <c r="CB9" s="243">
        <v>0</v>
      </c>
      <c r="CC9" s="243">
        <v>0</v>
      </c>
      <c r="CD9" s="1282">
        <v>0</v>
      </c>
      <c r="CE9" s="1225">
        <v>0</v>
      </c>
      <c r="CF9" s="243">
        <v>0</v>
      </c>
      <c r="CG9" s="243">
        <v>0</v>
      </c>
      <c r="CH9" s="243">
        <v>0</v>
      </c>
      <c r="CI9" s="243">
        <v>0</v>
      </c>
      <c r="CJ9" s="243">
        <v>0</v>
      </c>
      <c r="CK9" s="243">
        <v>0</v>
      </c>
      <c r="CL9" s="243">
        <v>0</v>
      </c>
      <c r="CM9" s="243">
        <v>0</v>
      </c>
      <c r="CN9" s="325"/>
      <c r="CO9" s="244">
        <v>0</v>
      </c>
      <c r="CP9" s="244">
        <v>19.2</v>
      </c>
      <c r="CQ9" s="244">
        <v>18.7</v>
      </c>
      <c r="CR9" s="1237">
        <v>20.100000000000001</v>
      </c>
      <c r="CS9" s="606">
        <v>17</v>
      </c>
      <c r="CT9" s="244">
        <v>19.8</v>
      </c>
      <c r="CU9" s="244">
        <v>14.5</v>
      </c>
      <c r="CV9" s="244">
        <v>16.600000000000001</v>
      </c>
      <c r="CW9" s="244">
        <v>15.124999999999998</v>
      </c>
      <c r="CX9" s="244">
        <v>16.399999999999999</v>
      </c>
      <c r="CY9" s="244">
        <v>14.7</v>
      </c>
      <c r="CZ9" s="244">
        <v>16.7</v>
      </c>
      <c r="DA9" s="1237">
        <v>16.399999999999999</v>
      </c>
      <c r="DB9" s="606">
        <v>0</v>
      </c>
      <c r="DC9" s="244">
        <v>0</v>
      </c>
      <c r="DD9" s="244">
        <v>0</v>
      </c>
      <c r="DE9" s="244">
        <v>0</v>
      </c>
      <c r="DF9" s="244">
        <v>0</v>
      </c>
      <c r="DG9" s="1237">
        <v>0</v>
      </c>
      <c r="DH9" s="606">
        <v>0</v>
      </c>
      <c r="DI9" s="244">
        <v>0</v>
      </c>
      <c r="DJ9" s="244">
        <v>0</v>
      </c>
      <c r="DK9" s="244">
        <v>0</v>
      </c>
      <c r="DL9" s="244">
        <v>0</v>
      </c>
      <c r="DM9" s="244">
        <v>0</v>
      </c>
      <c r="DN9" s="244">
        <v>0</v>
      </c>
      <c r="DO9" s="244">
        <v>0</v>
      </c>
      <c r="DP9" s="244">
        <v>0</v>
      </c>
      <c r="DR9" s="241" t="s">
        <v>199</v>
      </c>
      <c r="DS9" s="244">
        <v>5.22</v>
      </c>
      <c r="DT9" s="244">
        <v>5.7949999999999999</v>
      </c>
      <c r="DU9" s="244">
        <v>6.47</v>
      </c>
      <c r="DV9" s="1237">
        <v>6.75</v>
      </c>
      <c r="DW9" s="606">
        <v>14.86</v>
      </c>
      <c r="DX9" s="244">
        <v>14.57</v>
      </c>
      <c r="DY9" s="244">
        <v>13.73</v>
      </c>
      <c r="DZ9" s="244">
        <v>13.88</v>
      </c>
      <c r="EA9" s="244">
        <v>13.88</v>
      </c>
      <c r="EB9" s="244">
        <v>13.33</v>
      </c>
      <c r="EC9" s="244">
        <v>13.77</v>
      </c>
      <c r="ED9" s="244">
        <v>13.56</v>
      </c>
      <c r="EE9" s="1237">
        <v>13.7</v>
      </c>
      <c r="EF9" s="606">
        <v>0</v>
      </c>
      <c r="EG9" s="244">
        <v>0</v>
      </c>
      <c r="EH9" s="244">
        <v>0</v>
      </c>
      <c r="EI9" s="244">
        <v>0</v>
      </c>
      <c r="EJ9" s="244">
        <v>0</v>
      </c>
      <c r="EK9" s="1237">
        <v>0</v>
      </c>
      <c r="EL9" s="606">
        <v>0</v>
      </c>
      <c r="EM9" s="244">
        <v>0</v>
      </c>
      <c r="EN9" s="244">
        <v>0</v>
      </c>
      <c r="EO9" s="244">
        <v>0</v>
      </c>
      <c r="EP9" s="244">
        <v>0</v>
      </c>
      <c r="EQ9" s="244">
        <v>0</v>
      </c>
      <c r="ER9" s="244">
        <v>0</v>
      </c>
      <c r="ES9" s="244">
        <v>0</v>
      </c>
      <c r="ET9" s="244">
        <v>0</v>
      </c>
      <c r="EV9" s="244">
        <v>0.74</v>
      </c>
      <c r="EW9" s="244">
        <f t="shared" si="1"/>
        <v>0.06</v>
      </c>
      <c r="EX9" s="244">
        <v>0.06</v>
      </c>
      <c r="EY9" s="1237">
        <v>0.03</v>
      </c>
      <c r="EZ9" s="606">
        <v>0.08</v>
      </c>
      <c r="FA9" s="244">
        <v>0.17</v>
      </c>
      <c r="FB9" s="244">
        <v>0.18</v>
      </c>
      <c r="FC9" s="244">
        <v>0.05</v>
      </c>
      <c r="FD9" s="244">
        <v>0.14000000000000001</v>
      </c>
      <c r="FE9" s="244">
        <v>0.08</v>
      </c>
      <c r="FF9" s="244">
        <v>0.03</v>
      </c>
      <c r="FG9" s="244">
        <v>0.04</v>
      </c>
      <c r="FH9" s="1237">
        <v>0.14000000000000001</v>
      </c>
      <c r="FI9" s="606">
        <v>0</v>
      </c>
      <c r="FJ9" s="244">
        <v>0</v>
      </c>
      <c r="FK9" s="244">
        <v>0</v>
      </c>
      <c r="FL9" s="244">
        <v>0</v>
      </c>
      <c r="FM9" s="244">
        <v>0</v>
      </c>
      <c r="FN9" s="1237">
        <v>0</v>
      </c>
      <c r="FO9" s="606">
        <v>0</v>
      </c>
      <c r="FP9" s="244">
        <v>0</v>
      </c>
      <c r="FQ9" s="244">
        <v>0</v>
      </c>
      <c r="FR9" s="244">
        <v>0</v>
      </c>
      <c r="FS9" s="244">
        <v>0</v>
      </c>
      <c r="FT9" s="244">
        <v>0</v>
      </c>
      <c r="FU9" s="244">
        <v>0</v>
      </c>
      <c r="FV9" s="244">
        <v>0</v>
      </c>
      <c r="FW9" s="244">
        <v>0</v>
      </c>
      <c r="FX9" s="1" t="s">
        <v>199</v>
      </c>
    </row>
    <row r="10" spans="1:180" x14ac:dyDescent="0.35">
      <c r="C10" s="1" t="s">
        <v>103</v>
      </c>
      <c r="F10" s="1024">
        <v>0</v>
      </c>
      <c r="G10" s="302">
        <v>0</v>
      </c>
      <c r="H10" s="302">
        <v>0</v>
      </c>
      <c r="I10" s="1230">
        <v>0</v>
      </c>
      <c r="J10" s="1178">
        <v>0</v>
      </c>
      <c r="K10" s="302">
        <v>0</v>
      </c>
      <c r="L10" s="1178">
        <v>0</v>
      </c>
      <c r="M10" s="302">
        <v>0</v>
      </c>
      <c r="N10" s="1178">
        <v>0</v>
      </c>
      <c r="O10" s="2628">
        <v>0</v>
      </c>
      <c r="P10" s="302">
        <v>0</v>
      </c>
      <c r="Q10" s="302">
        <v>0</v>
      </c>
      <c r="R10" s="302">
        <v>0</v>
      </c>
      <c r="S10" s="302">
        <v>0</v>
      </c>
      <c r="T10" s="302">
        <v>0</v>
      </c>
      <c r="U10" s="302">
        <v>0</v>
      </c>
      <c r="V10" s="302">
        <v>0</v>
      </c>
      <c r="W10" s="302">
        <v>0</v>
      </c>
      <c r="X10" s="302">
        <v>0</v>
      </c>
      <c r="Y10" s="302">
        <v>0</v>
      </c>
      <c r="Z10" s="302">
        <v>0</v>
      </c>
      <c r="AA10" s="302">
        <v>0</v>
      </c>
      <c r="AB10" s="302">
        <v>0</v>
      </c>
      <c r="AC10" s="302">
        <v>0</v>
      </c>
      <c r="AD10" s="302">
        <v>0</v>
      </c>
      <c r="AE10" s="302">
        <v>0</v>
      </c>
      <c r="AF10" s="302">
        <v>0</v>
      </c>
      <c r="AG10" s="302">
        <v>0</v>
      </c>
      <c r="AH10" s="324"/>
      <c r="AI10" s="302">
        <v>0</v>
      </c>
      <c r="AJ10" s="302">
        <v>1.609</v>
      </c>
      <c r="AK10" s="302">
        <v>0</v>
      </c>
      <c r="AL10" s="1230">
        <v>0</v>
      </c>
      <c r="AM10" s="1178">
        <v>0</v>
      </c>
      <c r="AN10" s="302">
        <v>0</v>
      </c>
      <c r="AO10" s="302">
        <v>0</v>
      </c>
      <c r="AP10" s="302">
        <v>0</v>
      </c>
      <c r="AQ10" s="1622">
        <v>0</v>
      </c>
      <c r="AR10" s="1622">
        <v>0</v>
      </c>
      <c r="AS10" s="1622">
        <v>0</v>
      </c>
      <c r="AT10" s="1622">
        <v>0</v>
      </c>
      <c r="AU10" s="1623">
        <v>0</v>
      </c>
      <c r="AV10" s="1624">
        <v>0</v>
      </c>
      <c r="AW10" s="1622">
        <v>0</v>
      </c>
      <c r="AX10" s="1622">
        <v>0</v>
      </c>
      <c r="AY10" s="1622">
        <v>0</v>
      </c>
      <c r="AZ10" s="1622">
        <v>0</v>
      </c>
      <c r="BA10" s="1623">
        <v>0</v>
      </c>
      <c r="BB10" s="1624">
        <v>0</v>
      </c>
      <c r="BC10" s="1622">
        <v>0</v>
      </c>
      <c r="BD10" s="1622">
        <v>0</v>
      </c>
      <c r="BE10" s="1622">
        <v>0</v>
      </c>
      <c r="BF10" s="1622">
        <v>0</v>
      </c>
      <c r="BG10" s="1622">
        <v>0</v>
      </c>
      <c r="BH10" s="1622">
        <v>0</v>
      </c>
      <c r="BI10" s="1622">
        <v>0</v>
      </c>
      <c r="BJ10" s="1622">
        <v>0</v>
      </c>
      <c r="BL10" s="243">
        <v>2.4005000000000001</v>
      </c>
      <c r="BM10" s="243">
        <v>2.302</v>
      </c>
      <c r="BN10" s="243">
        <v>2.3439999999999999</v>
      </c>
      <c r="BO10" s="1282">
        <v>2.7330000000000001</v>
      </c>
      <c r="BP10" s="1225">
        <v>8.3179999999999996</v>
      </c>
      <c r="BQ10" s="243">
        <v>8.5820000000000007</v>
      </c>
      <c r="BR10" s="243">
        <v>8.3320000000000007</v>
      </c>
      <c r="BS10" s="243">
        <v>8.0169999999999995</v>
      </c>
      <c r="BT10" s="243">
        <v>7.4414999999999996</v>
      </c>
      <c r="BU10" s="243">
        <v>7.6289999999999996</v>
      </c>
      <c r="BV10" s="243">
        <v>7.6449999999999996</v>
      </c>
      <c r="BW10" s="243">
        <v>7.5369999999999999</v>
      </c>
      <c r="BX10" s="1282">
        <v>7.6</v>
      </c>
      <c r="BY10" s="1225">
        <v>0</v>
      </c>
      <c r="BZ10" s="243">
        <v>0</v>
      </c>
      <c r="CA10" s="243">
        <v>0</v>
      </c>
      <c r="CB10" s="243">
        <v>0</v>
      </c>
      <c r="CC10" s="243">
        <v>0</v>
      </c>
      <c r="CD10" s="1282">
        <v>0</v>
      </c>
      <c r="CE10" s="1225">
        <v>0</v>
      </c>
      <c r="CF10" s="243">
        <v>0</v>
      </c>
      <c r="CG10" s="243">
        <v>0</v>
      </c>
      <c r="CH10" s="243">
        <v>0</v>
      </c>
      <c r="CI10" s="243">
        <v>0</v>
      </c>
      <c r="CJ10" s="243">
        <v>0</v>
      </c>
      <c r="CK10" s="243">
        <v>0</v>
      </c>
      <c r="CL10" s="243">
        <v>0</v>
      </c>
      <c r="CM10" s="243">
        <v>0</v>
      </c>
      <c r="CN10" s="325"/>
      <c r="CO10" s="244">
        <v>0</v>
      </c>
      <c r="CP10" s="244">
        <v>35.5</v>
      </c>
      <c r="CQ10" s="244">
        <v>36.6</v>
      </c>
      <c r="CR10" s="1237">
        <v>37.9</v>
      </c>
      <c r="CS10" s="606">
        <v>42.1</v>
      </c>
      <c r="CT10" s="244">
        <v>41.1</v>
      </c>
      <c r="CU10" s="244">
        <v>45.3</v>
      </c>
      <c r="CV10" s="244">
        <v>43.9</v>
      </c>
      <c r="CW10" s="244">
        <v>40.549999999999997</v>
      </c>
      <c r="CX10" s="244">
        <v>42.8</v>
      </c>
      <c r="CY10" s="244">
        <v>45.3</v>
      </c>
      <c r="CZ10" s="244">
        <v>44.3</v>
      </c>
      <c r="DA10" s="1237">
        <v>44.6</v>
      </c>
      <c r="DB10" s="606">
        <v>0</v>
      </c>
      <c r="DC10" s="244">
        <v>0</v>
      </c>
      <c r="DD10" s="244">
        <v>0</v>
      </c>
      <c r="DE10" s="244">
        <v>0</v>
      </c>
      <c r="DF10" s="244">
        <v>0</v>
      </c>
      <c r="DG10" s="1237">
        <v>0</v>
      </c>
      <c r="DH10" s="606">
        <v>0</v>
      </c>
      <c r="DI10" s="244">
        <v>0</v>
      </c>
      <c r="DJ10" s="244">
        <v>0</v>
      </c>
      <c r="DK10" s="244">
        <v>0</v>
      </c>
      <c r="DL10" s="244">
        <v>0</v>
      </c>
      <c r="DM10" s="244">
        <v>0</v>
      </c>
      <c r="DN10" s="244">
        <v>0</v>
      </c>
      <c r="DO10" s="244">
        <v>0</v>
      </c>
      <c r="DP10" s="244">
        <v>0</v>
      </c>
      <c r="DR10" s="241" t="s">
        <v>200</v>
      </c>
      <c r="DS10" s="244">
        <v>4.28</v>
      </c>
      <c r="DT10" s="244">
        <v>4.46</v>
      </c>
      <c r="DU10" s="244">
        <v>5.32</v>
      </c>
      <c r="DV10" s="1237">
        <v>5.57</v>
      </c>
      <c r="DW10" s="606">
        <v>11.82</v>
      </c>
      <c r="DX10" s="244">
        <v>11.6</v>
      </c>
      <c r="DY10" s="244">
        <v>10.77</v>
      </c>
      <c r="DZ10" s="244">
        <v>11.05</v>
      </c>
      <c r="EA10" s="244">
        <v>11.05</v>
      </c>
      <c r="EB10" s="244">
        <v>10.86</v>
      </c>
      <c r="EC10" s="244">
        <v>10.98</v>
      </c>
      <c r="ED10" s="244">
        <v>10.78</v>
      </c>
      <c r="EE10" s="1237">
        <v>10.76</v>
      </c>
      <c r="EF10" s="606">
        <v>0</v>
      </c>
      <c r="EG10" s="244">
        <v>0</v>
      </c>
      <c r="EH10" s="244">
        <v>0</v>
      </c>
      <c r="EI10" s="244">
        <v>0</v>
      </c>
      <c r="EJ10" s="244">
        <v>0</v>
      </c>
      <c r="EK10" s="1237">
        <v>0</v>
      </c>
      <c r="EL10" s="606">
        <v>0</v>
      </c>
      <c r="EM10" s="244">
        <v>0</v>
      </c>
      <c r="EN10" s="244">
        <v>0</v>
      </c>
      <c r="EO10" s="244">
        <v>0</v>
      </c>
      <c r="EP10" s="244">
        <v>0</v>
      </c>
      <c r="EQ10" s="244">
        <v>0</v>
      </c>
      <c r="ER10" s="244">
        <v>0</v>
      </c>
      <c r="ES10" s="244">
        <v>0</v>
      </c>
      <c r="ET10" s="244">
        <v>0</v>
      </c>
      <c r="EV10" s="244">
        <v>0.54</v>
      </c>
      <c r="EW10" s="244">
        <f t="shared" si="1"/>
        <v>0.11</v>
      </c>
      <c r="EX10" s="244">
        <v>0.11</v>
      </c>
      <c r="EY10" s="1237">
        <v>0.05</v>
      </c>
      <c r="EZ10" s="606">
        <v>0.14000000000000001</v>
      </c>
      <c r="FA10" s="244">
        <v>0.27</v>
      </c>
      <c r="FB10" s="244">
        <v>0.3</v>
      </c>
      <c r="FC10" s="244">
        <v>0.1</v>
      </c>
      <c r="FD10" s="244">
        <v>0.22499999999999998</v>
      </c>
      <c r="FE10" s="244">
        <v>0.14000000000000001</v>
      </c>
      <c r="FF10" s="244">
        <v>0.05</v>
      </c>
      <c r="FG10" s="244">
        <v>0.06</v>
      </c>
      <c r="FH10" s="1237">
        <v>0.26</v>
      </c>
      <c r="FI10" s="606">
        <v>0</v>
      </c>
      <c r="FJ10" s="244">
        <v>0</v>
      </c>
      <c r="FK10" s="244">
        <v>0</v>
      </c>
      <c r="FL10" s="244">
        <v>0</v>
      </c>
      <c r="FM10" s="244">
        <v>0</v>
      </c>
      <c r="FN10" s="1237">
        <v>0</v>
      </c>
      <c r="FO10" s="606">
        <v>0</v>
      </c>
      <c r="FP10" s="244">
        <v>0</v>
      </c>
      <c r="FQ10" s="244">
        <v>0</v>
      </c>
      <c r="FR10" s="244">
        <v>0</v>
      </c>
      <c r="FS10" s="244">
        <v>0</v>
      </c>
      <c r="FT10" s="244">
        <v>0</v>
      </c>
      <c r="FU10" s="244">
        <v>0</v>
      </c>
      <c r="FV10" s="244">
        <v>0</v>
      </c>
      <c r="FW10" s="244">
        <v>0</v>
      </c>
      <c r="FX10" s="1" t="s">
        <v>200</v>
      </c>
    </row>
    <row r="11" spans="1:180" x14ac:dyDescent="0.35">
      <c r="C11" s="1" t="s">
        <v>104</v>
      </c>
      <c r="F11" s="1024">
        <v>1.091</v>
      </c>
      <c r="G11" s="302">
        <v>1.091</v>
      </c>
      <c r="H11" s="302">
        <v>1.091</v>
      </c>
      <c r="I11" s="1230">
        <v>1.091</v>
      </c>
      <c r="J11" s="1178">
        <v>0.67700000000000005</v>
      </c>
      <c r="K11" s="302">
        <v>0.67700000000000005</v>
      </c>
      <c r="L11" s="1178">
        <v>0.67700000000000005</v>
      </c>
      <c r="M11" s="302">
        <v>0.67700000000000005</v>
      </c>
      <c r="N11" s="1178">
        <v>0.67700000000000005</v>
      </c>
      <c r="O11" s="2628">
        <v>0.67700000000000005</v>
      </c>
      <c r="P11" s="302">
        <v>0.67700000000000005</v>
      </c>
      <c r="Q11" s="302">
        <v>0.67700000000000005</v>
      </c>
      <c r="R11" s="302">
        <v>0.67700000000000005</v>
      </c>
      <c r="S11" s="302">
        <v>0.67700000000000005</v>
      </c>
      <c r="T11" s="302">
        <v>0.67700000000000005</v>
      </c>
      <c r="U11" s="302">
        <v>0.67700000000000005</v>
      </c>
      <c r="V11" s="302">
        <v>0.67700000000000005</v>
      </c>
      <c r="W11" s="302">
        <v>0.67700000000000005</v>
      </c>
      <c r="X11" s="302">
        <v>1.091</v>
      </c>
      <c r="Y11" s="302">
        <v>1.091</v>
      </c>
      <c r="Z11" s="302">
        <v>1.091</v>
      </c>
      <c r="AA11" s="302">
        <v>1.091</v>
      </c>
      <c r="AB11" s="302">
        <v>0</v>
      </c>
      <c r="AC11" s="302">
        <v>0</v>
      </c>
      <c r="AD11" s="302">
        <v>0</v>
      </c>
      <c r="AE11" s="302">
        <v>0</v>
      </c>
      <c r="AF11" s="302">
        <v>0</v>
      </c>
      <c r="AG11" s="302">
        <v>0</v>
      </c>
      <c r="AH11" s="324"/>
      <c r="AI11" s="302">
        <v>0</v>
      </c>
      <c r="AJ11" s="302">
        <v>22.95</v>
      </c>
      <c r="AK11" s="302">
        <v>0</v>
      </c>
      <c r="AL11" s="1230">
        <v>0</v>
      </c>
      <c r="AM11" s="1178">
        <v>0</v>
      </c>
      <c r="AN11" s="302">
        <v>0</v>
      </c>
      <c r="AO11" s="302">
        <v>0</v>
      </c>
      <c r="AP11" s="302">
        <v>0</v>
      </c>
      <c r="AQ11" s="1622">
        <v>0</v>
      </c>
      <c r="AR11" s="1622">
        <v>0</v>
      </c>
      <c r="AS11" s="1622">
        <v>0</v>
      </c>
      <c r="AT11" s="1622">
        <v>0</v>
      </c>
      <c r="AU11" s="1623">
        <v>0</v>
      </c>
      <c r="AV11" s="1624">
        <v>0</v>
      </c>
      <c r="AW11" s="1622">
        <v>0</v>
      </c>
      <c r="AX11" s="1622">
        <v>0</v>
      </c>
      <c r="AY11" s="1622">
        <v>0</v>
      </c>
      <c r="AZ11" s="1622">
        <v>0</v>
      </c>
      <c r="BA11" s="1623">
        <v>0</v>
      </c>
      <c r="BB11" s="1624">
        <v>0</v>
      </c>
      <c r="BC11" s="1622">
        <v>0</v>
      </c>
      <c r="BD11" s="1622">
        <v>0</v>
      </c>
      <c r="BE11" s="1622">
        <v>0</v>
      </c>
      <c r="BF11" s="1622">
        <v>0</v>
      </c>
      <c r="BG11" s="1622">
        <v>0</v>
      </c>
      <c r="BH11" s="1622">
        <v>0</v>
      </c>
      <c r="BI11" s="1622">
        <v>0</v>
      </c>
      <c r="BJ11" s="1622">
        <v>0</v>
      </c>
      <c r="BL11" s="243">
        <v>7.2174999999999994</v>
      </c>
      <c r="BM11" s="243">
        <v>6.7215000000000007</v>
      </c>
      <c r="BN11" s="243">
        <v>6.894333333333333</v>
      </c>
      <c r="BO11" s="1282">
        <v>7.4409999999999998</v>
      </c>
      <c r="BP11" s="1225">
        <v>18.18</v>
      </c>
      <c r="BQ11" s="243">
        <v>19.138999999999999</v>
      </c>
      <c r="BR11" s="243">
        <v>18.54</v>
      </c>
      <c r="BS11" s="243">
        <v>17.995000000000001</v>
      </c>
      <c r="BT11" s="243">
        <v>17.735500000000002</v>
      </c>
      <c r="BU11" s="243">
        <v>17.899000000000001</v>
      </c>
      <c r="BV11" s="243">
        <v>17.748000000000001</v>
      </c>
      <c r="BW11" s="243">
        <v>17.890999999999998</v>
      </c>
      <c r="BX11" s="1282">
        <v>18.123000000000001</v>
      </c>
      <c r="BY11" s="1225">
        <v>0</v>
      </c>
      <c r="BZ11" s="243">
        <v>0</v>
      </c>
      <c r="CA11" s="243">
        <v>0</v>
      </c>
      <c r="CB11" s="243">
        <v>0</v>
      </c>
      <c r="CC11" s="243">
        <v>0</v>
      </c>
      <c r="CD11" s="1282">
        <v>0</v>
      </c>
      <c r="CE11" s="1225">
        <v>0</v>
      </c>
      <c r="CF11" s="243">
        <v>0</v>
      </c>
      <c r="CG11" s="243">
        <v>0</v>
      </c>
      <c r="CH11" s="243">
        <v>0</v>
      </c>
      <c r="CI11" s="243">
        <v>0</v>
      </c>
      <c r="CJ11" s="243">
        <v>0</v>
      </c>
      <c r="CK11" s="243">
        <v>0</v>
      </c>
      <c r="CL11" s="243">
        <v>0</v>
      </c>
      <c r="CM11" s="243">
        <v>0</v>
      </c>
      <c r="CN11" s="325"/>
      <c r="CO11" s="244">
        <v>0</v>
      </c>
      <c r="CP11" s="244">
        <v>30.2</v>
      </c>
      <c r="CQ11" s="244">
        <v>29.7</v>
      </c>
      <c r="CR11" s="1237">
        <v>28.8</v>
      </c>
      <c r="CS11" s="606">
        <v>30.7</v>
      </c>
      <c r="CT11" s="244">
        <v>28.3</v>
      </c>
      <c r="CU11" s="244">
        <v>31.8</v>
      </c>
      <c r="CV11" s="244">
        <v>30.4</v>
      </c>
      <c r="CW11" s="244">
        <v>31.25</v>
      </c>
      <c r="CX11" s="244">
        <v>30.2</v>
      </c>
      <c r="CY11" s="244">
        <v>31.6</v>
      </c>
      <c r="CZ11" s="244">
        <v>30.2</v>
      </c>
      <c r="DA11" s="1237">
        <v>30.5</v>
      </c>
      <c r="DB11" s="606">
        <v>0</v>
      </c>
      <c r="DC11" s="244">
        <v>0</v>
      </c>
      <c r="DD11" s="244">
        <v>0</v>
      </c>
      <c r="DE11" s="244">
        <v>0</v>
      </c>
      <c r="DF11" s="244">
        <v>0</v>
      </c>
      <c r="DG11" s="1237">
        <v>0</v>
      </c>
      <c r="DH11" s="606">
        <v>0</v>
      </c>
      <c r="DI11" s="244">
        <v>0</v>
      </c>
      <c r="DJ11" s="244">
        <v>0</v>
      </c>
      <c r="DK11" s="244">
        <v>0</v>
      </c>
      <c r="DL11" s="244">
        <v>0</v>
      </c>
      <c r="DM11" s="244">
        <v>0</v>
      </c>
      <c r="DN11" s="244">
        <v>0</v>
      </c>
      <c r="DO11" s="244">
        <v>0</v>
      </c>
      <c r="DP11" s="244">
        <v>0</v>
      </c>
      <c r="DR11" s="241" t="s">
        <v>201</v>
      </c>
      <c r="DS11" s="244">
        <v>4.8499999999999996</v>
      </c>
      <c r="DT11" s="244">
        <v>4.7350000000000003</v>
      </c>
      <c r="DU11" s="244">
        <v>5.39</v>
      </c>
      <c r="DV11" s="1237">
        <v>5.62</v>
      </c>
      <c r="DW11" s="606">
        <v>11.25</v>
      </c>
      <c r="DX11" s="244">
        <v>11.14</v>
      </c>
      <c r="DY11" s="244">
        <v>10.78</v>
      </c>
      <c r="DZ11" s="244">
        <v>10.92</v>
      </c>
      <c r="EA11" s="244">
        <v>10.92</v>
      </c>
      <c r="EB11" s="244">
        <v>11.39</v>
      </c>
      <c r="EC11" s="244">
        <v>10.93</v>
      </c>
      <c r="ED11" s="244">
        <v>10.78</v>
      </c>
      <c r="EE11" s="1237">
        <v>10.74</v>
      </c>
      <c r="EF11" s="606">
        <v>0</v>
      </c>
      <c r="EG11" s="244">
        <v>0</v>
      </c>
      <c r="EH11" s="244">
        <v>0</v>
      </c>
      <c r="EI11" s="244">
        <v>0</v>
      </c>
      <c r="EJ11" s="244">
        <v>0</v>
      </c>
      <c r="EK11" s="1237">
        <v>0</v>
      </c>
      <c r="EL11" s="606">
        <v>0</v>
      </c>
      <c r="EM11" s="244">
        <v>0</v>
      </c>
      <c r="EN11" s="244">
        <v>0</v>
      </c>
      <c r="EO11" s="244">
        <v>0</v>
      </c>
      <c r="EP11" s="244">
        <v>0</v>
      </c>
      <c r="EQ11" s="244">
        <v>0</v>
      </c>
      <c r="ER11" s="244">
        <v>0</v>
      </c>
      <c r="ES11" s="244">
        <v>0</v>
      </c>
      <c r="ET11" s="244">
        <v>0</v>
      </c>
      <c r="EV11" s="244">
        <v>1.18</v>
      </c>
      <c r="EW11" s="244">
        <f t="shared" si="1"/>
        <v>0.16</v>
      </c>
      <c r="EX11" s="244">
        <v>0.16</v>
      </c>
      <c r="EY11" s="1237">
        <v>0.08</v>
      </c>
      <c r="EZ11" s="606">
        <v>0.24</v>
      </c>
      <c r="FA11" s="244">
        <v>0.41</v>
      </c>
      <c r="FB11" s="244">
        <v>0.45</v>
      </c>
      <c r="FC11" s="244">
        <v>0.24</v>
      </c>
      <c r="FD11" s="244">
        <v>0.38</v>
      </c>
      <c r="FE11" s="244">
        <v>0.28000000000000003</v>
      </c>
      <c r="FF11" s="244">
        <v>0.09</v>
      </c>
      <c r="FG11" s="244">
        <v>0.15</v>
      </c>
      <c r="FH11" s="1237">
        <v>0.47</v>
      </c>
      <c r="FI11" s="606">
        <v>0</v>
      </c>
      <c r="FJ11" s="244">
        <v>0</v>
      </c>
      <c r="FK11" s="244">
        <v>0</v>
      </c>
      <c r="FL11" s="244">
        <v>0</v>
      </c>
      <c r="FM11" s="244">
        <v>0</v>
      </c>
      <c r="FN11" s="1237">
        <v>0</v>
      </c>
      <c r="FO11" s="606">
        <v>0</v>
      </c>
      <c r="FP11" s="244">
        <v>0</v>
      </c>
      <c r="FQ11" s="244">
        <v>0</v>
      </c>
      <c r="FR11" s="244">
        <v>0</v>
      </c>
      <c r="FS11" s="244">
        <v>0</v>
      </c>
      <c r="FT11" s="244">
        <v>0</v>
      </c>
      <c r="FU11" s="244">
        <v>0</v>
      </c>
      <c r="FV11" s="244">
        <v>0</v>
      </c>
      <c r="FW11" s="244">
        <v>0</v>
      </c>
      <c r="FX11" s="1" t="s">
        <v>201</v>
      </c>
    </row>
    <row r="12" spans="1:180" x14ac:dyDescent="0.35">
      <c r="C12" s="1" t="s">
        <v>105</v>
      </c>
      <c r="F12" s="1024">
        <v>5.2469999999999999</v>
      </c>
      <c r="G12" s="302">
        <v>5.2469999999999999</v>
      </c>
      <c r="H12" s="302">
        <v>5.2469999999999999</v>
      </c>
      <c r="I12" s="1230">
        <v>5.2469999999999999</v>
      </c>
      <c r="J12" s="1178">
        <v>4.1159999999999997</v>
      </c>
      <c r="K12" s="302">
        <v>4.1159999999999997</v>
      </c>
      <c r="L12" s="1178">
        <v>4.1159999999999997</v>
      </c>
      <c r="M12" s="302">
        <v>4.1159999999999997</v>
      </c>
      <c r="N12" s="1178">
        <v>4.1159999999999997</v>
      </c>
      <c r="O12" s="2628">
        <v>4.1159999999999997</v>
      </c>
      <c r="P12" s="302">
        <v>4.1159999999999997</v>
      </c>
      <c r="Q12" s="302">
        <v>4.1159999999999997</v>
      </c>
      <c r="R12" s="302">
        <v>4.1159999999999997</v>
      </c>
      <c r="S12" s="302">
        <v>4.1159999999999997</v>
      </c>
      <c r="T12" s="302">
        <v>4.1159999999999997</v>
      </c>
      <c r="U12" s="302">
        <v>4.1159999999999997</v>
      </c>
      <c r="V12" s="302">
        <v>4.1159999999999997</v>
      </c>
      <c r="W12" s="302">
        <v>4.1159999999999997</v>
      </c>
      <c r="X12" s="302">
        <v>5.2469999999999999</v>
      </c>
      <c r="Y12" s="302">
        <v>5.2469999999999999</v>
      </c>
      <c r="Z12" s="302">
        <v>5.2469999999999999</v>
      </c>
      <c r="AA12" s="302">
        <v>5.2469999999999999</v>
      </c>
      <c r="AB12" s="302">
        <v>0.6</v>
      </c>
      <c r="AC12" s="302">
        <v>0.6</v>
      </c>
      <c r="AD12" s="302">
        <v>0.6</v>
      </c>
      <c r="AE12" s="302">
        <v>0.6</v>
      </c>
      <c r="AF12" s="302">
        <v>0.6</v>
      </c>
      <c r="AG12" s="302">
        <v>0.6</v>
      </c>
      <c r="AH12" s="324"/>
      <c r="AI12" s="302">
        <v>0</v>
      </c>
      <c r="AJ12" s="302">
        <v>10.41</v>
      </c>
      <c r="AK12" s="302">
        <v>0</v>
      </c>
      <c r="AL12" s="1230">
        <v>0</v>
      </c>
      <c r="AM12" s="1178">
        <v>0</v>
      </c>
      <c r="AN12" s="302">
        <v>0</v>
      </c>
      <c r="AO12" s="302">
        <v>0</v>
      </c>
      <c r="AP12" s="302">
        <v>0</v>
      </c>
      <c r="AQ12" s="1622">
        <v>0</v>
      </c>
      <c r="AR12" s="1622">
        <v>0</v>
      </c>
      <c r="AS12" s="1622">
        <v>0</v>
      </c>
      <c r="AT12" s="1622">
        <v>0</v>
      </c>
      <c r="AU12" s="1623">
        <v>0</v>
      </c>
      <c r="AV12" s="1624">
        <v>0</v>
      </c>
      <c r="AW12" s="1622">
        <v>0</v>
      </c>
      <c r="AX12" s="1622">
        <v>0</v>
      </c>
      <c r="AY12" s="1622">
        <v>0</v>
      </c>
      <c r="AZ12" s="1622">
        <v>0</v>
      </c>
      <c r="BA12" s="1623">
        <v>0</v>
      </c>
      <c r="BB12" s="1624">
        <v>0</v>
      </c>
      <c r="BC12" s="1622">
        <v>0</v>
      </c>
      <c r="BD12" s="1622">
        <v>0</v>
      </c>
      <c r="BE12" s="1622">
        <v>0</v>
      </c>
      <c r="BF12" s="1622">
        <v>0</v>
      </c>
      <c r="BG12" s="1622">
        <v>0</v>
      </c>
      <c r="BH12" s="1622">
        <v>0</v>
      </c>
      <c r="BI12" s="1622">
        <v>0</v>
      </c>
      <c r="BJ12" s="1622">
        <v>0</v>
      </c>
      <c r="BL12" s="243">
        <v>22.606000000000002</v>
      </c>
      <c r="BM12" s="243">
        <v>20.255499999999998</v>
      </c>
      <c r="BN12" s="243">
        <v>19.087666666666667</v>
      </c>
      <c r="BO12" s="1282">
        <v>19.404</v>
      </c>
      <c r="BP12" s="1225">
        <v>30.225000000000001</v>
      </c>
      <c r="BQ12" s="243">
        <v>31.838999999999999</v>
      </c>
      <c r="BR12" s="243">
        <v>31.417999999999999</v>
      </c>
      <c r="BS12" s="243">
        <v>30.901</v>
      </c>
      <c r="BT12" s="243">
        <v>30.430500000000002</v>
      </c>
      <c r="BU12" s="243">
        <v>30.359000000000002</v>
      </c>
      <c r="BV12" s="243">
        <v>30.876000000000001</v>
      </c>
      <c r="BW12" s="243">
        <v>30.835000000000001</v>
      </c>
      <c r="BX12" s="1282">
        <v>31.282</v>
      </c>
      <c r="BY12" s="1225">
        <v>0</v>
      </c>
      <c r="BZ12" s="243">
        <v>0</v>
      </c>
      <c r="CA12" s="243">
        <v>0</v>
      </c>
      <c r="CB12" s="243">
        <v>0</v>
      </c>
      <c r="CC12" s="243">
        <v>0</v>
      </c>
      <c r="CD12" s="1282">
        <v>0</v>
      </c>
      <c r="CE12" s="1225">
        <v>0</v>
      </c>
      <c r="CF12" s="243">
        <v>0</v>
      </c>
      <c r="CG12" s="243">
        <v>0</v>
      </c>
      <c r="CH12" s="243">
        <v>0</v>
      </c>
      <c r="CI12" s="243">
        <v>0</v>
      </c>
      <c r="CJ12" s="243">
        <v>0</v>
      </c>
      <c r="CK12" s="243">
        <v>0</v>
      </c>
      <c r="CL12" s="243">
        <v>0</v>
      </c>
      <c r="CM12" s="243">
        <v>0</v>
      </c>
      <c r="CN12" s="325"/>
      <c r="CO12" s="244">
        <v>0</v>
      </c>
      <c r="CP12" s="244">
        <v>13.8</v>
      </c>
      <c r="CQ12" s="244">
        <v>10.7</v>
      </c>
      <c r="CR12" s="1237">
        <v>9.1</v>
      </c>
      <c r="CS12" s="606">
        <v>8.6999999999999993</v>
      </c>
      <c r="CT12" s="244">
        <v>6.6</v>
      </c>
      <c r="CU12" s="244">
        <v>7.3</v>
      </c>
      <c r="CV12" s="244">
        <v>6.9</v>
      </c>
      <c r="CW12" s="244">
        <v>11.975</v>
      </c>
      <c r="CX12" s="244">
        <v>8.5</v>
      </c>
      <c r="CY12" s="244">
        <v>7.4</v>
      </c>
      <c r="CZ12" s="244">
        <v>6.9</v>
      </c>
      <c r="DA12" s="1237">
        <v>6.9</v>
      </c>
      <c r="DB12" s="606">
        <v>0</v>
      </c>
      <c r="DC12" s="244">
        <v>0</v>
      </c>
      <c r="DD12" s="244">
        <v>0</v>
      </c>
      <c r="DE12" s="244">
        <v>0</v>
      </c>
      <c r="DF12" s="244">
        <v>0</v>
      </c>
      <c r="DG12" s="1237">
        <v>0</v>
      </c>
      <c r="DH12" s="606">
        <v>0</v>
      </c>
      <c r="DI12" s="244">
        <v>0</v>
      </c>
      <c r="DJ12" s="244">
        <v>0</v>
      </c>
      <c r="DK12" s="244">
        <v>0</v>
      </c>
      <c r="DL12" s="244">
        <v>0</v>
      </c>
      <c r="DM12" s="244">
        <v>0</v>
      </c>
      <c r="DN12" s="244">
        <v>0</v>
      </c>
      <c r="DO12" s="244">
        <v>0</v>
      </c>
      <c r="DP12" s="244">
        <v>0</v>
      </c>
      <c r="DR12" s="241" t="s">
        <v>376</v>
      </c>
      <c r="DS12" s="244">
        <v>5.85</v>
      </c>
      <c r="DT12" s="244">
        <v>5.2149999999999999</v>
      </c>
      <c r="DU12" s="244">
        <v>4.2699999999999996</v>
      </c>
      <c r="DV12" s="1237">
        <v>4.41</v>
      </c>
      <c r="DW12" s="606">
        <v>7.12</v>
      </c>
      <c r="DX12" s="244">
        <v>7.35</v>
      </c>
      <c r="DY12" s="244">
        <v>7.37</v>
      </c>
      <c r="DZ12" s="244">
        <v>7.21</v>
      </c>
      <c r="EA12" s="244">
        <v>7.21</v>
      </c>
      <c r="EB12" s="244">
        <v>7.95</v>
      </c>
      <c r="EC12" s="244">
        <v>7.26</v>
      </c>
      <c r="ED12" s="244">
        <v>7.24</v>
      </c>
      <c r="EE12" s="1237">
        <v>7.15</v>
      </c>
      <c r="EF12" s="606">
        <v>0</v>
      </c>
      <c r="EG12" s="244">
        <v>0</v>
      </c>
      <c r="EH12" s="244">
        <v>0</v>
      </c>
      <c r="EI12" s="244">
        <v>0</v>
      </c>
      <c r="EJ12" s="244">
        <v>0</v>
      </c>
      <c r="EK12" s="1237">
        <v>0</v>
      </c>
      <c r="EL12" s="606">
        <v>0</v>
      </c>
      <c r="EM12" s="244">
        <v>0</v>
      </c>
      <c r="EN12" s="244">
        <v>0</v>
      </c>
      <c r="EO12" s="244">
        <v>0</v>
      </c>
      <c r="EP12" s="244">
        <v>0</v>
      </c>
      <c r="EQ12" s="244">
        <v>0</v>
      </c>
      <c r="ER12" s="244">
        <v>0</v>
      </c>
      <c r="ES12" s="244">
        <v>0</v>
      </c>
      <c r="ET12" s="244">
        <v>0</v>
      </c>
      <c r="EV12" s="244">
        <v>1.47</v>
      </c>
      <c r="EW12" s="244">
        <f t="shared" si="1"/>
        <v>0.17</v>
      </c>
      <c r="EX12" s="244">
        <v>0.17</v>
      </c>
      <c r="EY12" s="1237">
        <v>0.11</v>
      </c>
      <c r="EZ12" s="606">
        <v>0.41</v>
      </c>
      <c r="FA12" s="244">
        <v>0.46</v>
      </c>
      <c r="FB12" s="244">
        <v>0.5</v>
      </c>
      <c r="FC12" s="244">
        <v>0.51</v>
      </c>
      <c r="FD12" s="244">
        <v>0.54499999999999993</v>
      </c>
      <c r="FE12" s="244">
        <v>0.48</v>
      </c>
      <c r="FF12" s="244">
        <v>0.2</v>
      </c>
      <c r="FG12" s="244">
        <v>0.31</v>
      </c>
      <c r="FH12" s="1237">
        <v>0.68</v>
      </c>
      <c r="FI12" s="606">
        <v>0</v>
      </c>
      <c r="FJ12" s="244">
        <v>0</v>
      </c>
      <c r="FK12" s="244">
        <v>0</v>
      </c>
      <c r="FL12" s="244">
        <v>0</v>
      </c>
      <c r="FM12" s="244">
        <v>0</v>
      </c>
      <c r="FN12" s="1237">
        <v>0</v>
      </c>
      <c r="FO12" s="606">
        <v>0</v>
      </c>
      <c r="FP12" s="244">
        <v>0</v>
      </c>
      <c r="FQ12" s="244">
        <v>0</v>
      </c>
      <c r="FR12" s="244">
        <v>0</v>
      </c>
      <c r="FS12" s="244">
        <v>0</v>
      </c>
      <c r="FT12" s="244">
        <v>0</v>
      </c>
      <c r="FU12" s="244">
        <v>0</v>
      </c>
      <c r="FV12" s="244">
        <v>0</v>
      </c>
      <c r="FW12" s="244">
        <v>0</v>
      </c>
      <c r="FX12" s="1" t="s">
        <v>376</v>
      </c>
    </row>
    <row r="13" spans="1:180" x14ac:dyDescent="0.35">
      <c r="C13" s="1" t="s">
        <v>100</v>
      </c>
      <c r="F13" s="1024">
        <v>8.5709999999999997</v>
      </c>
      <c r="G13" s="302">
        <v>8.5709999999999997</v>
      </c>
      <c r="H13" s="302">
        <v>8.5709999999999997</v>
      </c>
      <c r="I13" s="1230">
        <v>8.5709999999999997</v>
      </c>
      <c r="J13" s="1178">
        <v>7.5629999999999997</v>
      </c>
      <c r="K13" s="302">
        <v>7.5629999999999997</v>
      </c>
      <c r="L13" s="1178">
        <v>7.5629999999999997</v>
      </c>
      <c r="M13" s="302">
        <v>7.5629999999999997</v>
      </c>
      <c r="N13" s="1178">
        <v>7.5629999999999997</v>
      </c>
      <c r="O13" s="2628">
        <v>7.5629999999999997</v>
      </c>
      <c r="P13" s="302">
        <v>7.5629999999999997</v>
      </c>
      <c r="Q13" s="302">
        <v>7.5629999999999997</v>
      </c>
      <c r="R13" s="302">
        <v>7.5629999999999997</v>
      </c>
      <c r="S13" s="302">
        <v>7.5629999999999997</v>
      </c>
      <c r="T13" s="302">
        <v>7.5629999999999997</v>
      </c>
      <c r="U13" s="302">
        <v>7.5629999999999997</v>
      </c>
      <c r="V13" s="302">
        <v>7.5629999999999997</v>
      </c>
      <c r="W13" s="302">
        <v>7.5629999999999997</v>
      </c>
      <c r="X13" s="302">
        <v>8.5709999999999997</v>
      </c>
      <c r="Y13" s="302">
        <v>8.5709999999999997</v>
      </c>
      <c r="Z13" s="302">
        <v>8.5709999999999997</v>
      </c>
      <c r="AA13" s="302">
        <v>8.5709999999999997</v>
      </c>
      <c r="AB13" s="302">
        <v>11.2</v>
      </c>
      <c r="AC13" s="302">
        <v>11.2</v>
      </c>
      <c r="AD13" s="302">
        <v>11.2</v>
      </c>
      <c r="AE13" s="302">
        <v>11.2</v>
      </c>
      <c r="AF13" s="302">
        <v>11.2</v>
      </c>
      <c r="AG13" s="302">
        <v>11.2</v>
      </c>
      <c r="AH13" s="324"/>
      <c r="AI13" s="302">
        <v>0</v>
      </c>
      <c r="AJ13" s="302">
        <v>9.7772000000000006</v>
      </c>
      <c r="AK13" s="302">
        <v>0</v>
      </c>
      <c r="AL13" s="1230">
        <v>0</v>
      </c>
      <c r="AM13" s="1178">
        <v>0</v>
      </c>
      <c r="AN13" s="302">
        <v>0</v>
      </c>
      <c r="AO13" s="302">
        <v>0</v>
      </c>
      <c r="AP13" s="302">
        <v>0</v>
      </c>
      <c r="AQ13" s="1622">
        <v>0</v>
      </c>
      <c r="AR13" s="1622">
        <v>0</v>
      </c>
      <c r="AS13" s="1622">
        <v>0</v>
      </c>
      <c r="AT13" s="1622">
        <v>0</v>
      </c>
      <c r="AU13" s="1623">
        <v>0</v>
      </c>
      <c r="AV13" s="1624">
        <v>0</v>
      </c>
      <c r="AW13" s="1622">
        <v>0</v>
      </c>
      <c r="AX13" s="1622">
        <v>0</v>
      </c>
      <c r="AY13" s="1622">
        <v>0</v>
      </c>
      <c r="AZ13" s="1622">
        <v>0</v>
      </c>
      <c r="BA13" s="1623">
        <v>0</v>
      </c>
      <c r="BB13" s="1624">
        <v>0</v>
      </c>
      <c r="BC13" s="1622">
        <v>0</v>
      </c>
      <c r="BD13" s="1622">
        <v>0</v>
      </c>
      <c r="BE13" s="1622">
        <v>0</v>
      </c>
      <c r="BF13" s="1622">
        <v>0</v>
      </c>
      <c r="BG13" s="1622">
        <v>0</v>
      </c>
      <c r="BH13" s="1622">
        <v>0</v>
      </c>
      <c r="BI13" s="1622">
        <v>0</v>
      </c>
      <c r="BJ13" s="1622">
        <v>0</v>
      </c>
      <c r="BL13" s="243">
        <v>13.8965</v>
      </c>
      <c r="BM13" s="243">
        <v>13.5685</v>
      </c>
      <c r="BN13" s="243">
        <v>14.078666666666669</v>
      </c>
      <c r="BO13" s="1282">
        <v>14.951000000000001</v>
      </c>
      <c r="BP13" s="1225">
        <v>13.464</v>
      </c>
      <c r="BQ13" s="243">
        <v>14.0473</v>
      </c>
      <c r="BR13" s="243">
        <v>14.12</v>
      </c>
      <c r="BS13" s="243">
        <v>13.981</v>
      </c>
      <c r="BT13" s="243">
        <v>13.812999999999999</v>
      </c>
      <c r="BU13" s="243">
        <v>13.754</v>
      </c>
      <c r="BV13" s="243">
        <v>14.102</v>
      </c>
      <c r="BW13" s="243">
        <v>13.952999999999999</v>
      </c>
      <c r="BX13" s="1282">
        <v>13.941000000000001</v>
      </c>
      <c r="BY13" s="1225">
        <v>0</v>
      </c>
      <c r="BZ13" s="243">
        <v>0</v>
      </c>
      <c r="CA13" s="243">
        <v>0</v>
      </c>
      <c r="CB13" s="243">
        <v>0</v>
      </c>
      <c r="CC13" s="243">
        <v>0</v>
      </c>
      <c r="CD13" s="1282">
        <v>0</v>
      </c>
      <c r="CE13" s="1225">
        <v>0</v>
      </c>
      <c r="CF13" s="243">
        <v>0</v>
      </c>
      <c r="CG13" s="243">
        <v>0</v>
      </c>
      <c r="CH13" s="243">
        <v>0</v>
      </c>
      <c r="CI13" s="243">
        <v>0</v>
      </c>
      <c r="CJ13" s="243">
        <v>0</v>
      </c>
      <c r="CK13" s="243">
        <v>0</v>
      </c>
      <c r="CL13" s="243">
        <v>0</v>
      </c>
      <c r="CM13" s="243">
        <v>0</v>
      </c>
      <c r="CN13" s="325"/>
      <c r="CO13" s="244">
        <v>0</v>
      </c>
      <c r="CP13" s="244">
        <v>0.1</v>
      </c>
      <c r="CQ13" s="244">
        <v>0</v>
      </c>
      <c r="CR13" s="1237">
        <v>0</v>
      </c>
      <c r="CS13" s="606">
        <v>0</v>
      </c>
      <c r="CT13" s="244">
        <v>0</v>
      </c>
      <c r="CU13" s="244">
        <v>0</v>
      </c>
      <c r="CV13" s="244">
        <v>0</v>
      </c>
      <c r="CW13" s="244">
        <v>0</v>
      </c>
      <c r="CX13" s="244">
        <v>0</v>
      </c>
      <c r="CY13" s="244">
        <v>0</v>
      </c>
      <c r="CZ13" s="244">
        <v>0</v>
      </c>
      <c r="DA13" s="1237">
        <v>0</v>
      </c>
      <c r="DB13" s="606">
        <v>0</v>
      </c>
      <c r="DC13" s="244">
        <v>0</v>
      </c>
      <c r="DD13" s="244">
        <v>0</v>
      </c>
      <c r="DE13" s="244">
        <v>0</v>
      </c>
      <c r="DF13" s="244">
        <v>0</v>
      </c>
      <c r="DG13" s="1237">
        <v>0</v>
      </c>
      <c r="DH13" s="606">
        <v>0</v>
      </c>
      <c r="DI13" s="244">
        <v>0</v>
      </c>
      <c r="DJ13" s="244">
        <v>0</v>
      </c>
      <c r="DK13" s="244">
        <v>0</v>
      </c>
      <c r="DL13" s="244">
        <v>0</v>
      </c>
      <c r="DM13" s="244">
        <v>0</v>
      </c>
      <c r="DN13" s="244">
        <v>0</v>
      </c>
      <c r="DO13" s="244">
        <v>0</v>
      </c>
      <c r="DP13" s="244">
        <v>0</v>
      </c>
      <c r="DR13" s="241" t="s">
        <v>203</v>
      </c>
      <c r="DS13" s="244">
        <v>3.11</v>
      </c>
      <c r="DT13" s="244">
        <v>2.1850000000000001</v>
      </c>
      <c r="DU13" s="244">
        <v>3.06</v>
      </c>
      <c r="DV13" s="1237">
        <v>3.07</v>
      </c>
      <c r="DW13" s="606">
        <v>3.05</v>
      </c>
      <c r="DX13" s="244">
        <v>3.53</v>
      </c>
      <c r="DY13" s="244">
        <v>3.65</v>
      </c>
      <c r="DZ13" s="244">
        <v>3.58</v>
      </c>
      <c r="EA13" s="244">
        <v>3.58</v>
      </c>
      <c r="EB13" s="244">
        <v>3.79</v>
      </c>
      <c r="EC13" s="244">
        <v>3.79</v>
      </c>
      <c r="ED13" s="244">
        <v>3.79</v>
      </c>
      <c r="EE13" s="1237">
        <v>3.71</v>
      </c>
      <c r="EF13" s="606">
        <v>0</v>
      </c>
      <c r="EG13" s="244">
        <v>0</v>
      </c>
      <c r="EH13" s="244">
        <v>0</v>
      </c>
      <c r="EI13" s="244">
        <v>0</v>
      </c>
      <c r="EJ13" s="244">
        <v>0</v>
      </c>
      <c r="EK13" s="1237">
        <v>0</v>
      </c>
      <c r="EL13" s="606">
        <v>0</v>
      </c>
      <c r="EM13" s="244">
        <v>0</v>
      </c>
      <c r="EN13" s="244">
        <v>0</v>
      </c>
      <c r="EO13" s="244">
        <v>0</v>
      </c>
      <c r="EP13" s="244">
        <v>0</v>
      </c>
      <c r="EQ13" s="244">
        <v>0</v>
      </c>
      <c r="ER13" s="244">
        <v>0</v>
      </c>
      <c r="ES13" s="244">
        <v>0</v>
      </c>
      <c r="ET13" s="244">
        <v>0</v>
      </c>
      <c r="EV13" s="244">
        <v>0.94</v>
      </c>
      <c r="EW13" s="244">
        <f t="shared" si="1"/>
        <v>0.11</v>
      </c>
      <c r="EX13" s="244">
        <v>0.11</v>
      </c>
      <c r="EY13" s="1237">
        <v>0.12</v>
      </c>
      <c r="EZ13" s="606">
        <v>0.49</v>
      </c>
      <c r="FA13" s="244">
        <v>0.39</v>
      </c>
      <c r="FB13" s="244">
        <v>0.38</v>
      </c>
      <c r="FC13" s="244">
        <v>0.69</v>
      </c>
      <c r="FD13" s="244">
        <v>0.58499999999999996</v>
      </c>
      <c r="FE13" s="244">
        <v>0.5</v>
      </c>
      <c r="FF13" s="244">
        <v>0.4</v>
      </c>
      <c r="FG13" s="244">
        <v>0.48</v>
      </c>
      <c r="FH13" s="1237">
        <v>0.69</v>
      </c>
      <c r="FI13" s="606">
        <v>0</v>
      </c>
      <c r="FJ13" s="244">
        <v>0</v>
      </c>
      <c r="FK13" s="244">
        <v>0</v>
      </c>
      <c r="FL13" s="244">
        <v>0</v>
      </c>
      <c r="FM13" s="244">
        <v>0</v>
      </c>
      <c r="FN13" s="1237">
        <v>0</v>
      </c>
      <c r="FO13" s="606">
        <v>0</v>
      </c>
      <c r="FP13" s="244">
        <v>0</v>
      </c>
      <c r="FQ13" s="244">
        <v>0</v>
      </c>
      <c r="FR13" s="244">
        <v>0</v>
      </c>
      <c r="FS13" s="244">
        <v>0</v>
      </c>
      <c r="FT13" s="244">
        <v>0</v>
      </c>
      <c r="FU13" s="244">
        <v>0</v>
      </c>
      <c r="FV13" s="244">
        <v>0</v>
      </c>
      <c r="FW13" s="244">
        <v>0</v>
      </c>
      <c r="FX13" s="1" t="s">
        <v>203</v>
      </c>
    </row>
    <row r="14" spans="1:180" ht="15" thickBot="1" x14ac:dyDescent="0.4">
      <c r="C14" s="1" t="s">
        <v>404</v>
      </c>
      <c r="F14" s="1025">
        <v>85.091000000000008</v>
      </c>
      <c r="G14" s="303">
        <v>85.091000000000008</v>
      </c>
      <c r="H14" s="303">
        <v>85.091000000000008</v>
      </c>
      <c r="I14" s="1231">
        <v>85.091000000000008</v>
      </c>
      <c r="J14" s="1179">
        <v>87.644000000000005</v>
      </c>
      <c r="K14" s="303">
        <v>87.644000000000005</v>
      </c>
      <c r="L14" s="1179">
        <v>87.644000000000005</v>
      </c>
      <c r="M14" s="303">
        <v>87.644000000000005</v>
      </c>
      <c r="N14" s="1179">
        <v>87.644000000000005</v>
      </c>
      <c r="O14" s="2609">
        <v>87.644000000000005</v>
      </c>
      <c r="P14" s="1179">
        <v>87.644000000000005</v>
      </c>
      <c r="Q14" s="303">
        <v>87.644000000000005</v>
      </c>
      <c r="R14" s="2609">
        <v>87.644000000000005</v>
      </c>
      <c r="S14" s="2629">
        <v>87.644000000000005</v>
      </c>
      <c r="T14" s="2609">
        <v>87.644000000000005</v>
      </c>
      <c r="U14" s="303">
        <v>87.644000000000005</v>
      </c>
      <c r="V14" s="303">
        <v>87.644000000000005</v>
      </c>
      <c r="W14" s="303">
        <v>87.644000000000005</v>
      </c>
      <c r="X14" s="2609">
        <v>85.091000000000008</v>
      </c>
      <c r="Y14" s="1179">
        <v>85.091000000000008</v>
      </c>
      <c r="Z14" s="303">
        <v>85.091000000000008</v>
      </c>
      <c r="AA14" s="303">
        <v>85.091000000000008</v>
      </c>
      <c r="AB14" s="303">
        <v>88.2</v>
      </c>
      <c r="AC14" s="303">
        <v>88.2</v>
      </c>
      <c r="AD14" s="303">
        <v>88.2</v>
      </c>
      <c r="AE14" s="303">
        <v>88.2</v>
      </c>
      <c r="AF14" s="303">
        <v>88.2</v>
      </c>
      <c r="AG14" s="303">
        <v>88.2</v>
      </c>
      <c r="AH14" s="344"/>
      <c r="AI14" s="303">
        <v>100</v>
      </c>
      <c r="AJ14" s="303">
        <v>42.664800000000007</v>
      </c>
      <c r="AK14" s="303">
        <v>100</v>
      </c>
      <c r="AL14" s="1231">
        <v>100</v>
      </c>
      <c r="AM14" s="1179">
        <v>100</v>
      </c>
      <c r="AN14" s="303">
        <v>100</v>
      </c>
      <c r="AO14" s="303">
        <v>100</v>
      </c>
      <c r="AP14" s="303">
        <v>100</v>
      </c>
      <c r="AQ14" s="303">
        <v>100</v>
      </c>
      <c r="AR14" s="303">
        <v>100</v>
      </c>
      <c r="AS14" s="303">
        <v>100</v>
      </c>
      <c r="AT14" s="303">
        <v>100</v>
      </c>
      <c r="AU14" s="1231">
        <v>100</v>
      </c>
      <c r="AV14" s="1179">
        <v>100</v>
      </c>
      <c r="AW14" s="303">
        <v>100</v>
      </c>
      <c r="AX14" s="303">
        <v>100</v>
      </c>
      <c r="AY14" s="303">
        <v>100</v>
      </c>
      <c r="AZ14" s="303">
        <v>100</v>
      </c>
      <c r="BA14" s="1231">
        <v>100</v>
      </c>
      <c r="BB14" s="1179">
        <v>100</v>
      </c>
      <c r="BC14" s="303">
        <v>100</v>
      </c>
      <c r="BD14" s="303">
        <v>100</v>
      </c>
      <c r="BE14" s="303">
        <v>100</v>
      </c>
      <c r="BF14" s="303">
        <v>100</v>
      </c>
      <c r="BG14" s="303">
        <v>100</v>
      </c>
      <c r="BH14" s="303">
        <v>100</v>
      </c>
      <c r="BI14" s="303">
        <v>100</v>
      </c>
      <c r="BJ14" s="303">
        <v>100</v>
      </c>
      <c r="BK14" s="344"/>
      <c r="BL14" s="485">
        <v>53.255499999999998</v>
      </c>
      <c r="BM14" s="485">
        <v>56.516500000000001</v>
      </c>
      <c r="BN14" s="485">
        <v>57.059666666666665</v>
      </c>
      <c r="BO14" s="1591">
        <v>54.923999999999999</v>
      </c>
      <c r="BP14" s="1585">
        <v>28.358999999999995</v>
      </c>
      <c r="BQ14" s="483">
        <v>24.90270000000001</v>
      </c>
      <c r="BR14" s="483">
        <v>26.087999999999994</v>
      </c>
      <c r="BS14" s="483">
        <v>27.664000000000001</v>
      </c>
      <c r="BT14" s="483">
        <v>29.555</v>
      </c>
      <c r="BU14" s="483">
        <v>29.116</v>
      </c>
      <c r="BV14" s="484">
        <v>28.464999999999989</v>
      </c>
      <c r="BW14" s="484">
        <v>28.665000000000006</v>
      </c>
      <c r="BX14" s="1602">
        <v>27.881</v>
      </c>
      <c r="BY14" s="1598">
        <v>100</v>
      </c>
      <c r="BZ14" s="484">
        <v>100</v>
      </c>
      <c r="CA14" s="484">
        <v>100</v>
      </c>
      <c r="CB14" s="484">
        <v>100</v>
      </c>
      <c r="CC14" s="484">
        <v>100</v>
      </c>
      <c r="CD14" s="1602">
        <v>100</v>
      </c>
      <c r="CE14" s="1598">
        <v>100</v>
      </c>
      <c r="CF14" s="484">
        <v>100</v>
      </c>
      <c r="CG14" s="484">
        <v>100</v>
      </c>
      <c r="CH14" s="484">
        <v>100</v>
      </c>
      <c r="CI14" s="484">
        <v>100</v>
      </c>
      <c r="CJ14" s="484">
        <v>100</v>
      </c>
      <c r="CK14" s="484">
        <v>100</v>
      </c>
      <c r="CL14" s="484">
        <v>100</v>
      </c>
      <c r="CM14" s="484">
        <v>100</v>
      </c>
      <c r="CN14" s="350"/>
      <c r="CO14" s="304">
        <v>0</v>
      </c>
      <c r="CP14" s="304">
        <v>0</v>
      </c>
      <c r="CQ14" s="304">
        <v>0</v>
      </c>
      <c r="CR14" s="1238">
        <v>0</v>
      </c>
      <c r="CS14" s="1188">
        <v>0</v>
      </c>
      <c r="CT14" s="304">
        <v>0</v>
      </c>
      <c r="CU14" s="304">
        <v>0</v>
      </c>
      <c r="CV14" s="304">
        <v>0</v>
      </c>
      <c r="CW14" s="304">
        <v>0</v>
      </c>
      <c r="CX14" s="304">
        <v>0</v>
      </c>
      <c r="CY14" s="304">
        <v>0</v>
      </c>
      <c r="CZ14" s="304">
        <v>0</v>
      </c>
      <c r="DA14" s="1238">
        <v>0</v>
      </c>
      <c r="DB14" s="1188">
        <v>0</v>
      </c>
      <c r="DC14" s="304">
        <v>0</v>
      </c>
      <c r="DD14" s="304">
        <v>0</v>
      </c>
      <c r="DE14" s="304">
        <v>0</v>
      </c>
      <c r="DF14" s="304">
        <v>0</v>
      </c>
      <c r="DG14" s="1238">
        <v>0</v>
      </c>
      <c r="DH14" s="1188">
        <v>0</v>
      </c>
      <c r="DI14" s="304">
        <v>0</v>
      </c>
      <c r="DJ14" s="304">
        <v>0</v>
      </c>
      <c r="DK14" s="304">
        <v>0</v>
      </c>
      <c r="DL14" s="304">
        <v>0</v>
      </c>
      <c r="DM14" s="304">
        <v>0</v>
      </c>
      <c r="DN14" s="304">
        <v>0</v>
      </c>
      <c r="DO14" s="304">
        <v>0</v>
      </c>
      <c r="DP14" s="304">
        <v>0</v>
      </c>
      <c r="DR14" s="241" t="s">
        <v>403</v>
      </c>
      <c r="DS14" s="244">
        <v>2.37</v>
      </c>
      <c r="DT14" s="244">
        <v>4.2050000000000001</v>
      </c>
      <c r="DU14" s="244">
        <v>2.98</v>
      </c>
      <c r="DV14" s="1237">
        <v>1.42</v>
      </c>
      <c r="DW14" s="606">
        <v>1.97</v>
      </c>
      <c r="DX14" s="244">
        <v>1.71</v>
      </c>
      <c r="DY14" s="244">
        <v>1.76</v>
      </c>
      <c r="DZ14" s="244">
        <v>1.1399999999999999</v>
      </c>
      <c r="EA14" s="244">
        <v>1.1399999999999999</v>
      </c>
      <c r="EB14" s="244">
        <v>2.8</v>
      </c>
      <c r="EC14" s="244">
        <v>2.91</v>
      </c>
      <c r="ED14" s="244">
        <v>3.26</v>
      </c>
      <c r="EE14" s="1237">
        <v>2.94</v>
      </c>
      <c r="EF14" s="606">
        <v>0</v>
      </c>
      <c r="EG14" s="244">
        <v>0</v>
      </c>
      <c r="EH14" s="244">
        <v>0</v>
      </c>
      <c r="EI14" s="244">
        <v>0</v>
      </c>
      <c r="EJ14" s="244">
        <v>0</v>
      </c>
      <c r="EK14" s="1237">
        <v>0</v>
      </c>
      <c r="EL14" s="606">
        <v>0</v>
      </c>
      <c r="EM14" s="244">
        <v>0</v>
      </c>
      <c r="EN14" s="244">
        <v>0</v>
      </c>
      <c r="EO14" s="244">
        <v>0</v>
      </c>
      <c r="EP14" s="244">
        <v>0</v>
      </c>
      <c r="EQ14" s="244">
        <v>0</v>
      </c>
      <c r="ER14" s="244">
        <v>0</v>
      </c>
      <c r="ES14" s="244">
        <v>0</v>
      </c>
      <c r="ET14" s="244">
        <v>0</v>
      </c>
      <c r="EV14" s="244">
        <v>0.42</v>
      </c>
      <c r="EW14" s="244">
        <f t="shared" si="1"/>
        <v>0.12</v>
      </c>
      <c r="EX14" s="244">
        <v>0.12</v>
      </c>
      <c r="EY14" s="1237">
        <v>0.42</v>
      </c>
      <c r="EZ14" s="606">
        <v>0.92</v>
      </c>
      <c r="FA14" s="244">
        <v>0.7</v>
      </c>
      <c r="FB14" s="244">
        <v>0.63</v>
      </c>
      <c r="FC14" s="244">
        <v>0.45</v>
      </c>
      <c r="FD14" s="244">
        <v>0.52500000000000002</v>
      </c>
      <c r="FE14" s="244">
        <v>0.53</v>
      </c>
      <c r="FF14" s="244">
        <v>0.48</v>
      </c>
      <c r="FG14" s="244">
        <v>0.82</v>
      </c>
      <c r="FH14" s="1237">
        <v>0.93</v>
      </c>
      <c r="FI14" s="606">
        <v>0</v>
      </c>
      <c r="FJ14" s="244">
        <v>0</v>
      </c>
      <c r="FK14" s="244">
        <v>0</v>
      </c>
      <c r="FL14" s="244">
        <v>0</v>
      </c>
      <c r="FM14" s="244">
        <v>0</v>
      </c>
      <c r="FN14" s="1237">
        <v>0</v>
      </c>
      <c r="FO14" s="606">
        <v>0</v>
      </c>
      <c r="FP14" s="244">
        <v>0</v>
      </c>
      <c r="FQ14" s="244">
        <v>0</v>
      </c>
      <c r="FR14" s="244">
        <v>0</v>
      </c>
      <c r="FS14" s="244">
        <v>0</v>
      </c>
      <c r="FT14" s="244">
        <v>0</v>
      </c>
      <c r="FU14" s="244">
        <v>0</v>
      </c>
      <c r="FV14" s="244">
        <v>0</v>
      </c>
      <c r="FW14" s="244">
        <v>0</v>
      </c>
      <c r="FX14" s="1" t="s">
        <v>403</v>
      </c>
    </row>
    <row r="15" spans="1:180" s="299" customFormat="1" ht="15.5" thickTop="1" thickBot="1" x14ac:dyDescent="0.4">
      <c r="C15" s="305" t="s">
        <v>166</v>
      </c>
      <c r="D15" s="305"/>
      <c r="E15" s="305"/>
      <c r="F15" s="1026">
        <v>100</v>
      </c>
      <c r="G15" s="306">
        <v>100</v>
      </c>
      <c r="H15" s="306">
        <v>100</v>
      </c>
      <c r="I15" s="1232">
        <v>100</v>
      </c>
      <c r="J15" s="1180">
        <v>100</v>
      </c>
      <c r="K15" s="306">
        <v>100</v>
      </c>
      <c r="L15" s="306">
        <v>100</v>
      </c>
      <c r="M15" s="306">
        <v>100</v>
      </c>
      <c r="N15" s="306">
        <v>100</v>
      </c>
      <c r="O15" s="1232">
        <v>100</v>
      </c>
      <c r="P15" s="1180">
        <v>100</v>
      </c>
      <c r="Q15" s="306">
        <v>100</v>
      </c>
      <c r="R15" s="1232">
        <v>100</v>
      </c>
      <c r="S15" s="1180">
        <v>100</v>
      </c>
      <c r="T15" s="306">
        <v>100</v>
      </c>
      <c r="U15" s="306">
        <v>100</v>
      </c>
      <c r="V15" s="306">
        <v>100</v>
      </c>
      <c r="W15" s="306">
        <v>100</v>
      </c>
      <c r="X15" s="1232">
        <v>100</v>
      </c>
      <c r="Y15" s="1180">
        <v>100</v>
      </c>
      <c r="Z15" s="306">
        <v>100</v>
      </c>
      <c r="AA15" s="306">
        <v>100</v>
      </c>
      <c r="AB15" s="306">
        <v>100</v>
      </c>
      <c r="AC15" s="306">
        <v>100</v>
      </c>
      <c r="AD15" s="306">
        <v>100</v>
      </c>
      <c r="AE15" s="306">
        <v>100</v>
      </c>
      <c r="AF15" s="306">
        <v>100</v>
      </c>
      <c r="AG15" s="306">
        <v>100</v>
      </c>
      <c r="AH15" s="359"/>
      <c r="AI15" s="308">
        <v>100</v>
      </c>
      <c r="AJ15" s="308">
        <v>100</v>
      </c>
      <c r="AK15" s="308">
        <v>100</v>
      </c>
      <c r="AL15" s="1472">
        <v>100</v>
      </c>
      <c r="AM15" s="1460">
        <v>100</v>
      </c>
      <c r="AN15" s="308">
        <v>100</v>
      </c>
      <c r="AO15" s="308">
        <v>100</v>
      </c>
      <c r="AP15" s="308">
        <v>100</v>
      </c>
      <c r="AQ15" s="308">
        <v>100</v>
      </c>
      <c r="AR15" s="308">
        <v>100</v>
      </c>
      <c r="AS15" s="308">
        <v>100</v>
      </c>
      <c r="AT15" s="308">
        <v>100</v>
      </c>
      <c r="AU15" s="1472">
        <v>100</v>
      </c>
      <c r="AV15" s="1460">
        <v>100</v>
      </c>
      <c r="AW15" s="308">
        <v>100</v>
      </c>
      <c r="AX15" s="308">
        <v>100</v>
      </c>
      <c r="AY15" s="308">
        <v>100</v>
      </c>
      <c r="AZ15" s="308">
        <v>100</v>
      </c>
      <c r="BA15" s="1472">
        <v>100</v>
      </c>
      <c r="BB15" s="1460">
        <v>100</v>
      </c>
      <c r="BC15" s="308">
        <v>100</v>
      </c>
      <c r="BD15" s="308">
        <v>100</v>
      </c>
      <c r="BE15" s="308">
        <v>100</v>
      </c>
      <c r="BF15" s="308">
        <v>100</v>
      </c>
      <c r="BG15" s="308">
        <v>100</v>
      </c>
      <c r="BH15" s="308">
        <v>100</v>
      </c>
      <c r="BI15" s="308">
        <v>100</v>
      </c>
      <c r="BJ15" s="308">
        <v>100</v>
      </c>
      <c r="BK15" s="359"/>
      <c r="BL15" s="308">
        <v>100</v>
      </c>
      <c r="BM15" s="308">
        <v>100</v>
      </c>
      <c r="BN15" s="308">
        <v>100</v>
      </c>
      <c r="BO15" s="1472">
        <v>100</v>
      </c>
      <c r="BP15" s="1460">
        <v>100</v>
      </c>
      <c r="BQ15" s="308">
        <v>100</v>
      </c>
      <c r="BR15" s="308">
        <v>100</v>
      </c>
      <c r="BS15" s="308">
        <v>100</v>
      </c>
      <c r="BT15" s="308">
        <v>100</v>
      </c>
      <c r="BU15" s="308">
        <v>100</v>
      </c>
      <c r="BV15" s="308">
        <v>100</v>
      </c>
      <c r="BW15" s="308">
        <v>100</v>
      </c>
      <c r="BX15" s="1472">
        <v>100</v>
      </c>
      <c r="BY15" s="1460">
        <v>100</v>
      </c>
      <c r="BZ15" s="308">
        <v>100</v>
      </c>
      <c r="CA15" s="308">
        <v>100</v>
      </c>
      <c r="CB15" s="308">
        <v>100</v>
      </c>
      <c r="CC15" s="308">
        <v>100</v>
      </c>
      <c r="CD15" s="1472">
        <v>100</v>
      </c>
      <c r="CE15" s="1460">
        <v>100</v>
      </c>
      <c r="CF15" s="308">
        <v>100</v>
      </c>
      <c r="CG15" s="308">
        <v>100</v>
      </c>
      <c r="CH15" s="308">
        <v>100</v>
      </c>
      <c r="CI15" s="308">
        <v>100</v>
      </c>
      <c r="CJ15" s="308">
        <v>100</v>
      </c>
      <c r="CK15" s="308">
        <v>100</v>
      </c>
      <c r="CL15" s="308">
        <v>100</v>
      </c>
      <c r="CM15" s="308">
        <v>100</v>
      </c>
      <c r="CN15" s="360"/>
      <c r="CO15" s="308">
        <v>0</v>
      </c>
      <c r="CP15" s="308">
        <v>99.999999999999986</v>
      </c>
      <c r="CQ15" s="308">
        <v>100</v>
      </c>
      <c r="CR15" s="1472">
        <v>100</v>
      </c>
      <c r="CS15" s="1460">
        <v>100</v>
      </c>
      <c r="CT15" s="308">
        <v>99.999999999999986</v>
      </c>
      <c r="CU15" s="308">
        <v>100</v>
      </c>
      <c r="CV15" s="308">
        <v>100</v>
      </c>
      <c r="CW15" s="308">
        <v>99.999999999999986</v>
      </c>
      <c r="CX15" s="308">
        <v>100</v>
      </c>
      <c r="CY15" s="308">
        <v>100</v>
      </c>
      <c r="CZ15" s="308">
        <v>100</v>
      </c>
      <c r="DA15" s="1472">
        <v>100</v>
      </c>
      <c r="DB15" s="1460">
        <v>0</v>
      </c>
      <c r="DC15" s="308">
        <v>0</v>
      </c>
      <c r="DD15" s="308">
        <v>0</v>
      </c>
      <c r="DE15" s="308">
        <v>0</v>
      </c>
      <c r="DF15" s="308">
        <v>0</v>
      </c>
      <c r="DG15" s="1472">
        <v>0</v>
      </c>
      <c r="DH15" s="1460">
        <v>0</v>
      </c>
      <c r="DI15" s="308">
        <v>0</v>
      </c>
      <c r="DJ15" s="308">
        <v>0</v>
      </c>
      <c r="DK15" s="308">
        <v>0</v>
      </c>
      <c r="DL15" s="308">
        <v>0</v>
      </c>
      <c r="DM15" s="308">
        <v>0</v>
      </c>
      <c r="DN15" s="308">
        <v>0</v>
      </c>
      <c r="DO15" s="308">
        <v>0</v>
      </c>
      <c r="DP15" s="308">
        <v>0</v>
      </c>
      <c r="DQ15" s="344"/>
      <c r="DR15" s="345"/>
      <c r="DS15" s="225"/>
      <c r="DT15" s="225"/>
      <c r="DU15" s="225"/>
      <c r="DV15" s="1269"/>
      <c r="DW15" s="1214"/>
      <c r="DX15" s="225"/>
      <c r="DY15" s="225"/>
      <c r="DZ15" s="225"/>
      <c r="EA15" s="225"/>
      <c r="EB15" s="225"/>
      <c r="EC15" s="225"/>
      <c r="ED15" s="225"/>
      <c r="EE15" s="1269"/>
      <c r="EF15" s="1214"/>
      <c r="EG15" s="225"/>
      <c r="EH15" s="225"/>
      <c r="EI15" s="225"/>
      <c r="EJ15" s="225"/>
      <c r="EK15" s="1269"/>
      <c r="EL15" s="1214"/>
      <c r="EM15" s="225"/>
      <c r="EN15" s="225"/>
      <c r="EO15" s="225"/>
      <c r="EP15" s="225"/>
      <c r="EQ15" s="225"/>
      <c r="ER15" s="225"/>
      <c r="ES15" s="225"/>
      <c r="ET15" s="225"/>
      <c r="EU15" s="344"/>
      <c r="EV15" s="225"/>
      <c r="EW15" s="225"/>
      <c r="EX15" s="225"/>
      <c r="EY15" s="1269"/>
      <c r="EZ15" s="1214"/>
      <c r="FA15" s="225"/>
      <c r="FB15" s="225"/>
      <c r="FC15" s="225"/>
      <c r="FD15" s="225"/>
      <c r="FE15" s="225"/>
      <c r="FF15" s="225"/>
      <c r="FG15" s="225"/>
      <c r="FH15" s="1269"/>
      <c r="FI15" s="1214"/>
      <c r="FJ15" s="225"/>
      <c r="FK15" s="225"/>
      <c r="FL15" s="225"/>
      <c r="FM15" s="225"/>
      <c r="FN15" s="1269"/>
      <c r="FO15" s="1214"/>
      <c r="FP15" s="225"/>
      <c r="FQ15" s="225"/>
      <c r="FR15" s="225"/>
      <c r="FS15" s="225"/>
      <c r="FT15" s="225"/>
      <c r="FU15" s="225"/>
      <c r="FV15" s="225"/>
      <c r="FW15" s="225"/>
    </row>
    <row r="16" spans="1:180" ht="15.5" thickTop="1" thickBot="1" x14ac:dyDescent="0.4">
      <c r="A16" s="2428"/>
      <c r="B16" s="2428"/>
      <c r="C16" s="2429" t="s">
        <v>982</v>
      </c>
      <c r="D16" s="2429"/>
      <c r="E16" s="2429"/>
      <c r="F16" s="2430"/>
      <c r="G16" s="2431"/>
      <c r="H16" s="2431"/>
      <c r="I16" s="2432"/>
      <c r="J16" s="2433"/>
      <c r="K16" s="2431">
        <v>26.909999999999997</v>
      </c>
      <c r="L16" s="2431">
        <v>30.22</v>
      </c>
      <c r="M16" s="2431">
        <v>29.990000000000009</v>
      </c>
      <c r="N16" s="2431">
        <v>32.134999999999991</v>
      </c>
      <c r="O16" s="2432">
        <v>33.799999999999997</v>
      </c>
      <c r="P16" s="2433">
        <v>32.290000000000006</v>
      </c>
      <c r="Q16" s="2431"/>
      <c r="R16" s="2432"/>
      <c r="S16" s="2433"/>
      <c r="T16" s="2431"/>
      <c r="U16" s="2431"/>
      <c r="V16" s="2431"/>
      <c r="W16" s="2431"/>
      <c r="X16" s="2432"/>
      <c r="Y16" s="2433"/>
      <c r="Z16" s="2431"/>
      <c r="AA16" s="2431"/>
      <c r="AB16" s="2431"/>
      <c r="AC16" s="2431"/>
      <c r="AD16" s="2431"/>
      <c r="AE16" s="2431"/>
      <c r="AF16" s="2431"/>
      <c r="AG16" s="2431"/>
      <c r="AH16" s="2576"/>
      <c r="AI16" s="2434"/>
      <c r="AJ16" s="2434"/>
      <c r="AK16" s="2434"/>
      <c r="AL16" s="2435"/>
      <c r="AM16" s="2436"/>
      <c r="AN16" s="2434"/>
      <c r="AO16" s="2434"/>
      <c r="AP16" s="2434"/>
      <c r="AQ16" s="2434"/>
      <c r="AR16" s="2434"/>
      <c r="AS16" s="2434"/>
      <c r="AT16" s="2434"/>
      <c r="AU16" s="2435"/>
      <c r="AV16" s="2436"/>
      <c r="AW16" s="2434"/>
      <c r="AX16" s="2434"/>
      <c r="AY16" s="2434"/>
      <c r="AZ16" s="2434"/>
      <c r="BA16" s="2435"/>
      <c r="BB16" s="2436"/>
      <c r="BC16" s="2434"/>
      <c r="BD16" s="2434"/>
      <c r="BE16" s="2434"/>
      <c r="BF16" s="2434"/>
      <c r="BG16" s="2434"/>
      <c r="BH16" s="2434"/>
      <c r="BI16" s="2434"/>
      <c r="BJ16" s="2434"/>
      <c r="BK16" s="2576"/>
      <c r="BL16" s="2615">
        <v>60.116</v>
      </c>
      <c r="BM16" s="2615">
        <v>63.283000000000001</v>
      </c>
      <c r="BN16" s="2615">
        <v>61.009</v>
      </c>
      <c r="BO16" s="2616">
        <v>61.402000000000001</v>
      </c>
      <c r="BP16" s="2436"/>
      <c r="BQ16" s="2434">
        <v>26.909999999999997</v>
      </c>
      <c r="BR16" s="2434">
        <v>30.22</v>
      </c>
      <c r="BS16" s="2434">
        <v>29.990000000000009</v>
      </c>
      <c r="BT16" s="2434">
        <v>32.134999999999991</v>
      </c>
      <c r="BU16" s="2434">
        <v>33.799999999999997</v>
      </c>
      <c r="BV16" s="2434">
        <v>32.290000000000006</v>
      </c>
      <c r="BW16" s="2434"/>
      <c r="BX16" s="2435"/>
      <c r="BY16" s="2436"/>
      <c r="BZ16" s="2434"/>
      <c r="CA16" s="2434"/>
      <c r="CB16" s="2434"/>
      <c r="CC16" s="2434"/>
      <c r="CD16" s="2435"/>
      <c r="CE16" s="2436"/>
      <c r="CF16" s="2434"/>
      <c r="CG16" s="2434"/>
      <c r="CH16" s="2434"/>
      <c r="CI16" s="2434"/>
      <c r="CJ16" s="2434"/>
      <c r="CK16" s="2434"/>
      <c r="CL16" s="2434"/>
      <c r="CM16" s="2434"/>
      <c r="CN16" s="2577"/>
      <c r="CO16" s="2434"/>
      <c r="CP16" s="2434"/>
      <c r="CQ16" s="2434"/>
      <c r="CR16" s="2435"/>
      <c r="CS16" s="2436"/>
      <c r="CT16" s="2434"/>
      <c r="CU16" s="2434"/>
      <c r="CV16" s="2434"/>
      <c r="CW16" s="2434"/>
      <c r="CX16" s="2434"/>
      <c r="CY16" s="2434"/>
      <c r="CZ16" s="2434"/>
      <c r="DA16" s="2435"/>
      <c r="DB16" s="2436"/>
      <c r="DC16" s="2434"/>
      <c r="DD16" s="2434"/>
      <c r="DE16" s="2434"/>
      <c r="DF16" s="2434"/>
      <c r="DG16" s="2435"/>
      <c r="DH16" s="2436"/>
      <c r="DI16" s="2434"/>
      <c r="DJ16" s="2434"/>
      <c r="DK16" s="1737"/>
      <c r="DL16" s="1737"/>
      <c r="DM16" s="1737"/>
      <c r="DN16" s="1737"/>
      <c r="DO16" s="1737"/>
      <c r="DP16" s="1737"/>
      <c r="DQ16" s="454"/>
      <c r="DR16" s="455"/>
      <c r="DS16" s="453"/>
      <c r="DT16" s="453"/>
      <c r="DU16" s="453"/>
      <c r="DV16" s="1446"/>
      <c r="DW16" s="1428"/>
      <c r="DX16" s="453"/>
      <c r="DY16" s="453"/>
      <c r="DZ16" s="453"/>
      <c r="EA16" s="453"/>
      <c r="EB16" s="453"/>
      <c r="EC16" s="453"/>
      <c r="ED16" s="453"/>
      <c r="EE16" s="1446"/>
      <c r="EF16" s="1428"/>
      <c r="EG16" s="453"/>
      <c r="EH16" s="453"/>
      <c r="EI16" s="453"/>
      <c r="EJ16" s="453"/>
      <c r="EK16" s="1446"/>
      <c r="EL16" s="1428"/>
      <c r="EM16" s="453"/>
      <c r="EN16" s="453"/>
      <c r="EO16" s="453"/>
      <c r="EP16" s="453"/>
      <c r="EQ16" s="453"/>
      <c r="ER16" s="453"/>
      <c r="ES16" s="453"/>
      <c r="ET16" s="453"/>
      <c r="EU16" s="454"/>
      <c r="EV16" s="453"/>
      <c r="EW16" s="453"/>
      <c r="EX16" s="453"/>
      <c r="EY16" s="1446"/>
      <c r="EZ16" s="1428"/>
      <c r="FA16" s="453"/>
      <c r="FB16" s="453"/>
      <c r="FC16" s="453"/>
      <c r="FD16" s="453"/>
      <c r="FE16" s="453"/>
      <c r="FF16" s="453"/>
      <c r="FG16" s="453"/>
      <c r="FH16" s="1446"/>
      <c r="FI16" s="1428"/>
      <c r="FJ16" s="453"/>
      <c r="FK16" s="453"/>
      <c r="FL16" s="453"/>
      <c r="FM16" s="453"/>
      <c r="FN16" s="1446"/>
      <c r="FO16" s="1428"/>
      <c r="FP16" s="453"/>
      <c r="FQ16" s="453"/>
      <c r="FR16" s="453"/>
      <c r="FS16" s="453"/>
      <c r="FT16" s="453"/>
      <c r="FU16" s="453"/>
      <c r="FV16" s="453"/>
      <c r="FW16" s="453"/>
    </row>
    <row r="17" spans="1:180" ht="15.5" thickTop="1" thickBot="1" x14ac:dyDescent="0.4">
      <c r="A17" s="377"/>
      <c r="B17" s="377"/>
      <c r="C17" s="375" t="s">
        <v>1012</v>
      </c>
      <c r="D17" s="375"/>
      <c r="E17" s="375"/>
      <c r="F17" s="2513"/>
      <c r="G17" s="2514"/>
      <c r="H17" s="2514"/>
      <c r="I17" s="2515"/>
      <c r="J17" s="2516"/>
      <c r="K17" s="2514"/>
      <c r="L17" s="2514"/>
      <c r="M17" s="2514"/>
      <c r="N17" s="2514"/>
      <c r="O17" s="2515"/>
      <c r="P17" s="2516"/>
      <c r="Q17" s="2514"/>
      <c r="R17" s="2515"/>
      <c r="S17" s="2516"/>
      <c r="T17" s="2514"/>
      <c r="U17" s="2514"/>
      <c r="V17" s="2514"/>
      <c r="W17" s="2514"/>
      <c r="X17" s="2515"/>
      <c r="Y17" s="2516"/>
      <c r="Z17" s="2514"/>
      <c r="AA17" s="2514"/>
      <c r="AB17" s="2514"/>
      <c r="AC17" s="2514"/>
      <c r="AD17" s="2514"/>
      <c r="AE17" s="2514"/>
      <c r="AF17" s="2514"/>
      <c r="AG17" s="2514"/>
      <c r="AH17" s="2519"/>
      <c r="AI17" s="1737"/>
      <c r="AJ17" s="1737"/>
      <c r="AK17" s="1737"/>
      <c r="AL17" s="2517"/>
      <c r="AM17" s="2518"/>
      <c r="AN17" s="1737"/>
      <c r="AO17" s="1737"/>
      <c r="AP17" s="1737"/>
      <c r="AQ17" s="1737"/>
      <c r="AR17" s="1737"/>
      <c r="AS17" s="1737"/>
      <c r="AT17" s="1737"/>
      <c r="AU17" s="2517"/>
      <c r="AV17" s="2518"/>
      <c r="AW17" s="1737"/>
      <c r="AX17" s="1737"/>
      <c r="AY17" s="1737"/>
      <c r="AZ17" s="1737"/>
      <c r="BA17" s="2517"/>
      <c r="BB17" s="2518"/>
      <c r="BC17" s="1737"/>
      <c r="BD17" s="1737"/>
      <c r="BE17" s="1737"/>
      <c r="BF17" s="1737"/>
      <c r="BG17" s="1737"/>
      <c r="BH17" s="1737"/>
      <c r="BI17" s="1737"/>
      <c r="BJ17" s="1737"/>
      <c r="BK17" s="2519"/>
      <c r="BL17" s="2611">
        <f>'HPS DAILY'!K72</f>
        <v>53.255499999999998</v>
      </c>
      <c r="BM17" s="2611">
        <f>'HPS DAILY'!L72</f>
        <v>56.516500000000001</v>
      </c>
      <c r="BN17" s="2611">
        <f>'HPS DAILY'!M72</f>
        <v>57.059666666666665</v>
      </c>
      <c r="BO17" s="2611">
        <f>'HPS DAILY'!N72</f>
        <v>54.923999999999999</v>
      </c>
      <c r="BP17" s="2611">
        <f>'HPS DAILY'!O72</f>
        <v>28.358999999999995</v>
      </c>
      <c r="BQ17" s="2611">
        <f>'HPS DAILY'!P72</f>
        <v>24.90270000000001</v>
      </c>
      <c r="BR17" s="2611">
        <f>'HPS DAILY'!Q72</f>
        <v>26.087999999999994</v>
      </c>
      <c r="BS17" s="2611">
        <f>'HPS DAILY'!R72</f>
        <v>27.664000000000001</v>
      </c>
      <c r="BT17" s="2611">
        <f>'HPS DAILY'!S72</f>
        <v>29.555</v>
      </c>
      <c r="BU17" s="2611">
        <f>'HPS DAILY'!T72</f>
        <v>29.116</v>
      </c>
      <c r="BV17" s="2611">
        <f>'HPS DAILY'!U72</f>
        <v>28.464999999999989</v>
      </c>
      <c r="BW17" s="2611">
        <f>'HPS DAILY'!V72</f>
        <v>28.665000000000006</v>
      </c>
      <c r="BX17" s="2611">
        <f>'HPS DAILY'!W72</f>
        <v>27.881</v>
      </c>
      <c r="BY17" s="2611">
        <f>'HPS DAILY'!X72</f>
        <v>100</v>
      </c>
      <c r="BZ17" s="2611">
        <f>'HPS DAILY'!Y72</f>
        <v>100</v>
      </c>
      <c r="CA17" s="2611">
        <f>'HPS DAILY'!Z72</f>
        <v>100</v>
      </c>
      <c r="CB17" s="2611">
        <f>'HPS DAILY'!AA72</f>
        <v>100</v>
      </c>
      <c r="CC17" s="2611">
        <f>'HPS DAILY'!AB72</f>
        <v>100</v>
      </c>
      <c r="CD17" s="2611">
        <f>'HPS DAILY'!AC72</f>
        <v>100</v>
      </c>
      <c r="CE17" s="2611">
        <f>'HPS DAILY'!AD72</f>
        <v>100</v>
      </c>
      <c r="CF17" s="2611">
        <f>'HPS DAILY'!AE72</f>
        <v>100</v>
      </c>
      <c r="CG17" s="2611">
        <f>'HPS DAILY'!AF72</f>
        <v>100</v>
      </c>
      <c r="CH17" s="1737"/>
      <c r="CI17" s="1737"/>
      <c r="CJ17" s="1737"/>
      <c r="CK17" s="1737"/>
      <c r="CL17" s="1737"/>
      <c r="CM17" s="1737"/>
      <c r="CN17" s="2522"/>
      <c r="CO17" s="1737"/>
      <c r="CP17" s="1737"/>
      <c r="CQ17" s="1737"/>
      <c r="CR17" s="2517"/>
      <c r="CS17" s="2518"/>
      <c r="CT17" s="1737"/>
      <c r="CU17" s="1737"/>
      <c r="CV17" s="1737"/>
      <c r="CW17" s="1737"/>
      <c r="CX17" s="1737"/>
      <c r="CY17" s="1737"/>
      <c r="CZ17" s="1737"/>
      <c r="DA17" s="2517"/>
      <c r="DB17" s="2518"/>
      <c r="DC17" s="1737"/>
      <c r="DD17" s="1737"/>
      <c r="DE17" s="1737"/>
      <c r="DF17" s="1737"/>
      <c r="DG17" s="2517"/>
      <c r="DH17" s="2518"/>
      <c r="DI17" s="1737"/>
      <c r="DJ17" s="1737"/>
      <c r="DK17" s="1737"/>
      <c r="DL17" s="1737"/>
      <c r="DM17" s="1737"/>
      <c r="DN17" s="1737"/>
      <c r="DO17" s="1737"/>
      <c r="DP17" s="1737"/>
      <c r="DQ17" s="454"/>
      <c r="DR17" s="455"/>
      <c r="DS17" s="453"/>
      <c r="DT17" s="453"/>
      <c r="DU17" s="453"/>
      <c r="DV17" s="1446"/>
      <c r="DW17" s="1428"/>
      <c r="DX17" s="453"/>
      <c r="DY17" s="453"/>
      <c r="DZ17" s="453"/>
      <c r="EA17" s="453"/>
      <c r="EB17" s="453"/>
      <c r="EC17" s="453"/>
      <c r="ED17" s="453"/>
      <c r="EE17" s="1446"/>
      <c r="EF17" s="1428"/>
      <c r="EG17" s="453"/>
      <c r="EH17" s="453"/>
      <c r="EI17" s="453"/>
      <c r="EJ17" s="453"/>
      <c r="EK17" s="1446"/>
      <c r="EL17" s="1428"/>
      <c r="EM17" s="453"/>
      <c r="EN17" s="453"/>
      <c r="EO17" s="453"/>
      <c r="EP17" s="453"/>
      <c r="EQ17" s="453"/>
      <c r="ER17" s="453"/>
      <c r="ES17" s="453"/>
      <c r="ET17" s="453"/>
      <c r="EU17" s="454"/>
      <c r="EV17" s="453"/>
      <c r="EW17" s="453"/>
      <c r="EX17" s="453"/>
      <c r="EY17" s="1446"/>
      <c r="EZ17" s="1428"/>
      <c r="FA17" s="453"/>
      <c r="FB17" s="453"/>
      <c r="FC17" s="453"/>
      <c r="FD17" s="453"/>
      <c r="FE17" s="453"/>
      <c r="FF17" s="453"/>
      <c r="FG17" s="453"/>
      <c r="FH17" s="1446"/>
      <c r="FI17" s="1428"/>
      <c r="FJ17" s="453"/>
      <c r="FK17" s="453"/>
      <c r="FL17" s="453"/>
      <c r="FM17" s="453"/>
      <c r="FN17" s="1446"/>
      <c r="FO17" s="1428"/>
      <c r="FP17" s="453"/>
      <c r="FQ17" s="453"/>
      <c r="FR17" s="453"/>
      <c r="FS17" s="453"/>
      <c r="FT17" s="453"/>
      <c r="FU17" s="453"/>
      <c r="FV17" s="453"/>
      <c r="FW17" s="453"/>
    </row>
    <row r="18" spans="1:180" ht="16.149999999999999" customHeight="1" thickTop="1" x14ac:dyDescent="0.35">
      <c r="A18" s="2441"/>
      <c r="B18" s="2441"/>
      <c r="C18" s="2442" t="s">
        <v>981</v>
      </c>
      <c r="D18" s="2442"/>
      <c r="E18" s="2442"/>
      <c r="F18" s="2604">
        <v>56.418100000000003</v>
      </c>
      <c r="G18" s="2605">
        <v>55.545499999999997</v>
      </c>
      <c r="H18" s="2605">
        <v>55.654499999999999</v>
      </c>
      <c r="I18" s="2606">
        <v>55.781799999999997</v>
      </c>
      <c r="J18" s="2607">
        <v>23.1831</v>
      </c>
      <c r="K18" s="2605">
        <v>25.9861</v>
      </c>
      <c r="L18" s="2605">
        <v>25.928599999999999</v>
      </c>
      <c r="M18" s="2605">
        <v>27.042300000000001</v>
      </c>
      <c r="N18" s="2605">
        <v>29.418900000000001</v>
      </c>
      <c r="O18" s="2606">
        <v>29.72</v>
      </c>
      <c r="P18" s="2607">
        <v>28.652799999999999</v>
      </c>
      <c r="Q18" s="2443"/>
      <c r="R18" s="2444"/>
      <c r="S18" s="2445"/>
      <c r="T18" s="2443"/>
      <c r="U18" s="2443"/>
      <c r="V18" s="2446"/>
      <c r="W18" s="2446"/>
      <c r="X18" s="2447"/>
      <c r="Y18" s="2448"/>
      <c r="Z18" s="2446"/>
      <c r="AA18" s="2446"/>
      <c r="AB18" s="2446"/>
      <c r="AC18" s="2446"/>
      <c r="AD18" s="2446"/>
      <c r="AE18" s="2446"/>
      <c r="AF18" s="2446"/>
      <c r="AG18" s="2446"/>
      <c r="AH18" s="2446"/>
      <c r="AI18" s="2446"/>
      <c r="AJ18" s="2446"/>
      <c r="AK18" s="2446"/>
      <c r="AL18" s="2447"/>
      <c r="AM18" s="2448"/>
      <c r="AN18" s="2446"/>
      <c r="AO18" s="2446"/>
      <c r="AP18" s="2446"/>
      <c r="AQ18" s="2446"/>
      <c r="AR18" s="2446"/>
      <c r="AS18" s="2446"/>
      <c r="AT18" s="2446"/>
      <c r="AU18" s="2447"/>
      <c r="AV18" s="2448"/>
      <c r="AW18" s="2446"/>
      <c r="AX18" s="2446"/>
      <c r="AY18" s="2446"/>
      <c r="AZ18" s="2446"/>
      <c r="BA18" s="2447"/>
      <c r="BB18" s="2448"/>
      <c r="BC18" s="2446"/>
      <c r="BD18" s="2446"/>
      <c r="BE18" s="2446"/>
      <c r="BF18" s="2446"/>
      <c r="BG18" s="2446"/>
      <c r="BH18" s="2446"/>
      <c r="BI18" s="2446"/>
      <c r="BJ18" s="2446"/>
      <c r="BK18" s="2446"/>
      <c r="BL18" s="2612">
        <v>56.418100000000003</v>
      </c>
      <c r="BM18" s="2612">
        <v>55.545499999999997</v>
      </c>
      <c r="BN18" s="2612">
        <v>55.654499999999999</v>
      </c>
      <c r="BO18" s="2613">
        <v>55.781799999999997</v>
      </c>
      <c r="BP18" s="2614">
        <v>23.1831</v>
      </c>
      <c r="BQ18" s="2612">
        <v>25.9861</v>
      </c>
      <c r="BR18" s="2612">
        <v>25.928599999999999</v>
      </c>
      <c r="BS18" s="2612">
        <v>27.042300000000001</v>
      </c>
      <c r="BT18" s="2612">
        <v>29.418900000000001</v>
      </c>
      <c r="BU18" s="2612">
        <v>29.72</v>
      </c>
      <c r="BV18" s="2612">
        <v>28.652799999999999</v>
      </c>
      <c r="BW18" s="2612"/>
      <c r="BX18" s="2613"/>
      <c r="BY18" s="2614"/>
      <c r="BZ18" s="2612"/>
      <c r="CA18" s="2612"/>
      <c r="CB18" s="2612"/>
      <c r="CC18" s="2612"/>
      <c r="CD18" s="2613"/>
      <c r="CE18" s="2614"/>
      <c r="CF18" s="2612"/>
      <c r="CG18" s="2612"/>
      <c r="CH18" s="2449"/>
      <c r="CI18" s="2449"/>
      <c r="CJ18" s="2449"/>
      <c r="CK18" s="2449"/>
      <c r="CL18" s="2449"/>
      <c r="CM18" s="2449"/>
      <c r="CN18" s="2452"/>
      <c r="CO18" s="2449"/>
      <c r="CP18" s="2449"/>
      <c r="CQ18" s="2449"/>
      <c r="CR18" s="2450"/>
      <c r="CS18" s="2451"/>
      <c r="CT18" s="2449"/>
      <c r="CU18" s="2449"/>
      <c r="CV18" s="2449"/>
      <c r="CW18" s="2449"/>
      <c r="CX18" s="2449"/>
      <c r="CY18" s="2449"/>
      <c r="CZ18" s="2449"/>
      <c r="DA18" s="2450"/>
      <c r="DB18" s="2451"/>
      <c r="DC18" s="2449"/>
      <c r="DD18" s="2449"/>
      <c r="DE18" s="2446"/>
      <c r="DF18" s="2446"/>
      <c r="DG18" s="2447"/>
      <c r="DH18" s="2448"/>
      <c r="DI18" s="2446"/>
      <c r="DJ18" s="2446"/>
      <c r="DK18" s="347"/>
      <c r="DL18" s="347"/>
      <c r="DM18" s="347"/>
      <c r="DN18" s="347"/>
      <c r="DO18" s="347"/>
      <c r="DP18" s="347"/>
      <c r="DQ18" s="352"/>
      <c r="DR18" s="348" t="s">
        <v>46</v>
      </c>
      <c r="DS18" s="371" cm="1">
        <f t="array" ref="DS18:EI18">'HPS DAILY'!K117:AA117</f>
        <v>0.14000000000000001</v>
      </c>
      <c r="DT18" s="370">
        <v>0.19</v>
      </c>
      <c r="DU18" s="370">
        <v>0.4</v>
      </c>
      <c r="DV18" s="1272">
        <v>0.15</v>
      </c>
      <c r="DW18" s="1217">
        <v>0.17</v>
      </c>
      <c r="DX18" s="370">
        <v>0.15</v>
      </c>
      <c r="DY18" s="370">
        <v>0.22</v>
      </c>
      <c r="DZ18" s="370">
        <v>0.34</v>
      </c>
      <c r="EA18" s="370">
        <v>0.34</v>
      </c>
      <c r="EB18" s="370">
        <v>0.12</v>
      </c>
      <c r="EC18" s="370">
        <v>0.13</v>
      </c>
      <c r="ED18" s="370">
        <v>0.13</v>
      </c>
      <c r="EE18" s="1272">
        <v>0.15</v>
      </c>
      <c r="EF18" s="1217">
        <v>0</v>
      </c>
      <c r="EG18" s="370">
        <v>0</v>
      </c>
      <c r="EH18" s="370">
        <v>0</v>
      </c>
      <c r="EI18" s="347">
        <v>0</v>
      </c>
      <c r="EJ18" s="347"/>
      <c r="EK18" s="1278"/>
      <c r="EL18" s="1222"/>
      <c r="EM18" s="347"/>
      <c r="EN18" s="347"/>
      <c r="EO18" s="347"/>
      <c r="EP18" s="347"/>
      <c r="EQ18" s="347"/>
      <c r="ER18" s="347"/>
      <c r="ES18" s="347"/>
      <c r="ET18" s="347"/>
      <c r="EU18" s="352"/>
      <c r="EV18" s="371" cm="1">
        <f t="array" ref="EV18:FW18">'HPS DAILY'!K104:AL104</f>
        <v>75.95</v>
      </c>
      <c r="EW18" s="370">
        <v>93.3</v>
      </c>
      <c r="EX18" s="370">
        <v>96.76</v>
      </c>
      <c r="EY18" s="1272">
        <v>98.17</v>
      </c>
      <c r="EZ18" s="1217">
        <v>96.44</v>
      </c>
      <c r="FA18" s="370">
        <v>96.17</v>
      </c>
      <c r="FB18" s="370">
        <v>95.96</v>
      </c>
      <c r="FC18" s="370">
        <v>97</v>
      </c>
      <c r="FD18" s="370">
        <v>95.94</v>
      </c>
      <c r="FE18" s="370">
        <v>96.7</v>
      </c>
      <c r="FF18" s="370">
        <v>98.74</v>
      </c>
      <c r="FG18" s="370">
        <v>98.14</v>
      </c>
      <c r="FH18" s="1272">
        <v>95.73</v>
      </c>
      <c r="FI18" s="1217">
        <v>0</v>
      </c>
      <c r="FJ18" s="370">
        <v>0</v>
      </c>
      <c r="FK18" s="370">
        <v>0</v>
      </c>
      <c r="FL18" s="370">
        <v>0</v>
      </c>
      <c r="FM18" s="370">
        <v>0</v>
      </c>
      <c r="FN18" s="1272">
        <v>0</v>
      </c>
      <c r="FO18" s="1217">
        <v>0</v>
      </c>
      <c r="FP18" s="370">
        <v>0</v>
      </c>
      <c r="FQ18" s="370">
        <v>0</v>
      </c>
      <c r="FR18" s="370">
        <v>0</v>
      </c>
      <c r="FS18" s="370">
        <v>0</v>
      </c>
      <c r="FT18" s="370">
        <v>0</v>
      </c>
      <c r="FU18" s="370">
        <v>0</v>
      </c>
      <c r="FV18" s="370">
        <v>0</v>
      </c>
      <c r="FW18" s="370">
        <v>0</v>
      </c>
      <c r="FX18" s="1" t="s">
        <v>46</v>
      </c>
    </row>
    <row r="19" spans="1:180" s="368" customFormat="1" ht="22.5" customHeight="1" thickBot="1" x14ac:dyDescent="0.4">
      <c r="C19" s="364" t="s">
        <v>1027</v>
      </c>
      <c r="D19" s="364"/>
      <c r="E19" s="364"/>
      <c r="F19" s="2608">
        <v>59.673000000000002</v>
      </c>
      <c r="G19" s="2609">
        <v>58.045000000000002</v>
      </c>
      <c r="H19" s="2609">
        <v>59.301000000000002</v>
      </c>
      <c r="I19" s="2610">
        <v>59.833999999999996</v>
      </c>
      <c r="J19" s="1182"/>
      <c r="K19" s="365"/>
      <c r="L19" s="365"/>
      <c r="M19" s="365"/>
      <c r="N19" s="365"/>
      <c r="O19" s="1234"/>
      <c r="P19" s="1182"/>
      <c r="Q19" s="365"/>
      <c r="R19" s="1234"/>
      <c r="S19" s="1182"/>
      <c r="T19" s="365"/>
      <c r="U19" s="365"/>
      <c r="V19" s="365"/>
      <c r="W19" s="365"/>
      <c r="X19" s="1234"/>
      <c r="Y19" s="1182"/>
      <c r="Z19" s="365"/>
      <c r="AA19" s="365"/>
      <c r="AB19" s="365"/>
      <c r="AC19" s="365"/>
      <c r="AD19" s="365"/>
      <c r="AE19" s="365"/>
      <c r="AF19" s="365"/>
      <c r="AG19" s="365"/>
      <c r="AH19" s="366"/>
      <c r="AI19" s="365"/>
      <c r="AJ19" s="365"/>
      <c r="AK19" s="365"/>
      <c r="AL19" s="1234"/>
      <c r="AM19" s="1182"/>
      <c r="AN19" s="365"/>
      <c r="AO19" s="365"/>
      <c r="AP19" s="365"/>
      <c r="AQ19" s="365"/>
      <c r="AR19" s="365"/>
      <c r="AS19" s="365"/>
      <c r="AT19" s="365"/>
      <c r="AU19" s="1234"/>
      <c r="AV19" s="1182"/>
      <c r="AW19" s="365"/>
      <c r="AX19" s="365"/>
      <c r="AY19" s="365"/>
      <c r="AZ19" s="365"/>
      <c r="BA19" s="1234"/>
      <c r="BB19" s="1182"/>
      <c r="BC19" s="365"/>
      <c r="BD19" s="365"/>
      <c r="BE19" s="365"/>
      <c r="BF19" s="365"/>
      <c r="BG19" s="365"/>
      <c r="BH19" s="365"/>
      <c r="BI19" s="365"/>
      <c r="BJ19" s="365"/>
      <c r="BK19" s="366"/>
      <c r="BL19" s="2609">
        <v>59.673000000000002</v>
      </c>
      <c r="BM19" s="2609">
        <v>58.045000000000002</v>
      </c>
      <c r="BN19" s="2609">
        <v>59.301000000000002</v>
      </c>
      <c r="BO19" s="2610">
        <v>59.833999999999996</v>
      </c>
      <c r="BP19" s="1182"/>
      <c r="BQ19" s="365"/>
      <c r="BR19" s="365"/>
      <c r="BS19" s="365"/>
      <c r="BT19" s="365"/>
      <c r="BU19" s="365"/>
      <c r="BV19" s="365"/>
      <c r="BW19" s="365"/>
      <c r="BX19" s="1234"/>
      <c r="BY19" s="1182"/>
      <c r="BZ19" s="365"/>
      <c r="CA19" s="365"/>
      <c r="CB19" s="365"/>
      <c r="CC19" s="365"/>
      <c r="CD19" s="1234"/>
      <c r="CE19" s="1182"/>
      <c r="CF19" s="365"/>
      <c r="CG19" s="365"/>
      <c r="CH19" s="365"/>
      <c r="CI19" s="365"/>
      <c r="CJ19" s="365"/>
      <c r="CK19" s="365"/>
      <c r="CL19" s="365"/>
      <c r="CM19" s="365"/>
      <c r="CN19" s="366"/>
      <c r="CO19" s="365"/>
      <c r="CP19" s="365"/>
      <c r="CQ19" s="365"/>
      <c r="CR19" s="1234"/>
      <c r="CS19" s="1182"/>
      <c r="CT19" s="365"/>
      <c r="CU19" s="365"/>
      <c r="CV19" s="365"/>
      <c r="CW19" s="365"/>
      <c r="CX19" s="365"/>
      <c r="CY19" s="365"/>
      <c r="CZ19" s="365"/>
      <c r="DA19" s="1234"/>
      <c r="DB19" s="1182"/>
      <c r="DC19" s="365"/>
      <c r="DD19" s="365"/>
      <c r="DE19" s="365"/>
      <c r="DF19" s="365"/>
      <c r="DG19" s="1234"/>
      <c r="DH19" s="1182"/>
      <c r="DI19" s="365"/>
      <c r="DJ19" s="365"/>
      <c r="DK19" s="365"/>
      <c r="DL19" s="365"/>
      <c r="DM19" s="365"/>
      <c r="DN19" s="365"/>
      <c r="DO19" s="365"/>
      <c r="DP19" s="365"/>
      <c r="DQ19" s="366"/>
      <c r="DR19" s="367"/>
      <c r="DS19" s="365"/>
      <c r="DT19" s="365"/>
      <c r="DU19" s="365"/>
      <c r="DV19" s="1234"/>
      <c r="DW19" s="1182"/>
      <c r="DX19" s="365"/>
      <c r="DY19" s="365"/>
      <c r="DZ19" s="365"/>
      <c r="EA19" s="365"/>
      <c r="EB19" s="365"/>
      <c r="EC19" s="365"/>
      <c r="ED19" s="365"/>
      <c r="EE19" s="1234"/>
      <c r="EF19" s="1182"/>
      <c r="EG19" s="365"/>
      <c r="EH19" s="365"/>
      <c r="EI19" s="365"/>
      <c r="EJ19" s="365"/>
      <c r="EK19" s="1234"/>
      <c r="EL19" s="1182"/>
      <c r="EM19" s="365"/>
      <c r="EN19" s="365"/>
      <c r="EO19" s="365"/>
      <c r="EP19" s="365"/>
      <c r="EQ19" s="365"/>
      <c r="ER19" s="365"/>
      <c r="ES19" s="365"/>
      <c r="ET19" s="365"/>
      <c r="EU19" s="366"/>
      <c r="EV19" s="365"/>
      <c r="EW19" s="365"/>
      <c r="EX19" s="365"/>
      <c r="EY19" s="1234"/>
      <c r="EZ19" s="1182"/>
      <c r="FA19" s="365"/>
      <c r="FB19" s="365"/>
      <c r="FC19" s="365"/>
      <c r="FD19" s="365"/>
      <c r="FE19" s="365"/>
      <c r="FF19" s="365"/>
      <c r="FG19" s="365"/>
      <c r="FH19" s="1234"/>
      <c r="FI19" s="1182"/>
      <c r="FJ19" s="365"/>
      <c r="FK19" s="365"/>
      <c r="FL19" s="365"/>
      <c r="FM19" s="365"/>
      <c r="FN19" s="1234"/>
      <c r="FO19" s="1182"/>
      <c r="FP19" s="365"/>
      <c r="FQ19" s="365"/>
      <c r="FR19" s="365"/>
      <c r="FS19" s="365"/>
      <c r="FT19" s="365"/>
      <c r="FU19" s="365"/>
      <c r="FV19" s="365"/>
      <c r="FW19" s="365"/>
    </row>
    <row r="20" spans="1:180" ht="15" thickTop="1" x14ac:dyDescent="0.35">
      <c r="C20" s="1" t="s">
        <v>96</v>
      </c>
      <c r="F20" s="1028">
        <f>'HPS DAILY'!$G$42</f>
        <v>61.59</v>
      </c>
      <c r="G20" s="296">
        <f>'HPS DAILY'!$G$42</f>
        <v>61.59</v>
      </c>
      <c r="H20" s="296">
        <f>'HPS DAILY'!$G$42</f>
        <v>61.59</v>
      </c>
      <c r="I20" s="1235">
        <f>'HPS DAILY'!$G$42</f>
        <v>61.59</v>
      </c>
      <c r="J20" s="1183">
        <f>'HPS DAILY'!$H$42</f>
        <v>64.7</v>
      </c>
      <c r="K20" s="363">
        <f>'HPS DAILY'!$H$42</f>
        <v>64.7</v>
      </c>
      <c r="L20" s="363">
        <f>'HPS DAILY'!$H$42</f>
        <v>64.7</v>
      </c>
      <c r="M20" s="363">
        <f>'HPS DAILY'!$H$42</f>
        <v>64.7</v>
      </c>
      <c r="N20" s="363">
        <f>'HPS DAILY'!$H$42</f>
        <v>64.7</v>
      </c>
      <c r="O20" s="2251">
        <f>'HPS DAILY'!$H$42</f>
        <v>64.7</v>
      </c>
      <c r="P20" s="1183">
        <f>'HPS DAILY'!$H$42</f>
        <v>64.7</v>
      </c>
      <c r="Q20" s="363">
        <f>'HPS DAILY'!$H$42</f>
        <v>64.7</v>
      </c>
      <c r="R20" s="1628">
        <f>'HPS DAILY'!$H$42</f>
        <v>64.7</v>
      </c>
      <c r="S20" s="1628">
        <f>'HPS DAILY'!$H$42</f>
        <v>64.7</v>
      </c>
      <c r="T20" s="296">
        <f>'HPS DAILY'!$I$42</f>
        <v>64.7</v>
      </c>
      <c r="U20" s="296">
        <f>'HPS DAILY'!$I$42</f>
        <v>64.7</v>
      </c>
      <c r="V20" s="296">
        <f>'HPS DAILY'!$I$42</f>
        <v>64.7</v>
      </c>
      <c r="W20" s="296">
        <f>'HPS DAILY'!$I$42</f>
        <v>64.7</v>
      </c>
      <c r="X20" s="1235">
        <f>'HPS DAILY'!$I$42</f>
        <v>64.7</v>
      </c>
      <c r="Y20" s="1187">
        <f>'HPS DAILY'!$J$42</f>
        <v>64.7</v>
      </c>
      <c r="Z20" s="1187">
        <f>'HPS DAILY'!$J$42</f>
        <v>64.7</v>
      </c>
      <c r="AA20" s="1187">
        <f>'HPS DAILY'!$J$42</f>
        <v>64.7</v>
      </c>
      <c r="AB20" s="1187">
        <f>'HPS DAILY'!$J$42</f>
        <v>64.7</v>
      </c>
      <c r="AC20" s="1187">
        <f>'HPS DAILY'!$J$42</f>
        <v>64.7</v>
      </c>
      <c r="AD20" s="1187">
        <f>'HPS DAILY'!$J$42</f>
        <v>64.7</v>
      </c>
      <c r="AE20" s="1187">
        <f>'HPS DAILY'!$J$42</f>
        <v>64.7</v>
      </c>
      <c r="AF20" s="1187">
        <f>'HPS DAILY'!$J$42</f>
        <v>64.7</v>
      </c>
      <c r="AG20" s="1187">
        <f>'HPS DAILY'!$J$42</f>
        <v>64.7</v>
      </c>
      <c r="AH20" s="357"/>
      <c r="AI20" s="296">
        <f>ISV!G$41</f>
        <v>0</v>
      </c>
      <c r="AJ20" s="296">
        <f>ISV!H$41</f>
        <v>50.42</v>
      </c>
      <c r="AK20" s="296">
        <f>ISV!I$41</f>
        <v>0</v>
      </c>
      <c r="AL20" s="1235">
        <f>ISV!J$41</f>
        <v>0</v>
      </c>
      <c r="AM20" s="1187">
        <f>ISV!K$41</f>
        <v>94.75</v>
      </c>
      <c r="AN20" s="296">
        <f>ISV!L$41</f>
        <v>72.69</v>
      </c>
      <c r="AO20" s="296">
        <f>ISV!M$41</f>
        <v>0</v>
      </c>
      <c r="AP20" s="296">
        <f>ISV!N$41</f>
        <v>0</v>
      </c>
      <c r="AQ20" s="296">
        <f>ISV!O$41</f>
        <v>0</v>
      </c>
      <c r="AR20" s="296">
        <f>ISV!P$41</f>
        <v>0</v>
      </c>
      <c r="AS20" s="296">
        <f>ISV!Q$41</f>
        <v>64.16</v>
      </c>
      <c r="AT20" s="296">
        <f>ISV!R$41</f>
        <v>0</v>
      </c>
      <c r="AU20" s="1235">
        <f>ISV!S$41</f>
        <v>0</v>
      </c>
      <c r="AV20" s="1187">
        <f>ISV!T$41</f>
        <v>0</v>
      </c>
      <c r="AW20" s="296">
        <f>ISV!U$41</f>
        <v>0</v>
      </c>
      <c r="AX20" s="296">
        <f>ISV!V$41</f>
        <v>0</v>
      </c>
      <c r="AY20" s="296">
        <f>ISV!W$41</f>
        <v>0</v>
      </c>
      <c r="AZ20" s="296">
        <f>ISV!X$41</f>
        <v>0</v>
      </c>
      <c r="BA20" s="1235">
        <f>ISV!Y$41</f>
        <v>0</v>
      </c>
      <c r="BB20" s="1187">
        <f>ISV!Z$41</f>
        <v>0</v>
      </c>
      <c r="BC20" s="296">
        <f>ISV!AA$41</f>
        <v>0</v>
      </c>
      <c r="BD20" s="296">
        <f>ISV!AB$41</f>
        <v>0</v>
      </c>
      <c r="BE20" s="296">
        <f>ISV!AC$41</f>
        <v>0</v>
      </c>
      <c r="BF20" s="296">
        <f>ISV!AD$41</f>
        <v>0</v>
      </c>
      <c r="BG20" s="296">
        <f>ISV!AE$41</f>
        <v>0</v>
      </c>
      <c r="BH20" s="296">
        <f>ISV!AF$41</f>
        <v>0</v>
      </c>
      <c r="BI20" s="296">
        <f>ISV!AG$41</f>
        <v>0</v>
      </c>
      <c r="BJ20" s="296">
        <f>ISV!AH$41</f>
        <v>0</v>
      </c>
      <c r="BK20" s="357"/>
      <c r="BL20" s="309" cm="1">
        <f t="array" ref="BL20:CM20">'HPS DAILY'!K42:AL42</f>
        <v>19.865000000000002</v>
      </c>
      <c r="BM20" s="309">
        <v>20.99</v>
      </c>
      <c r="BN20" s="309">
        <v>22.606666666666666</v>
      </c>
      <c r="BO20" s="422">
        <v>21.64</v>
      </c>
      <c r="BP20" s="421">
        <v>3.88</v>
      </c>
      <c r="BQ20" s="309">
        <v>4.75</v>
      </c>
      <c r="BR20" s="309">
        <v>6</v>
      </c>
      <c r="BS20" s="309">
        <v>6.81</v>
      </c>
      <c r="BT20" s="309">
        <v>7.6550000000000002</v>
      </c>
      <c r="BU20" s="309">
        <v>8.31</v>
      </c>
      <c r="BV20" s="309">
        <v>9.31</v>
      </c>
      <c r="BW20" s="309">
        <v>9.2100000000000009</v>
      </c>
      <c r="BX20" s="422">
        <v>9.6</v>
      </c>
      <c r="BY20" s="421">
        <v>0</v>
      </c>
      <c r="BZ20" s="309">
        <v>0</v>
      </c>
      <c r="CA20" s="309">
        <v>0</v>
      </c>
      <c r="CB20" s="296">
        <v>0</v>
      </c>
      <c r="CC20" s="296">
        <v>0</v>
      </c>
      <c r="CD20" s="1235">
        <v>0</v>
      </c>
      <c r="CE20" s="1187">
        <v>0</v>
      </c>
      <c r="CF20" s="296">
        <v>0</v>
      </c>
      <c r="CG20" s="296">
        <v>0</v>
      </c>
      <c r="CH20" s="296">
        <v>0</v>
      </c>
      <c r="CI20" s="296">
        <v>0</v>
      </c>
      <c r="CJ20" s="296">
        <v>0</v>
      </c>
      <c r="CK20" s="296">
        <v>0</v>
      </c>
      <c r="CL20" s="296">
        <v>0</v>
      </c>
      <c r="CM20" s="296">
        <v>0</v>
      </c>
      <c r="CN20" s="357"/>
      <c r="CO20" s="296"/>
      <c r="CP20" s="296"/>
      <c r="CQ20" s="296"/>
      <c r="CR20" s="1235"/>
      <c r="CS20" s="1187"/>
      <c r="CT20" s="296"/>
      <c r="CU20" s="296"/>
      <c r="CV20" s="296"/>
      <c r="CW20" s="296"/>
      <c r="CX20" s="296"/>
      <c r="CY20" s="296"/>
      <c r="CZ20" s="296"/>
      <c r="DA20" s="1235"/>
      <c r="DB20" s="1187"/>
      <c r="DC20" s="296"/>
      <c r="DD20" s="296"/>
      <c r="DE20" s="229"/>
      <c r="DF20" s="229"/>
      <c r="DG20" s="1245"/>
      <c r="DH20" s="538"/>
      <c r="DI20" s="229"/>
      <c r="DJ20" s="229"/>
      <c r="DK20" s="229"/>
      <c r="DL20" s="229"/>
      <c r="DM20" s="229"/>
      <c r="DN20" s="229"/>
      <c r="DO20" s="229"/>
      <c r="DP20" s="229"/>
      <c r="DQ20" s="356"/>
      <c r="DR20" s="358"/>
      <c r="DS20" s="229"/>
      <c r="DT20" s="229"/>
      <c r="DU20" s="229"/>
      <c r="DV20" s="1245"/>
      <c r="DW20" s="538"/>
      <c r="DX20" s="229"/>
      <c r="DY20" s="229"/>
      <c r="DZ20" s="229"/>
      <c r="EA20" s="229"/>
      <c r="EB20" s="229"/>
      <c r="EC20" s="229"/>
      <c r="ED20" s="229"/>
      <c r="EE20" s="1245"/>
      <c r="EF20" s="538"/>
      <c r="EG20" s="229"/>
      <c r="EH20" s="229"/>
      <c r="EI20" s="229"/>
      <c r="EJ20" s="229"/>
      <c r="EK20" s="1245"/>
      <c r="EL20" s="538"/>
      <c r="EM20" s="229"/>
      <c r="EN20" s="229"/>
      <c r="EO20" s="229"/>
      <c r="EP20" s="229"/>
      <c r="EQ20" s="229"/>
      <c r="ER20" s="229"/>
      <c r="ES20" s="229"/>
      <c r="ET20" s="229"/>
      <c r="EU20" s="356"/>
      <c r="EV20" s="229"/>
      <c r="EW20" s="229"/>
      <c r="EX20" s="229"/>
      <c r="EY20" s="1245"/>
      <c r="EZ20" s="538"/>
      <c r="FA20" s="229"/>
      <c r="FB20" s="229"/>
      <c r="FC20" s="229"/>
      <c r="FD20" s="229"/>
      <c r="FE20" s="229"/>
      <c r="FF20" s="229"/>
      <c r="FG20" s="229"/>
      <c r="FH20" s="1245"/>
      <c r="FI20" s="538"/>
      <c r="FJ20" s="229"/>
      <c r="FK20" s="229"/>
      <c r="FL20" s="229"/>
      <c r="FM20" s="229"/>
      <c r="FN20" s="1245"/>
      <c r="FO20" s="538"/>
      <c r="FP20" s="229"/>
      <c r="FQ20" s="229"/>
      <c r="FR20" s="229"/>
      <c r="FS20" s="229"/>
      <c r="FT20" s="229"/>
      <c r="FU20" s="229"/>
      <c r="FV20" s="229"/>
      <c r="FW20" s="229"/>
    </row>
    <row r="21" spans="1:180" x14ac:dyDescent="0.35">
      <c r="C21" s="444" t="s">
        <v>974</v>
      </c>
      <c r="J21" s="1677">
        <v>97.9</v>
      </c>
      <c r="K21" s="271">
        <v>97.9</v>
      </c>
      <c r="L21" s="271">
        <v>97.9</v>
      </c>
      <c r="M21" s="271">
        <v>97.9</v>
      </c>
      <c r="N21" s="271">
        <v>97.9</v>
      </c>
      <c r="O21" s="1276">
        <v>97.9</v>
      </c>
      <c r="P21" s="1677">
        <v>97.9</v>
      </c>
      <c r="Q21" s="271">
        <v>97.9</v>
      </c>
      <c r="R21" s="1276">
        <v>97.9</v>
      </c>
      <c r="S21" s="606"/>
      <c r="T21" s="244"/>
      <c r="U21" s="244"/>
      <c r="V21" s="244"/>
      <c r="W21" s="244"/>
      <c r="X21" s="1237"/>
      <c r="Y21" s="606"/>
      <c r="Z21" s="244"/>
      <c r="AA21" s="244"/>
      <c r="AB21" s="244"/>
      <c r="AC21" s="244"/>
      <c r="AD21" s="244"/>
      <c r="AE21" s="244"/>
      <c r="AF21" s="244"/>
      <c r="AG21" s="244"/>
      <c r="AH21" s="325"/>
      <c r="AI21" s="244"/>
      <c r="AJ21" s="244"/>
      <c r="AK21" s="244"/>
      <c r="AL21" s="1237"/>
      <c r="AM21" s="606"/>
      <c r="AN21" s="244"/>
      <c r="AO21" s="244"/>
      <c r="AP21" s="244"/>
      <c r="AQ21" s="244"/>
      <c r="AR21" s="244"/>
      <c r="AS21" s="244"/>
      <c r="AT21" s="244"/>
      <c r="AU21" s="1237"/>
      <c r="AV21" s="606"/>
      <c r="AW21" s="244"/>
      <c r="AX21" s="244"/>
      <c r="AY21" s="244"/>
      <c r="AZ21" s="244"/>
      <c r="BA21" s="1237"/>
      <c r="BB21" s="606"/>
      <c r="BC21" s="244"/>
      <c r="BD21" s="244"/>
      <c r="BE21" s="244"/>
      <c r="BF21" s="244"/>
      <c r="BG21" s="244"/>
      <c r="BH21" s="244"/>
      <c r="BI21" s="244"/>
      <c r="BJ21" s="244"/>
      <c r="BK21" s="325"/>
      <c r="BL21" s="446">
        <v>19</v>
      </c>
      <c r="BM21" s="446">
        <v>20.5</v>
      </c>
      <c r="BN21" s="446">
        <v>21.5</v>
      </c>
      <c r="BO21" s="1592">
        <v>21.9</v>
      </c>
      <c r="BP21" s="493">
        <v>8</v>
      </c>
      <c r="BQ21" s="446">
        <v>12</v>
      </c>
      <c r="BR21" s="446">
        <v>13</v>
      </c>
      <c r="BS21" s="446">
        <v>14.1</v>
      </c>
      <c r="BT21" s="446">
        <v>15.2</v>
      </c>
      <c r="BU21" s="446">
        <v>16.2</v>
      </c>
      <c r="BV21" s="446">
        <v>20.5</v>
      </c>
      <c r="BW21" s="446">
        <v>30</v>
      </c>
      <c r="BX21" s="1592">
        <v>30.8</v>
      </c>
      <c r="BY21" s="493">
        <v>28</v>
      </c>
      <c r="BZ21" s="446">
        <v>30</v>
      </c>
      <c r="CA21" s="446">
        <v>30.7</v>
      </c>
      <c r="CB21" s="244"/>
      <c r="CC21" s="244"/>
      <c r="CD21" s="1237"/>
      <c r="CE21" s="606"/>
      <c r="CF21" s="244"/>
      <c r="CG21" s="244"/>
      <c r="CH21" s="244"/>
      <c r="CI21" s="244"/>
      <c r="CJ21" s="244"/>
      <c r="CK21" s="244"/>
      <c r="CL21" s="244"/>
      <c r="CM21" s="244"/>
      <c r="CN21" s="325"/>
      <c r="CO21" s="244"/>
      <c r="CP21" s="244"/>
      <c r="CQ21" s="244"/>
      <c r="CR21" s="1237"/>
      <c r="CS21" s="606"/>
      <c r="CT21" s="244"/>
      <c r="CU21" s="244"/>
      <c r="CV21" s="244"/>
      <c r="CW21" s="244"/>
      <c r="CX21" s="244"/>
      <c r="CY21" s="244"/>
      <c r="CZ21" s="244"/>
      <c r="DA21" s="1237"/>
      <c r="DB21" s="606"/>
      <c r="DC21" s="244"/>
      <c r="DD21" s="244"/>
    </row>
    <row r="22" spans="1:180" s="2325" customFormat="1" x14ac:dyDescent="0.35">
      <c r="C22" s="2326" t="s">
        <v>975</v>
      </c>
      <c r="D22" s="2326"/>
      <c r="E22" s="2326"/>
      <c r="F22" s="2368"/>
      <c r="G22" s="2331"/>
      <c r="H22" s="2331"/>
      <c r="I22" s="2332"/>
      <c r="J22" s="2384"/>
      <c r="K22" s="2385">
        <v>4.83</v>
      </c>
      <c r="L22" s="2385">
        <v>6.31</v>
      </c>
      <c r="M22" s="2385">
        <v>6.74</v>
      </c>
      <c r="N22" s="2385">
        <v>7.68</v>
      </c>
      <c r="O22" s="2386">
        <v>8.52</v>
      </c>
      <c r="P22" s="2384">
        <v>9.16</v>
      </c>
      <c r="Q22" s="2385"/>
      <c r="R22" s="2386"/>
      <c r="S22" s="2387"/>
      <c r="T22" s="2369"/>
      <c r="U22" s="2369"/>
      <c r="V22" s="2369"/>
      <c r="W22" s="2369"/>
      <c r="X22" s="2370"/>
      <c r="Y22" s="2371"/>
      <c r="Z22" s="2371"/>
      <c r="AA22" s="2371"/>
      <c r="AB22" s="2371"/>
      <c r="AC22" s="2371"/>
      <c r="AD22" s="2371"/>
      <c r="AE22" s="2371"/>
      <c r="AF22" s="2371"/>
      <c r="AG22" s="2371"/>
      <c r="AH22" s="325"/>
      <c r="AI22" s="2369"/>
      <c r="AJ22" s="2369"/>
      <c r="AK22" s="2369"/>
      <c r="AL22" s="2370"/>
      <c r="AM22" s="2371"/>
      <c r="AN22" s="2369"/>
      <c r="AO22" s="2369"/>
      <c r="AP22" s="2369"/>
      <c r="AQ22" s="2369"/>
      <c r="AR22" s="2369"/>
      <c r="AS22" s="2369"/>
      <c r="AT22" s="2369"/>
      <c r="AU22" s="2370"/>
      <c r="AV22" s="2371"/>
      <c r="AW22" s="2369"/>
      <c r="AX22" s="2369"/>
      <c r="AY22" s="2369"/>
      <c r="AZ22" s="2369"/>
      <c r="BA22" s="2370"/>
      <c r="BB22" s="2371"/>
      <c r="BC22" s="2369"/>
      <c r="BD22" s="2369"/>
      <c r="BE22" s="2369"/>
      <c r="BF22" s="2369"/>
      <c r="BG22" s="2369"/>
      <c r="BH22" s="2369"/>
      <c r="BI22" s="2369"/>
      <c r="BJ22" s="2369"/>
      <c r="BK22" s="325"/>
      <c r="BL22" s="2377"/>
      <c r="BM22" s="2377"/>
      <c r="BN22" s="2377"/>
      <c r="BO22" s="2378"/>
      <c r="BP22" s="2379"/>
      <c r="BQ22" s="2377">
        <v>4.83</v>
      </c>
      <c r="BR22" s="2377">
        <v>6.31</v>
      </c>
      <c r="BS22" s="2377">
        <v>6.74</v>
      </c>
      <c r="BT22" s="2377">
        <v>7.68</v>
      </c>
      <c r="BU22" s="2377">
        <v>8.52</v>
      </c>
      <c r="BV22" s="2377">
        <v>9.16</v>
      </c>
      <c r="BW22" s="2377"/>
      <c r="BX22" s="2378"/>
      <c r="BY22" s="2379"/>
      <c r="BZ22" s="2377"/>
      <c r="CA22" s="2377"/>
      <c r="CB22" s="2369"/>
      <c r="CC22" s="2369"/>
      <c r="CD22" s="2370"/>
      <c r="CE22" s="2371"/>
      <c r="CF22" s="2369"/>
      <c r="CG22" s="2369"/>
      <c r="CH22" s="2369"/>
      <c r="CI22" s="2369"/>
      <c r="CJ22" s="2369"/>
      <c r="CK22" s="2369"/>
      <c r="CL22" s="2369"/>
      <c r="CM22" s="2369"/>
      <c r="CN22" s="325"/>
      <c r="CO22" s="2369"/>
      <c r="CP22" s="2369"/>
      <c r="CQ22" s="2369"/>
      <c r="CR22" s="2370"/>
      <c r="CS22" s="2371"/>
      <c r="CT22" s="2369"/>
      <c r="CU22" s="2369"/>
      <c r="CV22" s="2369"/>
      <c r="CW22" s="2369"/>
      <c r="CX22" s="2369"/>
      <c r="CY22" s="2369"/>
      <c r="CZ22" s="2369"/>
      <c r="DA22" s="2370"/>
      <c r="DB22" s="2371"/>
      <c r="DC22" s="2369"/>
      <c r="DD22" s="2369"/>
      <c r="DE22" s="2331"/>
      <c r="DF22" s="2331"/>
      <c r="DG22" s="2332"/>
      <c r="DH22" s="2333"/>
      <c r="DI22" s="2331"/>
      <c r="DJ22" s="2331"/>
      <c r="DK22" s="2331"/>
      <c r="DL22" s="2331"/>
      <c r="DM22" s="2331"/>
      <c r="DN22" s="2331"/>
      <c r="DO22" s="2331"/>
      <c r="DP22" s="2331"/>
      <c r="DQ22" s="323"/>
      <c r="DR22" s="2338"/>
      <c r="DS22" s="2331"/>
      <c r="DT22" s="2331"/>
      <c r="DU22" s="2331"/>
      <c r="DV22" s="2332"/>
      <c r="DW22" s="2333"/>
      <c r="DX22" s="2331"/>
      <c r="DY22" s="2331"/>
      <c r="DZ22" s="2331"/>
      <c r="EA22" s="2331"/>
      <c r="EB22" s="2331"/>
      <c r="EC22" s="2331"/>
      <c r="ED22" s="2331"/>
      <c r="EE22" s="2332"/>
      <c r="EF22" s="2333"/>
      <c r="EG22" s="2331"/>
      <c r="EH22" s="2331"/>
      <c r="EI22" s="2331"/>
      <c r="EJ22" s="2331"/>
      <c r="EK22" s="2332"/>
      <c r="EL22" s="2333"/>
      <c r="EM22" s="2331"/>
      <c r="EN22" s="2331"/>
      <c r="EO22" s="2331"/>
      <c r="EP22" s="2331"/>
      <c r="EQ22" s="2331"/>
      <c r="ER22" s="2331"/>
      <c r="ES22" s="2331"/>
      <c r="ET22" s="2331"/>
      <c r="EU22" s="323"/>
      <c r="EV22" s="2331"/>
      <c r="EW22" s="2331"/>
      <c r="EX22" s="2331"/>
      <c r="EY22" s="2332"/>
      <c r="EZ22" s="2333"/>
      <c r="FA22" s="2331"/>
      <c r="FB22" s="2331"/>
      <c r="FC22" s="2331"/>
      <c r="FD22" s="2331"/>
      <c r="FE22" s="2331"/>
      <c r="FF22" s="2331"/>
      <c r="FG22" s="2331"/>
      <c r="FH22" s="2332"/>
      <c r="FI22" s="2333"/>
      <c r="FJ22" s="2331"/>
      <c r="FK22" s="2331"/>
      <c r="FL22" s="2331"/>
      <c r="FM22" s="2331"/>
      <c r="FN22" s="2332"/>
      <c r="FO22" s="2333"/>
      <c r="FP22" s="2331"/>
      <c r="FQ22" s="2331"/>
      <c r="FR22" s="2331"/>
      <c r="FS22" s="2331"/>
      <c r="FT22" s="2331"/>
      <c r="FU22" s="2331"/>
      <c r="FV22" s="2331"/>
      <c r="FW22" s="2331"/>
    </row>
    <row r="23" spans="1:180" s="2315" customFormat="1" x14ac:dyDescent="0.35">
      <c r="C23" s="2297" t="s">
        <v>973</v>
      </c>
      <c r="D23" s="2297"/>
      <c r="E23" s="2297"/>
      <c r="F23" s="2372">
        <v>18.8</v>
      </c>
      <c r="G23" s="2303">
        <v>19.899999999999999</v>
      </c>
      <c r="H23" s="2303">
        <v>20.9</v>
      </c>
      <c r="I23" s="2304">
        <v>21.1</v>
      </c>
      <c r="J23" s="2380">
        <v>3.81</v>
      </c>
      <c r="K23" s="2381">
        <v>5.45</v>
      </c>
      <c r="L23" s="2381">
        <v>6.54</v>
      </c>
      <c r="M23" s="2381">
        <v>7.49</v>
      </c>
      <c r="N23" s="2381">
        <v>8.34</v>
      </c>
      <c r="O23" s="2382">
        <v>8.68</v>
      </c>
      <c r="P23" s="2380">
        <v>9.19</v>
      </c>
      <c r="Q23" s="2381"/>
      <c r="R23" s="2382"/>
      <c r="S23" s="2383"/>
      <c r="T23" s="2373"/>
      <c r="U23" s="2373"/>
      <c r="V23" s="2373"/>
      <c r="W23" s="2373"/>
      <c r="X23" s="2374"/>
      <c r="Y23" s="2375"/>
      <c r="Z23" s="2375"/>
      <c r="AA23" s="2375"/>
      <c r="AB23" s="2375"/>
      <c r="AC23" s="2375"/>
      <c r="AD23" s="2375"/>
      <c r="AE23" s="2375"/>
      <c r="AF23" s="2375"/>
      <c r="AG23" s="2375"/>
      <c r="AH23" s="325"/>
      <c r="AI23" s="2373"/>
      <c r="AJ23" s="2373"/>
      <c r="AK23" s="2373"/>
      <c r="AL23" s="2374"/>
      <c r="AM23" s="2375"/>
      <c r="AN23" s="2373"/>
      <c r="AO23" s="2373"/>
      <c r="AP23" s="2373"/>
      <c r="AQ23" s="2373"/>
      <c r="AR23" s="2373"/>
      <c r="AS23" s="2373"/>
      <c r="AT23" s="2373"/>
      <c r="AU23" s="2374"/>
      <c r="AV23" s="2375"/>
      <c r="AW23" s="2373"/>
      <c r="AX23" s="2373"/>
      <c r="AY23" s="2373"/>
      <c r="AZ23" s="2373"/>
      <c r="BA23" s="2374"/>
      <c r="BB23" s="2375"/>
      <c r="BC23" s="2373"/>
      <c r="BD23" s="2373"/>
      <c r="BE23" s="2373"/>
      <c r="BF23" s="2373"/>
      <c r="BG23" s="2373"/>
      <c r="BH23" s="2373"/>
      <c r="BI23" s="2373"/>
      <c r="BJ23" s="2373"/>
      <c r="BK23" s="325"/>
      <c r="BL23" s="2344">
        <v>18.8</v>
      </c>
      <c r="BM23" s="2344">
        <v>19.899999999999999</v>
      </c>
      <c r="BN23" s="2344">
        <v>20.9</v>
      </c>
      <c r="BO23" s="2345">
        <v>21.1</v>
      </c>
      <c r="BP23" s="2346">
        <v>3.81</v>
      </c>
      <c r="BQ23" s="2344">
        <v>5.45</v>
      </c>
      <c r="BR23" s="2344">
        <v>6.54</v>
      </c>
      <c r="BS23" s="2344">
        <v>7.49</v>
      </c>
      <c r="BT23" s="2344">
        <v>8.34</v>
      </c>
      <c r="BU23" s="2344">
        <v>8.68</v>
      </c>
      <c r="BV23" s="2344">
        <v>9.19</v>
      </c>
      <c r="BW23" s="2344"/>
      <c r="BX23" s="2345"/>
      <c r="BY23" s="2346"/>
      <c r="BZ23" s="2344"/>
      <c r="CA23" s="2344"/>
      <c r="CB23" s="2373"/>
      <c r="CC23" s="2373"/>
      <c r="CD23" s="2374"/>
      <c r="CE23" s="2375"/>
      <c r="CF23" s="2373"/>
      <c r="CG23" s="2373"/>
      <c r="CH23" s="2373"/>
      <c r="CI23" s="2373"/>
      <c r="CJ23" s="2373"/>
      <c r="CK23" s="2373"/>
      <c r="CL23" s="2373"/>
      <c r="CM23" s="2373"/>
      <c r="CN23" s="325"/>
      <c r="CO23" s="2373"/>
      <c r="CP23" s="2373"/>
      <c r="CQ23" s="2373"/>
      <c r="CR23" s="2374"/>
      <c r="CS23" s="2375"/>
      <c r="CT23" s="2373"/>
      <c r="CU23" s="2373"/>
      <c r="CV23" s="2373"/>
      <c r="CW23" s="2373"/>
      <c r="CX23" s="2373"/>
      <c r="CY23" s="2373"/>
      <c r="CZ23" s="2373"/>
      <c r="DA23" s="2374"/>
      <c r="DB23" s="2375"/>
      <c r="DC23" s="2373"/>
      <c r="DD23" s="2373"/>
      <c r="DE23" s="2303"/>
      <c r="DF23" s="2303"/>
      <c r="DG23" s="2304"/>
      <c r="DH23" s="2305"/>
      <c r="DI23" s="2303"/>
      <c r="DJ23" s="2303"/>
      <c r="DK23" s="2303"/>
      <c r="DL23" s="2303"/>
      <c r="DM23" s="2303"/>
      <c r="DN23" s="2303"/>
      <c r="DO23" s="2303"/>
      <c r="DP23" s="2303"/>
      <c r="DQ23" s="323"/>
      <c r="DR23" s="2310"/>
      <c r="DS23" s="2303"/>
      <c r="DT23" s="2303"/>
      <c r="DU23" s="2303"/>
      <c r="DV23" s="2304"/>
      <c r="DW23" s="2305"/>
      <c r="DX23" s="2303"/>
      <c r="DY23" s="2303"/>
      <c r="DZ23" s="2303"/>
      <c r="EA23" s="2303"/>
      <c r="EB23" s="2303"/>
      <c r="EC23" s="2303"/>
      <c r="ED23" s="2303"/>
      <c r="EE23" s="2304"/>
      <c r="EF23" s="2305"/>
      <c r="EG23" s="2303"/>
      <c r="EH23" s="2303"/>
      <c r="EI23" s="2303"/>
      <c r="EJ23" s="2303"/>
      <c r="EK23" s="2304"/>
      <c r="EL23" s="2305"/>
      <c r="EM23" s="2303"/>
      <c r="EN23" s="2303"/>
      <c r="EO23" s="2303"/>
      <c r="EP23" s="2303"/>
      <c r="EQ23" s="2303"/>
      <c r="ER23" s="2303"/>
      <c r="ES23" s="2303"/>
      <c r="ET23" s="2303"/>
      <c r="EU23" s="323"/>
      <c r="EV23" s="2303"/>
      <c r="EW23" s="2303"/>
      <c r="EX23" s="2303"/>
      <c r="EY23" s="2304"/>
      <c r="EZ23" s="2305"/>
      <c r="FA23" s="2303"/>
      <c r="FB23" s="2303"/>
      <c r="FC23" s="2303"/>
      <c r="FD23" s="2303"/>
      <c r="FE23" s="2303"/>
      <c r="FF23" s="2303"/>
      <c r="FG23" s="2303"/>
      <c r="FH23" s="2304"/>
      <c r="FI23" s="2305"/>
      <c r="FJ23" s="2303"/>
      <c r="FK23" s="2303"/>
      <c r="FL23" s="2303"/>
      <c r="FM23" s="2303"/>
      <c r="FN23" s="2304"/>
      <c r="FO23" s="2305"/>
      <c r="FP23" s="2303"/>
      <c r="FQ23" s="2303"/>
      <c r="FR23" s="2303"/>
      <c r="FS23" s="2303"/>
      <c r="FT23" s="2303"/>
      <c r="FU23" s="2303"/>
      <c r="FV23" s="2303"/>
      <c r="FW23" s="2303"/>
    </row>
    <row r="24" spans="1:180" x14ac:dyDescent="0.35">
      <c r="C24" s="1" t="s">
        <v>97</v>
      </c>
      <c r="F24" s="1029">
        <f>'HPS DAILY'!$G$43</f>
        <v>200.01</v>
      </c>
      <c r="G24" s="232">
        <f>'HPS DAILY'!$G$43</f>
        <v>200.01</v>
      </c>
      <c r="H24" s="232">
        <f>'HPS DAILY'!$G$43</f>
        <v>200.01</v>
      </c>
      <c r="I24" s="1236">
        <f>'HPS DAILY'!$G$43</f>
        <v>200.01</v>
      </c>
      <c r="J24" s="643">
        <f>'HPS DAILY'!$H$43</f>
        <v>205.8</v>
      </c>
      <c r="K24" s="232">
        <f>'HPS DAILY'!$H$43</f>
        <v>205.8</v>
      </c>
      <c r="L24" s="232">
        <f>'HPS DAILY'!$H$43</f>
        <v>205.8</v>
      </c>
      <c r="M24" s="232">
        <f>'HPS DAILY'!$H$43</f>
        <v>205.8</v>
      </c>
      <c r="N24" s="232">
        <f>'HPS DAILY'!$H$43</f>
        <v>205.8</v>
      </c>
      <c r="O24" s="1236">
        <f>'HPS DAILY'!$H$43</f>
        <v>205.8</v>
      </c>
      <c r="P24" s="643">
        <f>'HPS DAILY'!$H$43</f>
        <v>205.8</v>
      </c>
      <c r="Q24" s="232">
        <f>'HPS DAILY'!$H$43</f>
        <v>205.8</v>
      </c>
      <c r="R24" s="1236">
        <f>'HPS DAILY'!$H$43</f>
        <v>205.8</v>
      </c>
      <c r="S24" s="1236">
        <f>'HPS DAILY'!$H$43</f>
        <v>205.8</v>
      </c>
      <c r="T24" s="244">
        <f>'HPS DAILY'!$I$43</f>
        <v>205.8</v>
      </c>
      <c r="U24" s="244">
        <f>'HPS DAILY'!$I$43</f>
        <v>205.8</v>
      </c>
      <c r="V24" s="244">
        <f>'HPS DAILY'!$I$43</f>
        <v>205.8</v>
      </c>
      <c r="W24" s="244">
        <f>'HPS DAILY'!$I$43</f>
        <v>205.8</v>
      </c>
      <c r="X24" s="1237">
        <f>'HPS DAILY'!$I$43</f>
        <v>205.8</v>
      </c>
      <c r="Y24" s="606">
        <f>'HPS DAILY'!$J$43</f>
        <v>205.8</v>
      </c>
      <c r="Z24" s="606">
        <f>'HPS DAILY'!$J$43</f>
        <v>205.8</v>
      </c>
      <c r="AA24" s="606">
        <f>'HPS DAILY'!$J$43</f>
        <v>205.8</v>
      </c>
      <c r="AB24" s="606">
        <f>'HPS DAILY'!$J$43</f>
        <v>205.8</v>
      </c>
      <c r="AC24" s="606">
        <f>'HPS DAILY'!$J$43</f>
        <v>205.8</v>
      </c>
      <c r="AD24" s="606">
        <f>'HPS DAILY'!$J$43</f>
        <v>205.8</v>
      </c>
      <c r="AE24" s="606">
        <f>'HPS DAILY'!$J$43</f>
        <v>205.8</v>
      </c>
      <c r="AF24" s="606">
        <f>'HPS DAILY'!$J$43</f>
        <v>205.8</v>
      </c>
      <c r="AG24" s="606">
        <f>'HPS DAILY'!$J$43</f>
        <v>205.8</v>
      </c>
      <c r="AH24" s="325"/>
      <c r="AI24" s="244">
        <f>ISV!G$42</f>
        <v>0</v>
      </c>
      <c r="AJ24" s="244">
        <f>ISV!H$42</f>
        <v>96.82</v>
      </c>
      <c r="AK24" s="244">
        <f>ISV!I$42</f>
        <v>0</v>
      </c>
      <c r="AL24" s="1237">
        <f>ISV!J$42</f>
        <v>0</v>
      </c>
      <c r="AM24" s="606">
        <f>ISV!K$42</f>
        <v>148.41</v>
      </c>
      <c r="AN24" s="244">
        <f>ISV!L$42</f>
        <v>110.34</v>
      </c>
      <c r="AO24" s="244">
        <f>ISV!M$42</f>
        <v>0</v>
      </c>
      <c r="AP24" s="244">
        <f>ISV!N$42</f>
        <v>0</v>
      </c>
      <c r="AQ24" s="244">
        <f>ISV!O$42</f>
        <v>0</v>
      </c>
      <c r="AR24" s="244">
        <f>ISV!P$42</f>
        <v>0</v>
      </c>
      <c r="AS24" s="244">
        <f>ISV!Q$42</f>
        <v>167.55</v>
      </c>
      <c r="AT24" s="244">
        <f>ISV!R$42</f>
        <v>0</v>
      </c>
      <c r="AU24" s="1237">
        <f>ISV!S$42</f>
        <v>0</v>
      </c>
      <c r="AV24" s="606">
        <f>ISV!T$42</f>
        <v>0</v>
      </c>
      <c r="AW24" s="244">
        <f>ISV!U$42</f>
        <v>0</v>
      </c>
      <c r="AX24" s="244">
        <f>ISV!V$42</f>
        <v>0</v>
      </c>
      <c r="AY24" s="244">
        <f>ISV!W$42</f>
        <v>0</v>
      </c>
      <c r="AZ24" s="244">
        <f>ISV!X$42</f>
        <v>0</v>
      </c>
      <c r="BA24" s="1237">
        <f>ISV!Y$42</f>
        <v>0</v>
      </c>
      <c r="BB24" s="606">
        <f>ISV!Z$42</f>
        <v>0</v>
      </c>
      <c r="BC24" s="244">
        <f>ISV!AA$42</f>
        <v>0</v>
      </c>
      <c r="BD24" s="244">
        <f>ISV!AB$42</f>
        <v>0</v>
      </c>
      <c r="BE24" s="244">
        <f>ISV!AC$42</f>
        <v>0</v>
      </c>
      <c r="BF24" s="244">
        <f>ISV!AD$42</f>
        <v>0</v>
      </c>
      <c r="BG24" s="244">
        <f>ISV!AE$42</f>
        <v>0</v>
      </c>
      <c r="BH24" s="244">
        <f>ISV!AF$42</f>
        <v>0</v>
      </c>
      <c r="BI24" s="244">
        <f>ISV!AG$42</f>
        <v>0</v>
      </c>
      <c r="BJ24" s="244">
        <f>ISV!AH$42</f>
        <v>0</v>
      </c>
      <c r="BK24" s="325"/>
      <c r="BL24" s="249" cm="1">
        <f t="array" ref="BL24:CM24">'HPS DAILY'!K43:AL43</f>
        <v>25.189999999999998</v>
      </c>
      <c r="BM24" s="249">
        <v>29.8</v>
      </c>
      <c r="BN24" s="249">
        <v>35.97</v>
      </c>
      <c r="BO24" s="1242">
        <v>35.74</v>
      </c>
      <c r="BP24" s="419">
        <v>0.71</v>
      </c>
      <c r="BQ24" s="249">
        <v>0.82</v>
      </c>
      <c r="BR24" s="249">
        <v>1.21</v>
      </c>
      <c r="BS24" s="249">
        <v>1.7</v>
      </c>
      <c r="BT24" s="249">
        <v>2.6549999999999998</v>
      </c>
      <c r="BU24" s="249">
        <v>2.76</v>
      </c>
      <c r="BV24" s="249">
        <v>3.4</v>
      </c>
      <c r="BW24" s="249">
        <v>3.36</v>
      </c>
      <c r="BX24" s="1242">
        <v>3.74</v>
      </c>
      <c r="BY24" s="419">
        <v>0</v>
      </c>
      <c r="BZ24" s="249">
        <v>0</v>
      </c>
      <c r="CA24" s="249">
        <v>0</v>
      </c>
      <c r="CB24" s="244">
        <v>0</v>
      </c>
      <c r="CC24" s="244">
        <v>0</v>
      </c>
      <c r="CD24" s="1237">
        <v>0</v>
      </c>
      <c r="CE24" s="606">
        <v>0</v>
      </c>
      <c r="CF24" s="244">
        <v>0</v>
      </c>
      <c r="CG24" s="244">
        <v>0</v>
      </c>
      <c r="CH24" s="244">
        <v>0</v>
      </c>
      <c r="CI24" s="244">
        <v>0</v>
      </c>
      <c r="CJ24" s="244">
        <v>0</v>
      </c>
      <c r="CK24" s="244">
        <v>0</v>
      </c>
      <c r="CL24" s="244">
        <v>0</v>
      </c>
      <c r="CM24" s="244">
        <v>0</v>
      </c>
      <c r="CN24" s="325"/>
      <c r="CO24" s="244"/>
      <c r="CP24" s="244"/>
      <c r="CQ24" s="244"/>
      <c r="CR24" s="1237"/>
      <c r="CS24" s="606"/>
      <c r="CT24" s="244"/>
      <c r="CU24" s="244"/>
      <c r="CV24" s="244"/>
      <c r="CW24" s="244"/>
      <c r="CX24" s="244"/>
      <c r="CY24" s="244"/>
      <c r="CZ24" s="244"/>
      <c r="DA24" s="1237"/>
      <c r="DB24" s="606"/>
      <c r="DC24" s="244"/>
      <c r="DD24" s="244"/>
    </row>
    <row r="25" spans="1:180" x14ac:dyDescent="0.35">
      <c r="C25" s="444" t="s">
        <v>1013</v>
      </c>
      <c r="F25" s="605"/>
      <c r="G25" s="244"/>
      <c r="H25" s="244"/>
      <c r="I25" s="1237"/>
      <c r="J25" s="606">
        <v>266</v>
      </c>
      <c r="K25" s="244">
        <v>266</v>
      </c>
      <c r="L25" s="244">
        <v>266</v>
      </c>
      <c r="M25" s="244">
        <v>266</v>
      </c>
      <c r="N25" s="244">
        <v>266</v>
      </c>
      <c r="O25" s="1237">
        <v>266</v>
      </c>
      <c r="P25" s="606">
        <v>266</v>
      </c>
      <c r="Q25" s="244">
        <v>266</v>
      </c>
      <c r="R25" s="1237">
        <v>266</v>
      </c>
      <c r="S25" s="606"/>
      <c r="T25" s="244"/>
      <c r="U25" s="244"/>
      <c r="V25" s="244"/>
      <c r="W25" s="244"/>
      <c r="X25" s="1237"/>
      <c r="Y25" s="606"/>
      <c r="Z25" s="244"/>
      <c r="AA25" s="244"/>
      <c r="AB25" s="244"/>
      <c r="AC25" s="244"/>
      <c r="AD25" s="244"/>
      <c r="AE25" s="244"/>
      <c r="AF25" s="244"/>
      <c r="AG25" s="244"/>
      <c r="AH25" s="325"/>
      <c r="AI25" s="244"/>
      <c r="AJ25" s="244"/>
      <c r="AK25" s="244"/>
      <c r="AL25" s="1237"/>
      <c r="AM25" s="606"/>
      <c r="AN25" s="244"/>
      <c r="AO25" s="244"/>
      <c r="AP25" s="244"/>
      <c r="AQ25" s="244"/>
      <c r="AR25" s="244"/>
      <c r="AS25" s="244"/>
      <c r="AT25" s="244"/>
      <c r="AU25" s="1237"/>
      <c r="AV25" s="606"/>
      <c r="AW25" s="244"/>
      <c r="AX25" s="244"/>
      <c r="AY25" s="244"/>
      <c r="AZ25" s="244"/>
      <c r="BA25" s="1237"/>
      <c r="BB25" s="606"/>
      <c r="BC25" s="244"/>
      <c r="BD25" s="244"/>
      <c r="BE25" s="244"/>
      <c r="BF25" s="244"/>
      <c r="BG25" s="244"/>
      <c r="BH25" s="244"/>
      <c r="BI25" s="244"/>
      <c r="BJ25" s="244"/>
      <c r="BK25" s="325"/>
      <c r="BL25" s="446">
        <v>24.5</v>
      </c>
      <c r="BM25" s="446">
        <v>29</v>
      </c>
      <c r="BN25" s="446">
        <v>32.5</v>
      </c>
      <c r="BO25" s="1592">
        <v>34.1</v>
      </c>
      <c r="BP25" s="493">
        <v>4</v>
      </c>
      <c r="BQ25" s="446">
        <v>5</v>
      </c>
      <c r="BR25" s="446">
        <v>6</v>
      </c>
      <c r="BS25" s="446">
        <v>6.5</v>
      </c>
      <c r="BT25" s="446">
        <v>7.5</v>
      </c>
      <c r="BU25" s="446">
        <v>8.8000000000000007</v>
      </c>
      <c r="BV25" s="446">
        <v>13</v>
      </c>
      <c r="BW25" s="446">
        <v>25</v>
      </c>
      <c r="BX25" s="1592">
        <v>27</v>
      </c>
      <c r="BY25" s="493">
        <v>23</v>
      </c>
      <c r="BZ25" s="446">
        <v>24</v>
      </c>
      <c r="CA25" s="446">
        <v>27.4</v>
      </c>
      <c r="CB25" s="244"/>
      <c r="CC25" s="244"/>
      <c r="CD25" s="1237"/>
      <c r="CE25" s="606"/>
      <c r="CF25" s="244"/>
      <c r="CG25" s="244"/>
      <c r="CH25" s="244"/>
      <c r="CI25" s="244"/>
      <c r="CJ25" s="244"/>
      <c r="CK25" s="244"/>
      <c r="CL25" s="244"/>
      <c r="CM25" s="244"/>
      <c r="CN25" s="325"/>
      <c r="CO25" s="244"/>
      <c r="CP25" s="244"/>
      <c r="CQ25" s="244"/>
      <c r="CR25" s="1237"/>
      <c r="CS25" s="606"/>
      <c r="CT25" s="244"/>
      <c r="CU25" s="244"/>
      <c r="CV25" s="244"/>
      <c r="CW25" s="244"/>
      <c r="CX25" s="244"/>
      <c r="CY25" s="244"/>
      <c r="CZ25" s="244"/>
      <c r="DA25" s="1237"/>
      <c r="DB25" s="606"/>
      <c r="DC25" s="244"/>
      <c r="DD25" s="244"/>
    </row>
    <row r="26" spans="1:180" s="2325" customFormat="1" x14ac:dyDescent="0.35">
      <c r="C26" s="2326" t="s">
        <v>976</v>
      </c>
      <c r="D26" s="2326"/>
      <c r="E26" s="2326"/>
      <c r="F26" s="2388"/>
      <c r="G26" s="2389"/>
      <c r="H26" s="2389"/>
      <c r="I26" s="2390"/>
      <c r="J26" s="2391"/>
      <c r="K26" s="2389">
        <v>0.91</v>
      </c>
      <c r="L26" s="2389">
        <v>1.61</v>
      </c>
      <c r="M26" s="2389">
        <v>1.76</v>
      </c>
      <c r="N26" s="2389">
        <v>2.1800000000000002</v>
      </c>
      <c r="O26" s="2390">
        <v>2.52</v>
      </c>
      <c r="P26" s="2391">
        <v>2.81</v>
      </c>
      <c r="Q26" s="2389"/>
      <c r="R26" s="2390"/>
      <c r="S26" s="2392"/>
      <c r="T26" s="2389"/>
      <c r="U26" s="2389"/>
      <c r="V26" s="2389"/>
      <c r="W26" s="2389"/>
      <c r="X26" s="2390"/>
      <c r="Y26" s="2391"/>
      <c r="Z26" s="2391"/>
      <c r="AA26" s="2391"/>
      <c r="AB26" s="2391"/>
      <c r="AC26" s="2391"/>
      <c r="AD26" s="2391"/>
      <c r="AE26" s="2391"/>
      <c r="AF26" s="2391"/>
      <c r="AG26" s="2391"/>
      <c r="AH26" s="350"/>
      <c r="AI26" s="2389"/>
      <c r="AJ26" s="2389"/>
      <c r="AK26" s="2389"/>
      <c r="AL26" s="2390"/>
      <c r="AM26" s="2391"/>
      <c r="AN26" s="2389"/>
      <c r="AO26" s="2389"/>
      <c r="AP26" s="2389"/>
      <c r="AQ26" s="2389"/>
      <c r="AR26" s="2389"/>
      <c r="AS26" s="2389"/>
      <c r="AT26" s="2389"/>
      <c r="AU26" s="2390"/>
      <c r="AV26" s="2391"/>
      <c r="AW26" s="2389"/>
      <c r="AX26" s="2389"/>
      <c r="AY26" s="2389"/>
      <c r="AZ26" s="2389"/>
      <c r="BA26" s="2390"/>
      <c r="BB26" s="2391"/>
      <c r="BC26" s="2389"/>
      <c r="BD26" s="2389"/>
      <c r="BE26" s="2389"/>
      <c r="BF26" s="2389"/>
      <c r="BG26" s="2389"/>
      <c r="BH26" s="2389"/>
      <c r="BI26" s="2389"/>
      <c r="BJ26" s="2389"/>
      <c r="BK26" s="350"/>
      <c r="BL26" s="2393"/>
      <c r="BM26" s="2393"/>
      <c r="BN26" s="2393"/>
      <c r="BO26" s="2394"/>
      <c r="BP26" s="2395"/>
      <c r="BQ26" s="2393">
        <v>0.91</v>
      </c>
      <c r="BR26" s="2393">
        <v>1.61</v>
      </c>
      <c r="BS26" s="2393">
        <v>1.76</v>
      </c>
      <c r="BT26" s="2393">
        <v>2.1800000000000002</v>
      </c>
      <c r="BU26" s="2393">
        <v>2.52</v>
      </c>
      <c r="BV26" s="2393">
        <v>2.81</v>
      </c>
      <c r="BW26" s="2393"/>
      <c r="BX26" s="2394"/>
      <c r="BY26" s="2395"/>
      <c r="BZ26" s="2393"/>
      <c r="CA26" s="2393"/>
      <c r="CB26" s="2389"/>
      <c r="CC26" s="2389"/>
      <c r="CD26" s="2390"/>
      <c r="CE26" s="2391"/>
      <c r="CF26" s="2389"/>
      <c r="CG26" s="2389"/>
      <c r="CH26" s="2389"/>
      <c r="CI26" s="2389"/>
      <c r="CJ26" s="2389"/>
      <c r="CK26" s="2389"/>
      <c r="CL26" s="2389"/>
      <c r="CM26" s="2389"/>
      <c r="CN26" s="350"/>
      <c r="CO26" s="2389"/>
      <c r="CP26" s="2389"/>
      <c r="CQ26" s="2389"/>
      <c r="CR26" s="2390"/>
      <c r="CS26" s="2391"/>
      <c r="CT26" s="2389"/>
      <c r="CU26" s="2389"/>
      <c r="CV26" s="2389"/>
      <c r="CW26" s="2389"/>
      <c r="CX26" s="2389"/>
      <c r="CY26" s="2389"/>
      <c r="CZ26" s="2389"/>
      <c r="DA26" s="2390"/>
      <c r="DB26" s="2391"/>
      <c r="DC26" s="2389"/>
      <c r="DD26" s="2389"/>
      <c r="DE26" s="2396"/>
      <c r="DF26" s="2396"/>
      <c r="DG26" s="2397"/>
      <c r="DH26" s="2398"/>
      <c r="DI26" s="2396"/>
      <c r="DJ26" s="2396"/>
      <c r="DK26" s="2396"/>
      <c r="DL26" s="2396"/>
      <c r="DM26" s="2396"/>
      <c r="DN26" s="2396"/>
      <c r="DO26" s="2396"/>
      <c r="DP26" s="2396"/>
      <c r="DQ26" s="344"/>
      <c r="DR26" s="2399"/>
      <c r="DS26" s="2396"/>
      <c r="DT26" s="2396"/>
      <c r="DU26" s="2396"/>
      <c r="DV26" s="2397"/>
      <c r="DW26" s="2398"/>
      <c r="DX26" s="2396"/>
      <c r="DY26" s="2396"/>
      <c r="DZ26" s="2396"/>
      <c r="EA26" s="2396"/>
      <c r="EB26" s="2396"/>
      <c r="EC26" s="2396"/>
      <c r="ED26" s="2396"/>
      <c r="EE26" s="2397"/>
      <c r="EF26" s="2398"/>
      <c r="EG26" s="2396"/>
      <c r="EH26" s="2396"/>
      <c r="EI26" s="2396"/>
      <c r="EJ26" s="2396"/>
      <c r="EK26" s="2397"/>
      <c r="EL26" s="2398"/>
      <c r="EM26" s="2396"/>
      <c r="EN26" s="2396"/>
      <c r="EO26" s="2396"/>
      <c r="EP26" s="2396"/>
      <c r="EQ26" s="2396"/>
      <c r="ER26" s="2396"/>
      <c r="ES26" s="2396"/>
      <c r="ET26" s="2396"/>
      <c r="EU26" s="344"/>
      <c r="EV26" s="2396"/>
      <c r="EW26" s="2396"/>
      <c r="EX26" s="2396"/>
      <c r="EY26" s="2397"/>
      <c r="EZ26" s="2398"/>
      <c r="FA26" s="2396"/>
      <c r="FB26" s="2396"/>
      <c r="FC26" s="2396"/>
      <c r="FD26" s="2396"/>
      <c r="FE26" s="2396"/>
      <c r="FF26" s="2396"/>
      <c r="FG26" s="2396"/>
      <c r="FH26" s="2397"/>
      <c r="FI26" s="2398"/>
      <c r="FJ26" s="2396"/>
      <c r="FK26" s="2396"/>
      <c r="FL26" s="2396"/>
      <c r="FM26" s="2396"/>
      <c r="FN26" s="2397"/>
      <c r="FO26" s="2398"/>
      <c r="FP26" s="2396"/>
      <c r="FQ26" s="2396"/>
      <c r="FR26" s="2396"/>
      <c r="FS26" s="2396"/>
      <c r="FT26" s="2396"/>
      <c r="FU26" s="2396"/>
      <c r="FV26" s="2396"/>
      <c r="FW26" s="2396"/>
    </row>
    <row r="27" spans="1:180" s="2315" customFormat="1" x14ac:dyDescent="0.35">
      <c r="C27" s="2297" t="s">
        <v>977</v>
      </c>
      <c r="D27" s="2297"/>
      <c r="E27" s="2297"/>
      <c r="F27" s="2400">
        <v>25.2</v>
      </c>
      <c r="G27" s="2401">
        <v>28.6</v>
      </c>
      <c r="H27" s="2401">
        <v>32.200000000000003</v>
      </c>
      <c r="I27" s="2402">
        <v>34.5</v>
      </c>
      <c r="J27" s="2403">
        <v>0.73699999999999999</v>
      </c>
      <c r="K27" s="2401">
        <v>1.27</v>
      </c>
      <c r="L27" s="2401">
        <v>1.89</v>
      </c>
      <c r="M27" s="2401">
        <v>2.44</v>
      </c>
      <c r="N27" s="2401">
        <v>2.99</v>
      </c>
      <c r="O27" s="2402">
        <v>3.26</v>
      </c>
      <c r="P27" s="2403">
        <v>3.91</v>
      </c>
      <c r="Q27" s="2401"/>
      <c r="R27" s="2402"/>
      <c r="S27" s="2404"/>
      <c r="T27" s="2401"/>
      <c r="U27" s="2401"/>
      <c r="V27" s="2401"/>
      <c r="W27" s="2401"/>
      <c r="X27" s="2402"/>
      <c r="Y27" s="2403"/>
      <c r="Z27" s="2403"/>
      <c r="AA27" s="2403"/>
      <c r="AB27" s="2403"/>
      <c r="AC27" s="2403"/>
      <c r="AD27" s="2403"/>
      <c r="AE27" s="2403"/>
      <c r="AF27" s="2403"/>
      <c r="AG27" s="2403"/>
      <c r="AH27" s="350"/>
      <c r="AI27" s="2401"/>
      <c r="AJ27" s="2401"/>
      <c r="AK27" s="2401"/>
      <c r="AL27" s="2402"/>
      <c r="AM27" s="2403"/>
      <c r="AN27" s="2401"/>
      <c r="AO27" s="2401"/>
      <c r="AP27" s="2401"/>
      <c r="AQ27" s="2401"/>
      <c r="AR27" s="2401"/>
      <c r="AS27" s="2401"/>
      <c r="AT27" s="2401"/>
      <c r="AU27" s="2402"/>
      <c r="AV27" s="2403"/>
      <c r="AW27" s="2401"/>
      <c r="AX27" s="2401"/>
      <c r="AY27" s="2401"/>
      <c r="AZ27" s="2401"/>
      <c r="BA27" s="2402"/>
      <c r="BB27" s="2403"/>
      <c r="BC27" s="2401"/>
      <c r="BD27" s="2401"/>
      <c r="BE27" s="2401"/>
      <c r="BF27" s="2401"/>
      <c r="BG27" s="2401"/>
      <c r="BH27" s="2401"/>
      <c r="BI27" s="2401"/>
      <c r="BJ27" s="2401"/>
      <c r="BK27" s="350"/>
      <c r="BL27" s="2405">
        <v>25.2</v>
      </c>
      <c r="BM27" s="2405">
        <v>28.6</v>
      </c>
      <c r="BN27" s="2405">
        <v>32.200000000000003</v>
      </c>
      <c r="BO27" s="2406">
        <v>34.5</v>
      </c>
      <c r="BP27" s="2407">
        <v>0.73699999999999999</v>
      </c>
      <c r="BQ27" s="2405">
        <v>1.27</v>
      </c>
      <c r="BR27" s="2405">
        <v>1.89</v>
      </c>
      <c r="BS27" s="2405">
        <v>2.44</v>
      </c>
      <c r="BT27" s="2405">
        <v>2.99</v>
      </c>
      <c r="BU27" s="2405">
        <v>3.26</v>
      </c>
      <c r="BV27" s="2405">
        <v>3.91</v>
      </c>
      <c r="BW27" s="2405"/>
      <c r="BX27" s="2406"/>
      <c r="BY27" s="2407"/>
      <c r="BZ27" s="2405"/>
      <c r="CA27" s="2405"/>
      <c r="CB27" s="2401"/>
      <c r="CC27" s="2401"/>
      <c r="CD27" s="2402"/>
      <c r="CE27" s="2403"/>
      <c r="CF27" s="2401"/>
      <c r="CG27" s="2401"/>
      <c r="CH27" s="2401"/>
      <c r="CI27" s="2401"/>
      <c r="CJ27" s="2401"/>
      <c r="CK27" s="2401"/>
      <c r="CL27" s="2401"/>
      <c r="CM27" s="2401"/>
      <c r="CN27" s="350"/>
      <c r="CO27" s="2401"/>
      <c r="CP27" s="2401"/>
      <c r="CQ27" s="2401"/>
      <c r="CR27" s="2402"/>
      <c r="CS27" s="2403"/>
      <c r="CT27" s="2401"/>
      <c r="CU27" s="2401"/>
      <c r="CV27" s="2401"/>
      <c r="CW27" s="2401"/>
      <c r="CX27" s="2401"/>
      <c r="CY27" s="2401"/>
      <c r="CZ27" s="2401"/>
      <c r="DA27" s="2402"/>
      <c r="DB27" s="2403"/>
      <c r="DC27" s="2401"/>
      <c r="DD27" s="2401"/>
      <c r="DE27" s="2408"/>
      <c r="DF27" s="2408"/>
      <c r="DG27" s="2409"/>
      <c r="DH27" s="2410"/>
      <c r="DI27" s="2408"/>
      <c r="DJ27" s="2408"/>
      <c r="DK27" s="2408"/>
      <c r="DL27" s="2408"/>
      <c r="DM27" s="2408"/>
      <c r="DN27" s="2408"/>
      <c r="DO27" s="2408"/>
      <c r="DP27" s="2408"/>
      <c r="DQ27" s="344"/>
      <c r="DR27" s="2411"/>
      <c r="DS27" s="2408"/>
      <c r="DT27" s="2408"/>
      <c r="DU27" s="2408"/>
      <c r="DV27" s="2409"/>
      <c r="DW27" s="2410"/>
      <c r="DX27" s="2408"/>
      <c r="DY27" s="2408"/>
      <c r="DZ27" s="2408"/>
      <c r="EA27" s="2408"/>
      <c r="EB27" s="2408"/>
      <c r="EC27" s="2408"/>
      <c r="ED27" s="2408"/>
      <c r="EE27" s="2409"/>
      <c r="EF27" s="2410"/>
      <c r="EG27" s="2408"/>
      <c r="EH27" s="2408"/>
      <c r="EI27" s="2408"/>
      <c r="EJ27" s="2408"/>
      <c r="EK27" s="2409"/>
      <c r="EL27" s="2410"/>
      <c r="EM27" s="2408"/>
      <c r="EN27" s="2408"/>
      <c r="EO27" s="2408"/>
      <c r="EP27" s="2408"/>
      <c r="EQ27" s="2408"/>
      <c r="ER27" s="2408"/>
      <c r="ES27" s="2408"/>
      <c r="ET27" s="2408"/>
      <c r="EU27" s="344"/>
      <c r="EV27" s="2408"/>
      <c r="EW27" s="2408"/>
      <c r="EX27" s="2408"/>
      <c r="EY27" s="2409"/>
      <c r="EZ27" s="2410"/>
      <c r="FA27" s="2408"/>
      <c r="FB27" s="2408"/>
      <c r="FC27" s="2408"/>
      <c r="FD27" s="2408"/>
      <c r="FE27" s="2408"/>
      <c r="FF27" s="2408"/>
      <c r="FG27" s="2408"/>
      <c r="FH27" s="2409"/>
      <c r="FI27" s="2410"/>
      <c r="FJ27" s="2408"/>
      <c r="FK27" s="2408"/>
      <c r="FL27" s="2408"/>
      <c r="FM27" s="2408"/>
      <c r="FN27" s="2409"/>
      <c r="FO27" s="2410"/>
      <c r="FP27" s="2408"/>
      <c r="FQ27" s="2408"/>
      <c r="FR27" s="2408"/>
      <c r="FS27" s="2408"/>
      <c r="FT27" s="2408"/>
      <c r="FU27" s="2408"/>
      <c r="FV27" s="2408"/>
      <c r="FW27" s="2408"/>
    </row>
    <row r="28" spans="1:180" ht="15" thickBot="1" x14ac:dyDescent="0.4">
      <c r="C28" s="1" t="s">
        <v>98</v>
      </c>
      <c r="F28" s="1030">
        <f>'HPS DAILY'!$G$46</f>
        <v>16.28</v>
      </c>
      <c r="G28" s="304">
        <f>'HPS DAILY'!$G$46</f>
        <v>16.28</v>
      </c>
      <c r="H28" s="304">
        <f>'HPS DAILY'!$G$46</f>
        <v>16.28</v>
      </c>
      <c r="I28" s="1238">
        <f>'HPS DAILY'!$G$46</f>
        <v>16.28</v>
      </c>
      <c r="J28" s="1185">
        <f>'HPS DAILY'!$H$46</f>
        <v>20.13</v>
      </c>
      <c r="K28" s="310">
        <f>'HPS DAILY'!$H$46</f>
        <v>20.13</v>
      </c>
      <c r="L28" s="310">
        <f>'HPS DAILY'!$H$46</f>
        <v>20.13</v>
      </c>
      <c r="M28" s="310">
        <f>'HPS DAILY'!$H$46</f>
        <v>20.13</v>
      </c>
      <c r="N28" s="310">
        <f>'HPS DAILY'!$H$46</f>
        <v>20.13</v>
      </c>
      <c r="O28" s="2252">
        <f>'HPS DAILY'!$H$46</f>
        <v>20.13</v>
      </c>
      <c r="P28" s="1185">
        <f>'HPS DAILY'!$H$46</f>
        <v>20.13</v>
      </c>
      <c r="Q28" s="310">
        <f>'HPS DAILY'!$H$46</f>
        <v>20.13</v>
      </c>
      <c r="R28" s="1630">
        <f>'HPS DAILY'!$H$46</f>
        <v>20.13</v>
      </c>
      <c r="S28" s="1630">
        <f>'HPS DAILY'!$H$46</f>
        <v>20.13</v>
      </c>
      <c r="T28" s="304">
        <f>'HPS DAILY'!$I$46</f>
        <v>20.13</v>
      </c>
      <c r="U28" s="304">
        <f>'HPS DAILY'!$I$46</f>
        <v>20.13</v>
      </c>
      <c r="V28" s="304">
        <f>'HPS DAILY'!$I$46</f>
        <v>20.13</v>
      </c>
      <c r="W28" s="304">
        <f>'HPS DAILY'!$I$46</f>
        <v>20.13</v>
      </c>
      <c r="X28" s="1238">
        <f>'HPS DAILY'!$I$46</f>
        <v>20.13</v>
      </c>
      <c r="Y28" s="1188">
        <f>'HPS DAILY'!$J$46</f>
        <v>20.13</v>
      </c>
      <c r="Z28" s="1188">
        <f>'HPS DAILY'!$J$46</f>
        <v>20.13</v>
      </c>
      <c r="AA28" s="1188">
        <f>'HPS DAILY'!$J$46</f>
        <v>20.13</v>
      </c>
      <c r="AB28" s="1188">
        <f>'HPS DAILY'!$J$46</f>
        <v>20.13</v>
      </c>
      <c r="AC28" s="1188">
        <f>'HPS DAILY'!$J$46</f>
        <v>20.13</v>
      </c>
      <c r="AD28" s="1188">
        <f>'HPS DAILY'!$J$46</f>
        <v>20.13</v>
      </c>
      <c r="AE28" s="1188">
        <f>'HPS DAILY'!$J$46</f>
        <v>20.13</v>
      </c>
      <c r="AF28" s="1188">
        <f>'HPS DAILY'!$J$46</f>
        <v>20.13</v>
      </c>
      <c r="AG28" s="1188">
        <f>'HPS DAILY'!$J$46</f>
        <v>20.13</v>
      </c>
      <c r="AH28" s="350"/>
      <c r="AI28" s="304">
        <f>ISV!G$45</f>
        <v>0</v>
      </c>
      <c r="AJ28" s="304">
        <f>ISV!H$45</f>
        <v>42.65</v>
      </c>
      <c r="AK28" s="304">
        <f>ISV!I$45</f>
        <v>0</v>
      </c>
      <c r="AL28" s="1238">
        <f>ISV!J$45</f>
        <v>0</v>
      </c>
      <c r="AM28" s="1188">
        <f>ISV!K$45</f>
        <v>217</v>
      </c>
      <c r="AN28" s="304">
        <f>ISV!L$45</f>
        <v>110.95</v>
      </c>
      <c r="AO28" s="304">
        <f>ISV!M$45</f>
        <v>0</v>
      </c>
      <c r="AP28" s="304">
        <f>ISV!N$45</f>
        <v>0</v>
      </c>
      <c r="AQ28" s="304">
        <f>ISV!O$45</f>
        <v>0</v>
      </c>
      <c r="AR28" s="304">
        <f>ISV!P$45</f>
        <v>0</v>
      </c>
      <c r="AS28" s="304">
        <f>ISV!Q$45</f>
        <v>174.8</v>
      </c>
      <c r="AT28" s="304">
        <f>ISV!R$45</f>
        <v>0</v>
      </c>
      <c r="AU28" s="1238">
        <f>ISV!S$45</f>
        <v>0</v>
      </c>
      <c r="AV28" s="1188">
        <f>ISV!T$45</f>
        <v>0</v>
      </c>
      <c r="AW28" s="304">
        <f>ISV!U$45</f>
        <v>0</v>
      </c>
      <c r="AX28" s="304">
        <f>ISV!V$45</f>
        <v>0</v>
      </c>
      <c r="AY28" s="304">
        <f>ISV!W$45</f>
        <v>0</v>
      </c>
      <c r="AZ28" s="304">
        <f>ISV!X$45</f>
        <v>0</v>
      </c>
      <c r="BA28" s="1238">
        <f>ISV!Y$45</f>
        <v>0</v>
      </c>
      <c r="BB28" s="1188">
        <f>ISV!Z$45</f>
        <v>0</v>
      </c>
      <c r="BC28" s="304">
        <f>ISV!AA$45</f>
        <v>0</v>
      </c>
      <c r="BD28" s="304">
        <f>ISV!AB$45</f>
        <v>0</v>
      </c>
      <c r="BE28" s="304">
        <f>ISV!AC$45</f>
        <v>0</v>
      </c>
      <c r="BF28" s="304">
        <f>ISV!AD$45</f>
        <v>0</v>
      </c>
      <c r="BG28" s="304">
        <f>ISV!AE$45</f>
        <v>0</v>
      </c>
      <c r="BH28" s="304">
        <f>ISV!AF$45</f>
        <v>0</v>
      </c>
      <c r="BI28" s="304">
        <f>ISV!AG$45</f>
        <v>0</v>
      </c>
      <c r="BJ28" s="304">
        <f>ISV!AH$45</f>
        <v>0</v>
      </c>
      <c r="BK28" s="350"/>
      <c r="BL28" s="311" cm="1">
        <f t="array" ref="BL28:CB28">'HPS DAILY'!K46:AA46</f>
        <v>21.759999999999998</v>
      </c>
      <c r="BM28" s="311">
        <v>14.34</v>
      </c>
      <c r="BN28" s="311">
        <v>14.229999999999999</v>
      </c>
      <c r="BO28" s="1241">
        <v>6.38</v>
      </c>
      <c r="BP28" s="654">
        <v>1.6</v>
      </c>
      <c r="BQ28" s="311">
        <v>1.42</v>
      </c>
      <c r="BR28" s="311">
        <v>1.21</v>
      </c>
      <c r="BS28" s="311">
        <v>1.88</v>
      </c>
      <c r="BT28" s="311">
        <v>1.58</v>
      </c>
      <c r="BU28" s="311">
        <v>1.3</v>
      </c>
      <c r="BV28" s="311">
        <v>1.19</v>
      </c>
      <c r="BW28" s="311">
        <v>1.32</v>
      </c>
      <c r="BX28" s="1241">
        <v>1.62</v>
      </c>
      <c r="BY28" s="654">
        <v>0</v>
      </c>
      <c r="BZ28" s="311">
        <v>0</v>
      </c>
      <c r="CA28" s="311">
        <v>0</v>
      </c>
      <c r="CB28" s="304">
        <v>0</v>
      </c>
      <c r="CC28" s="304"/>
      <c r="CD28" s="1238"/>
      <c r="CE28" s="1188"/>
      <c r="CF28" s="304"/>
      <c r="CG28" s="304"/>
      <c r="CH28" s="304"/>
      <c r="CI28" s="304"/>
      <c r="CJ28" s="304"/>
      <c r="CK28" s="304"/>
      <c r="CL28" s="304"/>
      <c r="CM28" s="304"/>
      <c r="CN28" s="350"/>
      <c r="CO28" s="304"/>
      <c r="CP28" s="304"/>
      <c r="CQ28" s="304"/>
      <c r="CR28" s="1238"/>
      <c r="CS28" s="1188"/>
      <c r="CT28" s="304"/>
      <c r="CU28" s="304"/>
      <c r="CV28" s="304"/>
      <c r="CW28" s="304"/>
      <c r="CX28" s="304"/>
      <c r="CY28" s="304"/>
      <c r="CZ28" s="304"/>
      <c r="DA28" s="1238"/>
      <c r="DB28" s="1188"/>
      <c r="DC28" s="304"/>
      <c r="DD28" s="304"/>
      <c r="DE28" s="225"/>
      <c r="DF28" s="225"/>
      <c r="DG28" s="1269"/>
      <c r="DH28" s="1214"/>
      <c r="DI28" s="225"/>
      <c r="DJ28" s="225"/>
      <c r="DK28" s="225"/>
      <c r="DL28" s="225"/>
      <c r="DM28" s="225"/>
      <c r="DN28" s="225"/>
      <c r="DO28" s="225"/>
      <c r="DP28" s="225"/>
      <c r="DQ28" s="344"/>
      <c r="DR28" s="345"/>
      <c r="DS28" s="225"/>
      <c r="DT28" s="225"/>
      <c r="DU28" s="225"/>
      <c r="DV28" s="1269"/>
      <c r="DW28" s="1214"/>
      <c r="DX28" s="225"/>
      <c r="DY28" s="225"/>
      <c r="DZ28" s="225"/>
      <c r="EA28" s="225"/>
      <c r="EB28" s="225"/>
      <c r="EC28" s="225"/>
      <c r="ED28" s="225"/>
      <c r="EE28" s="1269"/>
      <c r="EF28" s="1214"/>
      <c r="EG28" s="225"/>
      <c r="EH28" s="225"/>
      <c r="EI28" s="225"/>
      <c r="EJ28" s="225"/>
      <c r="EK28" s="1269"/>
      <c r="EL28" s="1214"/>
      <c r="EM28" s="225"/>
      <c r="EN28" s="225"/>
      <c r="EO28" s="225"/>
      <c r="EP28" s="225"/>
      <c r="EQ28" s="225"/>
      <c r="ER28" s="225"/>
      <c r="ES28" s="225"/>
      <c r="ET28" s="225"/>
      <c r="EU28" s="344"/>
      <c r="EV28" s="225"/>
      <c r="EW28" s="225"/>
      <c r="EX28" s="225"/>
      <c r="EY28" s="1269"/>
      <c r="EZ28" s="1214"/>
      <c r="FA28" s="225"/>
      <c r="FB28" s="225"/>
      <c r="FC28" s="225"/>
      <c r="FD28" s="225"/>
      <c r="FE28" s="225"/>
      <c r="FF28" s="225"/>
      <c r="FG28" s="225"/>
      <c r="FH28" s="1269"/>
      <c r="FI28" s="1214"/>
      <c r="FJ28" s="225"/>
      <c r="FK28" s="225"/>
      <c r="FL28" s="225"/>
      <c r="FM28" s="225"/>
      <c r="FN28" s="1269"/>
      <c r="FO28" s="1214"/>
      <c r="FP28" s="225"/>
      <c r="FQ28" s="225"/>
      <c r="FR28" s="225"/>
      <c r="FS28" s="225"/>
      <c r="FT28" s="225"/>
      <c r="FU28" s="225"/>
      <c r="FV28" s="225"/>
      <c r="FW28" s="225"/>
    </row>
    <row r="29" spans="1:180" s="299" customFormat="1" ht="15.5" thickTop="1" thickBot="1" x14ac:dyDescent="0.4">
      <c r="C29" s="305"/>
      <c r="D29" s="305"/>
      <c r="E29" s="305"/>
      <c r="F29" s="1031"/>
      <c r="G29" s="307"/>
      <c r="H29" s="307"/>
      <c r="I29" s="1239"/>
      <c r="J29" s="1186"/>
      <c r="K29" s="307"/>
      <c r="L29" s="307"/>
      <c r="M29" s="307"/>
      <c r="N29" s="307"/>
      <c r="O29" s="1239"/>
      <c r="P29" s="1186"/>
      <c r="Q29" s="307"/>
      <c r="R29" s="1239"/>
      <c r="S29" s="1186"/>
      <c r="T29" s="307"/>
      <c r="U29" s="307"/>
      <c r="V29" s="307"/>
      <c r="W29" s="307"/>
      <c r="X29" s="1239"/>
      <c r="Y29" s="1186"/>
      <c r="Z29" s="307"/>
      <c r="AA29" s="307"/>
      <c r="AB29" s="307"/>
      <c r="AC29" s="307"/>
      <c r="AD29" s="307"/>
      <c r="AE29" s="307"/>
      <c r="AF29" s="307"/>
      <c r="AG29" s="307"/>
      <c r="AH29" s="359"/>
      <c r="AI29" s="307"/>
      <c r="AJ29" s="307"/>
      <c r="AK29" s="307"/>
      <c r="AL29" s="1239"/>
      <c r="AM29" s="1186"/>
      <c r="AN29" s="307"/>
      <c r="AO29" s="307"/>
      <c r="AP29" s="307"/>
      <c r="AQ29" s="307"/>
      <c r="AR29" s="307"/>
      <c r="AS29" s="307"/>
      <c r="AT29" s="307"/>
      <c r="AU29" s="1239"/>
      <c r="AV29" s="1186"/>
      <c r="AW29" s="307"/>
      <c r="AX29" s="307"/>
      <c r="AY29" s="307"/>
      <c r="AZ29" s="307"/>
      <c r="BA29" s="1239"/>
      <c r="BB29" s="1186"/>
      <c r="BC29" s="307"/>
      <c r="BD29" s="307"/>
      <c r="BE29" s="307"/>
      <c r="BF29" s="307"/>
      <c r="BG29" s="307"/>
      <c r="BH29" s="307"/>
      <c r="BI29" s="307"/>
      <c r="BJ29" s="307"/>
      <c r="BK29" s="359"/>
      <c r="BL29" s="312"/>
      <c r="BM29" s="312"/>
      <c r="BN29" s="312"/>
      <c r="BO29" s="1240"/>
      <c r="BP29" s="1586" t="s">
        <v>412</v>
      </c>
      <c r="BQ29" s="312"/>
      <c r="BR29" s="312"/>
      <c r="BS29" s="312"/>
      <c r="BT29" s="312"/>
      <c r="BU29" s="312"/>
      <c r="BV29" s="1071" t="s">
        <v>411</v>
      </c>
      <c r="BW29" s="312"/>
      <c r="BX29" s="1240"/>
      <c r="BY29" s="1189"/>
      <c r="BZ29" s="312"/>
      <c r="CA29" s="312"/>
      <c r="CB29" s="312"/>
      <c r="CC29" s="312"/>
      <c r="CD29" s="1240"/>
      <c r="CE29" s="1189"/>
      <c r="CF29" s="312"/>
      <c r="CG29" s="312"/>
      <c r="CH29" s="312"/>
      <c r="CI29" s="312"/>
      <c r="CJ29" s="312"/>
      <c r="CK29" s="312"/>
      <c r="CL29" s="312"/>
      <c r="CM29" s="312"/>
      <c r="CN29" s="360"/>
      <c r="CO29" s="312"/>
      <c r="CP29" s="312"/>
      <c r="CQ29" s="312"/>
      <c r="CR29" s="1240"/>
      <c r="CS29" s="1189"/>
      <c r="CT29" s="312"/>
      <c r="CU29" s="312"/>
      <c r="CV29" s="312"/>
      <c r="CW29" s="312"/>
      <c r="CX29" s="312"/>
      <c r="CY29" s="312"/>
      <c r="CZ29" s="312"/>
      <c r="DA29" s="1240"/>
      <c r="DB29" s="1189"/>
      <c r="DC29" s="312"/>
      <c r="DD29" s="312"/>
      <c r="DE29" s="307"/>
      <c r="DF29" s="307"/>
      <c r="DG29" s="1239"/>
      <c r="DH29" s="1186"/>
      <c r="DI29" s="307"/>
      <c r="DJ29" s="307"/>
      <c r="DK29" s="307"/>
      <c r="DL29" s="307"/>
      <c r="DM29" s="307"/>
      <c r="DN29" s="307"/>
      <c r="DO29" s="307"/>
      <c r="DP29" s="307"/>
      <c r="DQ29" s="359"/>
      <c r="DR29" s="361"/>
      <c r="DS29" s="307"/>
      <c r="DT29" s="307"/>
      <c r="DU29" s="307"/>
      <c r="DV29" s="1239"/>
      <c r="DW29" s="1186"/>
      <c r="DX29" s="307"/>
      <c r="DY29" s="307"/>
      <c r="DZ29" s="307"/>
      <c r="EA29" s="307"/>
      <c r="EB29" s="307"/>
      <c r="EC29" s="307"/>
      <c r="ED29" s="307"/>
      <c r="EE29" s="1239"/>
      <c r="EF29" s="1186"/>
      <c r="EG29" s="307"/>
      <c r="EH29" s="307"/>
      <c r="EI29" s="307"/>
      <c r="EJ29" s="307"/>
      <c r="EK29" s="1239"/>
      <c r="EL29" s="1186"/>
      <c r="EM29" s="307"/>
      <c r="EN29" s="307"/>
      <c r="EO29" s="307"/>
      <c r="EP29" s="307"/>
      <c r="EQ29" s="307"/>
      <c r="ER29" s="307"/>
      <c r="ES29" s="307"/>
      <c r="ET29" s="307"/>
      <c r="EU29" s="359"/>
      <c r="EV29" s="307"/>
      <c r="EW29" s="307"/>
      <c r="EX29" s="307"/>
      <c r="EY29" s="1239"/>
      <c r="EZ29" s="1186"/>
      <c r="FA29" s="307"/>
      <c r="FB29" s="307"/>
      <c r="FC29" s="307"/>
      <c r="FD29" s="307"/>
      <c r="FE29" s="307"/>
      <c r="FF29" s="307"/>
      <c r="FG29" s="307"/>
      <c r="FH29" s="1239"/>
      <c r="FI29" s="1186"/>
      <c r="FJ29" s="307"/>
      <c r="FK29" s="307"/>
      <c r="FL29" s="307"/>
      <c r="FM29" s="307"/>
      <c r="FN29" s="1239"/>
      <c r="FO29" s="1186"/>
      <c r="FP29" s="307"/>
      <c r="FQ29" s="307"/>
      <c r="FR29" s="307"/>
      <c r="FS29" s="307"/>
      <c r="FT29" s="307"/>
      <c r="FU29" s="307"/>
      <c r="FV29" s="307"/>
      <c r="FW29" s="307"/>
    </row>
    <row r="30" spans="1:180" ht="15" thickTop="1" x14ac:dyDescent="0.35">
      <c r="C30" s="1" t="s">
        <v>172</v>
      </c>
      <c r="F30" s="1045">
        <f>'HPS DAILY'!$G$25</f>
        <v>0.393063</v>
      </c>
      <c r="G30" s="393">
        <f>'HPS DAILY'!$G$25</f>
        <v>0.393063</v>
      </c>
      <c r="H30" s="393">
        <f>'HPS DAILY'!$G$25</f>
        <v>0.393063</v>
      </c>
      <c r="I30" s="1266">
        <f>'HPS DAILY'!$G$25</f>
        <v>0.393063</v>
      </c>
      <c r="J30" s="1211">
        <f>'HPS DAILY'!$H$25</f>
        <v>0.40419499999999997</v>
      </c>
      <c r="K30" s="393">
        <f>'HPS DAILY'!$H$25</f>
        <v>0.40419499999999997</v>
      </c>
      <c r="L30" s="393">
        <f>'HPS DAILY'!$H$25</f>
        <v>0.40419499999999997</v>
      </c>
      <c r="M30" s="393">
        <f>'HPS DAILY'!$H$25</f>
        <v>0.40419499999999997</v>
      </c>
      <c r="N30" s="393">
        <f>'HPS DAILY'!$H$25</f>
        <v>0.40419499999999997</v>
      </c>
      <c r="O30" s="1270">
        <f>'HPS DAILY'!$H$25</f>
        <v>0.40419499999999997</v>
      </c>
      <c r="P30" s="1211">
        <f>'HPS DAILY'!$H$25</f>
        <v>0.40419499999999997</v>
      </c>
      <c r="Q30" s="393">
        <f>'HPS DAILY'!$H$25</f>
        <v>0.40419499999999997</v>
      </c>
      <c r="R30" s="1266">
        <f>'HPS DAILY'!$H$25</f>
        <v>0.40419499999999997</v>
      </c>
      <c r="S30" s="1266">
        <f>'HPS DAILY'!$H$25</f>
        <v>0.40419499999999997</v>
      </c>
      <c r="T30" s="1211">
        <f>'HPS DAILY'!$I$25</f>
        <v>0.40419499999999997</v>
      </c>
      <c r="U30" s="1211">
        <f>'HPS DAILY'!$I$25</f>
        <v>0.40419499999999997</v>
      </c>
      <c r="V30" s="1211">
        <f>'HPS DAILY'!$I$25</f>
        <v>0.40419499999999997</v>
      </c>
      <c r="W30" s="1211">
        <f>'HPS DAILY'!$I$25</f>
        <v>0.40419499999999997</v>
      </c>
      <c r="X30" s="1673">
        <f>'HPS DAILY'!$I$25</f>
        <v>0.40419499999999997</v>
      </c>
      <c r="Y30" s="1211">
        <f>'HPS DAILY'!$J$25</f>
        <v>0.40419499999999997</v>
      </c>
      <c r="Z30" s="1211">
        <f>'HPS DAILY'!$J$25</f>
        <v>0.40419499999999997</v>
      </c>
      <c r="AA30" s="1211">
        <f>'HPS DAILY'!$J$25</f>
        <v>0.40419499999999997</v>
      </c>
      <c r="AB30" s="1211">
        <f>'HPS DAILY'!$J$25</f>
        <v>0.40419499999999997</v>
      </c>
      <c r="AC30" s="1211">
        <f>'HPS DAILY'!$J$25</f>
        <v>0.40419499999999997</v>
      </c>
      <c r="AD30" s="1211">
        <f>'HPS DAILY'!$J$25</f>
        <v>0.40419499999999997</v>
      </c>
      <c r="AE30" s="1211">
        <f>'HPS DAILY'!$J$25</f>
        <v>0.40419499999999997</v>
      </c>
      <c r="AF30" s="1211">
        <f>'HPS DAILY'!$J$25</f>
        <v>0.40419499999999997</v>
      </c>
      <c r="AG30" s="1211">
        <f>'HPS DAILY'!$J$25</f>
        <v>0.40419499999999997</v>
      </c>
      <c r="AH30" s="1320"/>
      <c r="AI30" s="393">
        <f>ISV!G$24</f>
        <v>0</v>
      </c>
      <c r="AJ30" s="1319">
        <f>ISV!H$24</f>
        <v>0</v>
      </c>
      <c r="AK30" s="1319">
        <f>ISV!I$24</f>
        <v>0</v>
      </c>
      <c r="AL30" s="1445">
        <f>ISV!J$24</f>
        <v>0</v>
      </c>
      <c r="AM30" s="1427">
        <f>ISV!K$24</f>
        <v>0.34689999999999999</v>
      </c>
      <c r="AN30" s="1319">
        <f>ISV!L$24</f>
        <v>0</v>
      </c>
      <c r="AO30" s="1319">
        <f>ISV!M$24</f>
        <v>0</v>
      </c>
      <c r="AP30" s="1319">
        <f>ISV!N$24</f>
        <v>0</v>
      </c>
      <c r="AQ30" s="1319">
        <f>ISV!O$24</f>
        <v>0</v>
      </c>
      <c r="AR30" s="1319">
        <f>ISV!P$24</f>
        <v>0</v>
      </c>
      <c r="AS30" s="1319">
        <f>ISV!Q$24</f>
        <v>0</v>
      </c>
      <c r="AT30" s="1319">
        <f>ISV!R$24</f>
        <v>0</v>
      </c>
      <c r="AU30" s="1445">
        <f>ISV!S$24</f>
        <v>0</v>
      </c>
      <c r="AV30" s="1427">
        <f>ISV!T$24</f>
        <v>0</v>
      </c>
      <c r="AW30" s="1319">
        <f>ISV!U$24</f>
        <v>0</v>
      </c>
      <c r="AX30" s="1319">
        <f>ISV!V$24</f>
        <v>0</v>
      </c>
      <c r="AY30" s="1319">
        <f>ISV!W$24</f>
        <v>0</v>
      </c>
      <c r="AZ30" s="1319">
        <f>ISV!X$24</f>
        <v>0</v>
      </c>
      <c r="BA30" s="1445">
        <f>ISV!Y$24</f>
        <v>0</v>
      </c>
      <c r="BB30" s="1427">
        <f>ISV!Z$24</f>
        <v>0</v>
      </c>
      <c r="BC30" s="1319">
        <f>ISV!AA$24</f>
        <v>0</v>
      </c>
      <c r="BD30" s="1319">
        <f>ISV!AB$24</f>
        <v>0</v>
      </c>
      <c r="BE30" s="1319">
        <f>ISV!AC$24</f>
        <v>0</v>
      </c>
      <c r="BF30" s="1319">
        <f>ISV!AD$24</f>
        <v>0</v>
      </c>
      <c r="BG30" s="1319">
        <f>ISV!AE$24</f>
        <v>0</v>
      </c>
      <c r="BH30" s="1319">
        <f>ISV!AF$24</f>
        <v>0</v>
      </c>
      <c r="BI30" s="1319">
        <f>ISV!AG$24</f>
        <v>0</v>
      </c>
      <c r="BJ30" s="1319">
        <f>ISV!AH$24</f>
        <v>0</v>
      </c>
      <c r="BK30" s="1320"/>
      <c r="BL30" s="393" cm="1">
        <f t="array" ref="BL30:CM30">'HPS DAILY'!K25:AL25</f>
        <v>0.28170000000000001</v>
      </c>
      <c r="BM30" s="393">
        <v>0.29449949999999997</v>
      </c>
      <c r="BN30" s="393">
        <v>0.30975799999999998</v>
      </c>
      <c r="BO30" s="1266">
        <v>0.301815</v>
      </c>
      <c r="BP30" s="1211">
        <v>0.2417</v>
      </c>
      <c r="BQ30" s="393">
        <v>0.255772</v>
      </c>
      <c r="BR30" s="393">
        <v>0.266455</v>
      </c>
      <c r="BS30" s="393">
        <v>0.25619999999999998</v>
      </c>
      <c r="BT30" s="393">
        <v>0.26105100000000003</v>
      </c>
      <c r="BU30" s="393">
        <v>0.25430000000000003</v>
      </c>
      <c r="BV30" s="393">
        <v>0.27758850000000002</v>
      </c>
      <c r="BW30" s="393">
        <v>0.25931599999999999</v>
      </c>
      <c r="BX30" s="1266">
        <v>0.266955</v>
      </c>
      <c r="BY30" s="1211">
        <v>0</v>
      </c>
      <c r="BZ30" s="393">
        <v>0</v>
      </c>
      <c r="CA30" s="393">
        <v>0</v>
      </c>
      <c r="CB30" s="393">
        <v>0</v>
      </c>
      <c r="CC30" s="393">
        <v>0</v>
      </c>
      <c r="CD30" s="1266">
        <v>0</v>
      </c>
      <c r="CE30" s="1211">
        <v>0</v>
      </c>
      <c r="CF30" s="393">
        <v>0</v>
      </c>
      <c r="CG30" s="393">
        <v>0</v>
      </c>
      <c r="CH30" s="393">
        <v>0</v>
      </c>
      <c r="CI30" s="393">
        <v>0</v>
      </c>
      <c r="CJ30" s="393">
        <v>0</v>
      </c>
      <c r="CK30" s="393">
        <v>0</v>
      </c>
      <c r="CL30" s="393">
        <v>0</v>
      </c>
      <c r="CM30" s="393">
        <v>0</v>
      </c>
      <c r="CN30" s="396"/>
      <c r="CO30" s="393" cm="1">
        <f t="array" ref="CO30:DP30">'LTO DAILY'!H23:AI23</f>
        <v>0</v>
      </c>
      <c r="CP30" s="393">
        <v>4.5827E-2</v>
      </c>
      <c r="CQ30" s="393">
        <v>4.9200000000000001E-2</v>
      </c>
      <c r="CR30" s="1266">
        <v>5.4365999999999998E-2</v>
      </c>
      <c r="CS30" s="1211">
        <v>5.5851999999999999E-2</v>
      </c>
      <c r="CT30" s="393">
        <v>4.7465E-2</v>
      </c>
      <c r="CU30" s="393">
        <v>5.4879999999999998E-2</v>
      </c>
      <c r="CV30" s="393">
        <v>5.4779999999999995E-2</v>
      </c>
      <c r="CW30" s="393">
        <v>5.5837100000000001E-2</v>
      </c>
      <c r="CX30" s="393">
        <v>5.7294000000000005E-2</v>
      </c>
      <c r="CY30" s="393">
        <v>6.1199000000000003E-2</v>
      </c>
      <c r="CZ30" s="393">
        <v>6.0388999999999998E-2</v>
      </c>
      <c r="DA30" s="1266">
        <v>6.1705999999999997E-2</v>
      </c>
      <c r="DB30" s="1211">
        <v>0</v>
      </c>
      <c r="DC30" s="393">
        <v>0</v>
      </c>
      <c r="DD30" s="393">
        <v>0</v>
      </c>
      <c r="DE30" s="1319">
        <v>0</v>
      </c>
      <c r="DF30" s="1319">
        <v>0</v>
      </c>
      <c r="DG30" s="1445">
        <v>0</v>
      </c>
      <c r="DH30" s="1427">
        <v>0</v>
      </c>
      <c r="DI30" s="1319">
        <v>0</v>
      </c>
      <c r="DJ30" s="1319">
        <v>0</v>
      </c>
      <c r="DK30" s="1319">
        <v>0</v>
      </c>
      <c r="DL30" s="1319">
        <v>0</v>
      </c>
      <c r="DM30" s="1319">
        <v>0</v>
      </c>
      <c r="DN30" s="1319">
        <v>0</v>
      </c>
      <c r="DO30" s="1319">
        <v>0</v>
      </c>
      <c r="DP30" s="1319">
        <v>0</v>
      </c>
      <c r="DQ30" s="1320"/>
      <c r="DR30" s="1319"/>
      <c r="DS30" s="1319"/>
      <c r="DT30" s="1319"/>
      <c r="DU30" s="1319"/>
      <c r="DV30" s="1445"/>
      <c r="DW30" s="1427"/>
      <c r="DX30" s="1319"/>
      <c r="DY30" s="1319"/>
      <c r="DZ30" s="1319"/>
      <c r="EA30" s="1319"/>
      <c r="EB30" s="1319"/>
      <c r="EC30" s="1319"/>
      <c r="ED30" s="1319"/>
      <c r="EE30" s="1445"/>
      <c r="EF30" s="1427"/>
      <c r="EG30" s="1319"/>
      <c r="EH30" s="1319"/>
      <c r="EI30" s="1319"/>
      <c r="EJ30" s="1319"/>
      <c r="EK30" s="1445"/>
      <c r="EL30" s="1427"/>
      <c r="EM30" s="1319"/>
      <c r="EN30" s="1319"/>
      <c r="EO30" s="1319"/>
      <c r="EP30" s="1319"/>
      <c r="EQ30" s="1319"/>
      <c r="ER30" s="1319"/>
      <c r="ES30" s="1319"/>
      <c r="ET30" s="1319"/>
      <c r="EU30" s="1320"/>
      <c r="EV30" s="1319"/>
      <c r="EW30" s="1319"/>
      <c r="EX30" s="1319"/>
      <c r="EY30" s="1445"/>
      <c r="EZ30" s="1427"/>
      <c r="FA30" s="1319"/>
      <c r="FB30" s="1319"/>
      <c r="FC30" s="1319"/>
      <c r="FD30" s="1319"/>
      <c r="FE30" s="1319"/>
      <c r="FF30" s="1319"/>
      <c r="FG30" s="1319"/>
      <c r="FH30" s="1445"/>
      <c r="FI30" s="1427"/>
      <c r="FJ30" s="1319"/>
      <c r="FK30" s="1319"/>
      <c r="FL30" s="1319"/>
      <c r="FM30" s="1319"/>
      <c r="FN30" s="1245"/>
      <c r="FO30" s="538"/>
      <c r="FP30" s="229"/>
      <c r="FQ30" s="229"/>
      <c r="FR30" s="229"/>
      <c r="FS30" s="229"/>
      <c r="FT30" s="229"/>
      <c r="FU30" s="229"/>
      <c r="FV30" s="229"/>
      <c r="FW30" s="229"/>
    </row>
    <row r="31" spans="1:180" x14ac:dyDescent="0.35">
      <c r="C31" s="444" t="s">
        <v>978</v>
      </c>
      <c r="F31" s="604"/>
      <c r="G31" s="251"/>
      <c r="H31" s="251"/>
      <c r="I31" s="1267"/>
      <c r="J31" s="1212">
        <v>0.61</v>
      </c>
      <c r="K31" s="251">
        <v>0.61</v>
      </c>
      <c r="L31" s="251">
        <v>0.61</v>
      </c>
      <c r="M31" s="251">
        <v>0.61</v>
      </c>
      <c r="N31" s="251">
        <v>0.61</v>
      </c>
      <c r="O31" s="1267">
        <v>0.61</v>
      </c>
      <c r="P31" s="1212">
        <v>0.61</v>
      </c>
      <c r="Q31" s="251">
        <v>0.61</v>
      </c>
      <c r="R31" s="1267">
        <v>0.61</v>
      </c>
      <c r="S31" s="1267">
        <v>0.61</v>
      </c>
      <c r="T31" s="251"/>
      <c r="U31" s="251"/>
      <c r="V31" s="273"/>
      <c r="W31" s="273"/>
      <c r="X31" s="1323"/>
      <c r="Y31" s="1324"/>
      <c r="Z31" s="273"/>
      <c r="AA31" s="273"/>
      <c r="AB31" s="273"/>
      <c r="AC31" s="273"/>
      <c r="AD31" s="273"/>
      <c r="AE31" s="273"/>
      <c r="AF31" s="273"/>
      <c r="AG31" s="273"/>
      <c r="AH31" s="1321"/>
      <c r="AI31" s="251"/>
      <c r="AJ31" s="273"/>
      <c r="AK31" s="273"/>
      <c r="AL31" s="1323"/>
      <c r="AM31" s="1324"/>
      <c r="AN31" s="273"/>
      <c r="AO31" s="273"/>
      <c r="AP31" s="273"/>
      <c r="AQ31" s="273"/>
      <c r="AR31" s="273"/>
      <c r="AS31" s="273"/>
      <c r="AT31" s="273"/>
      <c r="AU31" s="1323"/>
      <c r="AV31" s="1324"/>
      <c r="AW31" s="273"/>
      <c r="AX31" s="273"/>
      <c r="AY31" s="273"/>
      <c r="AZ31" s="273"/>
      <c r="BA31" s="1323"/>
      <c r="BB31" s="1324"/>
      <c r="BC31" s="273"/>
      <c r="BD31" s="273"/>
      <c r="BE31" s="273"/>
      <c r="BF31" s="273"/>
      <c r="BG31" s="273"/>
      <c r="BH31" s="273"/>
      <c r="BI31" s="273"/>
      <c r="BJ31" s="273"/>
      <c r="BK31" s="1321"/>
      <c r="BL31" s="474">
        <v>0.34</v>
      </c>
      <c r="BM31" s="474">
        <v>0.35</v>
      </c>
      <c r="BN31" s="474">
        <v>0.36499999999999999</v>
      </c>
      <c r="BO31" s="1474">
        <v>0.35599999999999998</v>
      </c>
      <c r="BP31" s="1462">
        <v>0.32600000000000001</v>
      </c>
      <c r="BQ31" s="474">
        <v>0.42</v>
      </c>
      <c r="BR31" s="474">
        <v>0.435</v>
      </c>
      <c r="BS31" s="474">
        <v>0.45</v>
      </c>
      <c r="BT31" s="474">
        <v>0.45100000000000001</v>
      </c>
      <c r="BU31" s="474">
        <v>0.4521</v>
      </c>
      <c r="BV31" s="474">
        <v>0.48499999999999999</v>
      </c>
      <c r="BW31" s="474">
        <v>0.51800000000000002</v>
      </c>
      <c r="BX31" s="1474">
        <v>0.52</v>
      </c>
      <c r="BY31" s="1462">
        <v>0.51249999999999996</v>
      </c>
      <c r="BZ31" s="474">
        <v>0.52400000000000002</v>
      </c>
      <c r="CA31" s="474">
        <v>0.52480000000000004</v>
      </c>
      <c r="CB31" s="251"/>
      <c r="CC31" s="251"/>
      <c r="CD31" s="1267"/>
      <c r="CE31" s="1212"/>
      <c r="CF31" s="251"/>
      <c r="CG31" s="251"/>
      <c r="CH31" s="251"/>
      <c r="CI31" s="251"/>
      <c r="CJ31" s="251"/>
      <c r="CK31" s="251"/>
      <c r="CL31" s="251"/>
      <c r="CM31" s="251"/>
      <c r="CN31" s="338"/>
      <c r="CO31" s="474">
        <v>4.4999999999999998E-2</v>
      </c>
      <c r="CP31" s="474">
        <v>0.05</v>
      </c>
      <c r="CQ31" s="474">
        <v>5.5E-2</v>
      </c>
      <c r="CR31" s="1474">
        <v>0.06</v>
      </c>
      <c r="CS31" s="1462">
        <v>5.5E-2</v>
      </c>
      <c r="CT31" s="474">
        <v>6.2E-2</v>
      </c>
      <c r="CU31" s="474">
        <v>7.1999999999999995E-2</v>
      </c>
      <c r="CV31" s="474">
        <v>7.4999999999999997E-2</v>
      </c>
      <c r="CW31" s="474">
        <v>7.8E-2</v>
      </c>
      <c r="CX31" s="474">
        <v>7.7700000000000005E-2</v>
      </c>
      <c r="CY31" s="474">
        <v>7.7700000000000005E-2</v>
      </c>
      <c r="CZ31" s="474">
        <v>8.7999999999999995E-2</v>
      </c>
      <c r="DA31" s="1474">
        <v>8.8999999999999996E-2</v>
      </c>
      <c r="DB31" s="1462">
        <v>8.8999999999999996E-2</v>
      </c>
      <c r="DC31" s="474">
        <v>8.8999999999999996E-2</v>
      </c>
      <c r="DD31" s="474">
        <v>8.8499999999999995E-2</v>
      </c>
      <c r="DE31" s="273"/>
      <c r="DF31" s="273"/>
      <c r="DG31" s="1323"/>
      <c r="DH31" s="1324"/>
      <c r="DI31" s="273"/>
      <c r="DJ31" s="273"/>
      <c r="DK31" s="273"/>
      <c r="DL31" s="273"/>
      <c r="DM31" s="273"/>
      <c r="DN31" s="273"/>
      <c r="DO31" s="273"/>
      <c r="DP31" s="273"/>
      <c r="DQ31" s="1321"/>
      <c r="DR31" s="273"/>
      <c r="DS31" s="273"/>
      <c r="DT31" s="273"/>
      <c r="DU31" s="273"/>
      <c r="DV31" s="1323"/>
      <c r="DW31" s="1324"/>
      <c r="DX31" s="273"/>
      <c r="DY31" s="273"/>
      <c r="DZ31" s="273"/>
      <c r="EA31" s="273"/>
      <c r="EB31" s="273"/>
      <c r="EC31" s="273"/>
      <c r="ED31" s="273"/>
      <c r="EE31" s="1323"/>
      <c r="EF31" s="1324"/>
      <c r="EG31" s="273"/>
      <c r="EH31" s="273"/>
      <c r="EI31" s="273"/>
      <c r="EJ31" s="273"/>
      <c r="EK31" s="1323"/>
      <c r="EL31" s="1324"/>
      <c r="EM31" s="273"/>
      <c r="EN31" s="273"/>
      <c r="EO31" s="273"/>
      <c r="EP31" s="273"/>
      <c r="EQ31" s="273"/>
      <c r="ER31" s="273"/>
      <c r="ES31" s="273"/>
      <c r="ET31" s="273"/>
      <c r="EU31" s="1321"/>
      <c r="EV31" s="273"/>
      <c r="EW31" s="273"/>
      <c r="EX31" s="273"/>
      <c r="EY31" s="1323"/>
      <c r="EZ31" s="1324"/>
      <c r="FA31" s="273"/>
      <c r="FB31" s="273"/>
      <c r="FC31" s="273"/>
      <c r="FD31" s="273"/>
      <c r="FE31" s="273"/>
      <c r="FF31" s="273"/>
      <c r="FG31" s="273"/>
      <c r="FH31" s="1323"/>
      <c r="FI31" s="1324"/>
      <c r="FJ31" s="273"/>
      <c r="FK31" s="273"/>
      <c r="FL31" s="273"/>
      <c r="FM31" s="273"/>
    </row>
    <row r="32" spans="1:180" s="2325" customFormat="1" x14ac:dyDescent="0.35">
      <c r="C32" s="2326" t="s">
        <v>979</v>
      </c>
      <c r="D32" s="2326"/>
      <c r="E32" s="2326"/>
      <c r="F32" s="2412"/>
      <c r="G32" s="2413"/>
      <c r="H32" s="2413"/>
      <c r="I32" s="2414"/>
      <c r="J32" s="2415"/>
      <c r="K32" s="2413">
        <v>0.21587800000000001</v>
      </c>
      <c r="L32" s="2413">
        <v>0.227188</v>
      </c>
      <c r="M32" s="2413">
        <v>0.23663299999999998</v>
      </c>
      <c r="N32" s="2413">
        <v>0.25096199999999996</v>
      </c>
      <c r="O32" s="2414">
        <v>0.25830900000000001</v>
      </c>
      <c r="P32" s="2415">
        <v>0.26754899999999998</v>
      </c>
      <c r="Q32" s="2413"/>
      <c r="R32" s="2414"/>
      <c r="S32" s="2414"/>
      <c r="T32" s="2415"/>
      <c r="U32" s="2415"/>
      <c r="V32" s="2416"/>
      <c r="W32" s="2416"/>
      <c r="X32" s="2417"/>
      <c r="Y32" s="2416"/>
      <c r="Z32" s="2416"/>
      <c r="AA32" s="2416"/>
      <c r="AB32" s="2416"/>
      <c r="AC32" s="2416"/>
      <c r="AD32" s="2416"/>
      <c r="AE32" s="2416"/>
      <c r="AF32" s="2416"/>
      <c r="AG32" s="2416"/>
      <c r="AH32" s="1321"/>
      <c r="AI32" s="2413"/>
      <c r="AJ32" s="2418"/>
      <c r="AK32" s="2418"/>
      <c r="AL32" s="2419"/>
      <c r="AM32" s="2416"/>
      <c r="AN32" s="2418"/>
      <c r="AO32" s="2418"/>
      <c r="AP32" s="2418"/>
      <c r="AQ32" s="2418"/>
      <c r="AR32" s="2418"/>
      <c r="AS32" s="2418"/>
      <c r="AT32" s="2418"/>
      <c r="AU32" s="2419"/>
      <c r="AV32" s="2416"/>
      <c r="AW32" s="2418"/>
      <c r="AX32" s="2418"/>
      <c r="AY32" s="2418"/>
      <c r="AZ32" s="2418"/>
      <c r="BA32" s="2419"/>
      <c r="BB32" s="2416"/>
      <c r="BC32" s="2418"/>
      <c r="BD32" s="2418"/>
      <c r="BE32" s="2418"/>
      <c r="BF32" s="2418"/>
      <c r="BG32" s="2418"/>
      <c r="BH32" s="2418"/>
      <c r="BI32" s="2418"/>
      <c r="BJ32" s="2418"/>
      <c r="BK32" s="1321"/>
      <c r="BL32" s="2413"/>
      <c r="BM32" s="2413"/>
      <c r="BN32" s="2413"/>
      <c r="BO32" s="2414"/>
      <c r="BP32" s="2415"/>
      <c r="BQ32" s="2413">
        <v>0.21587800000000001</v>
      </c>
      <c r="BR32" s="2413">
        <v>0.227188</v>
      </c>
      <c r="BS32" s="2413">
        <v>0.23663299999999998</v>
      </c>
      <c r="BT32" s="2413">
        <v>0.25096199999999996</v>
      </c>
      <c r="BU32" s="2413">
        <v>0.25830900000000001</v>
      </c>
      <c r="BV32" s="2413">
        <v>0.26754899999999998</v>
      </c>
      <c r="BW32" s="2413"/>
      <c r="BX32" s="2414"/>
      <c r="BY32" s="2415"/>
      <c r="BZ32" s="2413"/>
      <c r="CA32" s="2413"/>
      <c r="CB32" s="2413"/>
      <c r="CC32" s="2413"/>
      <c r="CD32" s="2414"/>
      <c r="CE32" s="2415"/>
      <c r="CF32" s="2413"/>
      <c r="CG32" s="2413"/>
      <c r="CH32" s="2413"/>
      <c r="CI32" s="2413"/>
      <c r="CJ32" s="2413"/>
      <c r="CK32" s="2413"/>
      <c r="CL32" s="2413"/>
      <c r="CM32" s="2413"/>
      <c r="CN32" s="338"/>
      <c r="CO32" s="2413"/>
      <c r="CP32" s="2413"/>
      <c r="CQ32" s="2413"/>
      <c r="CR32" s="2414"/>
      <c r="CS32" s="2415"/>
      <c r="CT32" s="2413">
        <v>7.3492000000000002E-2</v>
      </c>
      <c r="CU32" s="2413">
        <v>7.8723000000000001E-2</v>
      </c>
      <c r="CV32" s="2413">
        <v>6.5491999999999995E-2</v>
      </c>
      <c r="CW32" s="2413">
        <v>6.8976999999999997E-2</v>
      </c>
      <c r="CX32" s="2413">
        <v>6.8360000000000004E-2</v>
      </c>
      <c r="CY32" s="2413">
        <v>7.0559999999999998E-2</v>
      </c>
      <c r="CZ32" s="2413"/>
      <c r="DA32" s="2414"/>
      <c r="DB32" s="2415"/>
      <c r="DC32" s="2413"/>
      <c r="DD32" s="2413"/>
      <c r="DE32" s="2418"/>
      <c r="DF32" s="2418"/>
      <c r="DG32" s="2419"/>
      <c r="DH32" s="2416"/>
      <c r="DI32" s="2418"/>
      <c r="DJ32" s="2418"/>
      <c r="DK32" s="2418"/>
      <c r="DL32" s="2418"/>
      <c r="DM32" s="2418"/>
      <c r="DN32" s="2418"/>
      <c r="DO32" s="2418"/>
      <c r="DP32" s="2418"/>
      <c r="DQ32" s="1321"/>
      <c r="DR32" s="2418"/>
      <c r="DS32" s="2418"/>
      <c r="DT32" s="2418"/>
      <c r="DU32" s="2418"/>
      <c r="DV32" s="2419"/>
      <c r="DW32" s="2416"/>
      <c r="DX32" s="2418"/>
      <c r="DY32" s="2418"/>
      <c r="DZ32" s="2418"/>
      <c r="EA32" s="2418"/>
      <c r="EB32" s="2418"/>
      <c r="EC32" s="2418"/>
      <c r="ED32" s="2418"/>
      <c r="EE32" s="2419"/>
      <c r="EF32" s="2416"/>
      <c r="EG32" s="2418"/>
      <c r="EH32" s="2418"/>
      <c r="EI32" s="2418"/>
      <c r="EJ32" s="2418"/>
      <c r="EK32" s="2419"/>
      <c r="EL32" s="2416"/>
      <c r="EM32" s="2418"/>
      <c r="EN32" s="2418"/>
      <c r="EO32" s="2418"/>
      <c r="EP32" s="2418"/>
      <c r="EQ32" s="2418"/>
      <c r="ER32" s="2418"/>
      <c r="ES32" s="2418"/>
      <c r="ET32" s="2418"/>
      <c r="EU32" s="1321"/>
      <c r="EV32" s="2418"/>
      <c r="EW32" s="2418"/>
      <c r="EX32" s="2418"/>
      <c r="EY32" s="2419"/>
      <c r="EZ32" s="2416"/>
      <c r="FA32" s="2418"/>
      <c r="FB32" s="2418"/>
      <c r="FC32" s="2418"/>
      <c r="FD32" s="2418"/>
      <c r="FE32" s="2418"/>
      <c r="FF32" s="2418"/>
      <c r="FG32" s="2418"/>
      <c r="FH32" s="2419"/>
      <c r="FI32" s="2416"/>
      <c r="FJ32" s="2418"/>
      <c r="FK32" s="2418"/>
      <c r="FL32" s="2418"/>
      <c r="FM32" s="2418"/>
      <c r="FN32" s="2332"/>
      <c r="FO32" s="2333"/>
      <c r="FP32" s="2331"/>
      <c r="FQ32" s="2331"/>
      <c r="FR32" s="2331"/>
      <c r="FS32" s="2331"/>
      <c r="FT32" s="2331"/>
      <c r="FU32" s="2331"/>
      <c r="FV32" s="2331"/>
      <c r="FW32" s="2331"/>
    </row>
    <row r="33" spans="3:179" s="2315" customFormat="1" x14ac:dyDescent="0.35">
      <c r="C33" s="2297" t="s">
        <v>989</v>
      </c>
      <c r="D33" s="2297"/>
      <c r="E33" s="2297"/>
      <c r="F33" s="2420">
        <f>3307/1000</f>
        <v>3.3069999999999999</v>
      </c>
      <c r="G33" s="2421">
        <f>3330/10000</f>
        <v>0.33300000000000002</v>
      </c>
      <c r="H33" s="2421">
        <f>3507/10000</f>
        <v>0.35070000000000001</v>
      </c>
      <c r="I33" s="2422">
        <f>3482/10000</f>
        <v>0.34820000000000001</v>
      </c>
      <c r="J33" s="2423">
        <f>2589/10000</f>
        <v>0.25890000000000002</v>
      </c>
      <c r="K33" s="2421">
        <f>2861/10000</f>
        <v>0.28610000000000002</v>
      </c>
      <c r="L33" s="2421">
        <f>2938/10000</f>
        <v>0.29380000000000001</v>
      </c>
      <c r="M33" s="2421">
        <f>2995/10000</f>
        <v>0.29949999999999999</v>
      </c>
      <c r="N33" s="2421">
        <f>3014/10000</f>
        <v>0.3014</v>
      </c>
      <c r="O33" s="2422">
        <f>3033/10000</f>
        <v>0.30330000000000001</v>
      </c>
      <c r="P33" s="2423">
        <f>3040/10000</f>
        <v>0.30399999999999999</v>
      </c>
      <c r="Q33" s="2421"/>
      <c r="R33" s="2422"/>
      <c r="S33" s="2422"/>
      <c r="T33" s="2423"/>
      <c r="U33" s="2423"/>
      <c r="V33" s="2424"/>
      <c r="W33" s="2424"/>
      <c r="X33" s="2425"/>
      <c r="Y33" s="2424"/>
      <c r="Z33" s="2424"/>
      <c r="AA33" s="2424"/>
      <c r="AB33" s="2424"/>
      <c r="AC33" s="2424"/>
      <c r="AD33" s="2424"/>
      <c r="AE33" s="2424"/>
      <c r="AF33" s="2424"/>
      <c r="AG33" s="2424"/>
      <c r="AH33" s="1321"/>
      <c r="AI33" s="2421"/>
      <c r="AJ33" s="2426"/>
      <c r="AK33" s="2426"/>
      <c r="AL33" s="2427"/>
      <c r="AM33" s="2424"/>
      <c r="AN33" s="2426"/>
      <c r="AO33" s="2426"/>
      <c r="AP33" s="2426"/>
      <c r="AQ33" s="2426"/>
      <c r="AR33" s="2426"/>
      <c r="AS33" s="2426"/>
      <c r="AT33" s="2426"/>
      <c r="AU33" s="2427"/>
      <c r="AV33" s="2424"/>
      <c r="AW33" s="2426"/>
      <c r="AX33" s="2426"/>
      <c r="AY33" s="2426"/>
      <c r="AZ33" s="2426"/>
      <c r="BA33" s="2427"/>
      <c r="BB33" s="2424"/>
      <c r="BC33" s="2426"/>
      <c r="BD33" s="2426"/>
      <c r="BE33" s="2426"/>
      <c r="BF33" s="2426"/>
      <c r="BG33" s="2426"/>
      <c r="BH33" s="2426"/>
      <c r="BI33" s="2426"/>
      <c r="BJ33" s="2426"/>
      <c r="BK33" s="1321"/>
      <c r="BL33" s="2421">
        <v>3.3069999999999999</v>
      </c>
      <c r="BM33" s="2421">
        <v>0.33300000000000002</v>
      </c>
      <c r="BN33" s="2421">
        <v>0.35070000000000001</v>
      </c>
      <c r="BO33" s="2422">
        <v>0.34820000000000001</v>
      </c>
      <c r="BP33" s="2423">
        <v>0.25890000000000002</v>
      </c>
      <c r="BQ33" s="2421">
        <v>0.28610000000000002</v>
      </c>
      <c r="BR33" s="2421">
        <v>0.29380000000000001</v>
      </c>
      <c r="BS33" s="2421">
        <v>0.29949999999999999</v>
      </c>
      <c r="BT33" s="2421">
        <v>0.3014</v>
      </c>
      <c r="BU33" s="2421">
        <v>0.30330000000000001</v>
      </c>
      <c r="BV33" s="2421">
        <v>0.30399999999999999</v>
      </c>
      <c r="BW33" s="2421"/>
      <c r="BX33" s="2422"/>
      <c r="BY33" s="2423"/>
      <c r="BZ33" s="2421"/>
      <c r="CA33" s="2421"/>
      <c r="CB33" s="2421"/>
      <c r="CC33" s="2421"/>
      <c r="CD33" s="2422"/>
      <c r="CE33" s="2423"/>
      <c r="CF33" s="2421"/>
      <c r="CG33" s="2421"/>
      <c r="CH33" s="2421"/>
      <c r="CI33" s="2421"/>
      <c r="CJ33" s="2421"/>
      <c r="CK33" s="2421"/>
      <c r="CL33" s="2421"/>
      <c r="CM33" s="2421"/>
      <c r="CN33" s="338"/>
      <c r="CO33" s="2344">
        <f>423/10000</f>
        <v>4.2299999999999997E-2</v>
      </c>
      <c r="CP33" s="2344">
        <f>486/10000</f>
        <v>4.8599999999999997E-2</v>
      </c>
      <c r="CQ33" s="2344">
        <v>523</v>
      </c>
      <c r="CR33" s="2345">
        <v>523</v>
      </c>
      <c r="CS33" s="2423">
        <v>418</v>
      </c>
      <c r="CT33" s="2421">
        <f>405/10000</f>
        <v>4.0500000000000001E-2</v>
      </c>
      <c r="CU33" s="2421">
        <f>413/10000</f>
        <v>4.1300000000000003E-2</v>
      </c>
      <c r="CV33" s="2421">
        <f>460/10000</f>
        <v>4.5999999999999999E-2</v>
      </c>
      <c r="CW33" s="2421">
        <f>487/10000</f>
        <v>4.87E-2</v>
      </c>
      <c r="CX33" s="2421">
        <f>492/10000</f>
        <v>4.9200000000000001E-2</v>
      </c>
      <c r="CY33" s="2421">
        <f>498/10000</f>
        <v>4.9799999999999997E-2</v>
      </c>
      <c r="CZ33" s="2421"/>
      <c r="DA33" s="2422"/>
      <c r="DB33" s="2423"/>
      <c r="DC33" s="2421"/>
      <c r="DD33" s="2421"/>
      <c r="DE33" s="2426"/>
      <c r="DF33" s="2426"/>
      <c r="DG33" s="2427"/>
      <c r="DH33" s="2424"/>
      <c r="DI33" s="2426"/>
      <c r="DJ33" s="2426"/>
      <c r="DK33" s="2426"/>
      <c r="DL33" s="2426"/>
      <c r="DM33" s="2426"/>
      <c r="DN33" s="2426"/>
      <c r="DO33" s="2426"/>
      <c r="DP33" s="2426"/>
      <c r="DQ33" s="1321"/>
      <c r="DR33" s="2426"/>
      <c r="DS33" s="2426"/>
      <c r="DT33" s="2426"/>
      <c r="DU33" s="2426"/>
      <c r="DV33" s="2427"/>
      <c r="DW33" s="2424"/>
      <c r="DX33" s="2426"/>
      <c r="DY33" s="2426"/>
      <c r="DZ33" s="2426"/>
      <c r="EA33" s="2426"/>
      <c r="EB33" s="2426"/>
      <c r="EC33" s="2426"/>
      <c r="ED33" s="2426"/>
      <c r="EE33" s="2427"/>
      <c r="EF33" s="2424"/>
      <c r="EG33" s="2426"/>
      <c r="EH33" s="2426"/>
      <c r="EI33" s="2426"/>
      <c r="EJ33" s="2426"/>
      <c r="EK33" s="2427"/>
      <c r="EL33" s="2424"/>
      <c r="EM33" s="2426"/>
      <c r="EN33" s="2426"/>
      <c r="EO33" s="2426"/>
      <c r="EP33" s="2426"/>
      <c r="EQ33" s="2426"/>
      <c r="ER33" s="2426"/>
      <c r="ES33" s="2426"/>
      <c r="ET33" s="2426"/>
      <c r="EU33" s="1321"/>
      <c r="EV33" s="2426"/>
      <c r="EW33" s="2426"/>
      <c r="EX33" s="2426"/>
      <c r="EY33" s="2427"/>
      <c r="EZ33" s="2424"/>
      <c r="FA33" s="2426"/>
      <c r="FB33" s="2426"/>
      <c r="FC33" s="2426"/>
      <c r="FD33" s="2426"/>
      <c r="FE33" s="2426"/>
      <c r="FF33" s="2426"/>
      <c r="FG33" s="2426"/>
      <c r="FH33" s="2427"/>
      <c r="FI33" s="2424"/>
      <c r="FJ33" s="2426"/>
      <c r="FK33" s="2426"/>
      <c r="FL33" s="2426"/>
      <c r="FM33" s="2426"/>
      <c r="FN33" s="2304"/>
      <c r="FO33" s="2305"/>
      <c r="FP33" s="2303"/>
      <c r="FQ33" s="2303"/>
      <c r="FR33" s="2303"/>
      <c r="FS33" s="2303"/>
      <c r="FT33" s="2303"/>
      <c r="FU33" s="2303"/>
      <c r="FV33" s="2303"/>
      <c r="FW33" s="2303"/>
    </row>
    <row r="34" spans="3:179" x14ac:dyDescent="0.35">
      <c r="C34" s="1" t="s">
        <v>173</v>
      </c>
      <c r="F34" s="604">
        <f>'HPS DAILY'!$G$20</f>
        <v>5.9749999999999996</v>
      </c>
      <c r="G34" s="251">
        <f>'HPS DAILY'!$G$20</f>
        <v>5.9749999999999996</v>
      </c>
      <c r="H34" s="251">
        <f>'HPS DAILY'!$G$20</f>
        <v>5.9749999999999996</v>
      </c>
      <c r="I34" s="1267">
        <f>'HPS DAILY'!$G$20</f>
        <v>5.9749999999999996</v>
      </c>
      <c r="J34" s="1212">
        <f>'HPS DAILY'!$H$20</f>
        <v>5.9279999999999999</v>
      </c>
      <c r="K34" s="251">
        <f>'HPS DAILY'!$H$20</f>
        <v>5.9279999999999999</v>
      </c>
      <c r="L34" s="251">
        <f>'HPS DAILY'!$H$20</f>
        <v>5.9279999999999999</v>
      </c>
      <c r="M34" s="251">
        <f>'HPS DAILY'!$H$20</f>
        <v>5.9279999999999999</v>
      </c>
      <c r="N34" s="251">
        <f>'HPS DAILY'!$H$20</f>
        <v>5.9279999999999999</v>
      </c>
      <c r="O34" s="1267">
        <f>'HPS DAILY'!$H$20</f>
        <v>5.9279999999999999</v>
      </c>
      <c r="P34" s="1212">
        <f>'HPS DAILY'!$H$20</f>
        <v>5.9279999999999999</v>
      </c>
      <c r="Q34" s="251">
        <f>'HPS DAILY'!$H$20</f>
        <v>5.9279999999999999</v>
      </c>
      <c r="R34" s="1267">
        <f>'HPS DAILY'!$H$20</f>
        <v>5.9279999999999999</v>
      </c>
      <c r="S34" s="1267">
        <f>'HPS DAILY'!$H$20</f>
        <v>5.9279999999999999</v>
      </c>
      <c r="T34" s="1212">
        <f>'HPS DAILY'!$I$20</f>
        <v>5.9279999999999999</v>
      </c>
      <c r="U34" s="1212">
        <f>'HPS DAILY'!$I$20</f>
        <v>5.9279999999999999</v>
      </c>
      <c r="V34" s="1212">
        <f>'HPS DAILY'!$I$20</f>
        <v>5.9279999999999999</v>
      </c>
      <c r="W34" s="1212">
        <f>'HPS DAILY'!$I$20</f>
        <v>5.9279999999999999</v>
      </c>
      <c r="X34" s="1674">
        <f>'HPS DAILY'!$I$20</f>
        <v>5.9279999999999999</v>
      </c>
      <c r="Y34" s="1212">
        <f>'HPS DAILY'!$J$20</f>
        <v>5.9279999999999999</v>
      </c>
      <c r="Z34" s="1212">
        <f>'HPS DAILY'!$J$20</f>
        <v>5.9279999999999999</v>
      </c>
      <c r="AA34" s="1212">
        <f>'HPS DAILY'!$J$20</f>
        <v>5.9279999999999999</v>
      </c>
      <c r="AB34" s="1212">
        <f>'HPS DAILY'!$J$20</f>
        <v>5.9279999999999999</v>
      </c>
      <c r="AC34" s="1212">
        <f>'HPS DAILY'!$J$20</f>
        <v>5.9279999999999999</v>
      </c>
      <c r="AD34" s="1212">
        <f>'HPS DAILY'!$J$20</f>
        <v>5.9279999999999999</v>
      </c>
      <c r="AE34" s="1212">
        <f>'HPS DAILY'!$J$20</f>
        <v>5.9279999999999999</v>
      </c>
      <c r="AF34" s="1212">
        <f>'HPS DAILY'!$J$20</f>
        <v>5.9279999999999999</v>
      </c>
      <c r="AG34" s="1212">
        <f>'HPS DAILY'!$J$20</f>
        <v>5.9279999999999999</v>
      </c>
      <c r="AH34" s="1321"/>
      <c r="AI34" s="251">
        <f>ISV!G$19</f>
        <v>0</v>
      </c>
      <c r="AJ34" s="273">
        <f>ISV!H$19</f>
        <v>3.6379999999999999</v>
      </c>
      <c r="AK34" s="273">
        <f>ISV!I$19</f>
        <v>0</v>
      </c>
      <c r="AL34" s="1323">
        <f>ISV!J$19</f>
        <v>0</v>
      </c>
      <c r="AM34" s="1324">
        <f>ISV!K$19</f>
        <v>4.25</v>
      </c>
      <c r="AN34" s="273">
        <f>ISV!L$19</f>
        <v>3.5390000000000001</v>
      </c>
      <c r="AO34" s="273">
        <f>ISV!M$19</f>
        <v>0</v>
      </c>
      <c r="AP34" s="273">
        <f>ISV!N$19</f>
        <v>0</v>
      </c>
      <c r="AQ34" s="273">
        <f>ISV!O$19</f>
        <v>0</v>
      </c>
      <c r="AR34" s="273">
        <f>ISV!P$19</f>
        <v>0</v>
      </c>
      <c r="AS34" s="273">
        <f>ISV!Q$19</f>
        <v>0</v>
      </c>
      <c r="AT34" s="273">
        <f>ISV!R$19</f>
        <v>0</v>
      </c>
      <c r="AU34" s="1323">
        <f>ISV!S$19</f>
        <v>0</v>
      </c>
      <c r="AV34" s="1324">
        <f>ISV!T$19</f>
        <v>0</v>
      </c>
      <c r="AW34" s="273">
        <f>ISV!U$19</f>
        <v>0</v>
      </c>
      <c r="AX34" s="273">
        <f>ISV!V$19</f>
        <v>0</v>
      </c>
      <c r="AY34" s="273">
        <f>ISV!W$19</f>
        <v>0</v>
      </c>
      <c r="AZ34" s="273">
        <f>ISV!X$19</f>
        <v>0</v>
      </c>
      <c r="BA34" s="1323">
        <f>ISV!Y$19</f>
        <v>0</v>
      </c>
      <c r="BB34" s="1324">
        <f>ISV!Z$19</f>
        <v>0</v>
      </c>
      <c r="BC34" s="273">
        <f>ISV!AA$19</f>
        <v>0</v>
      </c>
      <c r="BD34" s="273">
        <f>ISV!AB$19</f>
        <v>0</v>
      </c>
      <c r="BE34" s="273">
        <f>ISV!AC$19</f>
        <v>0</v>
      </c>
      <c r="BF34" s="273">
        <f>ISV!AD$19</f>
        <v>0</v>
      </c>
      <c r="BG34" s="273">
        <f>ISV!AE$19</f>
        <v>0</v>
      </c>
      <c r="BH34" s="273">
        <f>ISV!AF$19</f>
        <v>0</v>
      </c>
      <c r="BI34" s="273">
        <f>ISV!AG$19</f>
        <v>0</v>
      </c>
      <c r="BJ34" s="273">
        <f>ISV!AH$19</f>
        <v>0</v>
      </c>
      <c r="BK34" s="1321"/>
      <c r="BL34" s="251" cm="1">
        <f t="array" ref="BL34:CM34">'HPS DAILY'!K20:AL20</f>
        <v>1.9584999999999999</v>
      </c>
      <c r="BM34" s="251">
        <v>2.0884999999999998</v>
      </c>
      <c r="BN34" s="251">
        <v>2.2799999999999998</v>
      </c>
      <c r="BO34" s="1267">
        <v>2.2450000000000001</v>
      </c>
      <c r="BP34" s="1212">
        <v>0.86699999999999999</v>
      </c>
      <c r="BQ34" s="251">
        <v>0.94099999999999995</v>
      </c>
      <c r="BR34" s="251">
        <v>1.0369999999999999</v>
      </c>
      <c r="BS34" s="251">
        <v>1.121</v>
      </c>
      <c r="BT34" s="251">
        <v>1.17</v>
      </c>
      <c r="BU34" s="251">
        <v>1.214</v>
      </c>
      <c r="BV34" s="251">
        <v>1.2669999999999999</v>
      </c>
      <c r="BW34" s="251">
        <v>1.2909999999999999</v>
      </c>
      <c r="BX34" s="1267">
        <v>1.3149999999999999</v>
      </c>
      <c r="BY34" s="1212">
        <v>0</v>
      </c>
      <c r="BZ34" s="251">
        <v>0</v>
      </c>
      <c r="CA34" s="251">
        <v>0</v>
      </c>
      <c r="CB34" s="251">
        <v>0</v>
      </c>
      <c r="CC34" s="251">
        <v>0</v>
      </c>
      <c r="CD34" s="1267">
        <v>0</v>
      </c>
      <c r="CE34" s="1212">
        <v>0</v>
      </c>
      <c r="CF34" s="251">
        <v>0</v>
      </c>
      <c r="CG34" s="251">
        <v>0</v>
      </c>
      <c r="CH34" s="251">
        <v>0</v>
      </c>
      <c r="CI34" s="251">
        <v>0</v>
      </c>
      <c r="CJ34" s="251">
        <v>0</v>
      </c>
      <c r="CK34" s="251">
        <v>0</v>
      </c>
      <c r="CL34" s="251">
        <v>0</v>
      </c>
      <c r="CM34" s="251">
        <v>0</v>
      </c>
      <c r="CN34" s="338"/>
      <c r="CO34" s="251" cm="1">
        <f t="array" ref="CO34:DP34">'LTO DAILY'!H18:AI18</f>
        <v>0</v>
      </c>
      <c r="CP34" s="251">
        <v>0.16400000000000001</v>
      </c>
      <c r="CQ34" s="251">
        <v>0.17199999999999999</v>
      </c>
      <c r="CR34" s="1267">
        <v>0.157</v>
      </c>
      <c r="CS34" s="1212">
        <v>0.13277</v>
      </c>
      <c r="CT34" s="251">
        <v>9.042E-2</v>
      </c>
      <c r="CU34" s="251">
        <v>0.10299999999999999</v>
      </c>
      <c r="CV34" s="251">
        <v>0.108</v>
      </c>
      <c r="CW34" s="251">
        <v>0.16566500000000001</v>
      </c>
      <c r="CX34" s="251">
        <v>0.14560999999999999</v>
      </c>
      <c r="CY34" s="251">
        <v>0.13669999999999999</v>
      </c>
      <c r="CZ34" s="251">
        <v>0.12447</v>
      </c>
      <c r="DA34" s="1267">
        <v>0.12303</v>
      </c>
      <c r="DB34" s="1212">
        <v>0</v>
      </c>
      <c r="DC34" s="251">
        <v>0</v>
      </c>
      <c r="DD34" s="251">
        <v>0</v>
      </c>
      <c r="DE34" s="273">
        <v>0</v>
      </c>
      <c r="DF34" s="273">
        <v>0</v>
      </c>
      <c r="DG34" s="1323">
        <v>0</v>
      </c>
      <c r="DH34" s="1324">
        <v>0</v>
      </c>
      <c r="DI34" s="273">
        <v>0</v>
      </c>
      <c r="DJ34" s="273">
        <v>0</v>
      </c>
      <c r="DK34" s="273">
        <v>0</v>
      </c>
      <c r="DL34" s="273">
        <v>0</v>
      </c>
      <c r="DM34" s="273">
        <v>0</v>
      </c>
      <c r="DN34" s="273">
        <v>0</v>
      </c>
      <c r="DO34" s="273">
        <v>0</v>
      </c>
      <c r="DP34" s="273">
        <v>0</v>
      </c>
      <c r="DQ34" s="1321"/>
      <c r="DR34" s="273"/>
      <c r="DS34" s="273"/>
      <c r="DT34" s="273"/>
      <c r="DU34" s="273"/>
      <c r="DV34" s="1323"/>
      <c r="DW34" s="1324"/>
      <c r="DX34" s="273"/>
      <c r="DY34" s="273"/>
      <c r="DZ34" s="273"/>
      <c r="EA34" s="273"/>
      <c r="EB34" s="273"/>
      <c r="EC34" s="273"/>
      <c r="ED34" s="273"/>
      <c r="EE34" s="1323"/>
      <c r="EF34" s="1324"/>
      <c r="EG34" s="273"/>
      <c r="EH34" s="273"/>
      <c r="EI34" s="273"/>
      <c r="EJ34" s="273"/>
      <c r="EK34" s="1323"/>
      <c r="EL34" s="1324"/>
      <c r="EM34" s="273"/>
      <c r="EN34" s="273"/>
      <c r="EO34" s="273"/>
      <c r="EP34" s="273"/>
      <c r="EQ34" s="273"/>
      <c r="ER34" s="273"/>
      <c r="ES34" s="273"/>
      <c r="ET34" s="273"/>
      <c r="EU34" s="1321"/>
      <c r="EV34" s="273"/>
      <c r="EW34" s="273"/>
      <c r="EX34" s="273"/>
      <c r="EY34" s="1323"/>
      <c r="EZ34" s="1324"/>
      <c r="FA34" s="273"/>
      <c r="FB34" s="273"/>
      <c r="FC34" s="273"/>
      <c r="FD34" s="273"/>
      <c r="FE34" s="273"/>
      <c r="FF34" s="273"/>
      <c r="FG34" s="273"/>
      <c r="FH34" s="1323"/>
      <c r="FI34" s="1324"/>
      <c r="FJ34" s="273"/>
      <c r="FK34" s="273"/>
      <c r="FL34" s="273"/>
      <c r="FM34" s="273"/>
    </row>
    <row r="35" spans="3:179" x14ac:dyDescent="0.35">
      <c r="C35" s="444" t="s">
        <v>980</v>
      </c>
      <c r="F35" s="1322"/>
      <c r="G35" s="273"/>
      <c r="H35" s="273"/>
      <c r="I35" s="1323"/>
      <c r="J35" s="1324">
        <v>5.84</v>
      </c>
      <c r="K35" s="273">
        <v>5.84</v>
      </c>
      <c r="L35" s="273">
        <v>5.84</v>
      </c>
      <c r="M35" s="273">
        <v>5.84</v>
      </c>
      <c r="N35" s="273">
        <v>5.84</v>
      </c>
      <c r="O35" s="1323">
        <v>5.84</v>
      </c>
      <c r="P35" s="1324">
        <v>5.84</v>
      </c>
      <c r="Q35" s="273">
        <v>5.84</v>
      </c>
      <c r="R35" s="1323">
        <v>5.84</v>
      </c>
      <c r="S35" s="1323">
        <v>5.84</v>
      </c>
      <c r="T35" s="273"/>
      <c r="U35" s="273"/>
      <c r="V35" s="273"/>
      <c r="W35" s="273"/>
      <c r="X35" s="1323"/>
      <c r="Y35" s="1324"/>
      <c r="Z35" s="273"/>
      <c r="AA35" s="273"/>
      <c r="AB35" s="273"/>
      <c r="AC35" s="273"/>
      <c r="AD35" s="273"/>
      <c r="AE35" s="273"/>
      <c r="AF35" s="273"/>
      <c r="AG35" s="273"/>
      <c r="AH35" s="1321"/>
      <c r="AI35" s="251"/>
      <c r="AJ35" s="273"/>
      <c r="AK35" s="273"/>
      <c r="AL35" s="1323"/>
      <c r="AM35" s="1324"/>
      <c r="AN35" s="273"/>
      <c r="AO35" s="273"/>
      <c r="AP35" s="273"/>
      <c r="AQ35" s="273"/>
      <c r="AR35" s="273"/>
      <c r="AS35" s="273"/>
      <c r="AT35" s="273"/>
      <c r="AU35" s="1323"/>
      <c r="AV35" s="1324"/>
      <c r="AW35" s="273"/>
      <c r="AX35" s="273"/>
      <c r="AY35" s="273"/>
      <c r="AZ35" s="273"/>
      <c r="BA35" s="1323"/>
      <c r="BB35" s="1324"/>
      <c r="BC35" s="273"/>
      <c r="BD35" s="273"/>
      <c r="BE35" s="273"/>
      <c r="BF35" s="273"/>
      <c r="BG35" s="273"/>
      <c r="BH35" s="273"/>
      <c r="BI35" s="273"/>
      <c r="BJ35" s="273"/>
      <c r="BK35" s="1321"/>
      <c r="BL35" s="460">
        <v>2.15</v>
      </c>
      <c r="BM35" s="460">
        <v>2.2000000000000002</v>
      </c>
      <c r="BN35" s="460">
        <v>2.25</v>
      </c>
      <c r="BO35" s="461">
        <v>2.36</v>
      </c>
      <c r="BP35" s="462">
        <v>1.01</v>
      </c>
      <c r="BQ35" s="460">
        <v>0.99</v>
      </c>
      <c r="BR35" s="460">
        <v>1.0900000000000001</v>
      </c>
      <c r="BS35" s="460">
        <v>1.1000000000000001</v>
      </c>
      <c r="BT35" s="460">
        <v>1.1200000000000001</v>
      </c>
      <c r="BU35" s="460">
        <v>1.1399999999999999</v>
      </c>
      <c r="BV35" s="460">
        <v>1.095</v>
      </c>
      <c r="BW35" s="460">
        <v>1</v>
      </c>
      <c r="BX35" s="461">
        <v>0.99</v>
      </c>
      <c r="BY35" s="462">
        <v>0.95</v>
      </c>
      <c r="BZ35" s="460">
        <v>1</v>
      </c>
      <c r="CA35" s="460">
        <v>1.01</v>
      </c>
      <c r="CB35" s="251"/>
      <c r="CC35" s="251"/>
      <c r="CD35" s="1267"/>
      <c r="CE35" s="1212"/>
      <c r="CF35" s="251"/>
      <c r="CG35" s="251"/>
      <c r="CH35" s="251"/>
      <c r="CI35" s="251"/>
      <c r="CJ35" s="251"/>
      <c r="CK35" s="251"/>
      <c r="CL35" s="251"/>
      <c r="CM35" s="251"/>
      <c r="CN35" s="338"/>
      <c r="CO35" s="474">
        <v>0.12</v>
      </c>
      <c r="CP35" s="474">
        <v>0.14000000000000001</v>
      </c>
      <c r="CQ35" s="474">
        <v>0.155</v>
      </c>
      <c r="CR35" s="1474">
        <v>0.1661</v>
      </c>
      <c r="CS35" s="1462">
        <v>0.11899999999999999</v>
      </c>
      <c r="CT35" s="474">
        <v>8.1000000000000003E-2</v>
      </c>
      <c r="CU35" s="474">
        <v>8.4000000000000005E-2</v>
      </c>
      <c r="CV35" s="474">
        <v>8.3000000000000004E-2</v>
      </c>
      <c r="CW35" s="474">
        <v>8.4000000000000005E-2</v>
      </c>
      <c r="CX35" s="474">
        <v>8.5000000000000006E-2</v>
      </c>
      <c r="CY35" s="474">
        <v>8.5999999999999993E-2</v>
      </c>
      <c r="CZ35" s="474">
        <v>8.5500000000000007E-2</v>
      </c>
      <c r="DA35" s="1474">
        <v>8.5000000000000006E-2</v>
      </c>
      <c r="DB35" s="1462">
        <v>8.6499999999999994E-2</v>
      </c>
      <c r="DC35" s="474">
        <v>8.6999999999999994E-2</v>
      </c>
      <c r="DD35" s="474">
        <v>8.6400000000000005E-2</v>
      </c>
      <c r="DE35" s="273"/>
      <c r="DF35" s="273"/>
      <c r="DG35" s="1323"/>
      <c r="DH35" s="1324"/>
      <c r="DI35" s="273"/>
      <c r="DJ35" s="273"/>
      <c r="DK35" s="273"/>
      <c r="DL35" s="273"/>
      <c r="DM35" s="273"/>
      <c r="DN35" s="273"/>
      <c r="DO35" s="273"/>
      <c r="DP35" s="273"/>
      <c r="DQ35" s="1321"/>
      <c r="DR35" s="273"/>
      <c r="DS35" s="273"/>
      <c r="DT35" s="273"/>
      <c r="DU35" s="273"/>
      <c r="DV35" s="1323"/>
      <c r="DW35" s="1324"/>
      <c r="DX35" s="273"/>
      <c r="DY35" s="273"/>
      <c r="DZ35" s="273"/>
      <c r="EA35" s="273"/>
      <c r="EB35" s="273"/>
      <c r="EC35" s="273"/>
      <c r="ED35" s="273"/>
      <c r="EE35" s="1323"/>
      <c r="EF35" s="1324"/>
      <c r="EG35" s="273"/>
      <c r="EH35" s="273"/>
      <c r="EI35" s="273"/>
      <c r="EJ35" s="273"/>
      <c r="EK35" s="1323"/>
      <c r="EL35" s="1324"/>
      <c r="EM35" s="273"/>
      <c r="EN35" s="273"/>
      <c r="EO35" s="273"/>
      <c r="EP35" s="273"/>
      <c r="EQ35" s="273"/>
      <c r="ER35" s="273"/>
      <c r="ES35" s="273"/>
      <c r="ET35" s="273"/>
      <c r="EU35" s="1321"/>
      <c r="EV35" s="273"/>
      <c r="EW35" s="273"/>
      <c r="EX35" s="273"/>
      <c r="EY35" s="1323"/>
      <c r="EZ35" s="1324"/>
      <c r="FA35" s="273"/>
      <c r="FB35" s="273"/>
      <c r="FC35" s="273"/>
      <c r="FD35" s="273"/>
      <c r="FE35" s="273"/>
      <c r="FF35" s="273"/>
      <c r="FG35" s="273"/>
      <c r="FH35" s="1323"/>
      <c r="FI35" s="1324"/>
      <c r="FJ35" s="273"/>
      <c r="FK35" s="273"/>
      <c r="FL35" s="273"/>
      <c r="FM35" s="273"/>
    </row>
    <row r="36" spans="3:179" s="2325" customFormat="1" x14ac:dyDescent="0.35">
      <c r="C36" s="2326" t="s">
        <v>999</v>
      </c>
      <c r="D36" s="2326"/>
      <c r="E36" s="2326"/>
      <c r="F36" s="2453"/>
      <c r="G36" s="2418"/>
      <c r="H36" s="2418"/>
      <c r="I36" s="2419"/>
      <c r="J36" s="2416"/>
      <c r="K36" s="2418">
        <v>0.97499999999999998</v>
      </c>
      <c r="L36" s="2418">
        <v>1.0900000000000001</v>
      </c>
      <c r="M36" s="2418">
        <v>1.155</v>
      </c>
      <c r="N36" s="2418">
        <v>1.246</v>
      </c>
      <c r="O36" s="2419">
        <v>1.306</v>
      </c>
      <c r="P36" s="2416">
        <v>1.3380000000000001</v>
      </c>
      <c r="Q36" s="2418"/>
      <c r="R36" s="2419"/>
      <c r="S36" s="2419"/>
      <c r="T36" s="2418"/>
      <c r="U36" s="2418"/>
      <c r="V36" s="2418"/>
      <c r="W36" s="2418"/>
      <c r="X36" s="2419"/>
      <c r="Y36" s="2416"/>
      <c r="Z36" s="2416"/>
      <c r="AA36" s="2416"/>
      <c r="AB36" s="2416"/>
      <c r="AC36" s="2416"/>
      <c r="AD36" s="2416"/>
      <c r="AE36" s="2416"/>
      <c r="AF36" s="2416"/>
      <c r="AG36" s="2416"/>
      <c r="AH36" s="1321"/>
      <c r="AI36" s="2413"/>
      <c r="AJ36" s="2418"/>
      <c r="AK36" s="2418"/>
      <c r="AL36" s="2419"/>
      <c r="AM36" s="2416"/>
      <c r="AN36" s="2418"/>
      <c r="AO36" s="2418"/>
      <c r="AP36" s="2418"/>
      <c r="AQ36" s="2418"/>
      <c r="AR36" s="2418"/>
      <c r="AS36" s="2418"/>
      <c r="AT36" s="2418"/>
      <c r="AU36" s="2419"/>
      <c r="AV36" s="2416"/>
      <c r="AW36" s="2418"/>
      <c r="AX36" s="2418"/>
      <c r="AY36" s="2418"/>
      <c r="AZ36" s="2418"/>
      <c r="BA36" s="2419"/>
      <c r="BB36" s="2416"/>
      <c r="BC36" s="2418"/>
      <c r="BD36" s="2418"/>
      <c r="BE36" s="2418"/>
      <c r="BF36" s="2418"/>
      <c r="BG36" s="2418"/>
      <c r="BH36" s="2418"/>
      <c r="BI36" s="2418"/>
      <c r="BJ36" s="2418"/>
      <c r="BK36" s="1321"/>
      <c r="BL36" s="2454"/>
      <c r="BM36" s="2454"/>
      <c r="BN36" s="2454"/>
      <c r="BO36" s="2455"/>
      <c r="BP36" s="2456"/>
      <c r="BQ36" s="2454">
        <v>0.97499999999999998</v>
      </c>
      <c r="BR36" s="2454">
        <v>1.0900000000000001</v>
      </c>
      <c r="BS36" s="2454">
        <v>1.155</v>
      </c>
      <c r="BT36" s="2454">
        <v>1.246</v>
      </c>
      <c r="BU36" s="2454">
        <v>1.306</v>
      </c>
      <c r="BV36" s="2454">
        <v>1.3380000000000001</v>
      </c>
      <c r="BW36" s="2454"/>
      <c r="BX36" s="2455"/>
      <c r="BY36" s="2456"/>
      <c r="BZ36" s="2454"/>
      <c r="CA36" s="2454"/>
      <c r="CB36" s="2413"/>
      <c r="CC36" s="2413"/>
      <c r="CD36" s="2414"/>
      <c r="CE36" s="2415"/>
      <c r="CF36" s="2413"/>
      <c r="CG36" s="2413"/>
      <c r="CH36" s="2413"/>
      <c r="CI36" s="2413"/>
      <c r="CJ36" s="2413"/>
      <c r="CK36" s="2413"/>
      <c r="CL36" s="2413"/>
      <c r="CM36" s="2413"/>
      <c r="CN36" s="338"/>
      <c r="CO36" s="2413"/>
      <c r="CP36" s="2413"/>
      <c r="CQ36" s="2413"/>
      <c r="CR36" s="2414"/>
      <c r="CS36" s="2415"/>
      <c r="CT36" s="2413">
        <v>0.1149</v>
      </c>
      <c r="CU36" s="2413">
        <v>0.113</v>
      </c>
      <c r="CV36" s="2413">
        <v>9.3399999999999997E-2</v>
      </c>
      <c r="CW36" s="2413">
        <v>0.25900000000000001</v>
      </c>
      <c r="CX36" s="2413">
        <v>0.25069999999999998</v>
      </c>
      <c r="CY36" s="2413">
        <v>0.28670000000000001</v>
      </c>
      <c r="CZ36" s="2413"/>
      <c r="DA36" s="2414"/>
      <c r="DB36" s="2415"/>
      <c r="DC36" s="2413"/>
      <c r="DD36" s="2413"/>
      <c r="DE36" s="2418"/>
      <c r="DF36" s="2418"/>
      <c r="DG36" s="2419"/>
      <c r="DH36" s="2416"/>
      <c r="DI36" s="2418"/>
      <c r="DJ36" s="2418"/>
      <c r="DK36" s="2418"/>
      <c r="DL36" s="2418"/>
      <c r="DM36" s="2418"/>
      <c r="DN36" s="2418"/>
      <c r="DO36" s="2418"/>
      <c r="DP36" s="2418"/>
      <c r="DQ36" s="1321"/>
      <c r="DR36" s="2418"/>
      <c r="DS36" s="2418"/>
      <c r="DT36" s="2418"/>
      <c r="DU36" s="2418"/>
      <c r="DV36" s="2419"/>
      <c r="DW36" s="2416"/>
      <c r="DX36" s="2418"/>
      <c r="DY36" s="2418"/>
      <c r="DZ36" s="2418"/>
      <c r="EA36" s="2418"/>
      <c r="EB36" s="2418"/>
      <c r="EC36" s="2418"/>
      <c r="ED36" s="2418"/>
      <c r="EE36" s="2419"/>
      <c r="EF36" s="2416"/>
      <c r="EG36" s="2418"/>
      <c r="EH36" s="2418"/>
      <c r="EI36" s="2418"/>
      <c r="EJ36" s="2418"/>
      <c r="EK36" s="2419"/>
      <c r="EL36" s="2416"/>
      <c r="EM36" s="2418"/>
      <c r="EN36" s="2418"/>
      <c r="EO36" s="2418"/>
      <c r="EP36" s="2418"/>
      <c r="EQ36" s="2418"/>
      <c r="ER36" s="2418"/>
      <c r="ES36" s="2418"/>
      <c r="ET36" s="2418"/>
      <c r="EU36" s="1321"/>
      <c r="EV36" s="2418"/>
      <c r="EW36" s="2418"/>
      <c r="EX36" s="2418"/>
      <c r="EY36" s="2419"/>
      <c r="EZ36" s="2416"/>
      <c r="FA36" s="2418"/>
      <c r="FB36" s="2418"/>
      <c r="FC36" s="2418"/>
      <c r="FD36" s="2418"/>
      <c r="FE36" s="2418"/>
      <c r="FF36" s="2418"/>
      <c r="FG36" s="2418"/>
      <c r="FH36" s="2419"/>
      <c r="FI36" s="2416"/>
      <c r="FJ36" s="2418"/>
      <c r="FK36" s="2418"/>
      <c r="FL36" s="2418"/>
      <c r="FM36" s="2418"/>
      <c r="FN36" s="2332"/>
      <c r="FO36" s="2333"/>
      <c r="FP36" s="2331"/>
      <c r="FQ36" s="2331"/>
      <c r="FR36" s="2331"/>
      <c r="FS36" s="2331"/>
      <c r="FT36" s="2331"/>
      <c r="FU36" s="2331"/>
      <c r="FV36" s="2331"/>
      <c r="FW36" s="2331"/>
    </row>
    <row r="37" spans="3:179" s="2315" customFormat="1" x14ac:dyDescent="0.35">
      <c r="C37" s="2297" t="s">
        <v>1000</v>
      </c>
      <c r="D37" s="2297"/>
      <c r="E37" s="2297"/>
      <c r="F37" s="2457">
        <v>2.1057000000000001</v>
      </c>
      <c r="G37" s="2426">
        <v>2.165</v>
      </c>
      <c r="H37" s="2426">
        <v>2.2507000000000001</v>
      </c>
      <c r="I37" s="2427">
        <v>2.2642000000000002</v>
      </c>
      <c r="J37" s="2424">
        <v>0.83830000000000005</v>
      </c>
      <c r="K37" s="2426">
        <v>1.0039</v>
      </c>
      <c r="L37" s="2426">
        <v>1.0892999999999999</v>
      </c>
      <c r="M37" s="2426">
        <v>1.1438999999999999</v>
      </c>
      <c r="N37" s="2426">
        <v>1.2069000000000001</v>
      </c>
      <c r="O37" s="2427">
        <v>1.2118</v>
      </c>
      <c r="P37" s="2424">
        <v>1.2533000000000001</v>
      </c>
      <c r="Q37" s="2426"/>
      <c r="R37" s="2427"/>
      <c r="S37" s="2427"/>
      <c r="T37" s="2426"/>
      <c r="U37" s="2426"/>
      <c r="V37" s="2426"/>
      <c r="W37" s="2426"/>
      <c r="X37" s="2427"/>
      <c r="Y37" s="2424"/>
      <c r="Z37" s="2424"/>
      <c r="AA37" s="2424"/>
      <c r="AB37" s="2424"/>
      <c r="AC37" s="2424"/>
      <c r="AD37" s="2424"/>
      <c r="AE37" s="2424"/>
      <c r="AF37" s="2424"/>
      <c r="AG37" s="2424"/>
      <c r="AH37" s="1321"/>
      <c r="AI37" s="2421"/>
      <c r="AJ37" s="2426"/>
      <c r="AK37" s="2426"/>
      <c r="AL37" s="2427"/>
      <c r="AM37" s="2424"/>
      <c r="AN37" s="2426"/>
      <c r="AO37" s="2426"/>
      <c r="AP37" s="2426"/>
      <c r="AQ37" s="2426"/>
      <c r="AR37" s="2426"/>
      <c r="AS37" s="2426"/>
      <c r="AT37" s="2426"/>
      <c r="AU37" s="2427"/>
      <c r="AV37" s="2424"/>
      <c r="AW37" s="2426"/>
      <c r="AX37" s="2426"/>
      <c r="AY37" s="2426"/>
      <c r="AZ37" s="2426"/>
      <c r="BA37" s="2427"/>
      <c r="BB37" s="2424"/>
      <c r="BC37" s="2426"/>
      <c r="BD37" s="2426"/>
      <c r="BE37" s="2426"/>
      <c r="BF37" s="2426"/>
      <c r="BG37" s="2426"/>
      <c r="BH37" s="2426"/>
      <c r="BI37" s="2426"/>
      <c r="BJ37" s="2426"/>
      <c r="BK37" s="1321"/>
      <c r="BL37" s="2458">
        <v>2.1057000000000001</v>
      </c>
      <c r="BM37" s="2458">
        <v>2.165</v>
      </c>
      <c r="BN37" s="2458">
        <v>2.2507000000000001</v>
      </c>
      <c r="BO37" s="2459">
        <v>2.2642000000000002</v>
      </c>
      <c r="BP37" s="2460">
        <v>0.83830000000000005</v>
      </c>
      <c r="BQ37" s="2458">
        <v>1.0039</v>
      </c>
      <c r="BR37" s="2458">
        <v>1.0892999999999999</v>
      </c>
      <c r="BS37" s="2458">
        <v>1.1438999999999999</v>
      </c>
      <c r="BT37" s="2458">
        <v>1.2069000000000001</v>
      </c>
      <c r="BU37" s="2458">
        <v>1.2118</v>
      </c>
      <c r="BV37" s="2458">
        <v>1.2533000000000001</v>
      </c>
      <c r="BW37" s="2458"/>
      <c r="BX37" s="2459"/>
      <c r="BY37" s="2460"/>
      <c r="BZ37" s="2458"/>
      <c r="CA37" s="2458"/>
      <c r="CB37" s="2421"/>
      <c r="CC37" s="2421"/>
      <c r="CD37" s="2422"/>
      <c r="CE37" s="2423"/>
      <c r="CF37" s="2421"/>
      <c r="CG37" s="2421"/>
      <c r="CH37" s="2421"/>
      <c r="CI37" s="2421"/>
      <c r="CJ37" s="2421"/>
      <c r="CK37" s="2421"/>
      <c r="CL37" s="2421"/>
      <c r="CM37" s="2421"/>
      <c r="CN37" s="338"/>
      <c r="CO37" s="2421">
        <f>2160/10000</f>
        <v>0.216</v>
      </c>
      <c r="CP37" s="2421">
        <f>1680/10000</f>
        <v>0.16800000000000001</v>
      </c>
      <c r="CQ37" s="2421">
        <f>1880/10000</f>
        <v>0.188</v>
      </c>
      <c r="CR37" s="2422">
        <f>1780/10000</f>
        <v>0.17799999999999999</v>
      </c>
      <c r="CS37" s="2423">
        <f>1100/10000</f>
        <v>0.11</v>
      </c>
      <c r="CT37" s="2421">
        <f>861/10000</f>
        <v>8.6099999999999996E-2</v>
      </c>
      <c r="CU37" s="2421">
        <f>945/10000</f>
        <v>9.4500000000000001E-2</v>
      </c>
      <c r="CV37" s="2421">
        <f>1040/10000</f>
        <v>0.104</v>
      </c>
      <c r="CW37" s="2421">
        <f>1100/10000</f>
        <v>0.11</v>
      </c>
      <c r="CX37" s="2421">
        <f>1130/10000</f>
        <v>0.113</v>
      </c>
      <c r="CY37" s="2421">
        <f>1170/10000</f>
        <v>0.11700000000000001</v>
      </c>
      <c r="CZ37" s="2421"/>
      <c r="DA37" s="2422"/>
      <c r="DB37" s="2423"/>
      <c r="DC37" s="2421"/>
      <c r="DD37" s="2421"/>
      <c r="DE37" s="2426"/>
      <c r="DF37" s="2426"/>
      <c r="DG37" s="2427"/>
      <c r="DH37" s="2424"/>
      <c r="DI37" s="2426"/>
      <c r="DJ37" s="2426"/>
      <c r="DK37" s="2426"/>
      <c r="DL37" s="2426"/>
      <c r="DM37" s="2426"/>
      <c r="DN37" s="2426"/>
      <c r="DO37" s="2426"/>
      <c r="DP37" s="2426"/>
      <c r="DQ37" s="1321"/>
      <c r="DR37" s="2426"/>
      <c r="DS37" s="2426"/>
      <c r="DT37" s="2426"/>
      <c r="DU37" s="2426"/>
      <c r="DV37" s="2427"/>
      <c r="DW37" s="2424"/>
      <c r="DX37" s="2426"/>
      <c r="DY37" s="2426"/>
      <c r="DZ37" s="2426"/>
      <c r="EA37" s="2426"/>
      <c r="EB37" s="2426"/>
      <c r="EC37" s="2426"/>
      <c r="ED37" s="2426"/>
      <c r="EE37" s="2427"/>
      <c r="EF37" s="2424"/>
      <c r="EG37" s="2426"/>
      <c r="EH37" s="2426"/>
      <c r="EI37" s="2426"/>
      <c r="EJ37" s="2426"/>
      <c r="EK37" s="2427"/>
      <c r="EL37" s="2424"/>
      <c r="EM37" s="2426"/>
      <c r="EN37" s="2426"/>
      <c r="EO37" s="2426"/>
      <c r="EP37" s="2426"/>
      <c r="EQ37" s="2426"/>
      <c r="ER37" s="2426"/>
      <c r="ES37" s="2426"/>
      <c r="ET37" s="2426"/>
      <c r="EU37" s="1321"/>
      <c r="EV37" s="2426"/>
      <c r="EW37" s="2426"/>
      <c r="EX37" s="2426"/>
      <c r="EY37" s="2427"/>
      <c r="EZ37" s="2424"/>
      <c r="FA37" s="2426"/>
      <c r="FB37" s="2426"/>
      <c r="FC37" s="2426"/>
      <c r="FD37" s="2426"/>
      <c r="FE37" s="2426"/>
      <c r="FF37" s="2426"/>
      <c r="FG37" s="2426"/>
      <c r="FH37" s="2427"/>
      <c r="FI37" s="2424"/>
      <c r="FJ37" s="2426"/>
      <c r="FK37" s="2426"/>
      <c r="FL37" s="2426"/>
      <c r="FM37" s="2426"/>
      <c r="FN37" s="2304"/>
      <c r="FO37" s="2305"/>
      <c r="FP37" s="2303"/>
      <c r="FQ37" s="2303"/>
      <c r="FR37" s="2303"/>
      <c r="FS37" s="2303"/>
      <c r="FT37" s="2303"/>
      <c r="FU37" s="2303"/>
      <c r="FV37" s="2303"/>
      <c r="FW37" s="2303"/>
    </row>
    <row r="38" spans="3:179" x14ac:dyDescent="0.35">
      <c r="C38" s="1" t="s">
        <v>117</v>
      </c>
      <c r="F38" s="501">
        <f>'HPS DAILY'!$G$87</f>
        <v>23.742999999999999</v>
      </c>
      <c r="G38" s="249">
        <f>'HPS DAILY'!$G$87</f>
        <v>23.742999999999999</v>
      </c>
      <c r="H38" s="249">
        <f>'HPS DAILY'!$G$87</f>
        <v>23.742999999999999</v>
      </c>
      <c r="I38" s="1242">
        <f>'HPS DAILY'!$G$87</f>
        <v>23.742999999999999</v>
      </c>
      <c r="J38" s="419">
        <f>K38</f>
        <v>25.960999999999999</v>
      </c>
      <c r="K38" s="249">
        <f>'HPS DAILY'!$H$87</f>
        <v>25.960999999999999</v>
      </c>
      <c r="L38" s="249">
        <f>'HPS DAILY'!$H$87</f>
        <v>25.960999999999999</v>
      </c>
      <c r="M38" s="249">
        <f>'HPS DAILY'!$H$87</f>
        <v>25.960999999999999</v>
      </c>
      <c r="N38" s="249">
        <f>'HPS DAILY'!$H$87</f>
        <v>25.960999999999999</v>
      </c>
      <c r="O38" s="1242">
        <f>'HPS DAILY'!$H$87</f>
        <v>25.960999999999999</v>
      </c>
      <c r="P38" s="419">
        <f>'HPS DAILY'!$H$87</f>
        <v>25.960999999999999</v>
      </c>
      <c r="Q38" s="249">
        <f>'HPS DAILY'!$H$87</f>
        <v>25.960999999999999</v>
      </c>
      <c r="R38" s="1242">
        <f>'HPS DAILY'!$H$87</f>
        <v>25.960999999999999</v>
      </c>
      <c r="S38" s="1242">
        <f>'HPS DAILY'!$H$87</f>
        <v>25.960999999999999</v>
      </c>
      <c r="T38" s="249">
        <f>'HPS DAILY'!$I$87</f>
        <v>25.960999999999999</v>
      </c>
      <c r="U38" s="249">
        <f>'HPS DAILY'!$I$87</f>
        <v>25.960999999999999</v>
      </c>
      <c r="V38" s="249">
        <f>'HPS DAILY'!$I$87</f>
        <v>25.960999999999999</v>
      </c>
      <c r="W38" s="249">
        <f>'HPS DAILY'!$I$87</f>
        <v>25.960999999999999</v>
      </c>
      <c r="X38" s="1242">
        <f>'HPS DAILY'!$I$87</f>
        <v>25.960999999999999</v>
      </c>
      <c r="Y38" s="419">
        <f>'HPS DAILY'!$J$87</f>
        <v>25.960999999999999</v>
      </c>
      <c r="Z38" s="419">
        <f>'HPS DAILY'!$J$87</f>
        <v>25.960999999999999</v>
      </c>
      <c r="AA38" s="419">
        <f>'HPS DAILY'!$J$87</f>
        <v>25.960999999999999</v>
      </c>
      <c r="AB38" s="419">
        <f>'HPS DAILY'!$J$87</f>
        <v>25.960999999999999</v>
      </c>
      <c r="AC38" s="419">
        <f>'HPS DAILY'!$J$87</f>
        <v>25.960999999999999</v>
      </c>
      <c r="AD38" s="419">
        <f>'HPS DAILY'!$J$87</f>
        <v>25.960999999999999</v>
      </c>
      <c r="AE38" s="419">
        <f>'HPS DAILY'!$J$87</f>
        <v>25.960999999999999</v>
      </c>
      <c r="AF38" s="419">
        <f>'HPS DAILY'!$J$87</f>
        <v>25.960999999999999</v>
      </c>
      <c r="AG38" s="419">
        <f>'HPS DAILY'!$J$87</f>
        <v>25.960999999999999</v>
      </c>
      <c r="AH38" s="335"/>
      <c r="AI38" s="249">
        <f>ISV!G$86</f>
        <v>0</v>
      </c>
      <c r="AJ38" s="249">
        <f>ISV!H$86</f>
        <v>0</v>
      </c>
      <c r="AK38" s="249">
        <f>ISV!I$86</f>
        <v>0</v>
      </c>
      <c r="AL38" s="1242">
        <f>ISV!J$86</f>
        <v>0</v>
      </c>
      <c r="AM38" s="419">
        <f>ISV!K$86</f>
        <v>0</v>
      </c>
      <c r="AN38" s="249">
        <f>ISV!L$86</f>
        <v>0</v>
      </c>
      <c r="AO38" s="249">
        <f>ISV!M$86</f>
        <v>0</v>
      </c>
      <c r="AP38" s="249">
        <f>ISV!N$86</f>
        <v>0</v>
      </c>
      <c r="AQ38" s="249">
        <f>ISV!O$86</f>
        <v>0</v>
      </c>
      <c r="AR38" s="249">
        <f>ISV!P$86</f>
        <v>0</v>
      </c>
      <c r="AS38" s="249">
        <f>ISV!Q$86</f>
        <v>0</v>
      </c>
      <c r="AT38" s="249">
        <f>ISV!R$86</f>
        <v>0</v>
      </c>
      <c r="AU38" s="1242">
        <f>ISV!S$86</f>
        <v>0</v>
      </c>
      <c r="AV38" s="419">
        <f>ISV!T$86</f>
        <v>0</v>
      </c>
      <c r="AW38" s="249">
        <f>ISV!U$86</f>
        <v>0</v>
      </c>
      <c r="AX38" s="249">
        <f>ISV!V$86</f>
        <v>0</v>
      </c>
      <c r="AY38" s="249">
        <f>ISV!W$86</f>
        <v>0</v>
      </c>
      <c r="AZ38" s="249">
        <f>ISV!X$86</f>
        <v>0</v>
      </c>
      <c r="BA38" s="1242">
        <f>ISV!Y$86</f>
        <v>0</v>
      </c>
      <c r="BB38" s="419">
        <f>ISV!Z$86</f>
        <v>0</v>
      </c>
      <c r="BC38" s="249">
        <f>ISV!AA$86</f>
        <v>0</v>
      </c>
      <c r="BD38" s="249">
        <f>ISV!AB$86</f>
        <v>0</v>
      </c>
      <c r="BE38" s="249">
        <f>ISV!AC$86</f>
        <v>0</v>
      </c>
      <c r="BF38" s="249">
        <f>ISV!AD$86</f>
        <v>0</v>
      </c>
      <c r="BG38" s="249">
        <f>ISV!AE$86</f>
        <v>0</v>
      </c>
      <c r="BH38" s="249">
        <f>ISV!AF$86</f>
        <v>0</v>
      </c>
      <c r="BI38" s="249">
        <f>ISV!AG$86</f>
        <v>0</v>
      </c>
      <c r="BJ38" s="249">
        <f>ISV!AH$86</f>
        <v>0</v>
      </c>
      <c r="BK38" s="335"/>
      <c r="BL38" s="249" cm="1">
        <f t="array" ref="BL38:CB38">'HPS DAILY'!K87:AA87</f>
        <v>9.218</v>
      </c>
      <c r="BM38" s="249">
        <v>9.4525000000000006</v>
      </c>
      <c r="BN38" s="249">
        <v>10.423999999999999</v>
      </c>
      <c r="BO38" s="1242">
        <v>10.622</v>
      </c>
      <c r="BP38" s="419">
        <v>3.91</v>
      </c>
      <c r="BQ38" s="249">
        <v>4.22</v>
      </c>
      <c r="BR38" s="249">
        <v>4.9400000000000004</v>
      </c>
      <c r="BS38" s="249">
        <v>5.12</v>
      </c>
      <c r="BT38" s="249">
        <v>5.68</v>
      </c>
      <c r="BU38" s="249">
        <v>5.71</v>
      </c>
      <c r="BV38" s="249">
        <v>5.96</v>
      </c>
      <c r="BW38" s="249">
        <v>5.83</v>
      </c>
      <c r="BX38" s="1242">
        <v>6.07</v>
      </c>
      <c r="BY38" s="419">
        <v>0</v>
      </c>
      <c r="BZ38" s="249">
        <v>0</v>
      </c>
      <c r="CA38" s="249">
        <v>0</v>
      </c>
      <c r="CB38" s="249">
        <v>0</v>
      </c>
      <c r="CC38" s="249"/>
      <c r="CD38" s="1242"/>
      <c r="CE38" s="419"/>
      <c r="CF38" s="249"/>
      <c r="CG38" s="249"/>
      <c r="CH38" s="249"/>
      <c r="CI38" s="249"/>
      <c r="CJ38" s="249"/>
      <c r="CK38" s="249"/>
      <c r="CL38" s="249"/>
      <c r="CM38" s="249"/>
      <c r="CN38" s="335"/>
      <c r="CO38" s="243"/>
      <c r="CP38" s="243"/>
      <c r="CQ38" s="243"/>
      <c r="CR38" s="1282"/>
      <c r="CS38" s="1225"/>
      <c r="CT38" s="243"/>
      <c r="CU38" s="243"/>
      <c r="CV38" s="243"/>
      <c r="CW38" s="243"/>
      <c r="CX38" s="243"/>
      <c r="CY38" s="243"/>
      <c r="CZ38" s="249"/>
      <c r="DA38" s="1242"/>
      <c r="DB38" s="1212"/>
      <c r="DC38" s="251"/>
      <c r="DD38" s="251"/>
      <c r="DE38" s="273"/>
      <c r="DF38" s="273"/>
      <c r="DG38" s="1323"/>
      <c r="DH38" s="1324"/>
      <c r="DI38" s="273"/>
      <c r="DJ38" s="273"/>
      <c r="DK38" s="273"/>
      <c r="DL38" s="273"/>
      <c r="DM38" s="273"/>
      <c r="DN38" s="273"/>
      <c r="DO38" s="273"/>
      <c r="DP38" s="273"/>
      <c r="DQ38" s="1321"/>
      <c r="DR38" s="273"/>
      <c r="DS38" s="273"/>
      <c r="DT38" s="273"/>
      <c r="DU38" s="273"/>
      <c r="DV38" s="1323"/>
      <c r="DW38" s="1324"/>
      <c r="DX38" s="273"/>
      <c r="DY38" s="273"/>
      <c r="DZ38" s="273"/>
      <c r="EA38" s="273"/>
      <c r="EB38" s="273"/>
      <c r="EC38" s="273"/>
      <c r="ED38" s="273"/>
      <c r="EE38" s="1323"/>
      <c r="EF38" s="1324"/>
      <c r="EG38" s="273"/>
      <c r="EH38" s="273"/>
      <c r="EI38" s="273"/>
      <c r="EJ38" s="273"/>
      <c r="EK38" s="1323"/>
      <c r="EL38" s="1324"/>
      <c r="EM38" s="273"/>
      <c r="EN38" s="273"/>
      <c r="EO38" s="273"/>
      <c r="EP38" s="273"/>
      <c r="EQ38" s="273"/>
      <c r="ER38" s="273"/>
      <c r="ES38" s="273"/>
      <c r="ET38" s="273"/>
      <c r="EU38" s="1321"/>
      <c r="EV38" s="273"/>
      <c r="EW38" s="273"/>
      <c r="EX38" s="273"/>
      <c r="EY38" s="1323"/>
      <c r="EZ38" s="1324"/>
      <c r="FA38" s="273"/>
      <c r="FB38" s="273"/>
      <c r="FC38" s="273"/>
      <c r="FD38" s="273"/>
      <c r="FE38" s="273"/>
      <c r="FF38" s="273"/>
      <c r="FG38" s="273"/>
      <c r="FH38" s="1323"/>
      <c r="FI38" s="1324"/>
      <c r="FJ38" s="273"/>
      <c r="FK38" s="273"/>
      <c r="FL38" s="273"/>
      <c r="FM38" s="273"/>
    </row>
    <row r="39" spans="3:179" x14ac:dyDescent="0.35">
      <c r="C39" s="444" t="s">
        <v>983</v>
      </c>
      <c r="F39" s="501"/>
      <c r="G39" s="249"/>
      <c r="H39" s="249"/>
      <c r="I39" s="1242"/>
      <c r="J39" s="419">
        <v>34.97</v>
      </c>
      <c r="K39" s="249">
        <v>34.97</v>
      </c>
      <c r="L39" s="249">
        <v>34.97</v>
      </c>
      <c r="M39" s="249">
        <v>34.97</v>
      </c>
      <c r="N39" s="249">
        <v>34.97</v>
      </c>
      <c r="O39" s="1242">
        <v>34.97</v>
      </c>
      <c r="P39" s="419">
        <v>34.97</v>
      </c>
      <c r="Q39" s="249">
        <v>34.97</v>
      </c>
      <c r="R39" s="1242">
        <v>34.97</v>
      </c>
      <c r="S39" s="1242">
        <v>34.97</v>
      </c>
      <c r="T39" s="249"/>
      <c r="U39" s="249"/>
      <c r="V39" s="249"/>
      <c r="W39" s="249"/>
      <c r="X39" s="1242"/>
      <c r="Y39" s="419"/>
      <c r="Z39" s="249"/>
      <c r="AA39" s="249"/>
      <c r="AB39" s="249"/>
      <c r="AC39" s="249"/>
      <c r="AD39" s="249"/>
      <c r="AE39" s="249"/>
      <c r="AF39" s="249"/>
      <c r="AG39" s="249"/>
      <c r="AH39" s="335"/>
      <c r="AI39" s="249"/>
      <c r="AJ39" s="249"/>
      <c r="AK39" s="249"/>
      <c r="AL39" s="1242"/>
      <c r="AM39" s="419"/>
      <c r="AN39" s="249"/>
      <c r="AO39" s="249"/>
      <c r="AP39" s="249"/>
      <c r="AQ39" s="249"/>
      <c r="AR39" s="249"/>
      <c r="AS39" s="249"/>
      <c r="AT39" s="249"/>
      <c r="AU39" s="1242"/>
      <c r="AV39" s="419"/>
      <c r="AW39" s="249"/>
      <c r="AX39" s="249"/>
      <c r="AY39" s="249"/>
      <c r="AZ39" s="249"/>
      <c r="BA39" s="1242"/>
      <c r="BB39" s="419"/>
      <c r="BC39" s="249"/>
      <c r="BD39" s="249"/>
      <c r="BE39" s="249"/>
      <c r="BF39" s="249"/>
      <c r="BG39" s="249"/>
      <c r="BH39" s="249"/>
      <c r="BI39" s="249"/>
      <c r="BJ39" s="249"/>
      <c r="BK39" s="335"/>
      <c r="BL39" s="249"/>
      <c r="BM39" s="249"/>
      <c r="BN39" s="249"/>
      <c r="BO39" s="1242"/>
      <c r="BP39" s="419"/>
      <c r="BQ39" s="249"/>
      <c r="BR39" s="249"/>
      <c r="BS39" s="249"/>
      <c r="BT39" s="249"/>
      <c r="BU39" s="249"/>
      <c r="BV39" s="249"/>
      <c r="BW39" s="249"/>
      <c r="BX39" s="1242"/>
      <c r="BY39" s="419"/>
      <c r="BZ39" s="249"/>
      <c r="CA39" s="249"/>
      <c r="CB39" s="249"/>
      <c r="CC39" s="249"/>
      <c r="CD39" s="1242"/>
      <c r="CE39" s="419"/>
      <c r="CF39" s="249"/>
      <c r="CG39" s="249"/>
      <c r="CH39" s="249"/>
      <c r="CI39" s="249"/>
      <c r="CJ39" s="249"/>
      <c r="CK39" s="249"/>
      <c r="CL39" s="249"/>
      <c r="CM39" s="249"/>
      <c r="CN39" s="335"/>
      <c r="CO39" s="249"/>
      <c r="CP39" s="249"/>
      <c r="CQ39" s="249"/>
      <c r="CR39" s="1242"/>
      <c r="CS39" s="419"/>
      <c r="CT39" s="249"/>
      <c r="CU39" s="249"/>
      <c r="CV39" s="249"/>
      <c r="CW39" s="249"/>
      <c r="CX39" s="249"/>
      <c r="CY39" s="249"/>
      <c r="CZ39" s="249"/>
      <c r="DA39" s="1242"/>
      <c r="DB39" s="1212"/>
      <c r="DC39" s="251"/>
      <c r="DD39" s="251"/>
      <c r="DE39" s="273"/>
      <c r="DF39" s="273"/>
      <c r="DG39" s="1323"/>
      <c r="DH39" s="1324"/>
      <c r="DI39" s="273"/>
      <c r="DJ39" s="273"/>
      <c r="DK39" s="273"/>
      <c r="DL39" s="273"/>
      <c r="DM39" s="273"/>
      <c r="DN39" s="273"/>
      <c r="DO39" s="273"/>
      <c r="DP39" s="273"/>
      <c r="DQ39" s="1321"/>
      <c r="DR39" s="273"/>
      <c r="DS39" s="273"/>
      <c r="DT39" s="273"/>
      <c r="DU39" s="273"/>
      <c r="DV39" s="1323"/>
      <c r="DW39" s="1324"/>
      <c r="DX39" s="273"/>
      <c r="DY39" s="273"/>
      <c r="DZ39" s="273"/>
      <c r="EA39" s="273"/>
      <c r="EB39" s="273"/>
      <c r="EC39" s="273"/>
      <c r="ED39" s="273"/>
      <c r="EE39" s="1323"/>
      <c r="EF39" s="1324"/>
      <c r="EG39" s="273"/>
      <c r="EH39" s="273"/>
      <c r="EI39" s="273"/>
      <c r="EJ39" s="273"/>
      <c r="EK39" s="1323"/>
      <c r="EL39" s="1324"/>
      <c r="EM39" s="273"/>
      <c r="EN39" s="273"/>
      <c r="EO39" s="273"/>
      <c r="EP39" s="273"/>
      <c r="EQ39" s="273"/>
      <c r="ER39" s="273"/>
      <c r="ES39" s="273"/>
      <c r="ET39" s="273"/>
      <c r="EU39" s="1321"/>
      <c r="EV39" s="273"/>
      <c r="EW39" s="273"/>
      <c r="EX39" s="273"/>
      <c r="EY39" s="1323"/>
      <c r="EZ39" s="1324"/>
      <c r="FA39" s="273"/>
      <c r="FB39" s="273"/>
      <c r="FC39" s="273"/>
      <c r="FD39" s="273"/>
      <c r="FE39" s="273"/>
      <c r="FF39" s="273"/>
      <c r="FG39" s="273"/>
      <c r="FH39" s="1323"/>
      <c r="FI39" s="1324"/>
      <c r="FJ39" s="273"/>
      <c r="FK39" s="273"/>
      <c r="FL39" s="273"/>
      <c r="FM39" s="273"/>
    </row>
    <row r="40" spans="3:179" s="2325" customFormat="1" x14ac:dyDescent="0.35">
      <c r="C40" s="2326" t="s">
        <v>986</v>
      </c>
      <c r="D40" s="2326"/>
      <c r="E40" s="2326"/>
      <c r="F40" s="2376"/>
      <c r="G40" s="2377"/>
      <c r="H40" s="2377"/>
      <c r="I40" s="2378"/>
      <c r="J40" s="2379"/>
      <c r="K40" s="2377"/>
      <c r="L40" s="2377"/>
      <c r="M40" s="2377"/>
      <c r="N40" s="2377"/>
      <c r="O40" s="2378"/>
      <c r="P40" s="2379"/>
      <c r="Q40" s="2377"/>
      <c r="R40" s="2378"/>
      <c r="S40" s="2378"/>
      <c r="T40" s="2377"/>
      <c r="U40" s="2377"/>
      <c r="V40" s="2377"/>
      <c r="W40" s="2377"/>
      <c r="X40" s="2378"/>
      <c r="Y40" s="2379"/>
      <c r="Z40" s="2379"/>
      <c r="AA40" s="2379"/>
      <c r="AB40" s="2379"/>
      <c r="AC40" s="2379"/>
      <c r="AD40" s="2379"/>
      <c r="AE40" s="2379"/>
      <c r="AF40" s="2379"/>
      <c r="AG40" s="2379"/>
      <c r="AH40" s="335"/>
      <c r="AI40" s="2377"/>
      <c r="AJ40" s="2377"/>
      <c r="AK40" s="2377"/>
      <c r="AL40" s="2378"/>
      <c r="AM40" s="2379"/>
      <c r="AN40" s="2377"/>
      <c r="AO40" s="2377"/>
      <c r="AP40" s="2377"/>
      <c r="AQ40" s="2377"/>
      <c r="AR40" s="2377"/>
      <c r="AS40" s="2377"/>
      <c r="AT40" s="2377"/>
      <c r="AU40" s="2378"/>
      <c r="AV40" s="2379"/>
      <c r="AW40" s="2377"/>
      <c r="AX40" s="2377"/>
      <c r="AY40" s="2377"/>
      <c r="AZ40" s="2377"/>
      <c r="BA40" s="2378"/>
      <c r="BB40" s="2379"/>
      <c r="BC40" s="2377"/>
      <c r="BD40" s="2377"/>
      <c r="BE40" s="2377"/>
      <c r="BF40" s="2377"/>
      <c r="BG40" s="2377"/>
      <c r="BH40" s="2377"/>
      <c r="BI40" s="2377"/>
      <c r="BJ40" s="2377"/>
      <c r="BK40" s="335"/>
      <c r="BL40" s="2377"/>
      <c r="BM40" s="2377"/>
      <c r="BN40" s="2377"/>
      <c r="BO40" s="2378"/>
      <c r="BP40" s="2379"/>
      <c r="BQ40" s="2377"/>
      <c r="BR40" s="2377"/>
      <c r="BS40" s="2377"/>
      <c r="BT40" s="2377"/>
      <c r="BU40" s="2377"/>
      <c r="BV40" s="2377"/>
      <c r="BW40" s="2377"/>
      <c r="BX40" s="2378"/>
      <c r="BY40" s="2379"/>
      <c r="BZ40" s="2377"/>
      <c r="CA40" s="2377"/>
      <c r="CB40" s="2377"/>
      <c r="CC40" s="2377"/>
      <c r="CD40" s="2378"/>
      <c r="CE40" s="2379"/>
      <c r="CF40" s="2377"/>
      <c r="CG40" s="2377"/>
      <c r="CH40" s="2377"/>
      <c r="CI40" s="2377"/>
      <c r="CJ40" s="2377"/>
      <c r="CK40" s="2377"/>
      <c r="CL40" s="2377"/>
      <c r="CM40" s="2377"/>
      <c r="CN40" s="335"/>
      <c r="CO40" s="2377"/>
      <c r="CP40" s="2377"/>
      <c r="CQ40" s="2377"/>
      <c r="CR40" s="2378"/>
      <c r="CS40" s="2379"/>
      <c r="CT40" s="2377"/>
      <c r="CU40" s="2377"/>
      <c r="CV40" s="2377"/>
      <c r="CW40" s="2377"/>
      <c r="CX40" s="2377"/>
      <c r="CY40" s="2377"/>
      <c r="CZ40" s="2377"/>
      <c r="DA40" s="2378"/>
      <c r="DB40" s="2415"/>
      <c r="DC40" s="2413"/>
      <c r="DD40" s="2413"/>
      <c r="DE40" s="2418"/>
      <c r="DF40" s="2418"/>
      <c r="DG40" s="2419"/>
      <c r="DH40" s="2416"/>
      <c r="DI40" s="2418"/>
      <c r="DJ40" s="2418"/>
      <c r="DK40" s="2418"/>
      <c r="DL40" s="2418"/>
      <c r="DM40" s="2418"/>
      <c r="DN40" s="2418"/>
      <c r="DO40" s="2418"/>
      <c r="DP40" s="2418"/>
      <c r="DQ40" s="1321"/>
      <c r="DR40" s="2418"/>
      <c r="DS40" s="2418"/>
      <c r="DT40" s="2418"/>
      <c r="DU40" s="2418"/>
      <c r="DV40" s="2419"/>
      <c r="DW40" s="2416"/>
      <c r="DX40" s="2418"/>
      <c r="DY40" s="2418"/>
      <c r="DZ40" s="2418"/>
      <c r="EA40" s="2418"/>
      <c r="EB40" s="2418"/>
      <c r="EC40" s="2418"/>
      <c r="ED40" s="2418"/>
      <c r="EE40" s="2419"/>
      <c r="EF40" s="2416"/>
      <c r="EG40" s="2418"/>
      <c r="EH40" s="2418"/>
      <c r="EI40" s="2418"/>
      <c r="EJ40" s="2418"/>
      <c r="EK40" s="2419"/>
      <c r="EL40" s="2416"/>
      <c r="EM40" s="2418"/>
      <c r="EN40" s="2418"/>
      <c r="EO40" s="2418"/>
      <c r="EP40" s="2418"/>
      <c r="EQ40" s="2418"/>
      <c r="ER40" s="2418"/>
      <c r="ES40" s="2418"/>
      <c r="ET40" s="2418"/>
      <c r="EU40" s="1321"/>
      <c r="EV40" s="2418"/>
      <c r="EW40" s="2418"/>
      <c r="EX40" s="2418"/>
      <c r="EY40" s="2419"/>
      <c r="EZ40" s="2416"/>
      <c r="FA40" s="2418"/>
      <c r="FB40" s="2418"/>
      <c r="FC40" s="2418"/>
      <c r="FD40" s="2418"/>
      <c r="FE40" s="2418"/>
      <c r="FF40" s="2418"/>
      <c r="FG40" s="2418"/>
      <c r="FH40" s="2419"/>
      <c r="FI40" s="2416"/>
      <c r="FJ40" s="2418"/>
      <c r="FK40" s="2418"/>
      <c r="FL40" s="2418"/>
      <c r="FM40" s="2418"/>
      <c r="FN40" s="2332"/>
      <c r="FO40" s="2333"/>
      <c r="FP40" s="2331"/>
      <c r="FQ40" s="2331"/>
      <c r="FR40" s="2331"/>
      <c r="FS40" s="2331"/>
      <c r="FT40" s="2331"/>
      <c r="FU40" s="2331"/>
      <c r="FV40" s="2331"/>
      <c r="FW40" s="2331"/>
    </row>
    <row r="41" spans="3:179" s="2315" customFormat="1" x14ac:dyDescent="0.35">
      <c r="C41" s="2297" t="s">
        <v>987</v>
      </c>
      <c r="D41" s="2297"/>
      <c r="E41" s="2297"/>
      <c r="F41" s="2343"/>
      <c r="G41" s="2344"/>
      <c r="H41" s="2344"/>
      <c r="I41" s="2345"/>
      <c r="J41" s="2346"/>
      <c r="K41" s="2344"/>
      <c r="L41" s="2344"/>
      <c r="M41" s="2344"/>
      <c r="N41" s="2344"/>
      <c r="O41" s="2345"/>
      <c r="P41" s="2346"/>
      <c r="Q41" s="2344"/>
      <c r="R41" s="2345"/>
      <c r="S41" s="2345"/>
      <c r="T41" s="2344"/>
      <c r="U41" s="2344"/>
      <c r="V41" s="2344"/>
      <c r="W41" s="2344"/>
      <c r="X41" s="2345"/>
      <c r="Y41" s="2346"/>
      <c r="Z41" s="2346"/>
      <c r="AA41" s="2346"/>
      <c r="AB41" s="2346"/>
      <c r="AC41" s="2346"/>
      <c r="AD41" s="2346"/>
      <c r="AE41" s="2346"/>
      <c r="AF41" s="2346"/>
      <c r="AG41" s="2346"/>
      <c r="AH41" s="335"/>
      <c r="AI41" s="2344"/>
      <c r="AJ41" s="2344"/>
      <c r="AK41" s="2344"/>
      <c r="AL41" s="2345"/>
      <c r="AM41" s="2346"/>
      <c r="AN41" s="2344"/>
      <c r="AO41" s="2344"/>
      <c r="AP41" s="2344"/>
      <c r="AQ41" s="2344"/>
      <c r="AR41" s="2344"/>
      <c r="AS41" s="2344"/>
      <c r="AT41" s="2344"/>
      <c r="AU41" s="2345"/>
      <c r="AV41" s="2346"/>
      <c r="AW41" s="2344"/>
      <c r="AX41" s="2344"/>
      <c r="AY41" s="2344"/>
      <c r="AZ41" s="2344"/>
      <c r="BA41" s="2345"/>
      <c r="BB41" s="2346"/>
      <c r="BC41" s="2344"/>
      <c r="BD41" s="2344"/>
      <c r="BE41" s="2344"/>
      <c r="BF41" s="2344"/>
      <c r="BG41" s="2344"/>
      <c r="BH41" s="2344"/>
      <c r="BI41" s="2344"/>
      <c r="BJ41" s="2344"/>
      <c r="BK41" s="335"/>
      <c r="BL41" s="2344"/>
      <c r="BM41" s="2344"/>
      <c r="BN41" s="2344"/>
      <c r="BO41" s="2345"/>
      <c r="BP41" s="2346"/>
      <c r="BQ41" s="2344"/>
      <c r="BR41" s="2344"/>
      <c r="BS41" s="2344"/>
      <c r="BT41" s="2344"/>
      <c r="BU41" s="2344"/>
      <c r="BV41" s="2344"/>
      <c r="BW41" s="2344"/>
      <c r="BX41" s="2345"/>
      <c r="BY41" s="2346"/>
      <c r="BZ41" s="2344"/>
      <c r="CA41" s="2344"/>
      <c r="CB41" s="2344"/>
      <c r="CC41" s="2344"/>
      <c r="CD41" s="2345"/>
      <c r="CE41" s="2346"/>
      <c r="CF41" s="2344"/>
      <c r="CG41" s="2344"/>
      <c r="CH41" s="2344"/>
      <c r="CI41" s="2344"/>
      <c r="CJ41" s="2344"/>
      <c r="CK41" s="2344"/>
      <c r="CL41" s="2344"/>
      <c r="CM41" s="2344"/>
      <c r="CN41" s="335"/>
      <c r="CO41" s="2344"/>
      <c r="CP41" s="2344"/>
      <c r="CQ41" s="2344"/>
      <c r="CR41" s="2345"/>
      <c r="CS41" s="2346"/>
      <c r="CT41" s="2344"/>
      <c r="CU41" s="2344"/>
      <c r="CV41" s="2344"/>
      <c r="CW41" s="2344"/>
      <c r="CX41" s="2344"/>
      <c r="CY41" s="2344"/>
      <c r="CZ41" s="2344"/>
      <c r="DA41" s="2345"/>
      <c r="DB41" s="2423"/>
      <c r="DC41" s="2421"/>
      <c r="DD41" s="2421"/>
      <c r="DE41" s="2426"/>
      <c r="DF41" s="2426"/>
      <c r="DG41" s="2427"/>
      <c r="DH41" s="2424"/>
      <c r="DI41" s="2426"/>
      <c r="DJ41" s="2426"/>
      <c r="DK41" s="2426"/>
      <c r="DL41" s="2426"/>
      <c r="DM41" s="2426"/>
      <c r="DN41" s="2426"/>
      <c r="DO41" s="2426"/>
      <c r="DP41" s="2426"/>
      <c r="DQ41" s="1321"/>
      <c r="DR41" s="2426"/>
      <c r="DS41" s="2426"/>
      <c r="DT41" s="2426"/>
      <c r="DU41" s="2426"/>
      <c r="DV41" s="2427"/>
      <c r="DW41" s="2424"/>
      <c r="DX41" s="2426"/>
      <c r="DY41" s="2426"/>
      <c r="DZ41" s="2426"/>
      <c r="EA41" s="2426"/>
      <c r="EB41" s="2426"/>
      <c r="EC41" s="2426"/>
      <c r="ED41" s="2426"/>
      <c r="EE41" s="2427"/>
      <c r="EF41" s="2424"/>
      <c r="EG41" s="2426"/>
      <c r="EH41" s="2426"/>
      <c r="EI41" s="2426"/>
      <c r="EJ41" s="2426"/>
      <c r="EK41" s="2427"/>
      <c r="EL41" s="2424"/>
      <c r="EM41" s="2426"/>
      <c r="EN41" s="2426"/>
      <c r="EO41" s="2426"/>
      <c r="EP41" s="2426"/>
      <c r="EQ41" s="2426"/>
      <c r="ER41" s="2426"/>
      <c r="ES41" s="2426"/>
      <c r="ET41" s="2426"/>
      <c r="EU41" s="1321"/>
      <c r="EV41" s="2426"/>
      <c r="EW41" s="2426"/>
      <c r="EX41" s="2426"/>
      <c r="EY41" s="2427"/>
      <c r="EZ41" s="2424"/>
      <c r="FA41" s="2426"/>
      <c r="FB41" s="2426"/>
      <c r="FC41" s="2426"/>
      <c r="FD41" s="2426"/>
      <c r="FE41" s="2426"/>
      <c r="FF41" s="2426"/>
      <c r="FG41" s="2426"/>
      <c r="FH41" s="2427"/>
      <c r="FI41" s="2424"/>
      <c r="FJ41" s="2426"/>
      <c r="FK41" s="2426"/>
      <c r="FL41" s="2426"/>
      <c r="FM41" s="2426"/>
      <c r="FN41" s="2304"/>
      <c r="FO41" s="2305"/>
      <c r="FP41" s="2303"/>
      <c r="FQ41" s="2303"/>
      <c r="FR41" s="2303"/>
      <c r="FS41" s="2303"/>
      <c r="FT41" s="2303"/>
      <c r="FU41" s="2303"/>
      <c r="FV41" s="2303"/>
      <c r="FW41" s="2303"/>
    </row>
    <row r="42" spans="3:179" x14ac:dyDescent="0.35">
      <c r="C42" s="1" t="s">
        <v>118</v>
      </c>
      <c r="F42" s="501">
        <f>'HPS DAILY'!$G$88</f>
        <v>13.27</v>
      </c>
      <c r="G42" s="249">
        <f>'HPS DAILY'!$G$88</f>
        <v>13.27</v>
      </c>
      <c r="H42" s="249">
        <f>'HPS DAILY'!$G$88</f>
        <v>13.27</v>
      </c>
      <c r="I42" s="1242">
        <f>'HPS DAILY'!$G$88</f>
        <v>13.27</v>
      </c>
      <c r="J42" s="419">
        <f>'HPS DAILY'!$H$88</f>
        <v>12.763999999999999</v>
      </c>
      <c r="K42" s="249">
        <f>'HPS DAILY'!$H$88</f>
        <v>12.763999999999999</v>
      </c>
      <c r="L42" s="249">
        <f>'HPS DAILY'!$H$88</f>
        <v>12.763999999999999</v>
      </c>
      <c r="M42" s="249">
        <f>'HPS DAILY'!$H$88</f>
        <v>12.763999999999999</v>
      </c>
      <c r="N42" s="249">
        <f>'HPS DAILY'!$H$88</f>
        <v>12.763999999999999</v>
      </c>
      <c r="O42" s="1242">
        <f>'HPS DAILY'!$H$88</f>
        <v>12.763999999999999</v>
      </c>
      <c r="P42" s="419">
        <f>'HPS DAILY'!$H$88</f>
        <v>12.763999999999999</v>
      </c>
      <c r="Q42" s="249">
        <f>'HPS DAILY'!$H$88</f>
        <v>12.763999999999999</v>
      </c>
      <c r="R42" s="1242">
        <f>'HPS DAILY'!$H$88</f>
        <v>12.763999999999999</v>
      </c>
      <c r="S42" s="1242">
        <f>'HPS DAILY'!$H$88</f>
        <v>12.763999999999999</v>
      </c>
      <c r="T42" s="249">
        <f>'HPS DAILY'!$I$88</f>
        <v>12.763999999999999</v>
      </c>
      <c r="U42" s="249">
        <f>'HPS DAILY'!$I$88</f>
        <v>12.763999999999999</v>
      </c>
      <c r="V42" s="249">
        <f>'HPS DAILY'!$I$88</f>
        <v>12.763999999999999</v>
      </c>
      <c r="W42" s="249">
        <f>'HPS DAILY'!$I$88</f>
        <v>12.763999999999999</v>
      </c>
      <c r="X42" s="1242">
        <f>'HPS DAILY'!$I$88</f>
        <v>12.763999999999999</v>
      </c>
      <c r="Y42" s="419">
        <f>'HPS DAILY'!$J$88</f>
        <v>12.763999999999999</v>
      </c>
      <c r="Z42" s="419">
        <f>'HPS DAILY'!$J$88</f>
        <v>12.763999999999999</v>
      </c>
      <c r="AA42" s="419">
        <f>'HPS DAILY'!$J$88</f>
        <v>12.763999999999999</v>
      </c>
      <c r="AB42" s="419">
        <f>'HPS DAILY'!$J$88</f>
        <v>12.763999999999999</v>
      </c>
      <c r="AC42" s="419">
        <f>'HPS DAILY'!$J$88</f>
        <v>12.763999999999999</v>
      </c>
      <c r="AD42" s="419">
        <f>'HPS DAILY'!$J$88</f>
        <v>12.763999999999999</v>
      </c>
      <c r="AE42" s="419">
        <f>'HPS DAILY'!$J$88</f>
        <v>12.763999999999999</v>
      </c>
      <c r="AF42" s="419">
        <f>'HPS DAILY'!$J$88</f>
        <v>12.763999999999999</v>
      </c>
      <c r="AG42" s="419">
        <f>'HPS DAILY'!$J$88</f>
        <v>12.763999999999999</v>
      </c>
      <c r="AH42" s="335"/>
      <c r="AI42" s="249">
        <f>ISV!G$87</f>
        <v>0</v>
      </c>
      <c r="AJ42" s="249">
        <f>ISV!H$87</f>
        <v>0</v>
      </c>
      <c r="AK42" s="249">
        <f>ISV!I$87</f>
        <v>0</v>
      </c>
      <c r="AL42" s="1242">
        <f>ISV!J$87</f>
        <v>0</v>
      </c>
      <c r="AM42" s="419">
        <f>ISV!K$87</f>
        <v>0</v>
      </c>
      <c r="AN42" s="249">
        <f>ISV!L$87</f>
        <v>0</v>
      </c>
      <c r="AO42" s="249">
        <f>ISV!M$87</f>
        <v>0</v>
      </c>
      <c r="AP42" s="249">
        <f>ISV!N$87</f>
        <v>0</v>
      </c>
      <c r="AQ42" s="249">
        <f>ISV!O$87</f>
        <v>0</v>
      </c>
      <c r="AR42" s="249">
        <f>ISV!P$87</f>
        <v>0</v>
      </c>
      <c r="AS42" s="249">
        <f>ISV!Q$87</f>
        <v>0</v>
      </c>
      <c r="AT42" s="249">
        <f>ISV!R$87</f>
        <v>0</v>
      </c>
      <c r="AU42" s="1242">
        <f>ISV!S$87</f>
        <v>0</v>
      </c>
      <c r="AV42" s="419">
        <f>ISV!T$87</f>
        <v>0</v>
      </c>
      <c r="AW42" s="249">
        <f>ISV!U$87</f>
        <v>0</v>
      </c>
      <c r="AX42" s="249">
        <f>ISV!V$87</f>
        <v>0</v>
      </c>
      <c r="AY42" s="249">
        <f>ISV!W$87</f>
        <v>0</v>
      </c>
      <c r="AZ42" s="249">
        <f>ISV!X$87</f>
        <v>0</v>
      </c>
      <c r="BA42" s="1242">
        <f>ISV!Y$87</f>
        <v>0</v>
      </c>
      <c r="BB42" s="419">
        <f>ISV!Z$87</f>
        <v>0</v>
      </c>
      <c r="BC42" s="249">
        <f>ISV!AA$87</f>
        <v>0</v>
      </c>
      <c r="BD42" s="249">
        <f>ISV!AB$87</f>
        <v>0</v>
      </c>
      <c r="BE42" s="249">
        <f>ISV!AC$87</f>
        <v>0</v>
      </c>
      <c r="BF42" s="249">
        <f>ISV!AD$87</f>
        <v>0</v>
      </c>
      <c r="BG42" s="249">
        <f>ISV!AE$87</f>
        <v>0</v>
      </c>
      <c r="BH42" s="249">
        <f>ISV!AF$87</f>
        <v>0</v>
      </c>
      <c r="BI42" s="249">
        <f>ISV!AG$87</f>
        <v>0</v>
      </c>
      <c r="BJ42" s="249">
        <f>ISV!AH$87</f>
        <v>0</v>
      </c>
      <c r="BK42" s="335"/>
      <c r="BL42" s="249" cm="1">
        <f t="array" ref="BL42:CB42">'HPS DAILY'!K88:AA88</f>
        <v>3.782</v>
      </c>
      <c r="BM42" s="249">
        <v>4.1639999999999997</v>
      </c>
      <c r="BN42" s="249">
        <v>5.43</v>
      </c>
      <c r="BO42" s="1242">
        <v>5.3719999999999999</v>
      </c>
      <c r="BP42" s="419">
        <v>1.3260000000000001</v>
      </c>
      <c r="BQ42" s="249">
        <v>1.46</v>
      </c>
      <c r="BR42" s="249">
        <v>1.46</v>
      </c>
      <c r="BS42" s="249">
        <v>2.34</v>
      </c>
      <c r="BT42" s="249">
        <v>2.9</v>
      </c>
      <c r="BU42" s="249">
        <v>2.41</v>
      </c>
      <c r="BV42" s="249">
        <v>2.94</v>
      </c>
      <c r="BW42" s="249">
        <v>2.91</v>
      </c>
      <c r="BX42" s="1242">
        <v>2.52</v>
      </c>
      <c r="BY42" s="419">
        <v>0</v>
      </c>
      <c r="BZ42" s="249">
        <v>0</v>
      </c>
      <c r="CA42" s="249">
        <v>0</v>
      </c>
      <c r="CB42" s="249">
        <v>0</v>
      </c>
      <c r="CC42" s="249"/>
      <c r="CD42" s="249"/>
      <c r="CE42" s="249"/>
      <c r="CF42" s="249"/>
      <c r="CG42" s="249"/>
      <c r="CH42" s="249"/>
      <c r="CI42" s="249"/>
      <c r="CJ42" s="249"/>
      <c r="CK42" s="249"/>
      <c r="CL42" s="249"/>
      <c r="CM42" s="249"/>
      <c r="CN42" s="335"/>
      <c r="CO42" s="249"/>
      <c r="CP42" s="249"/>
      <c r="CQ42" s="249"/>
      <c r="CR42" s="1242"/>
      <c r="CS42" s="419"/>
      <c r="CT42" s="249"/>
      <c r="CU42" s="249"/>
      <c r="CV42" s="249"/>
      <c r="CW42" s="249"/>
      <c r="CX42" s="249"/>
      <c r="CY42" s="249"/>
      <c r="CZ42" s="249"/>
      <c r="DA42" s="1242"/>
      <c r="DB42" s="1212"/>
      <c r="DC42" s="251"/>
      <c r="DD42" s="251"/>
      <c r="DE42" s="273"/>
      <c r="DF42" s="273"/>
      <c r="DG42" s="1323"/>
      <c r="DH42" s="1324"/>
      <c r="DI42" s="273"/>
      <c r="DJ42" s="273"/>
      <c r="DK42" s="273"/>
      <c r="DL42" s="273"/>
      <c r="DM42" s="273"/>
      <c r="DN42" s="273"/>
      <c r="DO42" s="273"/>
      <c r="DP42" s="273"/>
      <c r="DQ42" s="1321"/>
      <c r="DR42" s="273"/>
      <c r="DS42" s="273"/>
      <c r="DT42" s="273"/>
      <c r="DU42" s="273"/>
      <c r="DV42" s="1323"/>
      <c r="DW42" s="1324"/>
      <c r="DX42" s="273"/>
      <c r="DY42" s="273"/>
      <c r="DZ42" s="273"/>
      <c r="EA42" s="273"/>
      <c r="EB42" s="273"/>
      <c r="EC42" s="273"/>
      <c r="ED42" s="273"/>
      <c r="EE42" s="1323"/>
      <c r="EF42" s="1324"/>
      <c r="EG42" s="273"/>
      <c r="EH42" s="273"/>
      <c r="EI42" s="273"/>
      <c r="EJ42" s="273"/>
      <c r="EK42" s="1323"/>
      <c r="EL42" s="1324"/>
      <c r="EM42" s="273"/>
      <c r="EN42" s="273"/>
      <c r="EO42" s="273"/>
      <c r="EP42" s="273"/>
      <c r="EQ42" s="273"/>
      <c r="ER42" s="273"/>
      <c r="ES42" s="273"/>
      <c r="ET42" s="273"/>
      <c r="EU42" s="1321"/>
      <c r="EV42" s="273"/>
      <c r="EW42" s="273"/>
      <c r="EX42" s="273"/>
      <c r="EY42" s="1323"/>
      <c r="EZ42" s="1324"/>
      <c r="FA42" s="273"/>
      <c r="FB42" s="273"/>
      <c r="FC42" s="273"/>
      <c r="FD42" s="273"/>
      <c r="FE42" s="273"/>
      <c r="FF42" s="273"/>
      <c r="FG42" s="273"/>
      <c r="FH42" s="1323"/>
      <c r="FI42" s="1324"/>
      <c r="FJ42" s="273"/>
      <c r="FK42" s="273"/>
      <c r="FL42" s="273"/>
      <c r="FM42" s="273"/>
    </row>
    <row r="43" spans="3:179" x14ac:dyDescent="0.35">
      <c r="C43" s="444" t="s">
        <v>984</v>
      </c>
      <c r="F43" s="653"/>
      <c r="G43" s="311"/>
      <c r="H43" s="311"/>
      <c r="I43" s="1241"/>
      <c r="J43" s="654">
        <v>20.25</v>
      </c>
      <c r="K43" s="311">
        <v>20.25</v>
      </c>
      <c r="L43" s="311">
        <v>20.25</v>
      </c>
      <c r="M43" s="311">
        <v>20.25</v>
      </c>
      <c r="N43" s="311">
        <v>20.25</v>
      </c>
      <c r="O43" s="1241">
        <v>20.25</v>
      </c>
      <c r="P43" s="654">
        <v>20.25</v>
      </c>
      <c r="Q43" s="311">
        <v>20.25</v>
      </c>
      <c r="R43" s="1241">
        <v>20.25</v>
      </c>
      <c r="S43" s="1241">
        <v>20.25</v>
      </c>
      <c r="T43" s="311"/>
      <c r="U43" s="311"/>
      <c r="V43" s="311"/>
      <c r="W43" s="311"/>
      <c r="X43" s="1241"/>
      <c r="Y43" s="654"/>
      <c r="Z43" s="311"/>
      <c r="AA43" s="311"/>
      <c r="AB43" s="311"/>
      <c r="AC43" s="311"/>
      <c r="AD43" s="311"/>
      <c r="AE43" s="311"/>
      <c r="AF43" s="311"/>
      <c r="AG43" s="311"/>
      <c r="AH43" s="1327"/>
      <c r="AI43" s="311"/>
      <c r="AJ43" s="311"/>
      <c r="AK43" s="311"/>
      <c r="AL43" s="1241"/>
      <c r="AM43" s="654"/>
      <c r="AN43" s="311"/>
      <c r="AO43" s="311"/>
      <c r="AP43" s="311"/>
      <c r="AQ43" s="311"/>
      <c r="AR43" s="311"/>
      <c r="AS43" s="311"/>
      <c r="AT43" s="311"/>
      <c r="AU43" s="1241"/>
      <c r="AV43" s="654"/>
      <c r="AW43" s="311"/>
      <c r="AX43" s="311"/>
      <c r="AY43" s="311"/>
      <c r="AZ43" s="311"/>
      <c r="BA43" s="1241"/>
      <c r="BB43" s="654"/>
      <c r="BC43" s="311"/>
      <c r="BD43" s="311"/>
      <c r="BE43" s="311"/>
      <c r="BF43" s="311"/>
      <c r="BG43" s="311"/>
      <c r="BH43" s="311"/>
      <c r="BI43" s="311"/>
      <c r="BJ43" s="311"/>
      <c r="BK43" s="1327"/>
      <c r="BL43" s="463">
        <v>5.0999999999999996</v>
      </c>
      <c r="BM43" s="463">
        <v>5.9</v>
      </c>
      <c r="BN43" s="463"/>
      <c r="BO43" s="1593">
        <v>6.47</v>
      </c>
      <c r="BP43" s="1587"/>
      <c r="BQ43" s="463">
        <v>4.2</v>
      </c>
      <c r="BR43" s="463"/>
      <c r="BS43" s="463">
        <v>4.4000000000000004</v>
      </c>
      <c r="BT43" s="463">
        <v>5</v>
      </c>
      <c r="BU43" s="463">
        <v>5.09</v>
      </c>
      <c r="BV43" s="463">
        <v>5.7</v>
      </c>
      <c r="BW43" s="463"/>
      <c r="BX43" s="1593">
        <v>6.1</v>
      </c>
      <c r="BY43" s="1587"/>
      <c r="BZ43" s="463">
        <v>7.5</v>
      </c>
      <c r="CA43" s="463">
        <v>7.49</v>
      </c>
      <c r="CB43" s="311"/>
      <c r="CC43" s="311"/>
      <c r="CD43" s="1241"/>
      <c r="CE43" s="654"/>
      <c r="CF43" s="311"/>
      <c r="CG43" s="311"/>
      <c r="CH43" s="311"/>
      <c r="CI43" s="311"/>
      <c r="CJ43" s="311"/>
      <c r="CK43" s="311"/>
      <c r="CL43" s="311"/>
      <c r="CM43" s="311"/>
      <c r="CN43" s="1327"/>
      <c r="CO43" s="311"/>
      <c r="CP43" s="311"/>
      <c r="CQ43" s="311"/>
      <c r="CR43" s="1241"/>
      <c r="CS43" s="654"/>
      <c r="CT43" s="311"/>
      <c r="CU43" s="311"/>
      <c r="CV43" s="311"/>
      <c r="CW43" s="311"/>
      <c r="CX43" s="311"/>
      <c r="CY43" s="311"/>
      <c r="CZ43" s="311"/>
      <c r="DA43" s="1241"/>
      <c r="DB43" s="1218"/>
      <c r="DC43" s="392"/>
      <c r="DD43" s="392"/>
      <c r="DE43" s="1325"/>
      <c r="DF43" s="1325"/>
      <c r="DG43" s="1511"/>
      <c r="DH43" s="1505"/>
      <c r="DI43" s="1325"/>
      <c r="DJ43" s="1325"/>
      <c r="DK43" s="1325"/>
      <c r="DL43" s="1325"/>
      <c r="DM43" s="1325"/>
      <c r="DN43" s="1325"/>
      <c r="DO43" s="1325"/>
      <c r="DP43" s="1325"/>
      <c r="DQ43" s="1326"/>
      <c r="DR43" s="1325"/>
      <c r="DS43" s="1325"/>
      <c r="DT43" s="1325"/>
      <c r="DU43" s="1325"/>
      <c r="DV43" s="1511"/>
      <c r="DW43" s="1505"/>
      <c r="DX43" s="1325"/>
      <c r="DY43" s="1325"/>
      <c r="DZ43" s="1325"/>
      <c r="EA43" s="1325"/>
      <c r="EB43" s="1325"/>
      <c r="EC43" s="1325"/>
      <c r="ED43" s="1325"/>
      <c r="EE43" s="1511"/>
      <c r="EF43" s="1505"/>
      <c r="EG43" s="1325"/>
      <c r="EH43" s="1325"/>
      <c r="EI43" s="1325"/>
      <c r="EJ43" s="1325"/>
      <c r="EK43" s="1511"/>
      <c r="EL43" s="1505"/>
      <c r="EM43" s="1325"/>
      <c r="EN43" s="1325"/>
      <c r="EO43" s="1325"/>
      <c r="EP43" s="1325"/>
      <c r="EQ43" s="1325"/>
      <c r="ER43" s="1325"/>
      <c r="ES43" s="1325"/>
      <c r="ET43" s="1325"/>
      <c r="EU43" s="1326"/>
      <c r="EV43" s="1325"/>
      <c r="EW43" s="1325"/>
      <c r="EX43" s="1325"/>
      <c r="EY43" s="1511"/>
      <c r="EZ43" s="1505"/>
      <c r="FA43" s="1325"/>
      <c r="FB43" s="1325"/>
      <c r="FC43" s="1325"/>
      <c r="FD43" s="1325"/>
      <c r="FE43" s="1325"/>
      <c r="FF43" s="1325"/>
      <c r="FG43" s="1325"/>
      <c r="FH43" s="1511"/>
      <c r="FI43" s="1505"/>
      <c r="FJ43" s="1325"/>
      <c r="FK43" s="1325"/>
      <c r="FL43" s="1325"/>
      <c r="FM43" s="1325"/>
      <c r="FN43" s="1269"/>
      <c r="FO43" s="1214"/>
      <c r="FP43" s="225"/>
      <c r="FQ43" s="225"/>
      <c r="FR43" s="225"/>
      <c r="FS43" s="225"/>
      <c r="FT43" s="225"/>
      <c r="FU43" s="225"/>
      <c r="FV43" s="225"/>
      <c r="FW43" s="225"/>
    </row>
    <row r="44" spans="3:179" s="2325" customFormat="1" ht="15" thickBot="1" x14ac:dyDescent="0.4">
      <c r="C44" s="2326" t="s">
        <v>997</v>
      </c>
      <c r="D44" s="2326"/>
      <c r="E44" s="2326"/>
      <c r="F44" s="2461"/>
      <c r="G44" s="2462"/>
      <c r="H44" s="2462"/>
      <c r="I44" s="2463"/>
      <c r="J44" s="2464"/>
      <c r="K44" s="2462">
        <v>1.6</v>
      </c>
      <c r="L44" s="2462">
        <v>1.5</v>
      </c>
      <c r="M44" s="2462">
        <v>1.8</v>
      </c>
      <c r="N44" s="2462">
        <v>2.1</v>
      </c>
      <c r="O44" s="2463">
        <v>2.2999999999999998</v>
      </c>
      <c r="P44" s="2464">
        <v>2.7</v>
      </c>
      <c r="Q44" s="2462"/>
      <c r="R44" s="2463"/>
      <c r="S44" s="2482"/>
      <c r="T44" s="2462"/>
      <c r="U44" s="2462"/>
      <c r="V44" s="2462"/>
      <c r="W44" s="2462"/>
      <c r="X44" s="2463"/>
      <c r="Y44" s="2464"/>
      <c r="Z44" s="2462"/>
      <c r="AA44" s="2462"/>
      <c r="AB44" s="2462"/>
      <c r="AC44" s="2462"/>
      <c r="AD44" s="2462"/>
      <c r="AE44" s="2462"/>
      <c r="AF44" s="2462"/>
      <c r="AG44" s="2462"/>
      <c r="AH44" s="2520"/>
      <c r="AI44" s="2462"/>
      <c r="AJ44" s="2462"/>
      <c r="AK44" s="2462"/>
      <c r="AL44" s="2463"/>
      <c r="AM44" s="2464"/>
      <c r="AN44" s="2462"/>
      <c r="AO44" s="2462"/>
      <c r="AP44" s="2462"/>
      <c r="AQ44" s="2462"/>
      <c r="AR44" s="2462"/>
      <c r="AS44" s="2462"/>
      <c r="AT44" s="2462"/>
      <c r="AU44" s="2463"/>
      <c r="AV44" s="2464"/>
      <c r="AW44" s="2462"/>
      <c r="AX44" s="2462"/>
      <c r="AY44" s="2462"/>
      <c r="AZ44" s="2462"/>
      <c r="BA44" s="2463"/>
      <c r="BB44" s="2464"/>
      <c r="BC44" s="2462"/>
      <c r="BD44" s="2462"/>
      <c r="BE44" s="2462"/>
      <c r="BF44" s="2462"/>
      <c r="BG44" s="2462"/>
      <c r="BH44" s="2462"/>
      <c r="BI44" s="2462"/>
      <c r="BJ44" s="2462"/>
      <c r="BK44" s="2520"/>
      <c r="BL44" s="2462"/>
      <c r="BM44" s="2462"/>
      <c r="BN44" s="2462"/>
      <c r="BO44" s="2463"/>
      <c r="BP44" s="2464"/>
      <c r="BQ44" s="2462">
        <v>1.6</v>
      </c>
      <c r="BR44" s="2462">
        <v>1.5</v>
      </c>
      <c r="BS44" s="2462">
        <v>1.8</v>
      </c>
      <c r="BT44" s="2462">
        <v>2.1</v>
      </c>
      <c r="BU44" s="2462">
        <v>2.2999999999999998</v>
      </c>
      <c r="BV44" s="2462">
        <v>2.7</v>
      </c>
      <c r="BW44" s="2462"/>
      <c r="BX44" s="2463"/>
      <c r="BY44" s="2464"/>
      <c r="BZ44" s="2462"/>
      <c r="CA44" s="2462"/>
      <c r="CB44" s="2462"/>
      <c r="CC44" s="2462"/>
      <c r="CD44" s="2463"/>
      <c r="CE44" s="2464"/>
      <c r="CF44" s="2462"/>
      <c r="CG44" s="2462"/>
      <c r="CH44" s="2462"/>
      <c r="CI44" s="2462"/>
      <c r="CJ44" s="2462"/>
      <c r="CK44" s="2462"/>
      <c r="CL44" s="2462"/>
      <c r="CM44" s="2462"/>
      <c r="CN44" s="2520"/>
      <c r="CO44" s="2462"/>
      <c r="CP44" s="2462"/>
      <c r="CQ44" s="2462"/>
      <c r="CR44" s="2463"/>
      <c r="CS44" s="2464"/>
      <c r="CT44" s="2462"/>
      <c r="CU44" s="2462"/>
      <c r="CV44" s="2462"/>
      <c r="CW44" s="2462"/>
      <c r="CX44" s="2462"/>
      <c r="CY44" s="2462"/>
      <c r="CZ44" s="2462"/>
      <c r="DA44" s="2463"/>
      <c r="DB44" s="2483"/>
      <c r="DC44" s="2484"/>
      <c r="DD44" s="2484"/>
      <c r="DE44" s="2485"/>
      <c r="DF44" s="2485"/>
      <c r="DG44" s="2486"/>
      <c r="DH44" s="2487"/>
      <c r="DI44" s="2485"/>
      <c r="DJ44" s="2485"/>
      <c r="DK44" s="2485"/>
      <c r="DL44" s="2485"/>
      <c r="DM44" s="2485"/>
      <c r="DN44" s="2485"/>
      <c r="DO44" s="2485"/>
      <c r="DP44" s="2485"/>
      <c r="DQ44" s="2523"/>
      <c r="DR44" s="2485"/>
      <c r="DS44" s="2485"/>
      <c r="DT44" s="2485"/>
      <c r="DU44" s="2485"/>
      <c r="DV44" s="2486"/>
      <c r="DW44" s="2487"/>
      <c r="DX44" s="2485"/>
      <c r="DY44" s="2485"/>
      <c r="DZ44" s="2485"/>
      <c r="EA44" s="2485"/>
      <c r="EB44" s="2485"/>
      <c r="EC44" s="2485"/>
      <c r="ED44" s="2485"/>
      <c r="EE44" s="2486"/>
      <c r="EF44" s="2487"/>
      <c r="EG44" s="2485"/>
      <c r="EH44" s="2485"/>
      <c r="EI44" s="2485"/>
      <c r="EJ44" s="2485"/>
      <c r="EK44" s="2486"/>
      <c r="EL44" s="2487"/>
      <c r="EM44" s="2485"/>
      <c r="EN44" s="2485"/>
      <c r="EO44" s="2485"/>
      <c r="EP44" s="2485"/>
      <c r="EQ44" s="2485"/>
      <c r="ER44" s="2485"/>
      <c r="ES44" s="2485"/>
      <c r="ET44" s="2485"/>
      <c r="EU44" s="2523"/>
      <c r="EV44" s="2485"/>
      <c r="EW44" s="2485"/>
      <c r="EX44" s="2485"/>
      <c r="EY44" s="2486"/>
      <c r="EZ44" s="2487"/>
      <c r="FA44" s="2485"/>
      <c r="FB44" s="2485"/>
      <c r="FC44" s="2485"/>
      <c r="FD44" s="2485"/>
      <c r="FE44" s="2485"/>
      <c r="FF44" s="2485"/>
      <c r="FG44" s="2485"/>
      <c r="FH44" s="2486"/>
      <c r="FI44" s="2487"/>
      <c r="FJ44" s="2485"/>
      <c r="FK44" s="2485"/>
      <c r="FL44" s="2485"/>
      <c r="FM44" s="2485"/>
      <c r="FN44" s="2439"/>
      <c r="FO44" s="2440"/>
      <c r="FP44" s="2437"/>
      <c r="FQ44" s="2437"/>
      <c r="FR44" s="2437"/>
      <c r="FS44" s="2437"/>
      <c r="FT44" s="2437"/>
      <c r="FU44" s="2437"/>
      <c r="FV44" s="2437"/>
      <c r="FW44" s="2437"/>
    </row>
    <row r="45" spans="3:179" s="2469" customFormat="1" ht="15.5" thickTop="1" thickBot="1" x14ac:dyDescent="0.4">
      <c r="C45" s="2470" t="s">
        <v>998</v>
      </c>
      <c r="D45" s="2470"/>
      <c r="E45" s="2470"/>
      <c r="F45" s="2488">
        <v>6.55</v>
      </c>
      <c r="G45" s="2489">
        <v>6.92</v>
      </c>
      <c r="H45" s="2489">
        <v>7.67</v>
      </c>
      <c r="I45" s="2490">
        <v>7.11</v>
      </c>
      <c r="J45" s="2491">
        <v>2.81</v>
      </c>
      <c r="K45" s="2489">
        <v>3.34</v>
      </c>
      <c r="L45" s="2489">
        <v>3.89</v>
      </c>
      <c r="M45" s="2489">
        <v>4.29</v>
      </c>
      <c r="N45" s="2489">
        <v>4.6100000000000003</v>
      </c>
      <c r="O45" s="2490">
        <v>3.86</v>
      </c>
      <c r="P45" s="2491">
        <v>4.2</v>
      </c>
      <c r="Q45" s="2489"/>
      <c r="R45" s="2490"/>
      <c r="S45" s="2491"/>
      <c r="T45" s="2489"/>
      <c r="U45" s="2489"/>
      <c r="V45" s="2489"/>
      <c r="W45" s="2489"/>
      <c r="X45" s="2490"/>
      <c r="Y45" s="2491"/>
      <c r="Z45" s="2489"/>
      <c r="AA45" s="2489"/>
      <c r="AB45" s="2489"/>
      <c r="AC45" s="2489"/>
      <c r="AD45" s="2489"/>
      <c r="AE45" s="2489"/>
      <c r="AF45" s="2489"/>
      <c r="AG45" s="2489"/>
      <c r="AH45" s="360"/>
      <c r="AI45" s="2489"/>
      <c r="AJ45" s="2489"/>
      <c r="AK45" s="2489"/>
      <c r="AL45" s="2490"/>
      <c r="AM45" s="2491"/>
      <c r="AN45" s="2489"/>
      <c r="AO45" s="2489"/>
      <c r="AP45" s="2489"/>
      <c r="AQ45" s="2489"/>
      <c r="AR45" s="2489"/>
      <c r="AS45" s="2489"/>
      <c r="AT45" s="2489"/>
      <c r="AU45" s="2490"/>
      <c r="AV45" s="2491"/>
      <c r="AW45" s="2489"/>
      <c r="AX45" s="2489"/>
      <c r="AY45" s="2489"/>
      <c r="AZ45" s="2489"/>
      <c r="BA45" s="2490"/>
      <c r="BB45" s="2491"/>
      <c r="BC45" s="2489"/>
      <c r="BD45" s="2489"/>
      <c r="BE45" s="2489"/>
      <c r="BF45" s="2489"/>
      <c r="BG45" s="2489"/>
      <c r="BH45" s="2489"/>
      <c r="BI45" s="2489"/>
      <c r="BJ45" s="2489"/>
      <c r="BK45" s="360"/>
      <c r="BL45" s="2492">
        <v>6.55</v>
      </c>
      <c r="BM45" s="2492">
        <v>6.92</v>
      </c>
      <c r="BN45" s="2492">
        <v>7.67</v>
      </c>
      <c r="BO45" s="2493">
        <v>7.11</v>
      </c>
      <c r="BP45" s="2494">
        <v>2.81</v>
      </c>
      <c r="BQ45" s="2492">
        <v>3.34</v>
      </c>
      <c r="BR45" s="2492">
        <v>3.89</v>
      </c>
      <c r="BS45" s="2492">
        <v>4.29</v>
      </c>
      <c r="BT45" s="2492">
        <v>4.6100000000000003</v>
      </c>
      <c r="BU45" s="2492">
        <v>3.86</v>
      </c>
      <c r="BV45" s="2492">
        <v>4.2</v>
      </c>
      <c r="BW45" s="2492"/>
      <c r="BX45" s="2493"/>
      <c r="BY45" s="2494"/>
      <c r="BZ45" s="2492"/>
      <c r="CA45" s="2492"/>
      <c r="CB45" s="2492"/>
      <c r="CC45" s="2492"/>
      <c r="CD45" s="2493"/>
      <c r="CE45" s="2494"/>
      <c r="CF45" s="2492"/>
      <c r="CG45" s="2492"/>
      <c r="CH45" s="2492"/>
      <c r="CI45" s="2492"/>
      <c r="CJ45" s="2492"/>
      <c r="CK45" s="2492"/>
      <c r="CL45" s="2492"/>
      <c r="CM45" s="2492"/>
      <c r="CN45" s="360"/>
      <c r="CO45" s="2489"/>
      <c r="CP45" s="2489"/>
      <c r="CQ45" s="2489"/>
      <c r="CR45" s="2490"/>
      <c r="CS45" s="2491"/>
      <c r="CT45" s="2489"/>
      <c r="CU45" s="2489"/>
      <c r="CV45" s="2489"/>
      <c r="CW45" s="2489"/>
      <c r="CX45" s="2489"/>
      <c r="CY45" s="2489"/>
      <c r="CZ45" s="2489"/>
      <c r="DA45" s="2490"/>
      <c r="DB45" s="2491"/>
      <c r="DC45" s="2489"/>
      <c r="DD45" s="2489"/>
      <c r="DE45" s="2472"/>
      <c r="DF45" s="2472"/>
      <c r="DG45" s="2473"/>
      <c r="DH45" s="2474"/>
      <c r="DI45" s="2472"/>
      <c r="DJ45" s="2472"/>
      <c r="DK45" s="2472"/>
      <c r="DL45" s="2472"/>
      <c r="DM45" s="2472"/>
      <c r="DN45" s="2472"/>
      <c r="DO45" s="2472"/>
      <c r="DP45" s="2472"/>
      <c r="DQ45" s="359"/>
      <c r="DR45" s="2478"/>
      <c r="DS45" s="2472"/>
      <c r="DT45" s="2472"/>
      <c r="DU45" s="2472"/>
      <c r="DV45" s="2473"/>
      <c r="DW45" s="2474"/>
      <c r="DX45" s="2472"/>
      <c r="DY45" s="2472"/>
      <c r="DZ45" s="2472"/>
      <c r="EA45" s="2472"/>
      <c r="EB45" s="2472"/>
      <c r="EC45" s="2472"/>
      <c r="ED45" s="2472"/>
      <c r="EE45" s="2473"/>
      <c r="EF45" s="2474"/>
      <c r="EG45" s="2472"/>
      <c r="EH45" s="2472"/>
      <c r="EI45" s="2472"/>
      <c r="EJ45" s="2472"/>
      <c r="EK45" s="2473"/>
      <c r="EL45" s="2474"/>
      <c r="EM45" s="2472"/>
      <c r="EN45" s="2472"/>
      <c r="EO45" s="2472"/>
      <c r="EP45" s="2472"/>
      <c r="EQ45" s="2472"/>
      <c r="ER45" s="2472"/>
      <c r="ES45" s="2472"/>
      <c r="ET45" s="2472"/>
      <c r="EU45" s="359"/>
      <c r="EV45" s="2472"/>
      <c r="EW45" s="2472"/>
      <c r="EX45" s="2472"/>
      <c r="EY45" s="2473"/>
      <c r="EZ45" s="2474"/>
      <c r="FA45" s="2472"/>
      <c r="FB45" s="2472"/>
      <c r="FC45" s="2472"/>
      <c r="FD45" s="2472"/>
      <c r="FE45" s="2472"/>
      <c r="FF45" s="2472"/>
      <c r="FG45" s="2472"/>
      <c r="FH45" s="2473"/>
      <c r="FI45" s="2474"/>
      <c r="FJ45" s="2472"/>
      <c r="FK45" s="2472"/>
      <c r="FL45" s="2472"/>
      <c r="FM45" s="2472"/>
      <c r="FN45" s="2473"/>
      <c r="FO45" s="2474"/>
      <c r="FP45" s="2472"/>
      <c r="FQ45" s="2472"/>
      <c r="FR45" s="2472"/>
      <c r="FS45" s="2472"/>
      <c r="FT45" s="2472"/>
      <c r="FU45" s="2472"/>
      <c r="FV45" s="2472"/>
      <c r="FW45" s="2472"/>
    </row>
    <row r="46" spans="3:179" ht="15" thickTop="1" x14ac:dyDescent="0.35">
      <c r="C46" s="1" t="s">
        <v>95</v>
      </c>
      <c r="F46" s="1033">
        <f>'HPS DAILY'!$G$89</f>
        <v>25.49</v>
      </c>
      <c r="G46" s="309">
        <f>'HPS DAILY'!$G$89</f>
        <v>25.49</v>
      </c>
      <c r="H46" s="309">
        <f>'HPS DAILY'!$G$89</f>
        <v>25.49</v>
      </c>
      <c r="I46" s="422">
        <f>'HPS DAILY'!$G$89</f>
        <v>25.49</v>
      </c>
      <c r="J46" s="421">
        <f>'HPS DAILY'!$H$89</f>
        <v>25.57</v>
      </c>
      <c r="K46" s="309">
        <f>'HPS DAILY'!$H$89</f>
        <v>25.57</v>
      </c>
      <c r="L46" s="309">
        <f>'HPS DAILY'!$H$89</f>
        <v>25.57</v>
      </c>
      <c r="M46" s="309">
        <f>'HPS DAILY'!$H$89</f>
        <v>25.57</v>
      </c>
      <c r="N46" s="309">
        <f>'HPS DAILY'!$H$89</f>
        <v>25.57</v>
      </c>
      <c r="O46" s="422">
        <f>'HPS DAILY'!$H$89</f>
        <v>25.57</v>
      </c>
      <c r="P46" s="421">
        <f>'HPS DAILY'!$H$89</f>
        <v>25.57</v>
      </c>
      <c r="Q46" s="309">
        <f>'HPS DAILY'!$H$89</f>
        <v>25.57</v>
      </c>
      <c r="R46" s="422">
        <f>'HPS DAILY'!$H$89</f>
        <v>25.57</v>
      </c>
      <c r="S46" s="421">
        <f>'HPS DAILY'!$I$89</f>
        <v>25.57</v>
      </c>
      <c r="T46" s="421">
        <f>'HPS DAILY'!$I$89</f>
        <v>25.57</v>
      </c>
      <c r="U46" s="421">
        <f>'HPS DAILY'!$I$89</f>
        <v>25.57</v>
      </c>
      <c r="V46" s="421">
        <f>'HPS DAILY'!$I$89</f>
        <v>25.57</v>
      </c>
      <c r="W46" s="421">
        <f>'HPS DAILY'!$I$89</f>
        <v>25.57</v>
      </c>
      <c r="X46" s="1675">
        <f>'HPS DAILY'!$I$89</f>
        <v>25.57</v>
      </c>
      <c r="Y46" s="421">
        <f>'HPS DAILY'!$J$89</f>
        <v>25.57</v>
      </c>
      <c r="Z46" s="421">
        <f>'HPS DAILY'!$J$89</f>
        <v>25.57</v>
      </c>
      <c r="AA46" s="421">
        <f>'HPS DAILY'!$J$89</f>
        <v>25.57</v>
      </c>
      <c r="AB46" s="421">
        <f>'HPS DAILY'!$J$89</f>
        <v>25.57</v>
      </c>
      <c r="AC46" s="421">
        <f>'HPS DAILY'!$J$89</f>
        <v>25.57</v>
      </c>
      <c r="AD46" s="421">
        <f>'HPS DAILY'!$J$89</f>
        <v>25.57</v>
      </c>
      <c r="AE46" s="421">
        <f>'HPS DAILY'!$J$89</f>
        <v>25.57</v>
      </c>
      <c r="AF46" s="421">
        <f>'HPS DAILY'!$J$89</f>
        <v>25.57</v>
      </c>
      <c r="AG46" s="421">
        <f>'HPS DAILY'!$J$89</f>
        <v>25.57</v>
      </c>
      <c r="AH46" s="357"/>
      <c r="AI46" s="309">
        <f>ISV!G$88</f>
        <v>0</v>
      </c>
      <c r="AJ46" s="309">
        <f>ISV!H$88</f>
        <v>17.68</v>
      </c>
      <c r="AK46" s="309">
        <f>ISV!I$88</f>
        <v>0</v>
      </c>
      <c r="AL46" s="422">
        <f>ISV!J$88</f>
        <v>0</v>
      </c>
      <c r="AM46" s="421">
        <f>ISV!K$88</f>
        <v>20.8</v>
      </c>
      <c r="AN46" s="309">
        <f>ISV!L$88</f>
        <v>0</v>
      </c>
      <c r="AO46" s="309">
        <f>ISV!M$88</f>
        <v>0</v>
      </c>
      <c r="AP46" s="309">
        <f>ISV!N$88</f>
        <v>0</v>
      </c>
      <c r="AQ46" s="309">
        <f>ISV!O$88</f>
        <v>0</v>
      </c>
      <c r="AR46" s="309">
        <f>ISV!P$88</f>
        <v>0</v>
      </c>
      <c r="AS46" s="309">
        <f>ISV!Q$88</f>
        <v>0</v>
      </c>
      <c r="AT46" s="309">
        <f>ISV!R$88</f>
        <v>0</v>
      </c>
      <c r="AU46" s="422">
        <f>ISV!S$88</f>
        <v>0</v>
      </c>
      <c r="AV46" s="421">
        <f>ISV!T$88</f>
        <v>0</v>
      </c>
      <c r="AW46" s="309">
        <f>ISV!U$88</f>
        <v>0</v>
      </c>
      <c r="AX46" s="309">
        <f>ISV!V$88</f>
        <v>0</v>
      </c>
      <c r="AY46" s="309">
        <f>ISV!W$88</f>
        <v>0</v>
      </c>
      <c r="AZ46" s="309">
        <f>ISV!X$88</f>
        <v>0</v>
      </c>
      <c r="BA46" s="422">
        <f>ISV!Y$88</f>
        <v>0</v>
      </c>
      <c r="BB46" s="421">
        <f>ISV!Z$88</f>
        <v>0</v>
      </c>
      <c r="BC46" s="309">
        <f>ISV!AA$88</f>
        <v>0</v>
      </c>
      <c r="BD46" s="309">
        <f>ISV!AB$88</f>
        <v>0</v>
      </c>
      <c r="BE46" s="309">
        <f>ISV!AC$88</f>
        <v>0</v>
      </c>
      <c r="BF46" s="309">
        <f>ISV!AD$88</f>
        <v>0</v>
      </c>
      <c r="BG46" s="309">
        <f>ISV!AE$88</f>
        <v>0</v>
      </c>
      <c r="BH46" s="309">
        <f>ISV!AF$88</f>
        <v>0</v>
      </c>
      <c r="BI46" s="309">
        <f>ISV!AG$88</f>
        <v>0</v>
      </c>
      <c r="BJ46" s="309">
        <f>ISV!AH$88</f>
        <v>0</v>
      </c>
      <c r="BK46" s="357"/>
      <c r="BL46" s="309">
        <f>'HPS DAILY'!K$89</f>
        <v>12.605</v>
      </c>
      <c r="BM46" s="309">
        <f>'HPS DAILY'!L$89</f>
        <v>14.2</v>
      </c>
      <c r="BN46" s="309">
        <f>'HPS DAILY'!M$89</f>
        <v>14.45</v>
      </c>
      <c r="BO46" s="422">
        <f>'HPS DAILY'!N$89</f>
        <v>14.5</v>
      </c>
      <c r="BP46" s="421">
        <f>'HPS DAILY'!O$89</f>
        <v>6.97</v>
      </c>
      <c r="BQ46" s="309">
        <f>'HPS DAILY'!P$89</f>
        <v>7.2</v>
      </c>
      <c r="BR46" s="309">
        <f>'HPS DAILY'!Q$89</f>
        <v>7.88</v>
      </c>
      <c r="BS46" s="309">
        <f>'HPS DAILY'!R$89</f>
        <v>8.3000000000000007</v>
      </c>
      <c r="BT46" s="309">
        <f>'HPS DAILY'!S$89</f>
        <v>8.65</v>
      </c>
      <c r="BU46" s="309">
        <f>'HPS DAILY'!T$89</f>
        <v>8.84</v>
      </c>
      <c r="BV46" s="309">
        <f>'HPS DAILY'!U$89</f>
        <v>9.11</v>
      </c>
      <c r="BW46" s="309">
        <f>'HPS DAILY'!V$89</f>
        <v>9.7799999999999994</v>
      </c>
      <c r="BX46" s="422">
        <f>'HPS DAILY'!W$89</f>
        <v>9.5</v>
      </c>
      <c r="BY46" s="421">
        <f>'HPS DAILY'!X$89</f>
        <v>0</v>
      </c>
      <c r="BZ46" s="309">
        <f>'HPS DAILY'!Y$89</f>
        <v>0</v>
      </c>
      <c r="CA46" s="309">
        <f>'HPS DAILY'!Z$89</f>
        <v>0</v>
      </c>
      <c r="CB46" s="309">
        <f>'HPS DAILY'!AA$89</f>
        <v>0</v>
      </c>
      <c r="CC46" s="309">
        <f>'HPS DAILY'!AB$89</f>
        <v>0</v>
      </c>
      <c r="CD46" s="422">
        <f>'HPS DAILY'!AC$89</f>
        <v>0</v>
      </c>
      <c r="CE46" s="421">
        <f>'HPS DAILY'!AD$89</f>
        <v>0</v>
      </c>
      <c r="CF46" s="309">
        <f>'HPS DAILY'!AE$89</f>
        <v>0</v>
      </c>
      <c r="CG46" s="309">
        <f>'HPS DAILY'!AF$89</f>
        <v>0</v>
      </c>
      <c r="CH46" s="309">
        <f>'HPS DAILY'!AG$89</f>
        <v>0</v>
      </c>
      <c r="CI46" s="309">
        <f>'HPS DAILY'!AH$89</f>
        <v>0</v>
      </c>
      <c r="CJ46" s="309">
        <f>'HPS DAILY'!AI$89</f>
        <v>0</v>
      </c>
      <c r="CK46" s="309">
        <f>'HPS DAILY'!AJ$89</f>
        <v>0</v>
      </c>
      <c r="CL46" s="309">
        <f>'HPS DAILY'!AK$89</f>
        <v>0</v>
      </c>
      <c r="CM46" s="309">
        <f>'HPS DAILY'!AL$89</f>
        <v>0</v>
      </c>
      <c r="CN46" s="357"/>
      <c r="CO46" s="296"/>
      <c r="CP46" s="296"/>
      <c r="CQ46" s="296"/>
      <c r="CR46" s="1235"/>
      <c r="CS46" s="1187"/>
      <c r="CT46" s="296"/>
      <c r="CU46" s="296"/>
      <c r="CV46" s="296"/>
      <c r="CW46" s="296"/>
      <c r="CX46" s="296"/>
      <c r="CY46" s="296"/>
      <c r="CZ46" s="296"/>
      <c r="DA46" s="1235"/>
      <c r="DB46" s="1187"/>
      <c r="DC46" s="296"/>
      <c r="DD46" s="296"/>
      <c r="DE46" s="229"/>
      <c r="DF46" s="229"/>
      <c r="DG46" s="1245"/>
      <c r="DH46" s="538"/>
      <c r="DI46" s="229"/>
      <c r="DJ46" s="229"/>
      <c r="DK46" s="229"/>
      <c r="DL46" s="229"/>
      <c r="DM46" s="229"/>
      <c r="DN46" s="229"/>
      <c r="DO46" s="229"/>
      <c r="DP46" s="229"/>
      <c r="DQ46" s="356"/>
      <c r="DR46" s="358"/>
      <c r="DS46" s="229"/>
      <c r="DT46" s="229"/>
      <c r="DU46" s="229"/>
      <c r="DV46" s="1245"/>
      <c r="DW46" s="538"/>
      <c r="DX46" s="229"/>
      <c r="DY46" s="229"/>
      <c r="DZ46" s="229"/>
      <c r="EA46" s="229"/>
      <c r="EB46" s="229"/>
      <c r="EC46" s="229"/>
      <c r="ED46" s="229"/>
      <c r="EE46" s="1245"/>
      <c r="EF46" s="538"/>
      <c r="EG46" s="229"/>
      <c r="EH46" s="229"/>
      <c r="EI46" s="229"/>
      <c r="EJ46" s="229"/>
      <c r="EK46" s="1245"/>
      <c r="EL46" s="538"/>
      <c r="EM46" s="229"/>
      <c r="EN46" s="229"/>
      <c r="EO46" s="229"/>
      <c r="EP46" s="229"/>
      <c r="EQ46" s="229"/>
      <c r="ER46" s="229"/>
      <c r="ES46" s="229"/>
      <c r="ET46" s="229"/>
      <c r="EU46" s="356"/>
      <c r="EV46" s="229"/>
      <c r="EW46" s="229"/>
      <c r="EX46" s="229"/>
      <c r="EY46" s="1245"/>
      <c r="EZ46" s="538"/>
      <c r="FA46" s="229"/>
      <c r="FB46" s="229"/>
      <c r="FC46" s="229"/>
      <c r="FD46" s="229"/>
      <c r="FE46" s="229"/>
      <c r="FF46" s="229"/>
      <c r="FG46" s="229"/>
      <c r="FH46" s="1245"/>
      <c r="FI46" s="538"/>
      <c r="FJ46" s="229"/>
      <c r="FK46" s="229"/>
      <c r="FL46" s="229"/>
      <c r="FM46" s="229"/>
      <c r="FN46" s="1245"/>
      <c r="FO46" s="538"/>
      <c r="FP46" s="229"/>
      <c r="FQ46" s="229"/>
      <c r="FR46" s="229"/>
      <c r="FS46" s="229"/>
      <c r="FT46" s="229"/>
      <c r="FU46" s="229"/>
      <c r="FV46" s="229"/>
      <c r="FW46" s="229"/>
    </row>
    <row r="47" spans="3:179" ht="15" thickBot="1" x14ac:dyDescent="0.4">
      <c r="C47" s="444" t="s">
        <v>985</v>
      </c>
      <c r="F47" s="653"/>
      <c r="G47" s="311"/>
      <c r="H47" s="311"/>
      <c r="I47" s="1241"/>
      <c r="J47" s="654">
        <v>26.89</v>
      </c>
      <c r="K47" s="311">
        <v>26.89</v>
      </c>
      <c r="L47" s="311">
        <v>26.89</v>
      </c>
      <c r="M47" s="311">
        <v>26.89</v>
      </c>
      <c r="N47" s="311">
        <v>26.89</v>
      </c>
      <c r="O47" s="1244">
        <v>26.89</v>
      </c>
      <c r="P47" s="654">
        <v>26.89</v>
      </c>
      <c r="Q47" s="311">
        <v>26.89</v>
      </c>
      <c r="R47" s="1241">
        <v>26.89</v>
      </c>
      <c r="S47" s="654"/>
      <c r="T47" s="311"/>
      <c r="U47" s="311"/>
      <c r="V47" s="304"/>
      <c r="W47" s="304"/>
      <c r="X47" s="1238"/>
      <c r="Y47" s="1188"/>
      <c r="Z47" s="304"/>
      <c r="AA47" s="304"/>
      <c r="AB47" s="304"/>
      <c r="AC47" s="304"/>
      <c r="AD47" s="304"/>
      <c r="AE47" s="304"/>
      <c r="AF47" s="304"/>
      <c r="AG47" s="304"/>
      <c r="AH47" s="350"/>
      <c r="AI47" s="304"/>
      <c r="AJ47" s="304"/>
      <c r="AK47" s="304"/>
      <c r="AL47" s="1238"/>
      <c r="AM47" s="1188"/>
      <c r="AN47" s="304"/>
      <c r="AO47" s="304"/>
      <c r="AP47" s="304"/>
      <c r="AQ47" s="304"/>
      <c r="AR47" s="304"/>
      <c r="AS47" s="304"/>
      <c r="AT47" s="304"/>
      <c r="AU47" s="1238"/>
      <c r="AV47" s="1188"/>
      <c r="AW47" s="304"/>
      <c r="AX47" s="304"/>
      <c r="AY47" s="304"/>
      <c r="AZ47" s="304"/>
      <c r="BA47" s="1238"/>
      <c r="BB47" s="1188"/>
      <c r="BC47" s="304"/>
      <c r="BD47" s="304"/>
      <c r="BE47" s="304"/>
      <c r="BF47" s="304"/>
      <c r="BG47" s="304"/>
      <c r="BH47" s="304"/>
      <c r="BI47" s="304"/>
      <c r="BJ47" s="304"/>
      <c r="BK47" s="350"/>
      <c r="BL47" s="463">
        <v>14.2</v>
      </c>
      <c r="BM47" s="463">
        <v>14.5</v>
      </c>
      <c r="BN47" s="463">
        <v>15</v>
      </c>
      <c r="BO47" s="1593">
        <v>15.23</v>
      </c>
      <c r="BP47" s="1587">
        <v>10</v>
      </c>
      <c r="BQ47" s="463">
        <v>10.5</v>
      </c>
      <c r="BR47" s="463">
        <v>11.6</v>
      </c>
      <c r="BS47" s="463">
        <v>11.6</v>
      </c>
      <c r="BT47" s="463">
        <v>12</v>
      </c>
      <c r="BU47" s="463">
        <v>12.27</v>
      </c>
      <c r="BV47" s="463">
        <v>13.2</v>
      </c>
      <c r="BW47" s="463">
        <v>12.5</v>
      </c>
      <c r="BX47" s="1593">
        <v>12.6</v>
      </c>
      <c r="BY47" s="1587">
        <v>12.8</v>
      </c>
      <c r="BZ47" s="463">
        <v>13</v>
      </c>
      <c r="CA47" s="463">
        <v>12.43</v>
      </c>
      <c r="CB47" s="311"/>
      <c r="CC47" s="311"/>
      <c r="CD47" s="1241"/>
      <c r="CE47" s="654"/>
      <c r="CF47" s="311"/>
      <c r="CG47" s="311"/>
      <c r="CH47" s="311"/>
      <c r="CI47" s="311"/>
      <c r="CJ47" s="311"/>
      <c r="CK47" s="311"/>
      <c r="CL47" s="311"/>
      <c r="CM47" s="311"/>
      <c r="CN47" s="350"/>
      <c r="CO47" s="304"/>
      <c r="CP47" s="304"/>
      <c r="CQ47" s="304"/>
      <c r="CR47" s="1238"/>
      <c r="CS47" s="1188"/>
      <c r="CT47" s="304"/>
      <c r="CU47" s="304"/>
      <c r="CV47" s="304"/>
      <c r="CW47" s="304"/>
      <c r="CX47" s="304"/>
      <c r="CY47" s="304"/>
      <c r="CZ47" s="304"/>
      <c r="DA47" s="1238"/>
      <c r="DB47" s="1188"/>
      <c r="DC47" s="304"/>
      <c r="DD47" s="304"/>
      <c r="DE47" s="225"/>
      <c r="DF47" s="225"/>
      <c r="DG47" s="1269"/>
      <c r="DH47" s="1214"/>
      <c r="DI47" s="225"/>
      <c r="DJ47" s="225"/>
      <c r="DK47" s="225"/>
      <c r="DL47" s="225"/>
      <c r="DM47" s="225"/>
      <c r="DN47" s="225"/>
      <c r="DO47" s="225"/>
      <c r="DP47" s="225"/>
      <c r="DQ47" s="344"/>
      <c r="DR47" s="345"/>
      <c r="DS47" s="225"/>
      <c r="DT47" s="225"/>
      <c r="DU47" s="225"/>
      <c r="DV47" s="1269"/>
      <c r="DW47" s="1214"/>
      <c r="DX47" s="225"/>
      <c r="DY47" s="225"/>
      <c r="DZ47" s="225"/>
      <c r="EA47" s="225"/>
      <c r="EB47" s="225"/>
      <c r="EC47" s="225"/>
      <c r="ED47" s="225"/>
      <c r="EE47" s="1269"/>
      <c r="EF47" s="1214"/>
      <c r="EG47" s="225"/>
      <c r="EH47" s="225"/>
      <c r="EI47" s="225"/>
      <c r="EJ47" s="225"/>
      <c r="EK47" s="1269"/>
      <c r="EL47" s="1214"/>
      <c r="EM47" s="225"/>
      <c r="EN47" s="225"/>
      <c r="EO47" s="225"/>
      <c r="EP47" s="225"/>
      <c r="EQ47" s="225"/>
      <c r="ER47" s="225"/>
      <c r="ES47" s="225"/>
      <c r="ET47" s="225"/>
      <c r="EU47" s="344"/>
      <c r="EV47" s="225"/>
      <c r="EW47" s="225"/>
      <c r="EX47" s="225"/>
      <c r="EY47" s="1269"/>
      <c r="EZ47" s="1214"/>
      <c r="FA47" s="225"/>
      <c r="FB47" s="225"/>
      <c r="FC47" s="225"/>
      <c r="FD47" s="225"/>
      <c r="FE47" s="225"/>
      <c r="FF47" s="225"/>
      <c r="FG47" s="225"/>
      <c r="FH47" s="1269"/>
      <c r="FI47" s="1214"/>
      <c r="FJ47" s="225"/>
      <c r="FK47" s="225"/>
      <c r="FL47" s="225"/>
      <c r="FM47" s="225"/>
      <c r="FN47" s="1269"/>
      <c r="FO47" s="1214"/>
      <c r="FP47" s="225"/>
      <c r="FQ47" s="225"/>
      <c r="FR47" s="225"/>
      <c r="FS47" s="225"/>
      <c r="FT47" s="225"/>
      <c r="FU47" s="225"/>
      <c r="FV47" s="225"/>
      <c r="FW47" s="225"/>
    </row>
    <row r="48" spans="3:179" s="2325" customFormat="1" ht="15.5" thickTop="1" thickBot="1" x14ac:dyDescent="0.4">
      <c r="C48" s="2326" t="s">
        <v>988</v>
      </c>
      <c r="D48" s="2326"/>
      <c r="E48" s="2326"/>
      <c r="F48" s="2461"/>
      <c r="G48" s="2462"/>
      <c r="H48" s="2462"/>
      <c r="I48" s="2463"/>
      <c r="J48" s="2464"/>
      <c r="K48" s="2462">
        <v>7.51</v>
      </c>
      <c r="L48" s="2462">
        <v>8.2274499999999993</v>
      </c>
      <c r="M48" s="2462">
        <v>8.8035999999999994</v>
      </c>
      <c r="N48" s="2462">
        <v>9.2672000000000008</v>
      </c>
      <c r="O48" s="2465">
        <v>9.29115</v>
      </c>
      <c r="P48" s="2464">
        <v>9.2227999999999994</v>
      </c>
      <c r="Q48" s="2462"/>
      <c r="R48" s="2463"/>
      <c r="S48" s="2464"/>
      <c r="T48" s="2462"/>
      <c r="U48" s="2462"/>
      <c r="V48" s="2466"/>
      <c r="W48" s="2466"/>
      <c r="X48" s="2467"/>
      <c r="Y48" s="2468"/>
      <c r="Z48" s="2466"/>
      <c r="AA48" s="2466"/>
      <c r="AB48" s="2466"/>
      <c r="AC48" s="2466"/>
      <c r="AD48" s="2466"/>
      <c r="AE48" s="2466"/>
      <c r="AF48" s="2466"/>
      <c r="AG48" s="2466"/>
      <c r="AH48" s="2521"/>
      <c r="AI48" s="2466"/>
      <c r="AJ48" s="2466"/>
      <c r="AK48" s="2466"/>
      <c r="AL48" s="2467"/>
      <c r="AM48" s="2468"/>
      <c r="AN48" s="2466"/>
      <c r="AO48" s="2466"/>
      <c r="AP48" s="2466"/>
      <c r="AQ48" s="2466"/>
      <c r="AR48" s="2466"/>
      <c r="AS48" s="2466"/>
      <c r="AT48" s="2466"/>
      <c r="AU48" s="2467"/>
      <c r="AV48" s="2468"/>
      <c r="AW48" s="2466"/>
      <c r="AX48" s="2466"/>
      <c r="AY48" s="2466"/>
      <c r="AZ48" s="2466"/>
      <c r="BA48" s="2467"/>
      <c r="BB48" s="2468"/>
      <c r="BC48" s="2466"/>
      <c r="BD48" s="2466"/>
      <c r="BE48" s="2466"/>
      <c r="BF48" s="2466"/>
      <c r="BG48" s="2466"/>
      <c r="BH48" s="2466"/>
      <c r="BI48" s="2466"/>
      <c r="BJ48" s="2466"/>
      <c r="BK48" s="2521"/>
      <c r="BL48" s="2462"/>
      <c r="BM48" s="2462"/>
      <c r="BN48" s="2462"/>
      <c r="BO48" s="2463"/>
      <c r="BP48" s="2464"/>
      <c r="BQ48" s="2462">
        <v>7.51</v>
      </c>
      <c r="BR48" s="2462">
        <v>8.2274499999999993</v>
      </c>
      <c r="BS48" s="2462">
        <v>8.8035999999999994</v>
      </c>
      <c r="BT48" s="2462">
        <v>9.2672000000000008</v>
      </c>
      <c r="BU48" s="2462">
        <v>9.29115</v>
      </c>
      <c r="BV48" s="2462">
        <v>9.2227999999999994</v>
      </c>
      <c r="BW48" s="2462"/>
      <c r="BX48" s="2463"/>
      <c r="BY48" s="2464"/>
      <c r="BZ48" s="2462"/>
      <c r="CA48" s="2462"/>
      <c r="CB48" s="2462"/>
      <c r="CC48" s="2462"/>
      <c r="CD48" s="2463"/>
      <c r="CE48" s="2464"/>
      <c r="CF48" s="2462"/>
      <c r="CG48" s="2462"/>
      <c r="CH48" s="2462"/>
      <c r="CI48" s="2462"/>
      <c r="CJ48" s="2462"/>
      <c r="CK48" s="2462"/>
      <c r="CL48" s="2462"/>
      <c r="CM48" s="2462"/>
      <c r="CN48" s="2521"/>
      <c r="CO48" s="2466"/>
      <c r="CP48" s="2466"/>
      <c r="CQ48" s="2466"/>
      <c r="CR48" s="2467"/>
      <c r="CS48" s="2468"/>
      <c r="CT48" s="2466"/>
      <c r="CU48" s="2466"/>
      <c r="CV48" s="2466"/>
      <c r="CW48" s="2466"/>
      <c r="CX48" s="2466"/>
      <c r="CY48" s="2466"/>
      <c r="CZ48" s="2466"/>
      <c r="DA48" s="2467"/>
      <c r="DB48" s="2468"/>
      <c r="DC48" s="2466"/>
      <c r="DD48" s="2466"/>
      <c r="DE48" s="2437"/>
      <c r="DF48" s="2437"/>
      <c r="DG48" s="2439"/>
      <c r="DH48" s="2440"/>
      <c r="DI48" s="2437"/>
      <c r="DJ48" s="2437"/>
      <c r="DK48" s="2437"/>
      <c r="DL48" s="2437"/>
      <c r="DM48" s="2437"/>
      <c r="DN48" s="2437"/>
      <c r="DO48" s="2437"/>
      <c r="DP48" s="2437"/>
      <c r="DQ48" s="454"/>
      <c r="DR48" s="2438"/>
      <c r="DS48" s="2437"/>
      <c r="DT48" s="2437"/>
      <c r="DU48" s="2437"/>
      <c r="DV48" s="2439"/>
      <c r="DW48" s="2440"/>
      <c r="DX48" s="2437"/>
      <c r="DY48" s="2437"/>
      <c r="DZ48" s="2437"/>
      <c r="EA48" s="2437"/>
      <c r="EB48" s="2437"/>
      <c r="EC48" s="2437"/>
      <c r="ED48" s="2437"/>
      <c r="EE48" s="2439"/>
      <c r="EF48" s="2440"/>
      <c r="EG48" s="2437"/>
      <c r="EH48" s="2437"/>
      <c r="EI48" s="2437"/>
      <c r="EJ48" s="2437"/>
      <c r="EK48" s="2439"/>
      <c r="EL48" s="2440"/>
      <c r="EM48" s="2437"/>
      <c r="EN48" s="2437"/>
      <c r="EO48" s="2437"/>
      <c r="EP48" s="2437"/>
      <c r="EQ48" s="2437"/>
      <c r="ER48" s="2437"/>
      <c r="ES48" s="2437"/>
      <c r="ET48" s="2437"/>
      <c r="EU48" s="454"/>
      <c r="EV48" s="2437"/>
      <c r="EW48" s="2437"/>
      <c r="EX48" s="2437"/>
      <c r="EY48" s="2439"/>
      <c r="EZ48" s="2440"/>
      <c r="FA48" s="2437"/>
      <c r="FB48" s="2437"/>
      <c r="FC48" s="2437"/>
      <c r="FD48" s="2437"/>
      <c r="FE48" s="2437"/>
      <c r="FF48" s="2437"/>
      <c r="FG48" s="2437"/>
      <c r="FH48" s="2439"/>
      <c r="FI48" s="2440"/>
      <c r="FJ48" s="2437"/>
      <c r="FK48" s="2437"/>
      <c r="FL48" s="2437"/>
      <c r="FM48" s="2437"/>
      <c r="FN48" s="2439"/>
      <c r="FO48" s="2440"/>
      <c r="FP48" s="2437"/>
      <c r="FQ48" s="2437"/>
      <c r="FR48" s="2437"/>
      <c r="FS48" s="2437"/>
      <c r="FT48" s="2437"/>
      <c r="FU48" s="2437"/>
      <c r="FV48" s="2437"/>
      <c r="FW48" s="2437"/>
    </row>
    <row r="49" spans="3:180" s="2469" customFormat="1" ht="15.5" thickTop="1" thickBot="1" x14ac:dyDescent="0.4">
      <c r="C49" s="2470" t="s">
        <v>996</v>
      </c>
      <c r="D49" s="2470"/>
      <c r="E49" s="2470"/>
      <c r="F49" s="2471">
        <v>13.93</v>
      </c>
      <c r="G49" s="2472">
        <v>14.22</v>
      </c>
      <c r="H49" s="2472">
        <v>14.51</v>
      </c>
      <c r="I49" s="2473">
        <v>14.71</v>
      </c>
      <c r="J49" s="2474">
        <v>7.68</v>
      </c>
      <c r="K49" s="2472">
        <v>8.52</v>
      </c>
      <c r="L49" s="2472">
        <v>9.11</v>
      </c>
      <c r="M49" s="2472">
        <v>9.27</v>
      </c>
      <c r="N49" s="2472">
        <v>9.4600000000000009</v>
      </c>
      <c r="O49" s="2473">
        <v>9.7899999999999991</v>
      </c>
      <c r="P49" s="2474">
        <v>9.89</v>
      </c>
      <c r="Q49" s="2472"/>
      <c r="R49" s="2473"/>
      <c r="S49" s="2474"/>
      <c r="T49" s="2472"/>
      <c r="U49" s="2472"/>
      <c r="V49" s="2472"/>
      <c r="W49" s="2472"/>
      <c r="X49" s="2473"/>
      <c r="Y49" s="2474"/>
      <c r="Z49" s="2472"/>
      <c r="AA49" s="2472"/>
      <c r="AB49" s="2472"/>
      <c r="AC49" s="2472"/>
      <c r="AD49" s="2472"/>
      <c r="AE49" s="2472"/>
      <c r="AF49" s="2472"/>
      <c r="AG49" s="2472"/>
      <c r="AH49" s="359"/>
      <c r="AI49" s="2472"/>
      <c r="AJ49" s="2472"/>
      <c r="AK49" s="2472"/>
      <c r="AL49" s="2473"/>
      <c r="AM49" s="2474"/>
      <c r="AN49" s="2472"/>
      <c r="AO49" s="2472"/>
      <c r="AP49" s="2472"/>
      <c r="AQ49" s="2472"/>
      <c r="AR49" s="2472"/>
      <c r="AS49" s="2472"/>
      <c r="AT49" s="2472"/>
      <c r="AU49" s="2473"/>
      <c r="AV49" s="2474"/>
      <c r="AW49" s="2472"/>
      <c r="AX49" s="2472"/>
      <c r="AY49" s="2472"/>
      <c r="AZ49" s="2472"/>
      <c r="BA49" s="2473"/>
      <c r="BB49" s="2474"/>
      <c r="BC49" s="2472"/>
      <c r="BD49" s="2472"/>
      <c r="BE49" s="2472"/>
      <c r="BF49" s="2472"/>
      <c r="BG49" s="2472"/>
      <c r="BH49" s="2472"/>
      <c r="BI49" s="2472"/>
      <c r="BJ49" s="2472"/>
      <c r="BK49" s="359"/>
      <c r="BL49" s="2475">
        <v>13.93</v>
      </c>
      <c r="BM49" s="2475">
        <v>14.22</v>
      </c>
      <c r="BN49" s="2475">
        <v>14.51</v>
      </c>
      <c r="BO49" s="2476">
        <v>14.71</v>
      </c>
      <c r="BP49" s="2477">
        <v>7.68</v>
      </c>
      <c r="BQ49" s="2475">
        <v>8.52</v>
      </c>
      <c r="BR49" s="2475">
        <v>9.11</v>
      </c>
      <c r="BS49" s="2475">
        <v>9.27</v>
      </c>
      <c r="BT49" s="2475">
        <v>9.4600000000000009</v>
      </c>
      <c r="BU49" s="2475">
        <v>9.7899999999999991</v>
      </c>
      <c r="BV49" s="2475">
        <v>9.89</v>
      </c>
      <c r="BW49" s="2475"/>
      <c r="BX49" s="2476"/>
      <c r="BY49" s="2477"/>
      <c r="BZ49" s="2475"/>
      <c r="CA49" s="2475"/>
      <c r="CB49" s="2475"/>
      <c r="CC49" s="2475"/>
      <c r="CD49" s="2476"/>
      <c r="CE49" s="2477"/>
      <c r="CF49" s="2475"/>
      <c r="CG49" s="2475"/>
      <c r="CH49" s="2475"/>
      <c r="CI49" s="2475"/>
      <c r="CJ49" s="2475"/>
      <c r="CK49" s="2475"/>
      <c r="CL49" s="2475"/>
      <c r="CM49" s="2475"/>
      <c r="CN49" s="359"/>
      <c r="CO49" s="2472"/>
      <c r="CP49" s="2472"/>
      <c r="CQ49" s="2472"/>
      <c r="CR49" s="2473"/>
      <c r="CS49" s="2474"/>
      <c r="CT49" s="2472"/>
      <c r="CU49" s="2472"/>
      <c r="CV49" s="2472"/>
      <c r="CW49" s="2472"/>
      <c r="CX49" s="2472"/>
      <c r="CY49" s="2472"/>
      <c r="CZ49" s="2472"/>
      <c r="DA49" s="2473"/>
      <c r="DB49" s="2474"/>
      <c r="DC49" s="2472"/>
      <c r="DD49" s="2472"/>
      <c r="DE49" s="2472"/>
      <c r="DF49" s="2472"/>
      <c r="DG49" s="2473"/>
      <c r="DH49" s="2474"/>
      <c r="DI49" s="2472"/>
      <c r="DJ49" s="2472"/>
      <c r="DK49" s="2472"/>
      <c r="DL49" s="2472"/>
      <c r="DM49" s="2472"/>
      <c r="DN49" s="2472"/>
      <c r="DO49" s="2472"/>
      <c r="DP49" s="2472"/>
      <c r="DQ49" s="359"/>
      <c r="DR49" s="2478"/>
      <c r="DS49" s="2472"/>
      <c r="DT49" s="2472"/>
      <c r="DU49" s="2472"/>
      <c r="DV49" s="2473"/>
      <c r="DW49" s="2474"/>
      <c r="DX49" s="2472"/>
      <c r="DY49" s="2472"/>
      <c r="DZ49" s="2472"/>
      <c r="EA49" s="2472"/>
      <c r="EB49" s="2472"/>
      <c r="EC49" s="2472"/>
      <c r="ED49" s="2472"/>
      <c r="EE49" s="2473"/>
      <c r="EF49" s="2474"/>
      <c r="EG49" s="2472"/>
      <c r="EH49" s="2472"/>
      <c r="EI49" s="2472"/>
      <c r="EJ49" s="2472"/>
      <c r="EK49" s="2473"/>
      <c r="EL49" s="2474"/>
      <c r="EM49" s="2472"/>
      <c r="EN49" s="2472"/>
      <c r="EO49" s="2472"/>
      <c r="EP49" s="2472"/>
      <c r="EQ49" s="2472"/>
      <c r="ER49" s="2472"/>
      <c r="ES49" s="2472"/>
      <c r="ET49" s="2472"/>
      <c r="EU49" s="359"/>
      <c r="EV49" s="2472"/>
      <c r="EW49" s="2472"/>
      <c r="EX49" s="2472"/>
      <c r="EY49" s="2473"/>
      <c r="EZ49" s="2474"/>
      <c r="FA49" s="2472"/>
      <c r="FB49" s="2472"/>
      <c r="FC49" s="2472"/>
      <c r="FD49" s="2472"/>
      <c r="FE49" s="2472"/>
      <c r="FF49" s="2472"/>
      <c r="FG49" s="2472"/>
      <c r="FH49" s="2473"/>
      <c r="FI49" s="2474"/>
      <c r="FJ49" s="2472"/>
      <c r="FK49" s="2472"/>
      <c r="FL49" s="2472"/>
      <c r="FM49" s="2472"/>
      <c r="FN49" s="2473"/>
      <c r="FO49" s="2474"/>
      <c r="FP49" s="2472"/>
      <c r="FQ49" s="2472"/>
      <c r="FR49" s="2472"/>
      <c r="FS49" s="2472"/>
      <c r="FT49" s="2472"/>
      <c r="FU49" s="2472"/>
      <c r="FV49" s="2472"/>
      <c r="FW49" s="2472"/>
    </row>
    <row r="50" spans="3:180" ht="15" thickTop="1" x14ac:dyDescent="0.35">
      <c r="C50" s="1" t="s">
        <v>174</v>
      </c>
      <c r="F50" s="1033" cm="1">
        <f t="array" ref="F50:F52">'HPS DAILY'!$G$27:$G$29</f>
        <v>83.9</v>
      </c>
      <c r="G50" s="309" cm="1">
        <f t="array" ref="G50:G52">'HPS DAILY'!$G$27:$G$29</f>
        <v>83.9</v>
      </c>
      <c r="H50" s="309" cm="1">
        <f t="array" ref="H50:H52">'HPS DAILY'!$G$27:$G$29</f>
        <v>83.9</v>
      </c>
      <c r="I50" s="422" cm="1">
        <f t="array" ref="I50:I52">'HPS DAILY'!$G$27:$G$29</f>
        <v>83.9</v>
      </c>
      <c r="J50" s="421">
        <f>'HPS DAILY'!$H$27</f>
        <v>83.9</v>
      </c>
      <c r="K50" s="309">
        <f>'HPS DAILY'!$H$27</f>
        <v>83.9</v>
      </c>
      <c r="L50" s="309">
        <f>'HPS DAILY'!$H$27</f>
        <v>83.9</v>
      </c>
      <c r="M50" s="309">
        <f>'HPS DAILY'!$H$27</f>
        <v>83.9</v>
      </c>
      <c r="N50" s="309">
        <f>'HPS DAILY'!$H$27</f>
        <v>83.9</v>
      </c>
      <c r="O50" s="422">
        <f>'HPS DAILY'!$H$27</f>
        <v>83.9</v>
      </c>
      <c r="P50" s="421">
        <f>'HPS DAILY'!$I$27</f>
        <v>83.9</v>
      </c>
      <c r="Q50" s="309">
        <f>'HPS DAILY'!$I$27</f>
        <v>83.9</v>
      </c>
      <c r="R50" s="422">
        <f>'HPS DAILY'!$I$27</f>
        <v>83.9</v>
      </c>
      <c r="S50" s="421">
        <f>'HPS DAILY'!$I$27</f>
        <v>83.9</v>
      </c>
      <c r="T50" s="309">
        <f>'HPS DAILY'!$I$27</f>
        <v>83.9</v>
      </c>
      <c r="U50" s="309">
        <f>'HPS DAILY'!$I$27</f>
        <v>83.9</v>
      </c>
      <c r="V50" s="309">
        <f>'HPS DAILY'!$I$27</f>
        <v>83.9</v>
      </c>
      <c r="W50" s="309">
        <f>'HPS DAILY'!$I$27</f>
        <v>83.9</v>
      </c>
      <c r="X50" s="422">
        <f>'HPS DAILY'!$I$27</f>
        <v>83.9</v>
      </c>
      <c r="Y50" s="421">
        <f>'HPS DAILY'!$I$27</f>
        <v>83.9</v>
      </c>
      <c r="Z50" s="309">
        <f>'HPS DAILY'!$I$27</f>
        <v>83.9</v>
      </c>
      <c r="AA50" s="309">
        <f>'HPS DAILY'!$I$27</f>
        <v>83.9</v>
      </c>
      <c r="AB50" s="309">
        <f>'HPS DAILY'!$I$27</f>
        <v>83.9</v>
      </c>
      <c r="AC50" s="309">
        <f>'HPS DAILY'!$I$27</f>
        <v>83.9</v>
      </c>
      <c r="AD50" s="309">
        <f>'HPS DAILY'!$I$27</f>
        <v>83.9</v>
      </c>
      <c r="AE50" s="309">
        <f>'HPS DAILY'!$I$27</f>
        <v>83.9</v>
      </c>
      <c r="AF50" s="309">
        <f>'HPS DAILY'!$I$27</f>
        <v>83.9</v>
      </c>
      <c r="AG50" s="309">
        <f>'HPS DAILY'!$I$27</f>
        <v>83.9</v>
      </c>
      <c r="AH50" s="356"/>
      <c r="AI50" s="313">
        <f>ISV!G$26</f>
        <v>0</v>
      </c>
      <c r="AJ50" s="313">
        <f>ISV!H$26</f>
        <v>0</v>
      </c>
      <c r="AK50" s="313">
        <f>ISV!I$26</f>
        <v>0</v>
      </c>
      <c r="AL50" s="1614">
        <f>ISV!J$26</f>
        <v>0</v>
      </c>
      <c r="AM50" s="1606">
        <f>ISV!K$26</f>
        <v>86.31</v>
      </c>
      <c r="AN50" s="313">
        <f>ISV!L$26</f>
        <v>86.45</v>
      </c>
      <c r="AO50" s="313">
        <f>ISV!M$26</f>
        <v>0</v>
      </c>
      <c r="AP50" s="313">
        <f>ISV!N$26</f>
        <v>0</v>
      </c>
      <c r="AQ50" s="313">
        <f>ISV!O$26</f>
        <v>0</v>
      </c>
      <c r="AR50" s="313">
        <f>ISV!P$26</f>
        <v>0</v>
      </c>
      <c r="AS50" s="313">
        <f>ISV!Q$26</f>
        <v>0</v>
      </c>
      <c r="AT50" s="313">
        <f>ISV!R$26</f>
        <v>0</v>
      </c>
      <c r="AU50" s="1614">
        <f>ISV!S$26</f>
        <v>0</v>
      </c>
      <c r="AV50" s="1606">
        <f>ISV!T$26</f>
        <v>0</v>
      </c>
      <c r="AW50" s="313">
        <f>ISV!U$26</f>
        <v>0</v>
      </c>
      <c r="AX50" s="313">
        <f>ISV!V$26</f>
        <v>0</v>
      </c>
      <c r="AY50" s="313">
        <f>ISV!W$26</f>
        <v>0</v>
      </c>
      <c r="AZ50" s="313">
        <f>ISV!X$26</f>
        <v>0</v>
      </c>
      <c r="BA50" s="1614">
        <f>ISV!Y$26</f>
        <v>0</v>
      </c>
      <c r="BB50" s="1606">
        <f>ISV!Z$26</f>
        <v>0</v>
      </c>
      <c r="BC50" s="313">
        <f>ISV!AA$26</f>
        <v>0</v>
      </c>
      <c r="BD50" s="313">
        <f>ISV!AB$26</f>
        <v>0</v>
      </c>
      <c r="BE50" s="313">
        <f>ISV!AC$26</f>
        <v>0</v>
      </c>
      <c r="BF50" s="313">
        <f>ISV!AD$26</f>
        <v>0</v>
      </c>
      <c r="BG50" s="313">
        <f>ISV!AE$26</f>
        <v>0</v>
      </c>
      <c r="BH50" s="313">
        <f>ISV!AF$26</f>
        <v>0</v>
      </c>
      <c r="BI50" s="313">
        <f>ISV!AG$26</f>
        <v>0</v>
      </c>
      <c r="BJ50" s="313">
        <f>ISV!AH$26</f>
        <v>0</v>
      </c>
      <c r="BK50" s="356"/>
      <c r="BL50" s="314">
        <f>'HPS DAILY'!K$27</f>
        <v>87.68</v>
      </c>
      <c r="BM50" s="314">
        <f>'HPS DAILY'!L$27</f>
        <v>86.89</v>
      </c>
      <c r="BN50" s="314">
        <f>'HPS DAILY'!M$27</f>
        <v>88.44</v>
      </c>
      <c r="BO50" s="1330">
        <f>'HPS DAILY'!N$27</f>
        <v>88.09</v>
      </c>
      <c r="BP50" s="1331">
        <f>'HPS DAILY'!O$27</f>
        <v>88.54</v>
      </c>
      <c r="BQ50" s="314">
        <f>'HPS DAILY'!P$27</f>
        <v>88.37</v>
      </c>
      <c r="BR50" s="314">
        <f>'HPS DAILY'!Q$27</f>
        <v>89.16</v>
      </c>
      <c r="BS50" s="314">
        <f>'HPS DAILY'!R$27</f>
        <v>89.59</v>
      </c>
      <c r="BT50" s="314">
        <f>'HPS DAILY'!S$27</f>
        <v>89.41</v>
      </c>
      <c r="BU50" s="314">
        <f>'HPS DAILY'!T$27</f>
        <v>89.56</v>
      </c>
      <c r="BV50" s="314">
        <f>'HPS DAILY'!U$27</f>
        <v>89.12</v>
      </c>
      <c r="BW50" s="314">
        <f>'HPS DAILY'!V$27</f>
        <v>89.66</v>
      </c>
      <c r="BX50" s="1330">
        <f>'HPS DAILY'!W$27</f>
        <v>88.78</v>
      </c>
      <c r="BY50" s="1331">
        <f>'HPS DAILY'!X$27</f>
        <v>0</v>
      </c>
      <c r="BZ50" s="314">
        <f>'HPS DAILY'!Y$27</f>
        <v>0</v>
      </c>
      <c r="CA50" s="314">
        <f>'HPS DAILY'!Z$27</f>
        <v>0</v>
      </c>
      <c r="CB50" s="314">
        <f>'HPS DAILY'!AA$27</f>
        <v>0</v>
      </c>
      <c r="CC50" s="314">
        <f>'HPS DAILY'!AB$27</f>
        <v>0</v>
      </c>
      <c r="CD50" s="1330">
        <f>'HPS DAILY'!AC$27</f>
        <v>0</v>
      </c>
      <c r="CE50" s="1331">
        <f>'HPS DAILY'!AD$27</f>
        <v>0</v>
      </c>
      <c r="CF50" s="314">
        <f>'HPS DAILY'!AE$27</f>
        <v>0</v>
      </c>
      <c r="CG50" s="314">
        <f>'HPS DAILY'!AF$27</f>
        <v>0</v>
      </c>
      <c r="CH50" s="314">
        <f>'HPS DAILY'!AG$27</f>
        <v>0</v>
      </c>
      <c r="CI50" s="314">
        <f>'HPS DAILY'!AH$27</f>
        <v>0</v>
      </c>
      <c r="CJ50" s="314">
        <f>'HPS DAILY'!AI$27</f>
        <v>0</v>
      </c>
      <c r="CK50" s="314">
        <f>'HPS DAILY'!AJ$27</f>
        <v>0</v>
      </c>
      <c r="CL50" s="314">
        <f>'HPS DAILY'!AK$27</f>
        <v>0</v>
      </c>
      <c r="CM50" s="314">
        <f>'HPS DAILY'!AL$27</f>
        <v>0</v>
      </c>
      <c r="CN50" s="356"/>
      <c r="CO50" s="309"/>
      <c r="CP50" s="309"/>
      <c r="CQ50" s="309"/>
      <c r="CR50" s="422"/>
      <c r="CS50" s="421"/>
      <c r="CT50" s="309"/>
      <c r="CU50" s="309"/>
      <c r="CV50" s="309"/>
      <c r="CW50" s="309"/>
      <c r="CX50" s="309"/>
      <c r="CY50" s="309"/>
      <c r="CZ50" s="309"/>
      <c r="DA50" s="422"/>
      <c r="DB50" s="421"/>
      <c r="DC50" s="309"/>
      <c r="DD50" s="309"/>
      <c r="DE50" s="300"/>
      <c r="DF50" s="300"/>
      <c r="DG50" s="1512"/>
      <c r="DH50" s="1506"/>
      <c r="DI50" s="300"/>
      <c r="DJ50" s="300"/>
      <c r="DK50" s="300"/>
      <c r="DL50" s="300"/>
      <c r="DM50" s="300"/>
      <c r="DN50" s="300"/>
      <c r="DO50" s="300"/>
      <c r="DP50" s="300"/>
      <c r="DQ50" s="356"/>
      <c r="DR50" s="358"/>
      <c r="DS50" s="229"/>
      <c r="DT50" s="229"/>
      <c r="DU50" s="229"/>
      <c r="DV50" s="1245"/>
      <c r="DW50" s="538"/>
      <c r="DX50" s="229"/>
      <c r="DY50" s="229"/>
      <c r="DZ50" s="229"/>
      <c r="EA50" s="229"/>
      <c r="EB50" s="229"/>
      <c r="EC50" s="229"/>
      <c r="ED50" s="229"/>
      <c r="EE50" s="1245"/>
      <c r="EF50" s="538"/>
      <c r="EG50" s="229"/>
      <c r="EH50" s="229"/>
      <c r="EI50" s="229"/>
      <c r="EJ50" s="229"/>
      <c r="EK50" s="1245"/>
      <c r="EL50" s="538"/>
      <c r="EM50" s="229"/>
      <c r="EN50" s="229"/>
      <c r="EO50" s="229"/>
      <c r="EP50" s="229"/>
      <c r="EQ50" s="229"/>
      <c r="ER50" s="229"/>
      <c r="ES50" s="229"/>
      <c r="ET50" s="229"/>
      <c r="EU50" s="356"/>
      <c r="EV50" s="229"/>
      <c r="EW50" s="229"/>
      <c r="EX50" s="229"/>
      <c r="EY50" s="1245"/>
      <c r="EZ50" s="538"/>
      <c r="FA50" s="229"/>
      <c r="FB50" s="229"/>
      <c r="FC50" s="229"/>
      <c r="FD50" s="229"/>
      <c r="FE50" s="229"/>
      <c r="FF50" s="229"/>
      <c r="FG50" s="229"/>
      <c r="FH50" s="1245"/>
      <c r="FI50" s="538"/>
      <c r="FJ50" s="229"/>
      <c r="FK50" s="229"/>
      <c r="FL50" s="229"/>
      <c r="FM50" s="229"/>
      <c r="FN50" s="1245"/>
      <c r="FO50" s="538"/>
      <c r="FP50" s="229"/>
      <c r="FQ50" s="229"/>
      <c r="FR50" s="229"/>
      <c r="FS50" s="229"/>
      <c r="FT50" s="229"/>
      <c r="FU50" s="229"/>
      <c r="FV50" s="229"/>
      <c r="FW50" s="229"/>
    </row>
    <row r="51" spans="3:180" x14ac:dyDescent="0.35">
      <c r="C51" s="1" t="s">
        <v>175</v>
      </c>
      <c r="F51" s="501">
        <v>9.7479999999999993</v>
      </c>
      <c r="G51" s="249">
        <v>9.7479999999999993</v>
      </c>
      <c r="H51" s="249">
        <v>9.7479999999999993</v>
      </c>
      <c r="I51" s="1242">
        <v>9.7479999999999993</v>
      </c>
      <c r="J51" s="419">
        <f>'HPS DAILY'!$H$28</f>
        <v>9.7479999999999993</v>
      </c>
      <c r="K51" s="249">
        <f>'HPS DAILY'!$H$28</f>
        <v>9.7479999999999993</v>
      </c>
      <c r="L51" s="249">
        <f>'HPS DAILY'!$H$28</f>
        <v>9.7479999999999993</v>
      </c>
      <c r="M51" s="249">
        <f>'HPS DAILY'!$H$28</f>
        <v>9.7479999999999993</v>
      </c>
      <c r="N51" s="249">
        <f>'HPS DAILY'!$H$28</f>
        <v>9.7479999999999993</v>
      </c>
      <c r="O51" s="1242">
        <f>'HPS DAILY'!$H$28</f>
        <v>9.7479999999999993</v>
      </c>
      <c r="P51" s="419">
        <f>'HPS DAILY'!$I$28</f>
        <v>9.7479999999999993</v>
      </c>
      <c r="Q51" s="249">
        <f>'HPS DAILY'!$I$28</f>
        <v>9.7479999999999993</v>
      </c>
      <c r="R51" s="1242">
        <f>'HPS DAILY'!$I$28</f>
        <v>9.7479999999999993</v>
      </c>
      <c r="S51" s="419">
        <f>'HPS DAILY'!$I$28</f>
        <v>9.7479999999999993</v>
      </c>
      <c r="T51" s="249">
        <f>'HPS DAILY'!$I$28</f>
        <v>9.7479999999999993</v>
      </c>
      <c r="U51" s="249">
        <f>'HPS DAILY'!$I$28</f>
        <v>9.7479999999999993</v>
      </c>
      <c r="V51" s="249">
        <f>'HPS DAILY'!$I$28</f>
        <v>9.7479999999999993</v>
      </c>
      <c r="W51" s="249">
        <f>'HPS DAILY'!$I$28</f>
        <v>9.7479999999999993</v>
      </c>
      <c r="X51" s="1242">
        <f>'HPS DAILY'!$I$28</f>
        <v>9.7479999999999993</v>
      </c>
      <c r="Y51" s="419">
        <f>'HPS DAILY'!$I$28</f>
        <v>9.7479999999999993</v>
      </c>
      <c r="Z51" s="249">
        <f>'HPS DAILY'!$I$28</f>
        <v>9.7479999999999993</v>
      </c>
      <c r="AA51" s="249">
        <f>'HPS DAILY'!$I$28</f>
        <v>9.7479999999999993</v>
      </c>
      <c r="AB51" s="249">
        <f>'HPS DAILY'!$I$28</f>
        <v>9.7479999999999993</v>
      </c>
      <c r="AC51" s="249">
        <f>'HPS DAILY'!$I$28</f>
        <v>9.7479999999999993</v>
      </c>
      <c r="AD51" s="249">
        <f>'HPS DAILY'!$I$28</f>
        <v>9.7479999999999993</v>
      </c>
      <c r="AE51" s="249">
        <f>'HPS DAILY'!$I$28</f>
        <v>9.7479999999999993</v>
      </c>
      <c r="AF51" s="249">
        <f>'HPS DAILY'!$I$28</f>
        <v>9.7479999999999993</v>
      </c>
      <c r="AG51" s="249">
        <f>'HPS DAILY'!$I$28</f>
        <v>9.7479999999999993</v>
      </c>
      <c r="AI51" s="267">
        <f>ISV!G$26</f>
        <v>0</v>
      </c>
      <c r="AJ51" s="267">
        <f>ISV!H$26</f>
        <v>0</v>
      </c>
      <c r="AK51" s="267">
        <f>ISV!I$26</f>
        <v>0</v>
      </c>
      <c r="AL51" s="1285">
        <f>ISV!J$26</f>
        <v>0</v>
      </c>
      <c r="AM51" s="645">
        <f>ISV!K$26</f>
        <v>86.31</v>
      </c>
      <c r="AN51" s="267">
        <f>ISV!L$26</f>
        <v>86.45</v>
      </c>
      <c r="AO51" s="267">
        <f>ISV!M$26</f>
        <v>0</v>
      </c>
      <c r="AP51" s="267">
        <f>ISV!N$26</f>
        <v>0</v>
      </c>
      <c r="AQ51" s="267">
        <f>ISV!O$26</f>
        <v>0</v>
      </c>
      <c r="AR51" s="267">
        <f>ISV!P$26</f>
        <v>0</v>
      </c>
      <c r="AS51" s="267">
        <f>ISV!Q$26</f>
        <v>0</v>
      </c>
      <c r="AT51" s="267">
        <f>ISV!R$26</f>
        <v>0</v>
      </c>
      <c r="AU51" s="1285">
        <f>ISV!S$26</f>
        <v>0</v>
      </c>
      <c r="AV51" s="645">
        <f>ISV!T$26</f>
        <v>0</v>
      </c>
      <c r="AW51" s="267">
        <f>ISV!U$26</f>
        <v>0</v>
      </c>
      <c r="AX51" s="267">
        <f>ISV!V$26</f>
        <v>0</v>
      </c>
      <c r="AY51" s="267">
        <f>ISV!W$26</f>
        <v>0</v>
      </c>
      <c r="AZ51" s="267">
        <f>ISV!X$26</f>
        <v>0</v>
      </c>
      <c r="BA51" s="1285">
        <f>ISV!Y$26</f>
        <v>0</v>
      </c>
      <c r="BB51" s="645">
        <f>ISV!Z$26</f>
        <v>0</v>
      </c>
      <c r="BC51" s="267">
        <f>ISV!AA$26</f>
        <v>0</v>
      </c>
      <c r="BD51" s="267">
        <f>ISV!AB$26</f>
        <v>0</v>
      </c>
      <c r="BE51" s="267">
        <f>ISV!AC$26</f>
        <v>0</v>
      </c>
      <c r="BF51" s="267">
        <f>ISV!AD$26</f>
        <v>0</v>
      </c>
      <c r="BG51" s="267">
        <f>ISV!AE$26</f>
        <v>0</v>
      </c>
      <c r="BH51" s="267">
        <f>ISV!AF$26</f>
        <v>0</v>
      </c>
      <c r="BI51" s="267">
        <f>ISV!AG$26</f>
        <v>0</v>
      </c>
      <c r="BJ51" s="267">
        <f>ISV!AH$26</f>
        <v>0</v>
      </c>
      <c r="BL51" s="250">
        <f>'HPS DAILY'!K$28</f>
        <v>11.09</v>
      </c>
      <c r="BM51" s="250">
        <f>'HPS DAILY'!L$28</f>
        <v>10.74</v>
      </c>
      <c r="BN51" s="250">
        <f>'HPS DAILY'!M$28</f>
        <v>10.97</v>
      </c>
      <c r="BO51" s="1280">
        <f>'HPS DAILY'!N$28</f>
        <v>10.92</v>
      </c>
      <c r="BP51" s="1223">
        <f>'HPS DAILY'!O$28</f>
        <v>11.46</v>
      </c>
      <c r="BQ51" s="250">
        <f>'HPS DAILY'!P$28</f>
        <v>11.4</v>
      </c>
      <c r="BR51" s="250">
        <f>'HPS DAILY'!Q$28</f>
        <v>11.25</v>
      </c>
      <c r="BS51" s="250">
        <f>'HPS DAILY'!R$28</f>
        <v>11.16</v>
      </c>
      <c r="BT51" s="250">
        <f>'HPS DAILY'!S$28</f>
        <v>11.17</v>
      </c>
      <c r="BU51" s="250">
        <f>'HPS DAILY'!T$28</f>
        <v>11.11</v>
      </c>
      <c r="BV51" s="250">
        <f>'HPS DAILY'!U$28</f>
        <v>11.11</v>
      </c>
      <c r="BW51" s="250">
        <f>'HPS DAILY'!V$28</f>
        <v>11.07</v>
      </c>
      <c r="BX51" s="1280">
        <f>'HPS DAILY'!W$28</f>
        <v>11.19</v>
      </c>
      <c r="BY51" s="1223">
        <f>'HPS DAILY'!X$28</f>
        <v>0</v>
      </c>
      <c r="BZ51" s="250">
        <f>'HPS DAILY'!Y$28</f>
        <v>0</v>
      </c>
      <c r="CA51" s="250">
        <f>'HPS DAILY'!Z$28</f>
        <v>0</v>
      </c>
      <c r="CB51" s="250">
        <f>'HPS DAILY'!AA$28</f>
        <v>0</v>
      </c>
      <c r="CC51" s="250">
        <f>'HPS DAILY'!AB$28</f>
        <v>0</v>
      </c>
      <c r="CD51" s="1280">
        <f>'HPS DAILY'!AC$28</f>
        <v>0</v>
      </c>
      <c r="CE51" s="1223">
        <f>'HPS DAILY'!AD$28</f>
        <v>0</v>
      </c>
      <c r="CF51" s="250">
        <f>'HPS DAILY'!AE$28</f>
        <v>0</v>
      </c>
      <c r="CG51" s="250">
        <f>'HPS DAILY'!AF$28</f>
        <v>0</v>
      </c>
      <c r="CH51" s="250">
        <f>'HPS DAILY'!AG$28</f>
        <v>0</v>
      </c>
      <c r="CI51" s="250">
        <f>'HPS DAILY'!AH$28</f>
        <v>0</v>
      </c>
      <c r="CJ51" s="250">
        <f>'HPS DAILY'!AI$28</f>
        <v>0</v>
      </c>
      <c r="CK51" s="250">
        <f>'HPS DAILY'!AJ$28</f>
        <v>0</v>
      </c>
      <c r="CL51" s="250">
        <f>'HPS DAILY'!AK$28</f>
        <v>0</v>
      </c>
      <c r="CM51" s="250">
        <f>'HPS DAILY'!AL$28</f>
        <v>0</v>
      </c>
      <c r="CO51" s="249"/>
      <c r="CP51" s="249"/>
      <c r="CQ51" s="249"/>
      <c r="CR51" s="1242"/>
      <c r="CS51" s="419"/>
      <c r="CT51" s="249"/>
      <c r="CU51" s="249"/>
      <c r="CV51" s="249"/>
      <c r="CW51" s="249"/>
      <c r="CX51" s="249"/>
      <c r="CY51" s="249"/>
      <c r="CZ51" s="249"/>
      <c r="DA51" s="1242"/>
      <c r="DB51" s="419"/>
      <c r="DC51" s="249"/>
      <c r="DD51" s="249"/>
    </row>
    <row r="52" spans="3:180" x14ac:dyDescent="0.35">
      <c r="C52" s="1" t="s">
        <v>176</v>
      </c>
      <c r="F52" s="501">
        <v>0.43840000000000001</v>
      </c>
      <c r="G52" s="249">
        <v>0.43840000000000001</v>
      </c>
      <c r="H52" s="249">
        <v>0.43840000000000001</v>
      </c>
      <c r="I52" s="1242">
        <v>0.43840000000000001</v>
      </c>
      <c r="J52" s="419">
        <f>'HPS DAILY'!$H$29</f>
        <v>0.43840000000000001</v>
      </c>
      <c r="K52" s="249">
        <f>'HPS DAILY'!$H$29</f>
        <v>0.43840000000000001</v>
      </c>
      <c r="L52" s="249">
        <f>'HPS DAILY'!$H$29</f>
        <v>0.43840000000000001</v>
      </c>
      <c r="M52" s="249">
        <f>'HPS DAILY'!$H$29</f>
        <v>0.43840000000000001</v>
      </c>
      <c r="N52" s="249">
        <f>'HPS DAILY'!$H$29</f>
        <v>0.43840000000000001</v>
      </c>
      <c r="O52" s="1242">
        <f>'HPS DAILY'!$H$29</f>
        <v>0.43840000000000001</v>
      </c>
      <c r="P52" s="419">
        <f>'HPS DAILY'!$I$29</f>
        <v>0.43840000000000001</v>
      </c>
      <c r="Q52" s="249">
        <f>'HPS DAILY'!$I$29</f>
        <v>0.43840000000000001</v>
      </c>
      <c r="R52" s="1242">
        <f>'HPS DAILY'!$I$29</f>
        <v>0.43840000000000001</v>
      </c>
      <c r="S52" s="419">
        <f>'HPS DAILY'!$I$29</f>
        <v>0.43840000000000001</v>
      </c>
      <c r="T52" s="249">
        <f>'HPS DAILY'!$I$29</f>
        <v>0.43840000000000001</v>
      </c>
      <c r="U52" s="249">
        <f>'HPS DAILY'!$I$29</f>
        <v>0.43840000000000001</v>
      </c>
      <c r="V52" s="249">
        <f>'HPS DAILY'!$I$29</f>
        <v>0.43840000000000001</v>
      </c>
      <c r="W52" s="249">
        <f>'HPS DAILY'!$I$29</f>
        <v>0.43840000000000001</v>
      </c>
      <c r="X52" s="1242">
        <f>'HPS DAILY'!$I$29</f>
        <v>0.43840000000000001</v>
      </c>
      <c r="Y52" s="419">
        <f>'HPS DAILY'!$I$29</f>
        <v>0.43840000000000001</v>
      </c>
      <c r="Z52" s="249">
        <f>'HPS DAILY'!$I$29</f>
        <v>0.43840000000000001</v>
      </c>
      <c r="AA52" s="249">
        <f>'HPS DAILY'!$I$29</f>
        <v>0.43840000000000001</v>
      </c>
      <c r="AB52" s="249">
        <f>'HPS DAILY'!$I$29</f>
        <v>0.43840000000000001</v>
      </c>
      <c r="AC52" s="249">
        <f>'HPS DAILY'!$I$29</f>
        <v>0.43840000000000001</v>
      </c>
      <c r="AD52" s="249">
        <f>'HPS DAILY'!$I$29</f>
        <v>0.43840000000000001</v>
      </c>
      <c r="AE52" s="249">
        <f>'HPS DAILY'!$I$29</f>
        <v>0.43840000000000001</v>
      </c>
      <c r="AF52" s="249">
        <f>'HPS DAILY'!$I$29</f>
        <v>0.43840000000000001</v>
      </c>
      <c r="AG52" s="249">
        <f>'HPS DAILY'!$I$29</f>
        <v>0.43840000000000001</v>
      </c>
      <c r="AI52" s="267">
        <f>ISV!G$28</f>
        <v>0</v>
      </c>
      <c r="AJ52" s="267">
        <f>ISV!H$28</f>
        <v>0</v>
      </c>
      <c r="AK52" s="267">
        <f>ISV!I$28</f>
        <v>0</v>
      </c>
      <c r="AL52" s="1285">
        <f>ISV!J$28</f>
        <v>0</v>
      </c>
      <c r="AM52" s="645">
        <f>ISV!K$28</f>
        <v>0.41339999999999999</v>
      </c>
      <c r="AN52" s="267">
        <f>ISV!L$28</f>
        <v>0.34689999999999999</v>
      </c>
      <c r="AO52" s="267">
        <f>ISV!M$28</f>
        <v>0</v>
      </c>
      <c r="AP52" s="267">
        <f>ISV!N$28</f>
        <v>0</v>
      </c>
      <c r="AQ52" s="267">
        <f>ISV!O$28</f>
        <v>0</v>
      </c>
      <c r="AR52" s="267">
        <f>ISV!P$28</f>
        <v>0</v>
      </c>
      <c r="AS52" s="267">
        <f>ISV!Q$28</f>
        <v>0</v>
      </c>
      <c r="AT52" s="267">
        <f>ISV!R$28</f>
        <v>0</v>
      </c>
      <c r="AU52" s="1285">
        <f>ISV!S$28</f>
        <v>0</v>
      </c>
      <c r="AV52" s="645">
        <f>ISV!T$28</f>
        <v>0</v>
      </c>
      <c r="AW52" s="267">
        <f>ISV!U$28</f>
        <v>0</v>
      </c>
      <c r="AX52" s="267">
        <f>ISV!V$28</f>
        <v>0</v>
      </c>
      <c r="AY52" s="267">
        <f>ISV!W$28</f>
        <v>0</v>
      </c>
      <c r="AZ52" s="267">
        <f>ISV!X$28</f>
        <v>0</v>
      </c>
      <c r="BA52" s="1285">
        <f>ISV!Y$28</f>
        <v>0</v>
      </c>
      <c r="BB52" s="645">
        <f>ISV!Z$28</f>
        <v>0</v>
      </c>
      <c r="BC52" s="267">
        <f>ISV!AA$28</f>
        <v>0</v>
      </c>
      <c r="BD52" s="267">
        <f>ISV!AB$28</f>
        <v>0</v>
      </c>
      <c r="BE52" s="267">
        <f>ISV!AC$28</f>
        <v>0</v>
      </c>
      <c r="BF52" s="267">
        <f>ISV!AD$28</f>
        <v>0</v>
      </c>
      <c r="BG52" s="267">
        <f>ISV!AE$28</f>
        <v>0</v>
      </c>
      <c r="BH52" s="267">
        <f>ISV!AF$28</f>
        <v>0</v>
      </c>
      <c r="BI52" s="267">
        <f>ISV!AG$28</f>
        <v>0</v>
      </c>
      <c r="BJ52" s="267">
        <f>ISV!AH$28</f>
        <v>0</v>
      </c>
      <c r="BL52" s="250">
        <f>'HPS DAILY'!K$29</f>
        <v>0.29880000000000001</v>
      </c>
      <c r="BM52" s="250">
        <f>'HPS DAILY'!L$28</f>
        <v>10.74</v>
      </c>
      <c r="BN52" s="250">
        <f>'HPS DAILY'!M$28</f>
        <v>10.97</v>
      </c>
      <c r="BO52" s="1280">
        <f>'HPS DAILY'!N$28</f>
        <v>10.92</v>
      </c>
      <c r="BP52" s="1223">
        <f>'HPS DAILY'!O$28</f>
        <v>11.46</v>
      </c>
      <c r="BQ52" s="250">
        <f>'HPS DAILY'!P$28</f>
        <v>11.4</v>
      </c>
      <c r="BR52" s="250">
        <f>'HPS DAILY'!Q$28</f>
        <v>11.25</v>
      </c>
      <c r="BS52" s="250">
        <f>'HPS DAILY'!R$28</f>
        <v>11.16</v>
      </c>
      <c r="BT52" s="250">
        <f>'HPS DAILY'!S$28</f>
        <v>11.17</v>
      </c>
      <c r="BU52" s="250">
        <f>'HPS DAILY'!T$28</f>
        <v>11.11</v>
      </c>
      <c r="BV52" s="250">
        <f>'HPS DAILY'!U$28</f>
        <v>11.11</v>
      </c>
      <c r="BW52" s="250">
        <f>'HPS DAILY'!V$28</f>
        <v>11.07</v>
      </c>
      <c r="BX52" s="1280">
        <f>'HPS DAILY'!W$28</f>
        <v>11.19</v>
      </c>
      <c r="BY52" s="1223">
        <f>'HPS DAILY'!X$28</f>
        <v>0</v>
      </c>
      <c r="BZ52" s="250">
        <f>'HPS DAILY'!Y$28</f>
        <v>0</v>
      </c>
      <c r="CA52" s="250">
        <f>'HPS DAILY'!Z$28</f>
        <v>0</v>
      </c>
      <c r="CB52" s="250">
        <f>'HPS DAILY'!AA$28</f>
        <v>0</v>
      </c>
      <c r="CC52" s="250">
        <f>'HPS DAILY'!AB$28</f>
        <v>0</v>
      </c>
      <c r="CD52" s="1280">
        <f>'HPS DAILY'!AC$28</f>
        <v>0</v>
      </c>
      <c r="CE52" s="1223">
        <f>'HPS DAILY'!AD$28</f>
        <v>0</v>
      </c>
      <c r="CF52" s="250">
        <f>'HPS DAILY'!AE$28</f>
        <v>0</v>
      </c>
      <c r="CG52" s="250">
        <f>'HPS DAILY'!AF$28</f>
        <v>0</v>
      </c>
      <c r="CH52" s="250">
        <f>'HPS DAILY'!AG$28</f>
        <v>0</v>
      </c>
      <c r="CI52" s="250">
        <f>'HPS DAILY'!AH$28</f>
        <v>0</v>
      </c>
      <c r="CJ52" s="250">
        <f>'HPS DAILY'!AI$28</f>
        <v>0</v>
      </c>
      <c r="CK52" s="250">
        <f>'HPS DAILY'!AJ$28</f>
        <v>0</v>
      </c>
      <c r="CL52" s="250">
        <f>'HPS DAILY'!AK$28</f>
        <v>0</v>
      </c>
      <c r="CM52" s="250">
        <f>'HPS DAILY'!AL$28</f>
        <v>0</v>
      </c>
      <c r="CO52" s="249"/>
      <c r="CP52" s="249"/>
      <c r="CQ52" s="249"/>
      <c r="CR52" s="1242"/>
      <c r="CS52" s="419"/>
      <c r="CT52" s="249"/>
      <c r="CU52" s="249"/>
      <c r="CV52" s="249"/>
      <c r="CW52" s="249"/>
      <c r="CX52" s="249"/>
      <c r="CY52" s="249"/>
      <c r="CZ52" s="249"/>
      <c r="DA52" s="1242"/>
      <c r="DB52" s="419"/>
      <c r="DC52" s="249"/>
      <c r="DD52" s="249"/>
    </row>
    <row r="53" spans="3:180" ht="15" thickBot="1" x14ac:dyDescent="0.4">
      <c r="C53" s="1" t="s">
        <v>177</v>
      </c>
      <c r="F53" s="653">
        <f>$F$34</f>
        <v>5.9749999999999996</v>
      </c>
      <c r="G53" s="311">
        <f t="shared" ref="G53:I53" si="2">$F$34</f>
        <v>5.9749999999999996</v>
      </c>
      <c r="H53" s="311">
        <f t="shared" si="2"/>
        <v>5.9749999999999996</v>
      </c>
      <c r="I53" s="1241">
        <f t="shared" si="2"/>
        <v>5.9749999999999996</v>
      </c>
      <c r="J53" s="654">
        <f>'HPS DAILY'!$H$20</f>
        <v>5.9279999999999999</v>
      </c>
      <c r="K53" s="311">
        <f>'HPS DAILY'!$H$20</f>
        <v>5.9279999999999999</v>
      </c>
      <c r="L53" s="311">
        <f>'HPS DAILY'!$H$20</f>
        <v>5.9279999999999999</v>
      </c>
      <c r="M53" s="311">
        <f>'HPS DAILY'!$H$20</f>
        <v>5.9279999999999999</v>
      </c>
      <c r="N53" s="311">
        <f>'HPS DAILY'!$H$20</f>
        <v>5.9279999999999999</v>
      </c>
      <c r="O53" s="1241">
        <f>'HPS DAILY'!$H$20</f>
        <v>5.9279999999999999</v>
      </c>
      <c r="P53" s="654">
        <f>'HPS DAILY'!$I$20</f>
        <v>5.9279999999999999</v>
      </c>
      <c r="Q53" s="311">
        <f>'HPS DAILY'!$I$20</f>
        <v>5.9279999999999999</v>
      </c>
      <c r="R53" s="1241">
        <f>'HPS DAILY'!$I$20</f>
        <v>5.9279999999999999</v>
      </c>
      <c r="S53" s="654">
        <f>'HPS DAILY'!$I$20</f>
        <v>5.9279999999999999</v>
      </c>
      <c r="T53" s="311">
        <f>'HPS DAILY'!$I$20</f>
        <v>5.9279999999999999</v>
      </c>
      <c r="U53" s="311">
        <f>'HPS DAILY'!$I$20</f>
        <v>5.9279999999999999</v>
      </c>
      <c r="V53" s="311">
        <f>'HPS DAILY'!$I$20</f>
        <v>5.9279999999999999</v>
      </c>
      <c r="W53" s="311">
        <f>'HPS DAILY'!$I$20</f>
        <v>5.9279999999999999</v>
      </c>
      <c r="X53" s="1241">
        <f>'HPS DAILY'!$I$20</f>
        <v>5.9279999999999999</v>
      </c>
      <c r="Y53" s="654">
        <f>'HPS DAILY'!$I$20</f>
        <v>5.9279999999999999</v>
      </c>
      <c r="Z53" s="311">
        <f>'HPS DAILY'!$I$20</f>
        <v>5.9279999999999999</v>
      </c>
      <c r="AA53" s="311">
        <f>'HPS DAILY'!$I$20</f>
        <v>5.9279999999999999</v>
      </c>
      <c r="AB53" s="311">
        <f>'HPS DAILY'!$I$20</f>
        <v>5.9279999999999999</v>
      </c>
      <c r="AC53" s="311">
        <f>'HPS DAILY'!$I$20</f>
        <v>5.9279999999999999</v>
      </c>
      <c r="AD53" s="311">
        <f>'HPS DAILY'!$I$20</f>
        <v>5.9279999999999999</v>
      </c>
      <c r="AE53" s="311">
        <f>'HPS DAILY'!$I$20</f>
        <v>5.9279999999999999</v>
      </c>
      <c r="AF53" s="311">
        <f>'HPS DAILY'!$I$20</f>
        <v>5.9279999999999999</v>
      </c>
      <c r="AG53" s="311">
        <f>'HPS DAILY'!$I$20</f>
        <v>5.9279999999999999</v>
      </c>
      <c r="AH53" s="344"/>
      <c r="AI53" s="373">
        <f>ISV!G$19</f>
        <v>0</v>
      </c>
      <c r="AJ53" s="373">
        <f>ISV!H$19</f>
        <v>3.6379999999999999</v>
      </c>
      <c r="AK53" s="373">
        <f>ISV!I$19</f>
        <v>0</v>
      </c>
      <c r="AL53" s="1615">
        <f>ISV!J$19</f>
        <v>0</v>
      </c>
      <c r="AM53" s="1607">
        <f>ISV!K$19</f>
        <v>4.25</v>
      </c>
      <c r="AN53" s="373">
        <f>ISV!L$19</f>
        <v>3.5390000000000001</v>
      </c>
      <c r="AO53" s="373">
        <f>ISV!M$19</f>
        <v>0</v>
      </c>
      <c r="AP53" s="373">
        <f>ISV!N$19</f>
        <v>0</v>
      </c>
      <c r="AQ53" s="373">
        <f>ISV!O$19</f>
        <v>0</v>
      </c>
      <c r="AR53" s="373">
        <f>ISV!P$19</f>
        <v>0</v>
      </c>
      <c r="AS53" s="373">
        <f>ISV!Q$19</f>
        <v>0</v>
      </c>
      <c r="AT53" s="373">
        <f>ISV!R$19</f>
        <v>0</v>
      </c>
      <c r="AU53" s="1615">
        <f>ISV!S$19</f>
        <v>0</v>
      </c>
      <c r="AV53" s="1607">
        <f>ISV!T$19</f>
        <v>0</v>
      </c>
      <c r="AW53" s="373">
        <f>ISV!U$19</f>
        <v>0</v>
      </c>
      <c r="AX53" s="373">
        <f>ISV!V$19</f>
        <v>0</v>
      </c>
      <c r="AY53" s="373">
        <f>ISV!W$19</f>
        <v>0</v>
      </c>
      <c r="AZ53" s="373">
        <f>ISV!X$19</f>
        <v>0</v>
      </c>
      <c r="BA53" s="1615">
        <f>ISV!Y$19</f>
        <v>0</v>
      </c>
      <c r="BB53" s="1607">
        <f>ISV!Z$19</f>
        <v>0</v>
      </c>
      <c r="BC53" s="373">
        <f>ISV!AA$19</f>
        <v>0</v>
      </c>
      <c r="BD53" s="373">
        <f>ISV!AB$19</f>
        <v>0</v>
      </c>
      <c r="BE53" s="373">
        <f>ISV!AC$19</f>
        <v>0</v>
      </c>
      <c r="BF53" s="373">
        <f>ISV!AD$19</f>
        <v>0</v>
      </c>
      <c r="BG53" s="373">
        <f>ISV!AE$19</f>
        <v>0</v>
      </c>
      <c r="BH53" s="373">
        <f>ISV!AF$19</f>
        <v>0</v>
      </c>
      <c r="BI53" s="373">
        <f>ISV!AG$19</f>
        <v>0</v>
      </c>
      <c r="BJ53" s="373">
        <f>ISV!AH$19</f>
        <v>0</v>
      </c>
      <c r="BK53" s="344"/>
      <c r="BL53" s="311">
        <f>'HPS DAILY'!K$20</f>
        <v>1.9584999999999999</v>
      </c>
      <c r="BM53" s="311">
        <f>'HPS DAILY'!L$20</f>
        <v>2.0884999999999998</v>
      </c>
      <c r="BN53" s="311">
        <f>'HPS DAILY'!M$20</f>
        <v>2.2799999999999998</v>
      </c>
      <c r="BO53" s="1241">
        <f>'HPS DAILY'!N$20</f>
        <v>2.2450000000000001</v>
      </c>
      <c r="BP53" s="654">
        <f>'HPS DAILY'!O$20</f>
        <v>0.86699999999999999</v>
      </c>
      <c r="BQ53" s="311">
        <f>'HPS DAILY'!P$20</f>
        <v>0.94099999999999995</v>
      </c>
      <c r="BR53" s="311">
        <f>'HPS DAILY'!Q$20</f>
        <v>1.0369999999999999</v>
      </c>
      <c r="BS53" s="311">
        <f>'HPS DAILY'!R$20</f>
        <v>1.121</v>
      </c>
      <c r="BT53" s="311">
        <f>'HPS DAILY'!S$20</f>
        <v>1.17</v>
      </c>
      <c r="BU53" s="311">
        <f>'HPS DAILY'!T$20</f>
        <v>1.214</v>
      </c>
      <c r="BV53" s="311">
        <f>'HPS DAILY'!U$20</f>
        <v>1.2669999999999999</v>
      </c>
      <c r="BW53" s="311">
        <f>'HPS DAILY'!V$20</f>
        <v>1.2909999999999999</v>
      </c>
      <c r="BX53" s="1241">
        <f>'HPS DAILY'!W$20</f>
        <v>1.3149999999999999</v>
      </c>
      <c r="BY53" s="654">
        <f>'HPS DAILY'!X$20</f>
        <v>0</v>
      </c>
      <c r="BZ53" s="311">
        <f>'HPS DAILY'!Y$20</f>
        <v>0</v>
      </c>
      <c r="CA53" s="311">
        <f>'HPS DAILY'!Z$20</f>
        <v>0</v>
      </c>
      <c r="CB53" s="311">
        <f>'HPS DAILY'!AA$20</f>
        <v>0</v>
      </c>
      <c r="CC53" s="311">
        <f>'HPS DAILY'!AB$20</f>
        <v>0</v>
      </c>
      <c r="CD53" s="1241">
        <f>'HPS DAILY'!AC$20</f>
        <v>0</v>
      </c>
      <c r="CE53" s="654">
        <f>'HPS DAILY'!AD$20</f>
        <v>0</v>
      </c>
      <c r="CF53" s="311">
        <f>'HPS DAILY'!AE$20</f>
        <v>0</v>
      </c>
      <c r="CG53" s="311">
        <f>'HPS DAILY'!AF$20</f>
        <v>0</v>
      </c>
      <c r="CH53" s="311">
        <f>'HPS DAILY'!AG$20</f>
        <v>0</v>
      </c>
      <c r="CI53" s="311">
        <f>'HPS DAILY'!AH$20</f>
        <v>0</v>
      </c>
      <c r="CJ53" s="311">
        <f>'HPS DAILY'!AI$20</f>
        <v>0</v>
      </c>
      <c r="CK53" s="311">
        <f>'HPS DAILY'!AJ$20</f>
        <v>0</v>
      </c>
      <c r="CL53" s="311">
        <f>'HPS DAILY'!AK$20</f>
        <v>0</v>
      </c>
      <c r="CM53" s="311">
        <f>'HPS DAILY'!AL$20</f>
        <v>0</v>
      </c>
      <c r="CN53" s="344"/>
      <c r="CO53" s="311"/>
      <c r="CP53" s="311"/>
      <c r="CQ53" s="311"/>
      <c r="CR53" s="1241"/>
      <c r="CS53" s="654"/>
      <c r="CT53" s="311"/>
      <c r="CU53" s="311"/>
      <c r="CV53" s="311"/>
      <c r="CW53" s="311"/>
      <c r="CX53" s="311"/>
      <c r="CY53" s="311"/>
      <c r="CZ53" s="311"/>
      <c r="DA53" s="1241"/>
      <c r="DB53" s="654"/>
      <c r="DC53" s="311"/>
      <c r="DD53" s="311"/>
      <c r="DE53" s="225"/>
      <c r="DF53" s="225"/>
      <c r="DG53" s="1269"/>
      <c r="DH53" s="1214"/>
      <c r="DI53" s="225"/>
      <c r="DJ53" s="225"/>
      <c r="DK53" s="225"/>
      <c r="DL53" s="225"/>
      <c r="DM53" s="225"/>
      <c r="DN53" s="225"/>
      <c r="DO53" s="225"/>
      <c r="DP53" s="225"/>
      <c r="DQ53" s="344"/>
      <c r="DR53" s="345"/>
      <c r="DS53" s="225"/>
      <c r="DT53" s="225"/>
      <c r="DU53" s="225"/>
      <c r="DV53" s="1269"/>
      <c r="DW53" s="1214"/>
      <c r="DX53" s="225"/>
      <c r="DY53" s="225"/>
      <c r="DZ53" s="225"/>
      <c r="EA53" s="225"/>
      <c r="EB53" s="225"/>
      <c r="EC53" s="225"/>
      <c r="ED53" s="225"/>
      <c r="EE53" s="1269"/>
      <c r="EF53" s="1214"/>
      <c r="EG53" s="225"/>
      <c r="EH53" s="225"/>
      <c r="EI53" s="225"/>
      <c r="EJ53" s="225"/>
      <c r="EK53" s="1269"/>
      <c r="EL53" s="1214"/>
      <c r="EM53" s="225"/>
      <c r="EN53" s="225"/>
      <c r="EO53" s="225"/>
      <c r="EP53" s="225"/>
      <c r="EQ53" s="225"/>
      <c r="ER53" s="225"/>
      <c r="ES53" s="225"/>
      <c r="ET53" s="225"/>
      <c r="EU53" s="344"/>
      <c r="EV53" s="225"/>
      <c r="EW53" s="225"/>
      <c r="EX53" s="225"/>
      <c r="EY53" s="1269"/>
      <c r="EZ53" s="1214"/>
      <c r="FA53" s="225"/>
      <c r="FB53" s="225"/>
      <c r="FC53" s="225"/>
      <c r="FD53" s="225"/>
      <c r="FE53" s="225"/>
      <c r="FF53" s="225"/>
      <c r="FG53" s="225"/>
      <c r="FH53" s="1269"/>
      <c r="FI53" s="1214"/>
      <c r="FJ53" s="225"/>
      <c r="FK53" s="225"/>
      <c r="FL53" s="225"/>
      <c r="FM53" s="225"/>
      <c r="FN53" s="1269"/>
      <c r="FO53" s="1214"/>
      <c r="FP53" s="225"/>
      <c r="FQ53" s="225"/>
      <c r="FR53" s="225"/>
      <c r="FS53" s="225"/>
      <c r="FT53" s="225"/>
      <c r="FU53" s="225"/>
      <c r="FV53" s="225"/>
      <c r="FW53" s="225"/>
    </row>
    <row r="54" spans="3:180" s="299" customFormat="1" ht="15.5" thickTop="1" thickBot="1" x14ac:dyDescent="0.4">
      <c r="C54" s="305"/>
      <c r="D54" s="305"/>
      <c r="E54" s="305"/>
      <c r="F54" s="1034"/>
      <c r="G54" s="316"/>
      <c r="H54" s="316"/>
      <c r="I54" s="1243"/>
      <c r="J54" s="1190"/>
      <c r="K54" s="316"/>
      <c r="L54" s="316"/>
      <c r="M54" s="316"/>
      <c r="N54" s="316"/>
      <c r="O54" s="1243"/>
      <c r="P54" s="1190"/>
      <c r="Q54" s="316"/>
      <c r="R54" s="1243"/>
      <c r="S54" s="1190"/>
      <c r="T54" s="316"/>
      <c r="U54" s="316"/>
      <c r="V54" s="307"/>
      <c r="W54" s="307"/>
      <c r="X54" s="1239"/>
      <c r="Y54" s="1186"/>
      <c r="Z54" s="307"/>
      <c r="AA54" s="307"/>
      <c r="AB54" s="307"/>
      <c r="AC54" s="307"/>
      <c r="AD54" s="307"/>
      <c r="AE54" s="307"/>
      <c r="AF54" s="307"/>
      <c r="AG54" s="307"/>
      <c r="AH54" s="359"/>
      <c r="AI54" s="307"/>
      <c r="AJ54" s="307"/>
      <c r="AK54" s="307"/>
      <c r="AL54" s="1239"/>
      <c r="AM54" s="1186"/>
      <c r="AN54" s="307"/>
      <c r="AO54" s="307"/>
      <c r="AP54" s="307"/>
      <c r="AQ54" s="307"/>
      <c r="AR54" s="307"/>
      <c r="AS54" s="307"/>
      <c r="AT54" s="307"/>
      <c r="AU54" s="1239"/>
      <c r="AV54" s="1186"/>
      <c r="AW54" s="307"/>
      <c r="AX54" s="307"/>
      <c r="AY54" s="307"/>
      <c r="AZ54" s="307"/>
      <c r="BA54" s="1239"/>
      <c r="BB54" s="1186"/>
      <c r="BC54" s="307"/>
      <c r="BD54" s="307"/>
      <c r="BE54" s="307"/>
      <c r="BF54" s="307"/>
      <c r="BG54" s="307"/>
      <c r="BH54" s="307"/>
      <c r="BI54" s="307"/>
      <c r="BJ54" s="307"/>
      <c r="BK54" s="359"/>
      <c r="BL54" s="307"/>
      <c r="BM54" s="307"/>
      <c r="BN54" s="307"/>
      <c r="BO54" s="1239"/>
      <c r="BP54" s="1186"/>
      <c r="BQ54" s="307"/>
      <c r="BR54" s="307"/>
      <c r="BS54" s="307"/>
      <c r="BT54" s="307"/>
      <c r="BU54" s="307"/>
      <c r="BV54" s="307"/>
      <c r="BW54" s="307"/>
      <c r="BX54" s="1239"/>
      <c r="BY54" s="1186"/>
      <c r="BZ54" s="307"/>
      <c r="CA54" s="307"/>
      <c r="CB54" s="307"/>
      <c r="CC54" s="307"/>
      <c r="CD54" s="1239"/>
      <c r="CE54" s="1186"/>
      <c r="CF54" s="307"/>
      <c r="CG54" s="307"/>
      <c r="CH54" s="307"/>
      <c r="CI54" s="307"/>
      <c r="CJ54" s="307"/>
      <c r="CK54" s="307"/>
      <c r="CL54" s="307"/>
      <c r="CM54" s="307"/>
      <c r="CN54" s="359"/>
      <c r="CO54" s="307"/>
      <c r="CP54" s="307"/>
      <c r="CQ54" s="307"/>
      <c r="CR54" s="1239"/>
      <c r="CS54" s="1186"/>
      <c r="CT54" s="307"/>
      <c r="CU54" s="307"/>
      <c r="CV54" s="307"/>
      <c r="CW54" s="307"/>
      <c r="CX54" s="307"/>
      <c r="CY54" s="307"/>
      <c r="CZ54" s="307"/>
      <c r="DA54" s="1239"/>
      <c r="DB54" s="1186"/>
      <c r="DC54" s="307"/>
      <c r="DD54" s="307"/>
      <c r="DE54" s="307"/>
      <c r="DF54" s="307"/>
      <c r="DG54" s="1239"/>
      <c r="DH54" s="1186"/>
      <c r="DI54" s="307"/>
      <c r="DJ54" s="307"/>
      <c r="DK54" s="307"/>
      <c r="DL54" s="307"/>
      <c r="DM54" s="307"/>
      <c r="DN54" s="307"/>
      <c r="DO54" s="307"/>
      <c r="DP54" s="307"/>
      <c r="DQ54" s="359"/>
      <c r="DR54" s="361"/>
      <c r="DS54" s="307"/>
      <c r="DT54" s="307"/>
      <c r="DU54" s="307"/>
      <c r="DV54" s="1239"/>
      <c r="DW54" s="1186"/>
      <c r="DX54" s="307"/>
      <c r="DY54" s="307"/>
      <c r="DZ54" s="307"/>
      <c r="EA54" s="307"/>
      <c r="EB54" s="307"/>
      <c r="EC54" s="307"/>
      <c r="ED54" s="307"/>
      <c r="EE54" s="1239"/>
      <c r="EF54" s="1186"/>
      <c r="EG54" s="307"/>
      <c r="EH54" s="307"/>
      <c r="EI54" s="307"/>
      <c r="EJ54" s="307"/>
      <c r="EK54" s="1239"/>
      <c r="EL54" s="1186"/>
      <c r="EM54" s="307"/>
      <c r="EN54" s="307"/>
      <c r="EO54" s="307"/>
      <c r="EP54" s="307"/>
      <c r="EQ54" s="307"/>
      <c r="ER54" s="307"/>
      <c r="ES54" s="307"/>
      <c r="ET54" s="307"/>
      <c r="EU54" s="359"/>
      <c r="EV54" s="307"/>
      <c r="EW54" s="307"/>
      <c r="EX54" s="307"/>
      <c r="EY54" s="1239"/>
      <c r="EZ54" s="1186"/>
      <c r="FA54" s="307"/>
      <c r="FB54" s="307"/>
      <c r="FC54" s="307"/>
      <c r="FD54" s="307"/>
      <c r="FE54" s="307"/>
      <c r="FF54" s="307"/>
      <c r="FG54" s="307"/>
      <c r="FH54" s="1239"/>
      <c r="FI54" s="1186"/>
      <c r="FJ54" s="307"/>
      <c r="FK54" s="307"/>
      <c r="FL54" s="307"/>
      <c r="FM54" s="307"/>
      <c r="FN54" s="1239"/>
      <c r="FO54" s="1186"/>
      <c r="FP54" s="307"/>
      <c r="FQ54" s="307"/>
      <c r="FR54" s="307"/>
      <c r="FS54" s="307"/>
      <c r="FT54" s="307"/>
      <c r="FU54" s="307"/>
      <c r="FV54" s="307"/>
      <c r="FW54" s="307"/>
    </row>
    <row r="55" spans="3:180" ht="17" thickTop="1" x14ac:dyDescent="0.45">
      <c r="C55" s="1" t="s">
        <v>144</v>
      </c>
      <c r="F55" s="1033" cm="1">
        <f t="array" ref="F55:F56">'HPS DAILY'!$G$31:$G$32</f>
        <v>83.886525307439882</v>
      </c>
      <c r="G55" s="309" cm="1">
        <f t="array" ref="G55:G56">'HPS DAILY'!$G$31:$G$32</f>
        <v>83.886525307439882</v>
      </c>
      <c r="H55" s="309" cm="1">
        <f t="array" ref="H55:H56">'HPS DAILY'!$G$31:$G$32</f>
        <v>83.886525307439882</v>
      </c>
      <c r="I55" s="422" cm="1">
        <f t="array" ref="I55:I56">'HPS DAILY'!$G$31:$G$32</f>
        <v>83.886525307439882</v>
      </c>
      <c r="J55" s="421">
        <f>'HPS DAILY'!$H$31</f>
        <v>83.916619686528918</v>
      </c>
      <c r="K55" s="309">
        <f>'HPS DAILY'!$H$31</f>
        <v>83.916619686528918</v>
      </c>
      <c r="L55" s="309">
        <f>'HPS DAILY'!$H$31</f>
        <v>83.916619686528918</v>
      </c>
      <c r="M55" s="309">
        <f>'HPS DAILY'!$H$31</f>
        <v>83.916619686528918</v>
      </c>
      <c r="N55" s="309">
        <f>'HPS DAILY'!$H$31</f>
        <v>83.916619686528918</v>
      </c>
      <c r="O55" s="422">
        <f>'HPS DAILY'!$H$31</f>
        <v>83.916619686528918</v>
      </c>
      <c r="P55" s="421">
        <f>'HPS DAILY'!$H$31</f>
        <v>83.916619686528918</v>
      </c>
      <c r="Q55" s="309">
        <f>'HPS DAILY'!$H$31</f>
        <v>83.916619686528918</v>
      </c>
      <c r="R55" s="422">
        <f>'HPS DAILY'!$H$31</f>
        <v>83.916619686528918</v>
      </c>
      <c r="S55" s="422">
        <f>'HPS DAILY'!$H$31</f>
        <v>83.916619686528918</v>
      </c>
      <c r="T55" s="309">
        <f>'HPS DAILY'!$I$31</f>
        <v>83.916619686528918</v>
      </c>
      <c r="U55" s="309">
        <f>'HPS DAILY'!$I$31</f>
        <v>83.916619686528918</v>
      </c>
      <c r="V55" s="309">
        <f>'HPS DAILY'!$I$31</f>
        <v>83.916619686528918</v>
      </c>
      <c r="W55" s="309">
        <f>'HPS DAILY'!$I$31</f>
        <v>83.916619686528918</v>
      </c>
      <c r="X55" s="422">
        <f>'HPS DAILY'!$I$31</f>
        <v>83.916619686528918</v>
      </c>
      <c r="Y55" s="421">
        <f>'HPS DAILY'!$J$31</f>
        <v>83.916619686528918</v>
      </c>
      <c r="Z55" s="421">
        <f>'HPS DAILY'!$J$31</f>
        <v>83.916619686528918</v>
      </c>
      <c r="AA55" s="421">
        <f>'HPS DAILY'!$J$31</f>
        <v>83.916619686528918</v>
      </c>
      <c r="AB55" s="421">
        <f>'HPS DAILY'!$J$31</f>
        <v>83.916619686528918</v>
      </c>
      <c r="AC55" s="421">
        <f>'HPS DAILY'!$J$31</f>
        <v>83.916619686528918</v>
      </c>
      <c r="AD55" s="421">
        <f>'HPS DAILY'!$J$31</f>
        <v>83.916619686528918</v>
      </c>
      <c r="AE55" s="421">
        <f>'HPS DAILY'!$J$31</f>
        <v>83.916619686528918</v>
      </c>
      <c r="AF55" s="421">
        <f>'HPS DAILY'!$J$31</f>
        <v>83.916619686528918</v>
      </c>
      <c r="AG55" s="421">
        <f>'HPS DAILY'!$J$31</f>
        <v>83.916619686528918</v>
      </c>
      <c r="AH55" s="356"/>
      <c r="AI55" s="313" t="e">
        <f>ISV!G$30</f>
        <v>#DIV/0!</v>
      </c>
      <c r="AJ55" s="313" t="e">
        <f>ISV!H$30</f>
        <v>#DIV/0!</v>
      </c>
      <c r="AK55" s="313" t="e">
        <f>ISV!I$30</f>
        <v>#DIV/0!</v>
      </c>
      <c r="AL55" s="1614" t="e">
        <f>ISV!J$30</f>
        <v>#DIV/0!</v>
      </c>
      <c r="AM55" s="1606">
        <f>ISV!K$30</f>
        <v>85.35665155874041</v>
      </c>
      <c r="AN55" s="313">
        <f>ISV!L$30</f>
        <v>85.969430881373128</v>
      </c>
      <c r="AO55" s="313" t="e">
        <f>ISV!M$30</f>
        <v>#DIV/0!</v>
      </c>
      <c r="AP55" s="313" t="e">
        <f>ISV!N$30</f>
        <v>#DIV/0!</v>
      </c>
      <c r="AQ55" s="313" t="e">
        <f>ISV!O$30</f>
        <v>#DIV/0!</v>
      </c>
      <c r="AR55" s="313" t="e">
        <f>ISV!P$30</f>
        <v>#DIV/0!</v>
      </c>
      <c r="AS55" s="313" t="e">
        <f>ISV!Q$30</f>
        <v>#DIV/0!</v>
      </c>
      <c r="AT55" s="313" t="e">
        <f>ISV!R$30</f>
        <v>#DIV/0!</v>
      </c>
      <c r="AU55" s="1614" t="e">
        <f>ISV!S$30</f>
        <v>#DIV/0!</v>
      </c>
      <c r="AV55" s="1606" t="e">
        <f>ISV!T$30</f>
        <v>#DIV/0!</v>
      </c>
      <c r="AW55" s="313" t="e">
        <f>ISV!U$30</f>
        <v>#DIV/0!</v>
      </c>
      <c r="AX55" s="313" t="e">
        <f>ISV!V$30</f>
        <v>#DIV/0!</v>
      </c>
      <c r="AY55" s="313" t="e">
        <f>ISV!W$30</f>
        <v>#DIV/0!</v>
      </c>
      <c r="AZ55" s="313" t="e">
        <f>ISV!X$30</f>
        <v>#DIV/0!</v>
      </c>
      <c r="BA55" s="1614" t="e">
        <f>ISV!Y$30</f>
        <v>#DIV/0!</v>
      </c>
      <c r="BB55" s="1606" t="e">
        <f>ISV!Z$30</f>
        <v>#DIV/0!</v>
      </c>
      <c r="BC55" s="313" t="e">
        <f>ISV!AA$30</f>
        <v>#DIV/0!</v>
      </c>
      <c r="BD55" s="313" t="e">
        <f>ISV!AB$30</f>
        <v>#DIV/0!</v>
      </c>
      <c r="BE55" s="313" t="e">
        <f>ISV!AC$30</f>
        <v>#DIV/0!</v>
      </c>
      <c r="BF55" s="313" t="e">
        <f>ISV!AD$30</f>
        <v>#DIV/0!</v>
      </c>
      <c r="BG55" s="313" t="e">
        <f>ISV!AE$30</f>
        <v>#DIV/0!</v>
      </c>
      <c r="BH55" s="313" t="e">
        <f>ISV!AF$30</f>
        <v>#DIV/0!</v>
      </c>
      <c r="BI55" s="313" t="e">
        <f>ISV!AG$30</f>
        <v>#DIV/0!</v>
      </c>
      <c r="BJ55" s="313" t="e">
        <f>ISV!AH$30</f>
        <v>#DIV/0!</v>
      </c>
      <c r="BK55" s="356"/>
      <c r="BL55" s="309">
        <f>'HPS DAILY'!K$31</f>
        <v>86.803114932947366</v>
      </c>
      <c r="BM55" s="309">
        <f>'HPS DAILY'!L$31</f>
        <v>86.878706202587182</v>
      </c>
      <c r="BN55" s="309">
        <f>'HPS DAILY'!M$31</f>
        <v>86.706088067385409</v>
      </c>
      <c r="BO55" s="422">
        <f>'HPS DAILY'!N$31</f>
        <v>86.739624514612828</v>
      </c>
      <c r="BP55" s="421">
        <f>'HPS DAILY'!O$31</f>
        <v>87.569121153768165</v>
      </c>
      <c r="BQ55" s="309">
        <f>'HPS DAILY'!P$31</f>
        <v>87.523843983048209</v>
      </c>
      <c r="BR55" s="309">
        <f>'HPS DAILY'!Q$31</f>
        <v>87.65801928564909</v>
      </c>
      <c r="BS55" s="309">
        <f>'HPS DAILY'!R$31</f>
        <v>87.723936424380582</v>
      </c>
      <c r="BT55" s="309">
        <f>'HPS DAILY'!S$31</f>
        <v>87.647366754411749</v>
      </c>
      <c r="BU55" s="309">
        <f>'HPS DAILY'!T$31</f>
        <v>87.685030982501189</v>
      </c>
      <c r="BV55" s="309">
        <f>'HPS DAILY'!U$31</f>
        <v>87.566062721049477</v>
      </c>
      <c r="BW55" s="309">
        <f>'HPS DAILY'!V$31</f>
        <v>87.661051027648355</v>
      </c>
      <c r="BX55" s="422">
        <f>'HPS DAILY'!W$31</f>
        <v>87.423230798461759</v>
      </c>
      <c r="BY55" s="421" t="e">
        <f>'HPS DAILY'!X$31</f>
        <v>#DIV/0!</v>
      </c>
      <c r="BZ55" s="309" t="e">
        <f>'HPS DAILY'!Y$31</f>
        <v>#DIV/0!</v>
      </c>
      <c r="CA55" s="309" t="e">
        <f>'HPS DAILY'!Z$31</f>
        <v>#DIV/0!</v>
      </c>
      <c r="CB55" s="309" t="e">
        <f>'HPS DAILY'!AA$31</f>
        <v>#DIV/0!</v>
      </c>
      <c r="CC55" s="309" t="e">
        <f>'HPS DAILY'!AB$31</f>
        <v>#DIV/0!</v>
      </c>
      <c r="CD55" s="422" t="e">
        <f>'HPS DAILY'!AC$31</f>
        <v>#DIV/0!</v>
      </c>
      <c r="CE55" s="421" t="e">
        <f>'HPS DAILY'!AD$31</f>
        <v>#DIV/0!</v>
      </c>
      <c r="CF55" s="309" t="e">
        <f>'HPS DAILY'!AE$31</f>
        <v>#DIV/0!</v>
      </c>
      <c r="CG55" s="309" t="e">
        <f>'HPS DAILY'!AF$31</f>
        <v>#DIV/0!</v>
      </c>
      <c r="CH55" s="309" t="e">
        <f>'HPS DAILY'!AG$31</f>
        <v>#DIV/0!</v>
      </c>
      <c r="CI55" s="309" t="e">
        <f>'HPS DAILY'!AH$31</f>
        <v>#DIV/0!</v>
      </c>
      <c r="CJ55" s="309" t="e">
        <f>'HPS DAILY'!AI$31</f>
        <v>#DIV/0!</v>
      </c>
      <c r="CK55" s="309" t="e">
        <f>'HPS DAILY'!AJ$31</f>
        <v>#DIV/0!</v>
      </c>
      <c r="CL55" s="309" t="e">
        <f>'HPS DAILY'!AK$31</f>
        <v>#DIV/0!</v>
      </c>
      <c r="CM55" s="309" t="e">
        <f>'HPS DAILY'!AL$31</f>
        <v>#DIV/0!</v>
      </c>
      <c r="CN55" s="356"/>
      <c r="CO55" s="309" t="e" cm="1">
        <f t="array" ref="CO55:DP55">'LTO DAILY'!H29:AI29</f>
        <v>#DIV/0!</v>
      </c>
      <c r="CP55" s="309">
        <v>86.436586121415402</v>
      </c>
      <c r="CQ55" s="309">
        <v>86.317997604866406</v>
      </c>
      <c r="CR55" s="422">
        <v>86.48044995712219</v>
      </c>
      <c r="CS55" s="421">
        <v>86.766042030111635</v>
      </c>
      <c r="CT55" s="309">
        <v>86.440473469888545</v>
      </c>
      <c r="CU55" s="309">
        <v>86.862996423066548</v>
      </c>
      <c r="CV55" s="309">
        <v>86.587574752451786</v>
      </c>
      <c r="CW55" s="309">
        <v>86.846653343598973</v>
      </c>
      <c r="CX55" s="309">
        <v>86.662852497288981</v>
      </c>
      <c r="CY55" s="309">
        <v>86.475795000959778</v>
      </c>
      <c r="CZ55" s="309">
        <v>86.678347502075795</v>
      </c>
      <c r="DA55" s="422">
        <v>86.71261550432223</v>
      </c>
      <c r="DB55" s="421" t="e">
        <v>#DIV/0!</v>
      </c>
      <c r="DC55" s="309" t="e">
        <v>#DIV/0!</v>
      </c>
      <c r="DD55" s="309" t="e">
        <v>#DIV/0!</v>
      </c>
      <c r="DE55" s="229" t="e">
        <v>#DIV/0!</v>
      </c>
      <c r="DF55" s="229" t="e">
        <v>#DIV/0!</v>
      </c>
      <c r="DG55" s="1245" t="e">
        <v>#DIV/0!</v>
      </c>
      <c r="DH55" s="538" t="e">
        <v>#DIV/0!</v>
      </c>
      <c r="DI55" s="229" t="e">
        <v>#DIV/0!</v>
      </c>
      <c r="DJ55" s="229" t="e">
        <v>#DIV/0!</v>
      </c>
      <c r="DK55" s="229" t="e">
        <v>#DIV/0!</v>
      </c>
      <c r="DL55" s="229" t="e">
        <v>#DIV/0!</v>
      </c>
      <c r="DM55" s="229" t="e">
        <v>#DIV/0!</v>
      </c>
      <c r="DN55" s="229" t="e">
        <v>#DIV/0!</v>
      </c>
      <c r="DO55" s="229" t="e">
        <v>#DIV/0!</v>
      </c>
      <c r="DP55" s="229" t="e">
        <v>#DIV/0!</v>
      </c>
      <c r="DQ55" s="356"/>
      <c r="DR55" s="358"/>
      <c r="DS55" s="229"/>
      <c r="DT55" s="229"/>
      <c r="DU55" s="229"/>
      <c r="DV55" s="1245"/>
      <c r="DW55" s="538"/>
      <c r="DX55" s="229"/>
      <c r="DY55" s="229"/>
      <c r="DZ55" s="229"/>
      <c r="EA55" s="229"/>
      <c r="EB55" s="229"/>
      <c r="EC55" s="229"/>
      <c r="ED55" s="229"/>
      <c r="EE55" s="1245"/>
      <c r="EF55" s="538"/>
      <c r="EG55" s="229"/>
      <c r="EH55" s="229"/>
      <c r="EI55" s="229"/>
      <c r="EJ55" s="229"/>
      <c r="EK55" s="1245"/>
      <c r="EL55" s="538"/>
      <c r="EM55" s="229"/>
      <c r="EN55" s="229"/>
      <c r="EO55" s="229"/>
      <c r="EP55" s="229"/>
      <c r="EQ55" s="229"/>
      <c r="ER55" s="229"/>
      <c r="ES55" s="229"/>
      <c r="ET55" s="229"/>
      <c r="EU55" s="356"/>
      <c r="EV55" s="229"/>
      <c r="EW55" s="229"/>
      <c r="EX55" s="229"/>
      <c r="EY55" s="1245"/>
      <c r="EZ55" s="538"/>
      <c r="FA55" s="229"/>
      <c r="FB55" s="229"/>
      <c r="FC55" s="229"/>
      <c r="FD55" s="229"/>
      <c r="FE55" s="229"/>
      <c r="FF55" s="229"/>
      <c r="FG55" s="229"/>
      <c r="FH55" s="1245"/>
      <c r="FI55" s="538"/>
      <c r="FJ55" s="229"/>
      <c r="FK55" s="229"/>
      <c r="FL55" s="229"/>
      <c r="FM55" s="229"/>
      <c r="FN55" s="1245"/>
      <c r="FO55" s="538"/>
      <c r="FP55" s="229"/>
      <c r="FQ55" s="229"/>
      <c r="FR55" s="229"/>
      <c r="FS55" s="229"/>
      <c r="FT55" s="229"/>
      <c r="FU55" s="229"/>
      <c r="FV55" s="229"/>
      <c r="FW55" s="229"/>
    </row>
    <row r="56" spans="3:180" ht="16.5" x14ac:dyDescent="0.45">
      <c r="C56" s="1" t="s">
        <v>145</v>
      </c>
      <c r="F56" s="501">
        <v>9.7464344302374712</v>
      </c>
      <c r="G56" s="249">
        <v>9.7464344302374712</v>
      </c>
      <c r="H56" s="249">
        <v>9.7464344302374712</v>
      </c>
      <c r="I56" s="1242">
        <v>9.7464344302374712</v>
      </c>
      <c r="J56" s="419">
        <f>'HPS DAILY'!$H$32</f>
        <v>9.7499309738293665</v>
      </c>
      <c r="K56" s="249">
        <f>'HPS DAILY'!$H$32</f>
        <v>9.7499309738293665</v>
      </c>
      <c r="L56" s="249">
        <f>'HPS DAILY'!$H$32</f>
        <v>9.7499309738293665</v>
      </c>
      <c r="M56" s="249">
        <f>'HPS DAILY'!$H$32</f>
        <v>9.7499309738293665</v>
      </c>
      <c r="N56" s="249">
        <f>'HPS DAILY'!$H$32</f>
        <v>9.7499309738293665</v>
      </c>
      <c r="O56" s="1242">
        <f>'HPS DAILY'!$H$32</f>
        <v>9.7499309738293665</v>
      </c>
      <c r="P56" s="419">
        <f>'HPS DAILY'!$H$32</f>
        <v>9.7499309738293665</v>
      </c>
      <c r="Q56" s="249">
        <f>'HPS DAILY'!$H$32</f>
        <v>9.7499309738293665</v>
      </c>
      <c r="R56" s="1242">
        <f>'HPS DAILY'!$H$32</f>
        <v>9.7499309738293665</v>
      </c>
      <c r="S56" s="1242">
        <f>'HPS DAILY'!$H$32</f>
        <v>9.7499309738293665</v>
      </c>
      <c r="T56" s="249">
        <f>'HPS DAILY'!$I$32</f>
        <v>9.7499309738293665</v>
      </c>
      <c r="U56" s="249">
        <f>'HPS DAILY'!$I$32</f>
        <v>9.7499309738293665</v>
      </c>
      <c r="V56" s="249">
        <f>'HPS DAILY'!$I$32</f>
        <v>9.7499309738293665</v>
      </c>
      <c r="W56" s="249">
        <f>'HPS DAILY'!$I$32</f>
        <v>9.7499309738293665</v>
      </c>
      <c r="X56" s="1242">
        <f>'HPS DAILY'!$I$32</f>
        <v>9.7499309738293665</v>
      </c>
      <c r="Y56" s="419">
        <f>'HPS DAILY'!$J$32</f>
        <v>9.7499309738293665</v>
      </c>
      <c r="Z56" s="419">
        <f>'HPS DAILY'!$J$32</f>
        <v>9.7499309738293665</v>
      </c>
      <c r="AA56" s="419">
        <f>'HPS DAILY'!$J$32</f>
        <v>9.7499309738293665</v>
      </c>
      <c r="AB56" s="419">
        <f>'HPS DAILY'!$J$32</f>
        <v>9.7499309738293665</v>
      </c>
      <c r="AC56" s="419">
        <f>'HPS DAILY'!$J$32</f>
        <v>9.7499309738293665</v>
      </c>
      <c r="AD56" s="419">
        <f>'HPS DAILY'!$J$32</f>
        <v>9.7499309738293665</v>
      </c>
      <c r="AE56" s="419">
        <f>'HPS DAILY'!$J$32</f>
        <v>9.7499309738293665</v>
      </c>
      <c r="AF56" s="419">
        <f>'HPS DAILY'!$J$32</f>
        <v>9.7499309738293665</v>
      </c>
      <c r="AG56" s="419">
        <f>'HPS DAILY'!$J$32</f>
        <v>9.7499309738293665</v>
      </c>
      <c r="AI56" s="267" t="e">
        <f>ISV!G$31</f>
        <v>#DIV/0!</v>
      </c>
      <c r="AJ56" s="267" t="e">
        <f>ISV!H$31</f>
        <v>#DIV/0!</v>
      </c>
      <c r="AK56" s="267" t="e">
        <f>ISV!I$31</f>
        <v>#DIV/0!</v>
      </c>
      <c r="AL56" s="1285" t="e">
        <f>ISV!J$31</f>
        <v>#DIV/0!</v>
      </c>
      <c r="AM56" s="645">
        <f>ISV!K$31</f>
        <v>10.097224103982617</v>
      </c>
      <c r="AN56" s="267">
        <f>ISV!L$31</f>
        <v>10.511242156346025</v>
      </c>
      <c r="AO56" s="267" t="e">
        <f>ISV!M$31</f>
        <v>#DIV/0!</v>
      </c>
      <c r="AP56" s="267" t="e">
        <f>ISV!N$31</f>
        <v>#DIV/0!</v>
      </c>
      <c r="AQ56" s="267" t="e">
        <f>ISV!O$31</f>
        <v>#DIV/0!</v>
      </c>
      <c r="AR56" s="267" t="e">
        <f>ISV!P$31</f>
        <v>#DIV/0!</v>
      </c>
      <c r="AS56" s="267" t="e">
        <f>ISV!Q$31</f>
        <v>#DIV/0!</v>
      </c>
      <c r="AT56" s="267" t="e">
        <f>ISV!R$31</f>
        <v>#DIV/0!</v>
      </c>
      <c r="AU56" s="1285" t="e">
        <f>ISV!S$31</f>
        <v>#DIV/0!</v>
      </c>
      <c r="AV56" s="645" t="e">
        <f>ISV!T$31</f>
        <v>#DIV/0!</v>
      </c>
      <c r="AW56" s="267" t="e">
        <f>ISV!U$31</f>
        <v>#DIV/0!</v>
      </c>
      <c r="AX56" s="267" t="e">
        <f>ISV!V$31</f>
        <v>#DIV/0!</v>
      </c>
      <c r="AY56" s="267" t="e">
        <f>ISV!W$31</f>
        <v>#DIV/0!</v>
      </c>
      <c r="AZ56" s="267" t="e">
        <f>ISV!X$31</f>
        <v>#DIV/0!</v>
      </c>
      <c r="BA56" s="1285" t="e">
        <f>ISV!Y$31</f>
        <v>#DIV/0!</v>
      </c>
      <c r="BB56" s="645" t="e">
        <f>ISV!Z$31</f>
        <v>#DIV/0!</v>
      </c>
      <c r="BC56" s="267" t="e">
        <f>ISV!AA$31</f>
        <v>#DIV/0!</v>
      </c>
      <c r="BD56" s="267" t="e">
        <f>ISV!AB$31</f>
        <v>#DIV/0!</v>
      </c>
      <c r="BE56" s="267" t="e">
        <f>ISV!AC$31</f>
        <v>#DIV/0!</v>
      </c>
      <c r="BF56" s="267" t="e">
        <f>ISV!AD$31</f>
        <v>#DIV/0!</v>
      </c>
      <c r="BG56" s="267" t="e">
        <f>ISV!AE$31</f>
        <v>#DIV/0!</v>
      </c>
      <c r="BH56" s="267" t="e">
        <f>ISV!AF$31</f>
        <v>#DIV/0!</v>
      </c>
      <c r="BI56" s="267" t="e">
        <f>ISV!AG$31</f>
        <v>#DIV/0!</v>
      </c>
      <c r="BJ56" s="267" t="e">
        <f>ISV!AH$31</f>
        <v>#DIV/0!</v>
      </c>
      <c r="BL56" s="249">
        <f>'HPS DAILY'!K$32</f>
        <v>10.979089240492543</v>
      </c>
      <c r="BM56" s="249">
        <f>'HPS DAILY'!L$32</f>
        <v>10.738604035168446</v>
      </c>
      <c r="BN56" s="249">
        <f>'HPS DAILY'!M$32</f>
        <v>10.754927477376956</v>
      </c>
      <c r="BO56" s="1242">
        <f>'HPS DAILY'!N$32</f>
        <v>10.752601881025907</v>
      </c>
      <c r="BP56" s="419">
        <f>'HPS DAILY'!O$32</f>
        <v>11.334336214391046</v>
      </c>
      <c r="BQ56" s="249">
        <f>'HPS DAILY'!P$32</f>
        <v>11.290843288522682</v>
      </c>
      <c r="BR56" s="249">
        <f>'HPS DAILY'!Q$32</f>
        <v>11.060483590887756</v>
      </c>
      <c r="BS56" s="249">
        <f>'HPS DAILY'!R$32</f>
        <v>10.927549173971283</v>
      </c>
      <c r="BT56" s="249">
        <f>'HPS DAILY'!S$32</f>
        <v>10.949794057116423</v>
      </c>
      <c r="BU56" s="249">
        <f>'HPS DAILY'!T$32</f>
        <v>10.877408376681423</v>
      </c>
      <c r="BV56" s="249">
        <f>'HPS DAILY'!U$32</f>
        <v>10.916280933918982</v>
      </c>
      <c r="BW56" s="249">
        <f>'HPS DAILY'!V$32</f>
        <v>10.82319690916872</v>
      </c>
      <c r="BX56" s="1242">
        <f>'HPS DAILY'!W$32</f>
        <v>11.018990230173317</v>
      </c>
      <c r="BY56" s="419" t="e">
        <f>'HPS DAILY'!X$32</f>
        <v>#DIV/0!</v>
      </c>
      <c r="BZ56" s="249" t="e">
        <f>'HPS DAILY'!Y$32</f>
        <v>#DIV/0!</v>
      </c>
      <c r="CA56" s="249" t="e">
        <f>'HPS DAILY'!Z$32</f>
        <v>#DIV/0!</v>
      </c>
      <c r="CB56" s="249" t="e">
        <f>'HPS DAILY'!AA$32</f>
        <v>#DIV/0!</v>
      </c>
      <c r="CC56" s="249" t="e">
        <f>'HPS DAILY'!AB$32</f>
        <v>#DIV/0!</v>
      </c>
      <c r="CD56" s="1242" t="e">
        <f>'HPS DAILY'!AC$32</f>
        <v>#DIV/0!</v>
      </c>
      <c r="CE56" s="419" t="e">
        <f>'HPS DAILY'!AD$32</f>
        <v>#DIV/0!</v>
      </c>
      <c r="CF56" s="249" t="e">
        <f>'HPS DAILY'!AE$32</f>
        <v>#DIV/0!</v>
      </c>
      <c r="CG56" s="249" t="e">
        <f>'HPS DAILY'!AF$32</f>
        <v>#DIV/0!</v>
      </c>
      <c r="CH56" s="249" t="e">
        <f>'HPS DAILY'!AG$32</f>
        <v>#DIV/0!</v>
      </c>
      <c r="CI56" s="249" t="e">
        <f>'HPS DAILY'!AH$32</f>
        <v>#DIV/0!</v>
      </c>
      <c r="CJ56" s="249" t="e">
        <f>'HPS DAILY'!AI$32</f>
        <v>#DIV/0!</v>
      </c>
      <c r="CK56" s="249" t="e">
        <f>'HPS DAILY'!AJ$32</f>
        <v>#DIV/0!</v>
      </c>
      <c r="CL56" s="249" t="e">
        <f>'HPS DAILY'!AK$32</f>
        <v>#DIV/0!</v>
      </c>
      <c r="CM56" s="249" t="e">
        <f>'HPS DAILY'!AL$32</f>
        <v>#DIV/0!</v>
      </c>
      <c r="CO56" s="249" t="e" cm="1">
        <f t="array" ref="CO56:DP56">'LTO DAILY'!H30:AI30</f>
        <v>#DIV/0!</v>
      </c>
      <c r="CP56" s="249">
        <v>13.353376477819126</v>
      </c>
      <c r="CQ56" s="249">
        <v>13.462712845688364</v>
      </c>
      <c r="CR56" s="1242">
        <v>13.308524566248426</v>
      </c>
      <c r="CS56" s="419">
        <v>13.046253136996944</v>
      </c>
      <c r="CT56" s="249">
        <v>13.422433768616235</v>
      </c>
      <c r="CU56" s="249">
        <v>12.980326667584947</v>
      </c>
      <c r="CV56" s="249">
        <v>13.25097363909228</v>
      </c>
      <c r="CW56" s="249">
        <v>12.935131965304912</v>
      </c>
      <c r="CX56" s="249">
        <v>13.136138821605531</v>
      </c>
      <c r="CY56" s="249">
        <v>13.324886651091285</v>
      </c>
      <c r="CZ56" s="249">
        <v>13.138487515746743</v>
      </c>
      <c r="DA56" s="1242">
        <v>13.105081755973588</v>
      </c>
      <c r="DB56" s="419" t="e">
        <v>#DIV/0!</v>
      </c>
      <c r="DC56" s="249" t="e">
        <v>#DIV/0!</v>
      </c>
      <c r="DD56" s="249" t="e">
        <v>#DIV/0!</v>
      </c>
      <c r="DE56" s="232" t="e">
        <v>#DIV/0!</v>
      </c>
      <c r="DF56" s="232" t="e">
        <v>#DIV/0!</v>
      </c>
      <c r="DG56" s="1236" t="e">
        <v>#DIV/0!</v>
      </c>
      <c r="DH56" s="643" t="e">
        <v>#DIV/0!</v>
      </c>
      <c r="DI56" s="232" t="e">
        <v>#DIV/0!</v>
      </c>
      <c r="DJ56" s="232" t="e">
        <v>#DIV/0!</v>
      </c>
      <c r="DK56" s="232" t="e">
        <v>#DIV/0!</v>
      </c>
      <c r="DL56" s="232" t="e">
        <v>#DIV/0!</v>
      </c>
      <c r="DM56" s="232" t="e">
        <v>#DIV/0!</v>
      </c>
      <c r="DN56" s="232" t="e">
        <v>#DIV/0!</v>
      </c>
      <c r="DO56" s="232" t="e">
        <v>#DIV/0!</v>
      </c>
      <c r="DP56" s="232" t="e">
        <v>#DIV/0!</v>
      </c>
    </row>
    <row r="57" spans="3:180" s="368" customFormat="1" ht="17" thickBot="1" x14ac:dyDescent="0.5">
      <c r="C57" s="364" t="s">
        <v>146</v>
      </c>
      <c r="D57" s="364"/>
      <c r="E57" s="364"/>
      <c r="F57" s="1057">
        <f>'HPS DAILY'!$G$34</f>
        <v>5.9740403898921715</v>
      </c>
      <c r="G57" s="374">
        <f>'HPS DAILY'!$G$34</f>
        <v>5.9740403898921715</v>
      </c>
      <c r="H57" s="374">
        <f>'HPS DAILY'!$G$34</f>
        <v>5.9740403898921715</v>
      </c>
      <c r="I57" s="1244">
        <f>'HPS DAILY'!$G$34</f>
        <v>5.9740403898921715</v>
      </c>
      <c r="J57" s="1191">
        <f>'HPS DAILY'!$H$34</f>
        <v>5.9291742729647599</v>
      </c>
      <c r="K57" s="374">
        <f>'HPS DAILY'!$H$34</f>
        <v>5.9291742729647599</v>
      </c>
      <c r="L57" s="374">
        <f>'HPS DAILY'!$H$34</f>
        <v>5.9291742729647599</v>
      </c>
      <c r="M57" s="374">
        <f>'HPS DAILY'!$H$34</f>
        <v>5.9291742729647599</v>
      </c>
      <c r="N57" s="374">
        <f>'HPS DAILY'!$H$34</f>
        <v>5.9291742729647599</v>
      </c>
      <c r="O57" s="1244">
        <f>'HPS DAILY'!$H$34</f>
        <v>5.9291742729647599</v>
      </c>
      <c r="P57" s="1191">
        <f>'HPS DAILY'!$H$34</f>
        <v>5.9291742729647599</v>
      </c>
      <c r="Q57" s="374">
        <f>'HPS DAILY'!$H$34</f>
        <v>5.9291742729647599</v>
      </c>
      <c r="R57" s="1244">
        <f>'HPS DAILY'!$H$34</f>
        <v>5.9291742729647599</v>
      </c>
      <c r="S57" s="1244">
        <f>'HPS DAILY'!$H$34</f>
        <v>5.9291742729647599</v>
      </c>
      <c r="T57" s="374">
        <f>'HPS DAILY'!$I$34</f>
        <v>5.9291742729647599</v>
      </c>
      <c r="U57" s="374">
        <f>'HPS DAILY'!$I$34</f>
        <v>5.9291742729647599</v>
      </c>
      <c r="V57" s="374">
        <f>'HPS DAILY'!$I$34</f>
        <v>5.9291742729647599</v>
      </c>
      <c r="W57" s="374">
        <f>'HPS DAILY'!$I$34</f>
        <v>5.9291742729647599</v>
      </c>
      <c r="X57" s="1244">
        <f>'HPS DAILY'!$I$34</f>
        <v>5.9291742729647599</v>
      </c>
      <c r="Y57" s="1191">
        <f>'HPS DAILY'!$J$34</f>
        <v>5.9291742729647599</v>
      </c>
      <c r="Z57" s="1191">
        <f>'HPS DAILY'!$J$34</f>
        <v>5.9291742729647599</v>
      </c>
      <c r="AA57" s="1191">
        <f>'HPS DAILY'!$J$34</f>
        <v>5.9291742729647599</v>
      </c>
      <c r="AB57" s="1191">
        <f>'HPS DAILY'!$J$34</f>
        <v>5.9291742729647599</v>
      </c>
      <c r="AC57" s="1191">
        <f>'HPS DAILY'!$J$34</f>
        <v>5.9291742729647599</v>
      </c>
      <c r="AD57" s="1191">
        <f>'HPS DAILY'!$J$34</f>
        <v>5.9291742729647599</v>
      </c>
      <c r="AE57" s="1191">
        <f>'HPS DAILY'!$J$34</f>
        <v>5.9291742729647599</v>
      </c>
      <c r="AF57" s="1191">
        <f>'HPS DAILY'!$J$34</f>
        <v>5.9291742729647599</v>
      </c>
      <c r="AG57" s="1191">
        <f>'HPS DAILY'!$J$34</f>
        <v>5.9291742729647599</v>
      </c>
      <c r="AH57" s="366"/>
      <c r="AI57" s="365"/>
      <c r="AJ57" s="365"/>
      <c r="AK57" s="365"/>
      <c r="AL57" s="1234"/>
      <c r="AM57" s="1182"/>
      <c r="AN57" s="365"/>
      <c r="AO57" s="365"/>
      <c r="AP57" s="365"/>
      <c r="AQ57" s="365"/>
      <c r="AR57" s="365"/>
      <c r="AS57" s="365"/>
      <c r="AT57" s="365"/>
      <c r="AU57" s="1234"/>
      <c r="AV57" s="1182"/>
      <c r="AW57" s="365"/>
      <c r="AX57" s="365"/>
      <c r="AY57" s="365"/>
      <c r="AZ57" s="365"/>
      <c r="BA57" s="1234"/>
      <c r="BB57" s="1182"/>
      <c r="BC57" s="365"/>
      <c r="BD57" s="365"/>
      <c r="BE57" s="365"/>
      <c r="BF57" s="365"/>
      <c r="BG57" s="365"/>
      <c r="BH57" s="365"/>
      <c r="BI57" s="365"/>
      <c r="BJ57" s="365"/>
      <c r="BK57" s="366"/>
      <c r="BL57" s="374"/>
      <c r="BM57" s="374"/>
      <c r="BN57" s="374"/>
      <c r="BO57" s="1244"/>
      <c r="BP57" s="1191"/>
      <c r="BQ57" s="374"/>
      <c r="BR57" s="374"/>
      <c r="BS57" s="374"/>
      <c r="BT57" s="374"/>
      <c r="BU57" s="374"/>
      <c r="BV57" s="374"/>
      <c r="BW57" s="374"/>
      <c r="BX57" s="1244"/>
      <c r="BY57" s="1191"/>
      <c r="BZ57" s="374"/>
      <c r="CA57" s="374"/>
      <c r="CB57" s="374"/>
      <c r="CC57" s="374"/>
      <c r="CD57" s="1244"/>
      <c r="CE57" s="1191"/>
      <c r="CF57" s="374"/>
      <c r="CG57" s="374"/>
      <c r="CH57" s="374"/>
      <c r="CI57" s="374"/>
      <c r="CJ57" s="374"/>
      <c r="CK57" s="374"/>
      <c r="CL57" s="374"/>
      <c r="CM57" s="374"/>
      <c r="CN57" s="366"/>
      <c r="CO57" s="374"/>
      <c r="CP57" s="374"/>
      <c r="CQ57" s="374"/>
      <c r="CR57" s="1244"/>
      <c r="CS57" s="1191"/>
      <c r="CT57" s="374"/>
      <c r="CU57" s="374"/>
      <c r="CV57" s="374"/>
      <c r="CW57" s="374"/>
      <c r="CX57" s="374"/>
      <c r="CY57" s="374"/>
      <c r="CZ57" s="374"/>
      <c r="DA57" s="1244"/>
      <c r="DB57" s="1191"/>
      <c r="DC57" s="374"/>
      <c r="DD57" s="374"/>
      <c r="DE57" s="365"/>
      <c r="DF57" s="365"/>
      <c r="DG57" s="1234"/>
      <c r="DH57" s="1182"/>
      <c r="DI57" s="365"/>
      <c r="DJ57" s="365"/>
      <c r="DK57" s="365"/>
      <c r="DL57" s="365"/>
      <c r="DM57" s="365"/>
      <c r="DN57" s="365"/>
      <c r="DO57" s="365"/>
      <c r="DP57" s="365"/>
      <c r="DQ57" s="366"/>
      <c r="DR57" s="367"/>
      <c r="DS57" s="365"/>
      <c r="DT57" s="365"/>
      <c r="DU57" s="365"/>
      <c r="DV57" s="1234"/>
      <c r="DW57" s="1182"/>
      <c r="DX57" s="365"/>
      <c r="DY57" s="365"/>
      <c r="DZ57" s="365"/>
      <c r="EA57" s="365"/>
      <c r="EB57" s="365"/>
      <c r="EC57" s="365"/>
      <c r="ED57" s="365"/>
      <c r="EE57" s="1234"/>
      <c r="EF57" s="1182"/>
      <c r="EG57" s="365"/>
      <c r="EH57" s="365"/>
      <c r="EI57" s="365"/>
      <c r="EJ57" s="365"/>
      <c r="EK57" s="1234"/>
      <c r="EL57" s="1182"/>
      <c r="EM57" s="365"/>
      <c r="EN57" s="365"/>
      <c r="EO57" s="365"/>
      <c r="EP57" s="365"/>
      <c r="EQ57" s="365"/>
      <c r="ER57" s="365"/>
      <c r="ES57" s="365"/>
      <c r="ET57" s="365"/>
      <c r="EU57" s="366"/>
      <c r="EV57" s="365"/>
      <c r="EW57" s="365"/>
      <c r="EX57" s="365"/>
      <c r="EY57" s="1234"/>
      <c r="EZ57" s="1182"/>
      <c r="FA57" s="365"/>
      <c r="FB57" s="365"/>
      <c r="FC57" s="365"/>
      <c r="FD57" s="365"/>
      <c r="FE57" s="365"/>
      <c r="FF57" s="365"/>
      <c r="FG57" s="365"/>
      <c r="FH57" s="1234"/>
      <c r="FI57" s="1182"/>
      <c r="FJ57" s="365"/>
      <c r="FK57" s="365"/>
      <c r="FL57" s="365"/>
      <c r="FM57" s="365"/>
      <c r="FN57" s="1234"/>
      <c r="FO57" s="1182"/>
      <c r="FP57" s="365"/>
      <c r="FQ57" s="365"/>
      <c r="FR57" s="365"/>
      <c r="FS57" s="365"/>
      <c r="FT57" s="365"/>
      <c r="FU57" s="365"/>
      <c r="FV57" s="365"/>
      <c r="FW57" s="365"/>
    </row>
    <row r="58" spans="3:180" ht="17" thickTop="1" x14ac:dyDescent="0.45">
      <c r="C58" s="1" t="s">
        <v>1025</v>
      </c>
      <c r="F58" s="2222"/>
      <c r="G58" s="1319"/>
      <c r="H58" s="1319"/>
      <c r="I58" s="1445"/>
      <c r="J58" s="1427"/>
      <c r="K58" s="1319"/>
      <c r="L58" s="1319"/>
      <c r="M58" s="1319"/>
      <c r="N58" s="1319"/>
      <c r="O58" s="1445"/>
      <c r="P58" s="1427"/>
      <c r="Q58" s="1319"/>
      <c r="R58" s="1678"/>
      <c r="S58" s="538"/>
      <c r="T58" s="229"/>
      <c r="U58" s="229"/>
      <c r="V58" s="229"/>
      <c r="W58" s="229"/>
      <c r="X58" s="1245"/>
      <c r="Y58" s="538"/>
      <c r="Z58" s="229"/>
      <c r="AA58" s="229"/>
      <c r="AB58" s="229">
        <f t="shared" ref="AB58:AG58" si="3">AB$56/AB$55</f>
        <v>0.11618593563766388</v>
      </c>
      <c r="AC58" s="229">
        <f t="shared" si="3"/>
        <v>0.11618593563766388</v>
      </c>
      <c r="AD58" s="229">
        <f t="shared" si="3"/>
        <v>0.11618593563766388</v>
      </c>
      <c r="AE58" s="229">
        <f t="shared" si="3"/>
        <v>0.11618593563766388</v>
      </c>
      <c r="AF58" s="229">
        <f t="shared" si="3"/>
        <v>0.11618593563766388</v>
      </c>
      <c r="AG58" s="229">
        <f t="shared" si="3"/>
        <v>0.11618593563766388</v>
      </c>
      <c r="AH58" s="356"/>
      <c r="AI58" s="229"/>
      <c r="AJ58" s="229"/>
      <c r="AK58" s="229"/>
      <c r="AL58" s="1245"/>
      <c r="AM58" s="538"/>
      <c r="AN58" s="229"/>
      <c r="AO58" s="229"/>
      <c r="AP58" s="229"/>
      <c r="AQ58" s="229"/>
      <c r="AR58" s="229"/>
      <c r="AS58" s="229"/>
      <c r="AT58" s="229"/>
      <c r="AU58" s="1245"/>
      <c r="AV58" s="538"/>
      <c r="AW58" s="229"/>
      <c r="AX58" s="229"/>
      <c r="AY58" s="229"/>
      <c r="AZ58" s="229"/>
      <c r="BA58" s="1245"/>
      <c r="BB58" s="538"/>
      <c r="BC58" s="229"/>
      <c r="BD58" s="229"/>
      <c r="BE58" s="229"/>
      <c r="BF58" s="229"/>
      <c r="BG58" s="229"/>
      <c r="BH58" s="229"/>
      <c r="BI58" s="229"/>
      <c r="BJ58" s="229"/>
      <c r="BK58" s="356"/>
      <c r="BL58" s="229"/>
      <c r="BM58" s="229"/>
      <c r="BN58" s="229"/>
      <c r="BO58" s="1245"/>
      <c r="BP58" s="538"/>
      <c r="BQ58" s="229"/>
      <c r="BR58" s="229"/>
      <c r="BS58" s="229"/>
      <c r="BT58" s="229"/>
      <c r="BU58" s="229"/>
      <c r="BV58" s="229"/>
      <c r="BW58" s="229"/>
      <c r="BX58" s="1245"/>
      <c r="BY58" s="538"/>
      <c r="BZ58" s="229"/>
      <c r="CA58" s="229"/>
      <c r="CB58" s="229"/>
      <c r="CC58" s="229"/>
      <c r="CD58" s="1245"/>
      <c r="CE58" s="538"/>
      <c r="CF58" s="229"/>
      <c r="CG58" s="229"/>
      <c r="CH58" s="229"/>
      <c r="CI58" s="229"/>
      <c r="CJ58" s="229"/>
      <c r="CK58" s="229"/>
      <c r="CL58" s="229"/>
      <c r="CM58" s="229"/>
      <c r="CN58" s="356"/>
      <c r="CO58" s="229"/>
      <c r="CP58" s="229"/>
      <c r="CQ58" s="229"/>
      <c r="CR58" s="1245"/>
      <c r="CS58" s="538"/>
      <c r="CT58" s="229"/>
      <c r="CU58" s="229"/>
      <c r="CV58" s="229"/>
      <c r="CW58" s="229"/>
      <c r="CX58" s="229"/>
      <c r="CY58" s="229"/>
      <c r="CZ58" s="229"/>
      <c r="DA58" s="1245"/>
      <c r="DB58" s="538"/>
      <c r="DC58" s="229"/>
      <c r="DD58" s="229"/>
      <c r="DE58" s="229"/>
      <c r="DF58" s="229"/>
      <c r="DG58" s="1245"/>
      <c r="DH58" s="538"/>
      <c r="DI58" s="229"/>
      <c r="DJ58" s="229"/>
      <c r="DK58" s="229"/>
      <c r="DL58" s="229"/>
      <c r="DM58" s="229"/>
      <c r="DN58" s="229"/>
      <c r="DO58" s="229"/>
      <c r="DP58" s="229"/>
      <c r="DQ58" s="356"/>
      <c r="DR58" s="358"/>
      <c r="DS58" s="298"/>
      <c r="DT58" s="298"/>
      <c r="DU58" s="298"/>
      <c r="DV58" s="1583"/>
      <c r="DW58" s="1547"/>
      <c r="DX58" s="298"/>
      <c r="DY58" s="298"/>
      <c r="DZ58" s="298"/>
      <c r="EA58" s="298"/>
      <c r="EB58" s="298"/>
      <c r="EC58" s="297"/>
      <c r="ED58" s="297"/>
      <c r="EE58" s="1475"/>
      <c r="EF58" s="1463"/>
      <c r="EG58" s="297"/>
      <c r="EH58" s="297"/>
      <c r="EI58" s="297"/>
      <c r="EJ58" s="297"/>
      <c r="EK58" s="1475"/>
      <c r="EL58" s="1463"/>
      <c r="EM58" s="297"/>
      <c r="EN58" s="297"/>
      <c r="EO58" s="297"/>
      <c r="EP58" s="297"/>
      <c r="EQ58" s="297"/>
      <c r="ER58" s="297"/>
      <c r="ES58" s="297"/>
      <c r="ET58" s="297"/>
      <c r="EU58" s="356"/>
      <c r="EV58" s="2714" t="s">
        <v>212</v>
      </c>
      <c r="EW58" s="2714"/>
      <c r="EX58" s="2714"/>
      <c r="EY58" s="2714"/>
      <c r="EZ58" s="2714" t="s">
        <v>212</v>
      </c>
      <c r="FA58" s="2714"/>
      <c r="FB58" s="2714"/>
      <c r="FC58" s="2714"/>
      <c r="FD58" s="2714"/>
      <c r="FE58" s="298"/>
      <c r="FF58" s="2714" t="s">
        <v>212</v>
      </c>
      <c r="FG58" s="2714"/>
      <c r="FH58" s="2714"/>
      <c r="FI58" s="2714"/>
      <c r="FJ58" s="2714"/>
      <c r="FK58" s="2714"/>
      <c r="FL58" s="229"/>
      <c r="FM58" s="229"/>
      <c r="FN58" s="1245"/>
      <c r="FO58" s="538"/>
      <c r="FP58" s="229"/>
      <c r="FQ58" s="229"/>
      <c r="FR58" s="229"/>
      <c r="FS58" s="229"/>
      <c r="FT58" s="229"/>
      <c r="FU58" s="229"/>
      <c r="FV58" s="229"/>
      <c r="FW58" s="229"/>
    </row>
    <row r="59" spans="3:180" x14ac:dyDescent="0.35">
      <c r="F59" s="605"/>
      <c r="G59" s="244"/>
      <c r="H59" s="244"/>
      <c r="I59" s="1237"/>
      <c r="J59" s="606"/>
      <c r="K59" s="244"/>
      <c r="L59" s="244"/>
      <c r="M59" s="244"/>
      <c r="N59" s="244"/>
      <c r="O59" s="1237"/>
      <c r="P59" s="606"/>
      <c r="Q59" s="244"/>
      <c r="R59" s="1237"/>
      <c r="S59" s="606"/>
      <c r="T59" s="244"/>
      <c r="U59" s="244"/>
      <c r="BL59" s="244"/>
      <c r="BM59" s="244"/>
      <c r="BN59" s="244"/>
      <c r="BO59" s="1237"/>
      <c r="BP59" s="606"/>
      <c r="BQ59" s="244"/>
      <c r="BR59" s="244"/>
      <c r="BS59" s="244"/>
      <c r="BT59" s="244"/>
      <c r="BU59" s="244"/>
      <c r="BV59" s="244"/>
      <c r="BW59" s="244"/>
      <c r="BX59" s="1237"/>
      <c r="BY59" s="606"/>
      <c r="BZ59" s="244"/>
      <c r="CA59" s="244"/>
      <c r="CB59" s="244"/>
      <c r="CC59" s="244"/>
      <c r="CD59" s="1237"/>
      <c r="CE59" s="606"/>
      <c r="CF59" s="244"/>
      <c r="CG59" s="244"/>
      <c r="CH59" s="244"/>
      <c r="CI59" s="244"/>
      <c r="CJ59" s="244"/>
      <c r="CK59" s="244"/>
      <c r="CL59" s="244"/>
      <c r="CM59" s="244"/>
      <c r="CO59" s="243"/>
      <c r="CP59" s="243"/>
      <c r="CQ59" s="243"/>
      <c r="CR59" s="1282"/>
      <c r="CS59" s="1225"/>
      <c r="CT59" s="243"/>
      <c r="CU59" s="243"/>
      <c r="CV59" s="243"/>
      <c r="CW59" s="243"/>
      <c r="CX59" s="243"/>
      <c r="CY59" s="243"/>
      <c r="CZ59" s="243"/>
      <c r="DA59" s="1282"/>
      <c r="DB59" s="1225"/>
      <c r="DC59" s="243"/>
      <c r="DD59" s="243"/>
      <c r="DR59" s="241" t="s">
        <v>191</v>
      </c>
      <c r="FX59" s="1" t="s">
        <v>191</v>
      </c>
    </row>
    <row r="60" spans="3:180" x14ac:dyDescent="0.35">
      <c r="F60" s="605"/>
      <c r="G60" s="244"/>
      <c r="H60" s="244"/>
      <c r="I60" s="1237"/>
      <c r="J60" s="606"/>
      <c r="K60" s="244"/>
      <c r="L60" s="244"/>
      <c r="M60" s="244"/>
      <c r="N60" s="244"/>
      <c r="O60" s="1237"/>
      <c r="P60" s="606"/>
      <c r="Q60" s="244"/>
      <c r="R60" s="1237"/>
      <c r="S60" s="606"/>
      <c r="T60" s="244"/>
      <c r="U60" s="244"/>
      <c r="V60" s="244"/>
      <c r="W60" s="244"/>
      <c r="X60" s="1237"/>
      <c r="Y60" s="606"/>
      <c r="Z60" s="244"/>
      <c r="AA60" s="244"/>
      <c r="AB60" s="244"/>
      <c r="AC60" s="244"/>
      <c r="AD60" s="244"/>
      <c r="AE60" s="244"/>
      <c r="AF60" s="244"/>
      <c r="AG60" s="244"/>
      <c r="AH60" s="325"/>
      <c r="AI60" s="244"/>
      <c r="AJ60" s="244"/>
      <c r="AK60" s="244"/>
      <c r="AL60" s="1237"/>
      <c r="AM60" s="606"/>
      <c r="AN60" s="244"/>
      <c r="AO60" s="244"/>
      <c r="AP60" s="244"/>
      <c r="AQ60" s="244"/>
      <c r="AR60" s="244"/>
      <c r="AS60" s="244"/>
      <c r="AT60" s="244"/>
      <c r="AU60" s="1237"/>
      <c r="AV60" s="606"/>
      <c r="AW60" s="244"/>
      <c r="AX60" s="244"/>
      <c r="AY60" s="244"/>
      <c r="AZ60" s="244"/>
      <c r="BA60" s="1237"/>
      <c r="BB60" s="606"/>
      <c r="BC60" s="244"/>
      <c r="BD60" s="244"/>
      <c r="BE60" s="244"/>
      <c r="BF60" s="244"/>
      <c r="BG60" s="244"/>
      <c r="BH60" s="244"/>
      <c r="BI60" s="244"/>
      <c r="BJ60" s="244"/>
      <c r="BK60" s="325"/>
      <c r="BL60" s="244"/>
      <c r="BM60" s="244"/>
      <c r="BN60" s="244"/>
      <c r="BO60" s="1237"/>
      <c r="BP60" s="606"/>
      <c r="BQ60" s="244"/>
      <c r="BR60" s="244"/>
      <c r="BS60" s="244"/>
      <c r="BT60" s="244"/>
      <c r="BU60" s="244"/>
      <c r="BV60" s="244"/>
      <c r="BW60" s="244"/>
      <c r="BX60" s="1237"/>
      <c r="BY60" s="606"/>
      <c r="BZ60" s="244"/>
      <c r="CA60" s="244"/>
      <c r="CB60" s="244"/>
      <c r="CC60" s="244"/>
      <c r="CD60" s="1237"/>
      <c r="CE60" s="606"/>
      <c r="CF60" s="244"/>
      <c r="CG60" s="244"/>
      <c r="CH60" s="244"/>
      <c r="CI60" s="244"/>
      <c r="CJ60" s="244"/>
      <c r="CK60" s="244"/>
      <c r="CL60" s="244"/>
      <c r="CM60" s="244"/>
      <c r="CN60" s="325"/>
      <c r="CO60" s="243"/>
      <c r="CP60" s="243"/>
      <c r="CQ60" s="243"/>
      <c r="CR60" s="1282"/>
      <c r="CS60" s="1225"/>
      <c r="CT60" s="243"/>
      <c r="CU60" s="243"/>
      <c r="CV60" s="243"/>
      <c r="CW60" s="243"/>
      <c r="CX60" s="243"/>
      <c r="CY60" s="243"/>
      <c r="CZ60" s="243"/>
      <c r="DA60" s="1282"/>
      <c r="DB60" s="1225"/>
      <c r="DC60" s="243"/>
      <c r="DD60" s="243"/>
      <c r="DR60" s="241" t="s">
        <v>199</v>
      </c>
      <c r="EV60" s="251">
        <f>EV$73*EV$9/100</f>
        <v>8.1030000000000019E-2</v>
      </c>
      <c r="EW60" s="251">
        <f t="shared" ref="EW60:FK60" si="4">EW$73*EW$9/100</f>
        <v>3.2164999999999992E-2</v>
      </c>
      <c r="EX60" s="251">
        <f t="shared" si="4"/>
        <v>5.7500000000000008E-3</v>
      </c>
      <c r="EY60" s="1267">
        <f t="shared" si="4"/>
        <v>2.7812500000000003E-3</v>
      </c>
      <c r="EZ60" s="1212">
        <f t="shared" si="4"/>
        <v>6.4233043478260865E-2</v>
      </c>
      <c r="FA60" s="251">
        <f t="shared" si="4"/>
        <v>0.18239583333333337</v>
      </c>
      <c r="FB60" s="251">
        <f t="shared" si="4"/>
        <v>0.19129764705882352</v>
      </c>
      <c r="FC60" s="251">
        <f t="shared" si="4"/>
        <v>5.8643750000000008E-2</v>
      </c>
      <c r="FD60" s="251">
        <f t="shared" si="4"/>
        <v>0.11516166666666669</v>
      </c>
      <c r="FE60" s="251">
        <f t="shared" si="4"/>
        <v>9.0476666666666677E-2</v>
      </c>
      <c r="FF60" s="251">
        <f t="shared" si="4"/>
        <v>2.9874999999999999E-2</v>
      </c>
      <c r="FG60" s="251">
        <f t="shared" si="4"/>
        <v>4.2563333333333342E-2</v>
      </c>
      <c r="FH60" s="1267">
        <f t="shared" si="4"/>
        <v>0.12062750000000003</v>
      </c>
      <c r="FI60" s="1212">
        <f t="shared" si="4"/>
        <v>0</v>
      </c>
      <c r="FJ60" s="251">
        <f t="shared" si="4"/>
        <v>0</v>
      </c>
      <c r="FK60" s="251">
        <f t="shared" si="4"/>
        <v>0</v>
      </c>
      <c r="FX60" s="1" t="s">
        <v>199</v>
      </c>
    </row>
    <row r="61" spans="3:180" x14ac:dyDescent="0.35">
      <c r="F61" s="605"/>
      <c r="G61" s="244"/>
      <c r="H61" s="244"/>
      <c r="I61" s="1237"/>
      <c r="J61" s="606"/>
      <c r="K61" s="244"/>
      <c r="L61" s="244"/>
      <c r="M61" s="244"/>
      <c r="N61" s="244"/>
      <c r="O61" s="1237"/>
      <c r="P61" s="606"/>
      <c r="Q61" s="244"/>
      <c r="R61" s="1237"/>
      <c r="S61" s="606"/>
      <c r="T61" s="244"/>
      <c r="U61" s="244"/>
      <c r="V61" s="244"/>
      <c r="W61" s="244"/>
      <c r="X61" s="1237"/>
      <c r="Y61" s="606"/>
      <c r="Z61" s="244"/>
      <c r="AA61" s="244"/>
      <c r="AB61" s="244"/>
      <c r="AC61" s="244"/>
      <c r="AD61" s="244"/>
      <c r="AE61" s="244"/>
      <c r="AF61" s="244"/>
      <c r="AG61" s="244"/>
      <c r="AH61" s="325"/>
      <c r="AI61" s="244"/>
      <c r="AJ61" s="244"/>
      <c r="AK61" s="244"/>
      <c r="AL61" s="1237"/>
      <c r="AM61" s="606"/>
      <c r="AN61" s="244"/>
      <c r="AO61" s="244"/>
      <c r="AP61" s="244"/>
      <c r="AQ61" s="244"/>
      <c r="AR61" s="244"/>
      <c r="AS61" s="244"/>
      <c r="AT61" s="244"/>
      <c r="AU61" s="1237"/>
      <c r="AV61" s="606"/>
      <c r="AW61" s="244"/>
      <c r="AX61" s="244"/>
      <c r="AY61" s="244"/>
      <c r="AZ61" s="244"/>
      <c r="BA61" s="1237"/>
      <c r="BB61" s="606"/>
      <c r="BC61" s="244"/>
      <c r="BD61" s="244"/>
      <c r="BE61" s="244"/>
      <c r="BF61" s="244"/>
      <c r="BG61" s="244"/>
      <c r="BH61" s="244"/>
      <c r="BI61" s="244"/>
      <c r="BJ61" s="244"/>
      <c r="BK61" s="325"/>
      <c r="BL61" s="244"/>
      <c r="BM61" s="244"/>
      <c r="BN61" s="244"/>
      <c r="BO61" s="1237"/>
      <c r="BP61" s="606"/>
      <c r="BQ61" s="244"/>
      <c r="BR61" s="244"/>
      <c r="BS61" s="244"/>
      <c r="BT61" s="244"/>
      <c r="BU61" s="244"/>
      <c r="BV61" s="244"/>
      <c r="BW61" s="244"/>
      <c r="BX61" s="1237"/>
      <c r="BY61" s="606"/>
      <c r="BZ61" s="244"/>
      <c r="CA61" s="244"/>
      <c r="CB61" s="244"/>
      <c r="CC61" s="244"/>
      <c r="CD61" s="1237"/>
      <c r="CE61" s="606"/>
      <c r="CF61" s="244"/>
      <c r="CG61" s="244"/>
      <c r="CH61" s="244"/>
      <c r="CI61" s="244"/>
      <c r="CJ61" s="244"/>
      <c r="CK61" s="244"/>
      <c r="CL61" s="244"/>
      <c r="CM61" s="244"/>
      <c r="CN61" s="325"/>
      <c r="CO61" s="243"/>
      <c r="CP61" s="243"/>
      <c r="CQ61" s="243"/>
      <c r="CR61" s="1282"/>
      <c r="CS61" s="1225"/>
      <c r="CT61" s="243"/>
      <c r="CU61" s="243"/>
      <c r="CV61" s="243"/>
      <c r="CW61" s="243"/>
      <c r="CX61" s="243"/>
      <c r="CY61" s="243"/>
      <c r="CZ61" s="243"/>
      <c r="DA61" s="1282"/>
      <c r="DB61" s="1225"/>
      <c r="DC61" s="243"/>
      <c r="DD61" s="243"/>
      <c r="DR61" s="241" t="s">
        <v>200</v>
      </c>
      <c r="EV61" s="251">
        <f t="shared" ref="EV61:FK61" si="5">EV$73*EV$10/100</f>
        <v>5.9130000000000009E-2</v>
      </c>
      <c r="EW61" s="251">
        <f t="shared" si="5"/>
        <v>5.8969166666666656E-2</v>
      </c>
      <c r="EX61" s="251">
        <f t="shared" si="5"/>
        <v>1.0541666666666666E-2</v>
      </c>
      <c r="EY61" s="1267">
        <f t="shared" si="5"/>
        <v>4.635416666666667E-3</v>
      </c>
      <c r="EZ61" s="1212">
        <f t="shared" si="5"/>
        <v>0.11240782608695653</v>
      </c>
      <c r="FA61" s="251">
        <f t="shared" si="5"/>
        <v>0.28968750000000004</v>
      </c>
      <c r="FB61" s="251">
        <f t="shared" si="5"/>
        <v>0.31882941176470586</v>
      </c>
      <c r="FC61" s="251">
        <f t="shared" si="5"/>
        <v>0.11728750000000002</v>
      </c>
      <c r="FD61" s="251">
        <f t="shared" si="5"/>
        <v>0.18508125</v>
      </c>
      <c r="FE61" s="251">
        <f t="shared" si="5"/>
        <v>0.15833416666666669</v>
      </c>
      <c r="FF61" s="251">
        <f t="shared" si="5"/>
        <v>4.9791666666666672E-2</v>
      </c>
      <c r="FG61" s="251">
        <f t="shared" si="5"/>
        <v>6.3844999999999999E-2</v>
      </c>
      <c r="FH61" s="1267">
        <f>FH$73*FH$10/100</f>
        <v>0.22402250000000001</v>
      </c>
      <c r="FI61" s="1212">
        <f t="shared" si="5"/>
        <v>0</v>
      </c>
      <c r="FJ61" s="251">
        <f t="shared" si="5"/>
        <v>0</v>
      </c>
      <c r="FK61" s="251">
        <f t="shared" si="5"/>
        <v>0</v>
      </c>
      <c r="FX61" s="1" t="s">
        <v>200</v>
      </c>
    </row>
    <row r="62" spans="3:180" x14ac:dyDescent="0.35">
      <c r="F62" s="605"/>
      <c r="G62" s="244"/>
      <c r="H62" s="244"/>
      <c r="I62" s="1237"/>
      <c r="J62" s="606"/>
      <c r="K62" s="244"/>
      <c r="L62" s="244"/>
      <c r="M62" s="244"/>
      <c r="N62" s="244"/>
      <c r="O62" s="1237"/>
      <c r="P62" s="606"/>
      <c r="Q62" s="244"/>
      <c r="R62" s="1237"/>
      <c r="S62" s="606"/>
      <c r="T62" s="244"/>
      <c r="U62" s="244"/>
      <c r="V62" s="244"/>
      <c r="W62" s="244"/>
      <c r="X62" s="1237"/>
      <c r="Y62" s="606"/>
      <c r="Z62" s="244"/>
      <c r="AA62" s="244"/>
      <c r="AB62" s="244"/>
      <c r="AC62" s="244"/>
      <c r="AD62" s="244"/>
      <c r="AE62" s="244"/>
      <c r="AF62" s="244"/>
      <c r="AG62" s="244"/>
      <c r="AH62" s="325"/>
      <c r="AI62" s="244"/>
      <c r="AJ62" s="244"/>
      <c r="AK62" s="244"/>
      <c r="AL62" s="1237"/>
      <c r="AM62" s="606"/>
      <c r="AN62" s="244"/>
      <c r="AO62" s="244"/>
      <c r="AP62" s="244"/>
      <c r="AQ62" s="244"/>
      <c r="AR62" s="244"/>
      <c r="AS62" s="244"/>
      <c r="AT62" s="244"/>
      <c r="AU62" s="1237"/>
      <c r="AV62" s="606"/>
      <c r="AW62" s="244"/>
      <c r="AX62" s="244"/>
      <c r="AY62" s="244"/>
      <c r="AZ62" s="244"/>
      <c r="BA62" s="1237"/>
      <c r="BB62" s="606"/>
      <c r="BC62" s="244"/>
      <c r="BD62" s="244"/>
      <c r="BE62" s="244"/>
      <c r="BF62" s="244"/>
      <c r="BG62" s="244"/>
      <c r="BH62" s="244"/>
      <c r="BI62" s="244"/>
      <c r="BJ62" s="244"/>
      <c r="BK62" s="325"/>
      <c r="BL62" s="244"/>
      <c r="BM62" s="244"/>
      <c r="BN62" s="244"/>
      <c r="BO62" s="1237"/>
      <c r="BP62" s="606"/>
      <c r="BQ62" s="244"/>
      <c r="BR62" s="244"/>
      <c r="BS62" s="244"/>
      <c r="BT62" s="244"/>
      <c r="BU62" s="244"/>
      <c r="BV62" s="244"/>
      <c r="BW62" s="244"/>
      <c r="BX62" s="1237"/>
      <c r="BY62" s="606"/>
      <c r="BZ62" s="244"/>
      <c r="CA62" s="244"/>
      <c r="CB62" s="244"/>
      <c r="CC62" s="244"/>
      <c r="CD62" s="1237"/>
      <c r="CE62" s="606"/>
      <c r="CF62" s="244"/>
      <c r="CG62" s="244"/>
      <c r="CH62" s="244"/>
      <c r="CI62" s="244"/>
      <c r="CJ62" s="244"/>
      <c r="CK62" s="244"/>
      <c r="CL62" s="244"/>
      <c r="CM62" s="244"/>
      <c r="CN62" s="325"/>
      <c r="CO62" s="243"/>
      <c r="CP62" s="243"/>
      <c r="CQ62" s="243"/>
      <c r="CR62" s="1282"/>
      <c r="CS62" s="1225"/>
      <c r="CT62" s="243"/>
      <c r="CU62" s="243"/>
      <c r="CV62" s="243"/>
      <c r="CW62" s="243"/>
      <c r="CX62" s="243"/>
      <c r="CY62" s="243"/>
      <c r="CZ62" s="243"/>
      <c r="DA62" s="1282"/>
      <c r="DB62" s="1225"/>
      <c r="DC62" s="243"/>
      <c r="DD62" s="243"/>
      <c r="DR62" s="241" t="s">
        <v>201</v>
      </c>
      <c r="EV62" s="251">
        <f t="shared" ref="EV62:FK62" si="6">EV$73*EV$11/100</f>
        <v>0.12921000000000002</v>
      </c>
      <c r="EW62" s="251">
        <f t="shared" si="6"/>
        <v>8.5773333333333313E-2</v>
      </c>
      <c r="EX62" s="251">
        <f t="shared" si="6"/>
        <v>1.5333333333333334E-2</v>
      </c>
      <c r="EY62" s="1267">
        <f t="shared" si="6"/>
        <v>7.4166666666666669E-3</v>
      </c>
      <c r="EZ62" s="1212">
        <f t="shared" si="6"/>
        <v>0.1926991304347826</v>
      </c>
      <c r="FA62" s="251">
        <f t="shared" si="6"/>
        <v>0.43989583333333337</v>
      </c>
      <c r="FB62" s="251">
        <f t="shared" si="6"/>
        <v>0.47824411764705888</v>
      </c>
      <c r="FC62" s="251">
        <f t="shared" si="6"/>
        <v>0.28149000000000002</v>
      </c>
      <c r="FD62" s="251">
        <f t="shared" si="6"/>
        <v>0.3125816666666667</v>
      </c>
      <c r="FE62" s="251">
        <f t="shared" si="6"/>
        <v>0.31666833333333338</v>
      </c>
      <c r="FF62" s="251">
        <f t="shared" si="6"/>
        <v>8.9624999999999982E-2</v>
      </c>
      <c r="FG62" s="251">
        <f t="shared" si="6"/>
        <v>0.15961250000000002</v>
      </c>
      <c r="FH62" s="1267">
        <f t="shared" si="6"/>
        <v>0.40496375000000001</v>
      </c>
      <c r="FI62" s="1212">
        <f t="shared" si="6"/>
        <v>0</v>
      </c>
      <c r="FJ62" s="251">
        <f t="shared" si="6"/>
        <v>0</v>
      </c>
      <c r="FK62" s="251">
        <f t="shared" si="6"/>
        <v>0</v>
      </c>
      <c r="FX62" s="1" t="s">
        <v>201</v>
      </c>
    </row>
    <row r="63" spans="3:180" x14ac:dyDescent="0.35">
      <c r="F63" s="605"/>
      <c r="G63" s="244"/>
      <c r="H63" s="244"/>
      <c r="I63" s="1237"/>
      <c r="J63" s="606"/>
      <c r="K63" s="244"/>
      <c r="L63" s="244"/>
      <c r="M63" s="244"/>
      <c r="N63" s="244"/>
      <c r="O63" s="1237"/>
      <c r="P63" s="606"/>
      <c r="Q63" s="244"/>
      <c r="R63" s="1237"/>
      <c r="S63" s="606"/>
      <c r="T63" s="244"/>
      <c r="U63" s="244"/>
      <c r="V63" s="244"/>
      <c r="W63" s="244"/>
      <c r="X63" s="1237"/>
      <c r="Y63" s="606"/>
      <c r="Z63" s="244"/>
      <c r="AA63" s="244"/>
      <c r="AB63" s="244"/>
      <c r="AC63" s="244"/>
      <c r="AD63" s="244"/>
      <c r="AE63" s="244"/>
      <c r="AF63" s="244"/>
      <c r="AG63" s="244"/>
      <c r="AH63" s="325"/>
      <c r="AI63" s="244"/>
      <c r="AJ63" s="244"/>
      <c r="AK63" s="244"/>
      <c r="AL63" s="1237"/>
      <c r="AM63" s="606"/>
      <c r="AN63" s="244"/>
      <c r="AO63" s="244"/>
      <c r="AP63" s="244"/>
      <c r="AQ63" s="244"/>
      <c r="AR63" s="244"/>
      <c r="AS63" s="244"/>
      <c r="AT63" s="244"/>
      <c r="AU63" s="1237"/>
      <c r="AV63" s="606"/>
      <c r="AW63" s="244"/>
      <c r="AX63" s="244"/>
      <c r="AY63" s="244"/>
      <c r="AZ63" s="244"/>
      <c r="BA63" s="1237"/>
      <c r="BB63" s="606"/>
      <c r="BC63" s="244"/>
      <c r="BD63" s="244"/>
      <c r="BE63" s="244"/>
      <c r="BF63" s="244"/>
      <c r="BG63" s="244"/>
      <c r="BH63" s="244"/>
      <c r="BI63" s="244"/>
      <c r="BJ63" s="244"/>
      <c r="BK63" s="325"/>
      <c r="BL63" s="244"/>
      <c r="BM63" s="244"/>
      <c r="BN63" s="244"/>
      <c r="BO63" s="1237"/>
      <c r="BP63" s="606"/>
      <c r="BQ63" s="244"/>
      <c r="BR63" s="244"/>
      <c r="BS63" s="244"/>
      <c r="BT63" s="244"/>
      <c r="BU63" s="244"/>
      <c r="BV63" s="244"/>
      <c r="BW63" s="244"/>
      <c r="BX63" s="1237"/>
      <c r="BY63" s="606"/>
      <c r="BZ63" s="244"/>
      <c r="CA63" s="244"/>
      <c r="CB63" s="244"/>
      <c r="CC63" s="244"/>
      <c r="CD63" s="1237"/>
      <c r="CE63" s="606"/>
      <c r="CF63" s="244"/>
      <c r="CG63" s="244"/>
      <c r="CH63" s="244"/>
      <c r="CI63" s="244"/>
      <c r="CJ63" s="244"/>
      <c r="CK63" s="244"/>
      <c r="CL63" s="244"/>
      <c r="CM63" s="244"/>
      <c r="CN63" s="325"/>
      <c r="CO63" s="243"/>
      <c r="CP63" s="251"/>
      <c r="CQ63" s="243"/>
      <c r="CR63" s="1282"/>
      <c r="CS63" s="1225"/>
      <c r="CT63" s="243"/>
      <c r="CU63" s="243"/>
      <c r="CV63" s="243"/>
      <c r="CW63" s="243"/>
      <c r="CX63" s="243"/>
      <c r="CY63" s="243"/>
      <c r="CZ63" s="243"/>
      <c r="DA63" s="1282"/>
      <c r="DB63" s="1225"/>
      <c r="DC63" s="243"/>
      <c r="DD63" s="243"/>
      <c r="DR63" s="241" t="s">
        <v>376</v>
      </c>
      <c r="EV63" s="251">
        <f t="shared" ref="EV63:FK63" si="7">EV$73*EV$12/100</f>
        <v>0.16096500000000002</v>
      </c>
      <c r="EW63" s="251">
        <f t="shared" si="7"/>
        <v>9.1134166666666655E-2</v>
      </c>
      <c r="EX63" s="251">
        <f t="shared" si="7"/>
        <v>1.629166666666667E-2</v>
      </c>
      <c r="EY63" s="1267">
        <f t="shared" si="7"/>
        <v>1.0197916666666666E-2</v>
      </c>
      <c r="EZ63" s="1212">
        <f t="shared" si="7"/>
        <v>0.32919434782608692</v>
      </c>
      <c r="FA63" s="251">
        <f t="shared" si="7"/>
        <v>0.49354166666666671</v>
      </c>
      <c r="FB63" s="251">
        <f t="shared" si="7"/>
        <v>0.53138235294117653</v>
      </c>
      <c r="FC63" s="251">
        <f t="shared" si="7"/>
        <v>0.59816625000000001</v>
      </c>
      <c r="FD63" s="251">
        <f t="shared" si="7"/>
        <v>0.44830791666666664</v>
      </c>
      <c r="FE63" s="251">
        <f t="shared" si="7"/>
        <v>0.54286000000000001</v>
      </c>
      <c r="FF63" s="251">
        <f t="shared" si="7"/>
        <v>0.19916666666666669</v>
      </c>
      <c r="FG63" s="251">
        <f t="shared" si="7"/>
        <v>0.32986583333333336</v>
      </c>
      <c r="FH63" s="1267">
        <f t="shared" si="7"/>
        <v>0.58590500000000012</v>
      </c>
      <c r="FI63" s="1212">
        <f t="shared" si="7"/>
        <v>0</v>
      </c>
      <c r="FJ63" s="251">
        <f t="shared" si="7"/>
        <v>0</v>
      </c>
      <c r="FK63" s="251">
        <f t="shared" si="7"/>
        <v>0</v>
      </c>
      <c r="FX63" s="1" t="s">
        <v>376</v>
      </c>
    </row>
    <row r="64" spans="3:180" x14ac:dyDescent="0.35">
      <c r="F64" s="605"/>
      <c r="G64" s="244"/>
      <c r="H64" s="244"/>
      <c r="I64" s="1237"/>
      <c r="J64" s="606"/>
      <c r="K64" s="244"/>
      <c r="L64" s="244"/>
      <c r="M64" s="244"/>
      <c r="N64" s="244"/>
      <c r="O64" s="1237"/>
      <c r="P64" s="606"/>
      <c r="Q64" s="244"/>
      <c r="R64" s="1237"/>
      <c r="S64" s="606"/>
      <c r="T64" s="244"/>
      <c r="U64" s="244"/>
      <c r="V64" s="244"/>
      <c r="W64" s="244"/>
      <c r="X64" s="1237"/>
      <c r="Y64" s="606"/>
      <c r="Z64" s="244"/>
      <c r="AA64" s="244"/>
      <c r="AB64" s="244"/>
      <c r="AC64" s="244"/>
      <c r="AD64" s="244"/>
      <c r="AE64" s="244"/>
      <c r="AF64" s="244"/>
      <c r="AG64" s="244"/>
      <c r="AH64" s="325"/>
      <c r="AI64" s="244"/>
      <c r="AJ64" s="244"/>
      <c r="AK64" s="244"/>
      <c r="AL64" s="1237"/>
      <c r="AM64" s="606"/>
      <c r="AN64" s="244"/>
      <c r="AO64" s="244"/>
      <c r="AP64" s="244"/>
      <c r="AQ64" s="244"/>
      <c r="AR64" s="244"/>
      <c r="AS64" s="244"/>
      <c r="AT64" s="244"/>
      <c r="AU64" s="1237"/>
      <c r="AV64" s="606"/>
      <c r="AW64" s="244"/>
      <c r="AX64" s="244"/>
      <c r="AY64" s="244"/>
      <c r="AZ64" s="244"/>
      <c r="BA64" s="1237"/>
      <c r="BB64" s="606"/>
      <c r="BC64" s="244"/>
      <c r="BD64" s="244"/>
      <c r="BE64" s="244"/>
      <c r="BF64" s="244"/>
      <c r="BG64" s="244"/>
      <c r="BH64" s="244"/>
      <c r="BI64" s="244"/>
      <c r="BJ64" s="244"/>
      <c r="BK64" s="325"/>
      <c r="BL64" s="244"/>
      <c r="BM64" s="244"/>
      <c r="BN64" s="244"/>
      <c r="BO64" s="1237"/>
      <c r="BP64" s="606"/>
      <c r="BQ64" s="244"/>
      <c r="BR64" s="244"/>
      <c r="BS64" s="244"/>
      <c r="BT64" s="244"/>
      <c r="BU64" s="244"/>
      <c r="BV64" s="244"/>
      <c r="BW64" s="244"/>
      <c r="BX64" s="1237"/>
      <c r="BY64" s="606"/>
      <c r="BZ64" s="244"/>
      <c r="CA64" s="244"/>
      <c r="CB64" s="244"/>
      <c r="CC64" s="244"/>
      <c r="CD64" s="1237"/>
      <c r="CE64" s="606"/>
      <c r="CF64" s="244"/>
      <c r="CG64" s="244"/>
      <c r="CH64" s="244"/>
      <c r="CI64" s="244"/>
      <c r="CJ64" s="244"/>
      <c r="CK64" s="244"/>
      <c r="CL64" s="244"/>
      <c r="CM64" s="244"/>
      <c r="CN64" s="325"/>
      <c r="CO64" s="243"/>
      <c r="CP64" s="243"/>
      <c r="CQ64" s="243"/>
      <c r="CR64" s="1282"/>
      <c r="CS64" s="1225"/>
      <c r="CT64" s="243"/>
      <c r="CU64" s="243"/>
      <c r="CV64" s="243"/>
      <c r="CW64" s="243"/>
      <c r="CX64" s="243"/>
      <c r="CY64" s="243"/>
      <c r="CZ64" s="243"/>
      <c r="DA64" s="1282"/>
      <c r="DB64" s="1225"/>
      <c r="DC64" s="243"/>
      <c r="DD64" s="243"/>
      <c r="DR64" s="241" t="s">
        <v>203</v>
      </c>
      <c r="EV64" s="251">
        <f t="shared" ref="EV64:FK64" si="8">EV$73*EV$13/100</f>
        <v>0.10293000000000001</v>
      </c>
      <c r="EW64" s="251">
        <f t="shared" si="8"/>
        <v>5.8969166666666656E-2</v>
      </c>
      <c r="EX64" s="251">
        <f t="shared" si="8"/>
        <v>1.0541666666666666E-2</v>
      </c>
      <c r="EY64" s="1267">
        <f t="shared" si="8"/>
        <v>1.1125000000000001E-2</v>
      </c>
      <c r="EZ64" s="1212">
        <f t="shared" si="8"/>
        <v>0.39342739130434778</v>
      </c>
      <c r="FA64" s="251">
        <f t="shared" si="8"/>
        <v>0.41843750000000002</v>
      </c>
      <c r="FB64" s="251">
        <f t="shared" si="8"/>
        <v>0.40385058823529413</v>
      </c>
      <c r="FC64" s="251">
        <f t="shared" si="8"/>
        <v>0.80928375000000008</v>
      </c>
      <c r="FD64" s="251">
        <f t="shared" si="8"/>
        <v>0.48121124999999998</v>
      </c>
      <c r="FE64" s="251">
        <f t="shared" si="8"/>
        <v>0.56547916666666675</v>
      </c>
      <c r="FF64" s="251">
        <f t="shared" si="8"/>
        <v>0.39833333333333337</v>
      </c>
      <c r="FG64" s="251">
        <f t="shared" si="8"/>
        <v>0.51075999999999999</v>
      </c>
      <c r="FH64" s="1267">
        <f t="shared" si="8"/>
        <v>0.59452125</v>
      </c>
      <c r="FI64" s="1212">
        <f t="shared" si="8"/>
        <v>0</v>
      </c>
      <c r="FJ64" s="251">
        <f t="shared" si="8"/>
        <v>0</v>
      </c>
      <c r="FK64" s="251">
        <f t="shared" si="8"/>
        <v>0</v>
      </c>
      <c r="FX64" s="1" t="s">
        <v>203</v>
      </c>
    </row>
    <row r="65" spans="3:180" s="368" customFormat="1" ht="15" thickBot="1" x14ac:dyDescent="0.4">
      <c r="C65" s="364"/>
      <c r="D65" s="364"/>
      <c r="E65" s="364"/>
      <c r="F65" s="1072"/>
      <c r="G65" s="1073"/>
      <c r="H65" s="1073"/>
      <c r="I65" s="1246"/>
      <c r="J65" s="1192"/>
      <c r="K65" s="1073"/>
      <c r="L65" s="1073"/>
      <c r="M65" s="1073"/>
      <c r="N65" s="1073"/>
      <c r="O65" s="1246"/>
      <c r="P65" s="1192"/>
      <c r="Q65" s="1073"/>
      <c r="R65" s="1246"/>
      <c r="S65" s="1192"/>
      <c r="T65" s="1073"/>
      <c r="U65" s="1073"/>
      <c r="V65" s="1073"/>
      <c r="W65" s="1073"/>
      <c r="X65" s="1246"/>
      <c r="Y65" s="1192"/>
      <c r="Z65" s="1073"/>
      <c r="AA65" s="1073"/>
      <c r="AB65" s="1073"/>
      <c r="AC65" s="1073"/>
      <c r="AD65" s="1073"/>
      <c r="AE65" s="1073"/>
      <c r="AF65" s="1073"/>
      <c r="AG65" s="1073"/>
      <c r="AH65" s="369"/>
      <c r="AI65" s="1073"/>
      <c r="AJ65" s="1073"/>
      <c r="AK65" s="1073"/>
      <c r="AL65" s="1246"/>
      <c r="AM65" s="1192"/>
      <c r="AN65" s="1073"/>
      <c r="AO65" s="1073"/>
      <c r="AP65" s="1073"/>
      <c r="AQ65" s="1073"/>
      <c r="AR65" s="1073"/>
      <c r="AS65" s="1073"/>
      <c r="AT65" s="1073"/>
      <c r="AU65" s="1246"/>
      <c r="AV65" s="1192"/>
      <c r="AW65" s="1073"/>
      <c r="AX65" s="1073"/>
      <c r="AY65" s="1073"/>
      <c r="AZ65" s="1073"/>
      <c r="BA65" s="1246"/>
      <c r="BB65" s="1192"/>
      <c r="BC65" s="1073"/>
      <c r="BD65" s="1073"/>
      <c r="BE65" s="1073"/>
      <c r="BF65" s="1073"/>
      <c r="BG65" s="1073"/>
      <c r="BH65" s="1073"/>
      <c r="BI65" s="1073"/>
      <c r="BJ65" s="1073"/>
      <c r="BK65" s="369"/>
      <c r="BL65" s="1073"/>
      <c r="BM65" s="1073"/>
      <c r="BN65" s="1073"/>
      <c r="BO65" s="1246"/>
      <c r="BP65" s="1192"/>
      <c r="BQ65" s="1073"/>
      <c r="BR65" s="1073"/>
      <c r="BS65" s="1073"/>
      <c r="BT65" s="1073"/>
      <c r="BU65" s="1073"/>
      <c r="BV65" s="1073"/>
      <c r="BW65" s="1073"/>
      <c r="BX65" s="1246"/>
      <c r="BY65" s="1192"/>
      <c r="BZ65" s="1073"/>
      <c r="CA65" s="1073"/>
      <c r="CB65" s="1073"/>
      <c r="CC65" s="1073"/>
      <c r="CD65" s="1246"/>
      <c r="CE65" s="1192"/>
      <c r="CF65" s="1073"/>
      <c r="CG65" s="1073"/>
      <c r="CH65" s="1073"/>
      <c r="CI65" s="1073"/>
      <c r="CJ65" s="1073"/>
      <c r="CK65" s="1073"/>
      <c r="CL65" s="1073"/>
      <c r="CM65" s="1073"/>
      <c r="CN65" s="369"/>
      <c r="CO65" s="1074"/>
      <c r="CP65" s="1073"/>
      <c r="CQ65" s="1073"/>
      <c r="CR65" s="1246"/>
      <c r="CS65" s="1192"/>
      <c r="CT65" s="1073"/>
      <c r="CU65" s="1073"/>
      <c r="CV65" s="1074"/>
      <c r="CW65" s="1074"/>
      <c r="CX65" s="1074"/>
      <c r="CY65" s="1074"/>
      <c r="CZ65" s="1074"/>
      <c r="DA65" s="1494"/>
      <c r="DB65" s="1484"/>
      <c r="DC65" s="1074"/>
      <c r="DD65" s="1074"/>
      <c r="DE65" s="365"/>
      <c r="DF65" s="365"/>
      <c r="DG65" s="1234"/>
      <c r="DH65" s="1182"/>
      <c r="DI65" s="365"/>
      <c r="DJ65" s="365"/>
      <c r="DK65" s="365"/>
      <c r="DL65" s="365"/>
      <c r="DM65" s="365"/>
      <c r="DN65" s="365"/>
      <c r="DO65" s="365"/>
      <c r="DP65" s="365"/>
      <c r="DQ65" s="366"/>
      <c r="DR65" s="409" t="s">
        <v>374</v>
      </c>
      <c r="DS65" s="365"/>
      <c r="DT65" s="365"/>
      <c r="DU65" s="365"/>
      <c r="DV65" s="1234"/>
      <c r="DW65" s="1182"/>
      <c r="DX65" s="365"/>
      <c r="DY65" s="365"/>
      <c r="DZ65" s="365"/>
      <c r="EA65" s="365"/>
      <c r="EB65" s="365"/>
      <c r="EC65" s="365"/>
      <c r="ED65" s="365"/>
      <c r="EE65" s="1234"/>
      <c r="EF65" s="1182"/>
      <c r="EG65" s="365"/>
      <c r="EH65" s="365"/>
      <c r="EI65" s="365"/>
      <c r="EJ65" s="365"/>
      <c r="EK65" s="1234"/>
      <c r="EL65" s="1182"/>
      <c r="EM65" s="365"/>
      <c r="EN65" s="365"/>
      <c r="EO65" s="365"/>
      <c r="EP65" s="365"/>
      <c r="EQ65" s="365"/>
      <c r="ER65" s="365"/>
      <c r="ES65" s="365"/>
      <c r="ET65" s="365"/>
      <c r="EU65" s="366"/>
      <c r="EV65" s="1075">
        <f t="shared" ref="EV65:FJ65" si="9">EV$73*EV$14/100</f>
        <v>4.5990000000000003E-2</v>
      </c>
      <c r="EW65" s="1075">
        <f t="shared" si="9"/>
        <v>6.4329999999999984E-2</v>
      </c>
      <c r="EX65" s="1075">
        <f t="shared" si="9"/>
        <v>1.1500000000000002E-2</v>
      </c>
      <c r="EY65" s="1548">
        <f t="shared" si="9"/>
        <v>3.89375E-2</v>
      </c>
      <c r="EZ65" s="1531">
        <f t="shared" si="9"/>
        <v>0.73868</v>
      </c>
      <c r="FA65" s="1075">
        <f t="shared" si="9"/>
        <v>0.75104166666666672</v>
      </c>
      <c r="FB65" s="1075">
        <f t="shared" si="9"/>
        <v>0.66954176470588234</v>
      </c>
      <c r="FC65" s="1075">
        <f t="shared" si="9"/>
        <v>0.52779375000000006</v>
      </c>
      <c r="FD65" s="1075">
        <f t="shared" si="9"/>
        <v>0.43185625000000011</v>
      </c>
      <c r="FE65" s="1075">
        <f t="shared" si="9"/>
        <v>0.59940791666666682</v>
      </c>
      <c r="FF65" s="1075">
        <f t="shared" si="9"/>
        <v>0.47799999999999998</v>
      </c>
      <c r="FG65" s="1075">
        <f t="shared" si="9"/>
        <v>0.87254833333333337</v>
      </c>
      <c r="FH65" s="1548">
        <f t="shared" si="9"/>
        <v>0.80131125000000014</v>
      </c>
      <c r="FI65" s="1531">
        <f t="shared" si="9"/>
        <v>0</v>
      </c>
      <c r="FJ65" s="1075">
        <f t="shared" si="9"/>
        <v>0</v>
      </c>
      <c r="FK65" s="1075">
        <f>FK$73*FK$14/100</f>
        <v>0</v>
      </c>
      <c r="FL65" s="365"/>
      <c r="FM65" s="365"/>
      <c r="FN65" s="1234"/>
      <c r="FO65" s="1182"/>
      <c r="FP65" s="365"/>
      <c r="FQ65" s="365"/>
      <c r="FR65" s="365"/>
      <c r="FS65" s="365"/>
      <c r="FT65" s="365"/>
      <c r="FU65" s="365"/>
      <c r="FV65" s="365"/>
      <c r="FW65" s="365"/>
      <c r="FX65" s="364" t="s">
        <v>374</v>
      </c>
    </row>
    <row r="66" spans="3:180" ht="15.4" customHeight="1" thickTop="1" thickBot="1" x14ac:dyDescent="0.4">
      <c r="C66" s="163" t="s">
        <v>1024</v>
      </c>
      <c r="F66" s="2566">
        <v>46077</v>
      </c>
      <c r="G66" s="2567">
        <v>46078</v>
      </c>
      <c r="H66" s="2568">
        <v>46079</v>
      </c>
      <c r="I66" s="2569">
        <v>46080</v>
      </c>
      <c r="J66" s="2570">
        <v>46081</v>
      </c>
      <c r="K66" s="2570">
        <v>46082</v>
      </c>
      <c r="L66" s="2570">
        <v>46083</v>
      </c>
      <c r="M66" s="2570">
        <v>46084</v>
      </c>
      <c r="N66" s="2570">
        <v>46085</v>
      </c>
      <c r="O66" s="2571">
        <v>46086</v>
      </c>
      <c r="P66" s="2572">
        <v>46087</v>
      </c>
      <c r="Q66" s="2573">
        <v>46088</v>
      </c>
      <c r="R66" s="2574">
        <v>46089</v>
      </c>
      <c r="S66" s="2572">
        <v>46090</v>
      </c>
      <c r="T66" s="2573">
        <v>46091</v>
      </c>
      <c r="U66" s="2573">
        <v>46092</v>
      </c>
      <c r="V66" s="2573">
        <v>46093</v>
      </c>
      <c r="W66" s="2573">
        <v>46094</v>
      </c>
      <c r="X66" s="2574">
        <v>46095</v>
      </c>
      <c r="Y66" s="2570">
        <v>46096</v>
      </c>
      <c r="Z66" s="2570">
        <v>46097</v>
      </c>
      <c r="AA66" s="2570">
        <v>46098</v>
      </c>
      <c r="AB66" s="2266">
        <v>46008</v>
      </c>
      <c r="AC66" s="2266">
        <v>46009</v>
      </c>
      <c r="AD66" s="2266">
        <v>46010</v>
      </c>
      <c r="AE66" s="453"/>
      <c r="AF66" s="453"/>
      <c r="AG66" s="453"/>
      <c r="AH66" s="454"/>
      <c r="AI66" s="453"/>
      <c r="AJ66" s="453"/>
      <c r="AK66" s="453"/>
      <c r="AL66" s="1446"/>
      <c r="AM66" s="1428"/>
      <c r="AN66" s="453"/>
      <c r="AO66" s="453"/>
      <c r="AP66" s="453"/>
      <c r="AQ66" s="453"/>
      <c r="AR66" s="453"/>
      <c r="AS66" s="453"/>
      <c r="AT66" s="453"/>
      <c r="AU66" s="1446"/>
      <c r="AV66" s="1428"/>
      <c r="AW66" s="453"/>
      <c r="AX66" s="453"/>
      <c r="AY66" s="453"/>
      <c r="AZ66" s="453"/>
      <c r="BA66" s="1446"/>
      <c r="BB66" s="1428"/>
      <c r="BC66" s="453"/>
      <c r="BD66" s="453"/>
      <c r="BE66" s="453"/>
      <c r="BF66" s="453"/>
      <c r="BG66" s="453"/>
      <c r="BH66" s="453"/>
      <c r="BI66" s="453"/>
      <c r="BJ66" s="453"/>
      <c r="BK66" s="454"/>
      <c r="BL66" s="453"/>
      <c r="BM66" s="453"/>
      <c r="BN66" s="453"/>
      <c r="BO66" s="1446"/>
      <c r="BP66" s="1428"/>
      <c r="BQ66" s="453"/>
      <c r="BR66" s="453"/>
      <c r="BS66" s="453"/>
      <c r="BT66" s="453"/>
      <c r="BU66" s="453"/>
      <c r="BV66" s="453"/>
      <c r="BW66" s="453"/>
      <c r="BX66" s="1446"/>
      <c r="BY66" s="1428"/>
      <c r="BZ66" s="453"/>
      <c r="CA66" s="453"/>
      <c r="CB66" s="453"/>
      <c r="CC66" s="453"/>
      <c r="CD66" s="1446"/>
      <c r="CE66" s="1428"/>
      <c r="CF66" s="453"/>
      <c r="CG66" s="453"/>
      <c r="CH66" s="453"/>
      <c r="CI66" s="453"/>
      <c r="CJ66" s="453"/>
      <c r="CK66" s="453"/>
      <c r="CL66" s="453"/>
      <c r="CM66" s="453"/>
      <c r="CN66" s="454"/>
      <c r="CO66" s="453"/>
      <c r="CP66" s="453"/>
      <c r="CQ66" s="453"/>
      <c r="CR66" s="1446"/>
      <c r="CS66" s="1428"/>
      <c r="CT66" s="453"/>
      <c r="CU66" s="453"/>
      <c r="CV66" s="453"/>
      <c r="CW66" s="453"/>
      <c r="CX66" s="453"/>
      <c r="CY66" s="453"/>
      <c r="CZ66" s="453"/>
      <c r="DA66" s="1446"/>
      <c r="DB66" s="1428"/>
      <c r="DC66" s="453"/>
      <c r="DD66" s="453"/>
      <c r="DE66" s="453"/>
      <c r="DF66" s="453"/>
      <c r="DG66" s="1446"/>
      <c r="DH66" s="1428"/>
      <c r="DI66" s="453"/>
      <c r="DJ66" s="453"/>
      <c r="DK66" s="453"/>
      <c r="DL66" s="453"/>
      <c r="DM66" s="453"/>
      <c r="DN66" s="453"/>
      <c r="DO66" s="453"/>
      <c r="DP66" s="453"/>
      <c r="DQ66" s="454"/>
      <c r="DR66" s="455"/>
      <c r="DS66" s="453"/>
      <c r="DT66" s="453"/>
      <c r="DU66" s="453"/>
      <c r="DV66" s="1446"/>
      <c r="DW66" s="1428"/>
      <c r="DX66" s="453"/>
      <c r="DY66" s="453"/>
      <c r="DZ66" s="453"/>
      <c r="EA66" s="453"/>
      <c r="EB66" s="453"/>
      <c r="EC66" s="453"/>
      <c r="ED66" s="453"/>
      <c r="EE66" s="1446"/>
      <c r="EF66" s="1428"/>
      <c r="EG66" s="453"/>
      <c r="EH66" s="453"/>
      <c r="EI66" s="453"/>
      <c r="EJ66" s="453"/>
      <c r="EK66" s="1446"/>
      <c r="EL66" s="1428"/>
      <c r="EM66" s="453"/>
      <c r="EN66" s="453"/>
      <c r="EO66" s="453"/>
      <c r="EP66" s="453"/>
      <c r="EQ66" s="453"/>
      <c r="ER66" s="453"/>
      <c r="ES66" s="453"/>
      <c r="ET66" s="453"/>
      <c r="EU66" s="454"/>
      <c r="EV66" s="453"/>
      <c r="EW66" s="453"/>
      <c r="EX66" s="453"/>
      <c r="EY66" s="1446"/>
      <c r="EZ66" s="1428"/>
      <c r="FA66" s="453"/>
      <c r="FB66" s="453"/>
      <c r="FC66" s="1078"/>
      <c r="FD66" s="1078"/>
      <c r="FE66" s="1078"/>
      <c r="FF66" s="453"/>
      <c r="FG66" s="453"/>
      <c r="FH66" s="1446"/>
      <c r="FI66" s="1428"/>
      <c r="FJ66" s="453"/>
      <c r="FK66" s="453"/>
      <c r="FL66" s="453"/>
      <c r="FM66" s="453"/>
      <c r="FN66" s="1446"/>
      <c r="FO66" s="1428"/>
      <c r="FP66" s="453"/>
      <c r="FQ66" s="453"/>
      <c r="FR66" s="453"/>
      <c r="FS66" s="453"/>
      <c r="FT66" s="453"/>
      <c r="FU66" s="453"/>
      <c r="FV66" s="453"/>
      <c r="FW66" s="453"/>
    </row>
    <row r="67" spans="3:180" ht="15.5" thickTop="1" thickBot="1" x14ac:dyDescent="0.4">
      <c r="C67" s="1084" t="s">
        <v>364</v>
      </c>
      <c r="D67" s="305"/>
      <c r="E67" s="305"/>
      <c r="F67" s="2715" t="s">
        <v>206</v>
      </c>
      <c r="G67" s="2715"/>
      <c r="H67" s="2715"/>
      <c r="I67" s="2716"/>
      <c r="J67" s="2715" t="s">
        <v>206</v>
      </c>
      <c r="K67" s="2715"/>
      <c r="L67" s="2715"/>
      <c r="M67" s="2715"/>
      <c r="N67" s="2715"/>
      <c r="O67" s="2716"/>
      <c r="P67" s="2717" t="s">
        <v>206</v>
      </c>
      <c r="Q67" s="2715"/>
      <c r="R67" s="2715"/>
      <c r="S67" s="2715"/>
      <c r="T67" s="2715"/>
      <c r="U67" s="2715"/>
      <c r="V67" s="307"/>
      <c r="W67" s="307"/>
      <c r="X67" s="1239"/>
      <c r="Y67" s="1186"/>
      <c r="Z67" s="307"/>
      <c r="AA67" s="307"/>
      <c r="AB67" s="307"/>
      <c r="AC67" s="307"/>
      <c r="AD67" s="307"/>
      <c r="AE67" s="307"/>
      <c r="AF67" s="307"/>
      <c r="AG67" s="307"/>
      <c r="AH67" s="359"/>
      <c r="AI67" s="2715" t="s">
        <v>390</v>
      </c>
      <c r="AJ67" s="2715"/>
      <c r="AK67" s="2715"/>
      <c r="AL67" s="2715"/>
      <c r="AM67" s="2715" t="s">
        <v>390</v>
      </c>
      <c r="AN67" s="2715"/>
      <c r="AO67" s="2715"/>
      <c r="AP67" s="2715"/>
      <c r="AQ67" s="2715"/>
      <c r="AR67" s="2715"/>
      <c r="AS67" s="2719" t="s">
        <v>390</v>
      </c>
      <c r="AT67" s="2719"/>
      <c r="AU67" s="2719"/>
      <c r="AV67" s="2719"/>
      <c r="AW67" s="2719"/>
      <c r="AX67" s="2719"/>
      <c r="AY67" s="980"/>
      <c r="AZ67" s="980"/>
      <c r="BA67" s="1616"/>
      <c r="BB67" s="1608"/>
      <c r="BC67" s="980"/>
      <c r="BD67" s="980"/>
      <c r="BE67" s="980"/>
      <c r="BF67" s="980"/>
      <c r="BG67" s="980"/>
      <c r="BH67" s="980"/>
      <c r="BI67" s="980"/>
      <c r="BJ67" s="980"/>
      <c r="BK67" s="1085"/>
      <c r="BL67" s="2715" t="s">
        <v>15</v>
      </c>
      <c r="BM67" s="2715"/>
      <c r="BN67" s="2715"/>
      <c r="BO67" s="2715"/>
      <c r="BP67" s="2715" t="s">
        <v>15</v>
      </c>
      <c r="BQ67" s="2715"/>
      <c r="BR67" s="2715"/>
      <c r="BS67" s="2715"/>
      <c r="BT67" s="2715"/>
      <c r="BU67" s="2715"/>
      <c r="BV67" s="2715" t="s">
        <v>15</v>
      </c>
      <c r="BW67" s="2715"/>
      <c r="BX67" s="2715"/>
      <c r="BY67" s="2715"/>
      <c r="BZ67" s="2715"/>
      <c r="CA67" s="2715"/>
      <c r="CB67" s="306"/>
      <c r="CC67" s="306"/>
      <c r="CD67" s="1232"/>
      <c r="CE67" s="1180"/>
      <c r="CF67" s="306"/>
      <c r="CG67" s="306"/>
      <c r="CH67" s="306"/>
      <c r="CI67" s="306"/>
      <c r="CJ67" s="306"/>
      <c r="CK67" s="306"/>
      <c r="CL67" s="306"/>
      <c r="CM67" s="306"/>
      <c r="CN67" s="359"/>
      <c r="CO67" s="2715" t="s">
        <v>0</v>
      </c>
      <c r="CP67" s="2715"/>
      <c r="CQ67" s="2715"/>
      <c r="CR67" s="2715"/>
      <c r="CS67" s="2715" t="s">
        <v>0</v>
      </c>
      <c r="CT67" s="2715"/>
      <c r="CU67" s="2715"/>
      <c r="CV67" s="2715"/>
      <c r="CW67" s="2715"/>
      <c r="CX67" s="2715"/>
      <c r="CY67" s="2715" t="s">
        <v>0</v>
      </c>
      <c r="CZ67" s="2715"/>
      <c r="DA67" s="2715"/>
      <c r="DB67" s="2715"/>
      <c r="DC67" s="2715"/>
      <c r="DD67" s="2715"/>
      <c r="DE67" s="307"/>
      <c r="DF67" s="307"/>
      <c r="DG67" s="1239"/>
      <c r="DH67" s="1186"/>
      <c r="DI67" s="307"/>
      <c r="DJ67" s="307"/>
      <c r="DK67" s="307"/>
      <c r="DL67" s="307"/>
      <c r="DM67" s="307"/>
      <c r="DN67" s="307"/>
      <c r="DO67" s="307"/>
      <c r="DP67" s="307"/>
      <c r="DQ67" s="359"/>
      <c r="DR67" s="361"/>
      <c r="DS67" s="2715" t="s">
        <v>349</v>
      </c>
      <c r="DT67" s="2715"/>
      <c r="DU67" s="2715"/>
      <c r="DV67" s="2715"/>
      <c r="DW67" s="2715" t="s">
        <v>349</v>
      </c>
      <c r="DX67" s="2715"/>
      <c r="DY67" s="2715"/>
      <c r="DZ67" s="2715"/>
      <c r="EA67" s="2715"/>
      <c r="EB67" s="2715"/>
      <c r="EC67" s="2715" t="s">
        <v>349</v>
      </c>
      <c r="ED67" s="2715"/>
      <c r="EE67" s="2715"/>
      <c r="EF67" s="2715"/>
      <c r="EG67" s="2715"/>
      <c r="EH67" s="2715"/>
      <c r="EI67" s="306"/>
      <c r="EJ67" s="306"/>
      <c r="EK67" s="1232"/>
      <c r="EL67" s="1180"/>
      <c r="EM67" s="306"/>
      <c r="EN67" s="306"/>
      <c r="EO67" s="306"/>
      <c r="EP67" s="306"/>
      <c r="EQ67" s="306"/>
      <c r="ER67" s="306"/>
      <c r="ES67" s="306"/>
      <c r="ET67" s="306"/>
      <c r="EU67" s="359"/>
      <c r="EV67" s="2718" t="s">
        <v>386</v>
      </c>
      <c r="EW67" s="2718"/>
      <c r="EX67" s="2718"/>
      <c r="EY67" s="2718"/>
      <c r="EZ67" s="2718" t="s">
        <v>386</v>
      </c>
      <c r="FA67" s="2718"/>
      <c r="FB67" s="2718"/>
      <c r="FC67" s="2718"/>
      <c r="FD67" s="2718"/>
      <c r="FE67" s="2718"/>
      <c r="FF67" s="2715" t="s">
        <v>386</v>
      </c>
      <c r="FG67" s="2715"/>
      <c r="FH67" s="2715"/>
      <c r="FI67" s="2715"/>
      <c r="FJ67" s="2715"/>
      <c r="FK67" s="2715"/>
      <c r="FL67" s="307"/>
      <c r="FM67" s="307"/>
      <c r="FN67" s="1239"/>
      <c r="FO67" s="1186"/>
      <c r="FP67" s="307"/>
      <c r="FQ67" s="307"/>
      <c r="FR67" s="307"/>
      <c r="FS67" s="307"/>
      <c r="FT67" s="307"/>
      <c r="FU67" s="307"/>
      <c r="FV67" s="307"/>
      <c r="FW67" s="307"/>
    </row>
    <row r="68" spans="3:180" ht="15.5" thickTop="1" thickBot="1" x14ac:dyDescent="0.4">
      <c r="C68" s="1079" t="s">
        <v>420</v>
      </c>
      <c r="D68" s="449"/>
      <c r="E68" s="449"/>
      <c r="F68" s="1080">
        <f>2797+2669</f>
        <v>5466</v>
      </c>
      <c r="G68" s="1081">
        <f>2885+2686</f>
        <v>5571</v>
      </c>
      <c r="H68" s="1081">
        <f>2722+2823</f>
        <v>5545</v>
      </c>
      <c r="I68" s="1248">
        <v>5422</v>
      </c>
      <c r="J68" s="1194"/>
      <c r="K68" s="1081"/>
      <c r="L68" s="1081"/>
      <c r="M68" s="1081"/>
      <c r="N68" s="1081"/>
      <c r="O68" s="2253"/>
      <c r="P68" s="1194"/>
      <c r="Q68" s="1081"/>
      <c r="R68" s="1248"/>
      <c r="S68" s="1194"/>
      <c r="T68" s="1081"/>
      <c r="U68" s="1081"/>
      <c r="V68" s="1141"/>
      <c r="W68" s="1141"/>
      <c r="X68" s="1447"/>
      <c r="Y68" s="1429"/>
      <c r="Z68" s="1141"/>
      <c r="AA68" s="1141"/>
      <c r="AB68" s="1141"/>
      <c r="AC68" s="1141"/>
      <c r="AD68" s="1141"/>
      <c r="AE68" s="1141"/>
      <c r="AF68" s="1141"/>
      <c r="AG68" s="1141"/>
      <c r="AH68" s="356"/>
      <c r="AI68" s="297"/>
      <c r="AJ68" s="297"/>
      <c r="AK68" s="297"/>
      <c r="AL68" s="1475"/>
      <c r="AM68" s="1463"/>
      <c r="AN68" s="297"/>
      <c r="AO68" s="297"/>
      <c r="AP68" s="297"/>
      <c r="AQ68" s="297"/>
      <c r="AR68" s="297"/>
      <c r="AS68" s="1066"/>
      <c r="AT68" s="1066"/>
      <c r="AU68" s="1617"/>
      <c r="AV68" s="1609"/>
      <c r="AW68" s="1066"/>
      <c r="AX68" s="1066"/>
      <c r="AY68" s="1066"/>
      <c r="AZ68" s="1066"/>
      <c r="BA68" s="1617"/>
      <c r="BB68" s="1609"/>
      <c r="BC68" s="1066"/>
      <c r="BD68" s="1066"/>
      <c r="BE68" s="1066"/>
      <c r="BF68" s="1066"/>
      <c r="BG68" s="1066"/>
      <c r="BH68" s="1066"/>
      <c r="BI68" s="1066"/>
      <c r="BJ68" s="1066"/>
      <c r="BK68" s="1082"/>
      <c r="BL68" s="297"/>
      <c r="BM68" s="297"/>
      <c r="BN68" s="297"/>
      <c r="BO68" s="1475"/>
      <c r="BP68" s="1463"/>
      <c r="BQ68" s="297"/>
      <c r="BR68" s="297"/>
      <c r="BS68" s="297"/>
      <c r="BT68" s="297"/>
      <c r="BU68" s="297"/>
      <c r="BV68" s="297"/>
      <c r="BW68" s="297"/>
      <c r="BX68" s="1475"/>
      <c r="BY68" s="1463"/>
      <c r="BZ68" s="297"/>
      <c r="CA68" s="297"/>
      <c r="CB68" s="297"/>
      <c r="CC68" s="297"/>
      <c r="CD68" s="1475"/>
      <c r="CE68" s="1463"/>
      <c r="CF68" s="297"/>
      <c r="CG68" s="297"/>
      <c r="CH68" s="297"/>
      <c r="CI68" s="297"/>
      <c r="CJ68" s="297"/>
      <c r="CK68" s="297"/>
      <c r="CL68" s="297"/>
      <c r="CM68" s="297"/>
      <c r="CN68" s="356"/>
      <c r="CO68" s="297"/>
      <c r="CP68" s="297"/>
      <c r="CQ68" s="297"/>
      <c r="CR68" s="1475"/>
      <c r="CS68" s="1463"/>
      <c r="CT68" s="297"/>
      <c r="CU68" s="297"/>
      <c r="CV68" s="297"/>
      <c r="CW68" s="297"/>
      <c r="CX68" s="297"/>
      <c r="CY68" s="297"/>
      <c r="CZ68" s="297"/>
      <c r="DA68" s="1475"/>
      <c r="DB68" s="1463"/>
      <c r="DC68" s="297"/>
      <c r="DD68" s="297"/>
      <c r="DE68" s="229"/>
      <c r="DF68" s="229"/>
      <c r="DG68" s="1245"/>
      <c r="DH68" s="538"/>
      <c r="DI68" s="229"/>
      <c r="DJ68" s="229"/>
      <c r="DK68" s="229"/>
      <c r="DL68" s="229"/>
      <c r="DM68" s="229"/>
      <c r="DN68" s="229"/>
      <c r="DO68" s="229"/>
      <c r="DP68" s="229"/>
      <c r="DQ68" s="356"/>
      <c r="DR68" s="358"/>
      <c r="DS68" s="297"/>
      <c r="DT68" s="297"/>
      <c r="DU68" s="297"/>
      <c r="DV68" s="1475"/>
      <c r="DW68" s="1463"/>
      <c r="DX68" s="297"/>
      <c r="DY68" s="297"/>
      <c r="DZ68" s="297"/>
      <c r="EA68" s="297"/>
      <c r="EB68" s="297"/>
      <c r="EC68" s="297"/>
      <c r="ED68" s="297"/>
      <c r="EE68" s="1475"/>
      <c r="EF68" s="1463"/>
      <c r="EG68" s="297"/>
      <c r="EH68" s="297"/>
      <c r="EI68" s="297"/>
      <c r="EJ68" s="297"/>
      <c r="EK68" s="1475"/>
      <c r="EL68" s="1463"/>
      <c r="EM68" s="297"/>
      <c r="EN68" s="297"/>
      <c r="EO68" s="297"/>
      <c r="EP68" s="297"/>
      <c r="EQ68" s="297"/>
      <c r="ER68" s="297"/>
      <c r="ES68" s="297"/>
      <c r="ET68" s="297"/>
      <c r="EU68" s="356"/>
      <c r="EV68" s="1083"/>
      <c r="EW68" s="1083"/>
      <c r="EX68" s="1083"/>
      <c r="EY68" s="1549"/>
      <c r="EZ68" s="1532"/>
      <c r="FA68" s="1083"/>
      <c r="FB68" s="1083"/>
      <c r="FC68" s="1083"/>
      <c r="FD68" s="1083"/>
      <c r="FE68" s="1083"/>
      <c r="FF68" s="297"/>
      <c r="FG68" s="297"/>
      <c r="FH68" s="1475"/>
      <c r="FI68" s="1463"/>
      <c r="FJ68" s="297"/>
      <c r="FK68" s="297"/>
      <c r="FL68" s="229"/>
      <c r="FM68" s="229"/>
      <c r="FN68" s="1245"/>
      <c r="FO68" s="538"/>
      <c r="FP68" s="229"/>
      <c r="FQ68" s="229"/>
      <c r="FR68" s="229"/>
      <c r="FS68" s="229"/>
      <c r="FT68" s="229"/>
      <c r="FU68" s="229"/>
      <c r="FV68" s="229"/>
      <c r="FW68" s="229"/>
    </row>
    <row r="69" spans="3:180" ht="15" thickBot="1" x14ac:dyDescent="0.4">
      <c r="C69" s="418" t="s">
        <v>421</v>
      </c>
      <c r="F69" s="1694">
        <f>F$68/23.5</f>
        <v>232.59574468085106</v>
      </c>
      <c r="G69" s="242">
        <f>G68/24</f>
        <v>232.125</v>
      </c>
      <c r="H69" s="242">
        <f>H68/(23.4)</f>
        <v>236.96581196581198</v>
      </c>
      <c r="I69" s="1249">
        <f>I68/23.5</f>
        <v>230.72340425531914</v>
      </c>
      <c r="J69" s="1195"/>
      <c r="K69" s="480"/>
      <c r="L69" s="242"/>
      <c r="M69" s="242"/>
      <c r="N69" s="242"/>
      <c r="O69" s="1249"/>
      <c r="P69" s="643"/>
      <c r="AI69" s="242"/>
      <c r="AJ69" s="242"/>
      <c r="AK69" s="242"/>
      <c r="AL69" s="1249"/>
      <c r="AM69" s="1195"/>
      <c r="AN69" s="242"/>
      <c r="AO69" s="242"/>
      <c r="AP69" s="242"/>
      <c r="AQ69" s="242"/>
      <c r="AR69" s="242"/>
      <c r="AS69" s="319"/>
      <c r="AT69" s="319"/>
      <c r="AU69" s="1618"/>
      <c r="AV69" s="1610"/>
      <c r="AW69" s="319"/>
      <c r="AX69" s="319"/>
      <c r="AY69" s="319"/>
      <c r="AZ69" s="319"/>
      <c r="BA69" s="1618"/>
      <c r="BB69" s="1610"/>
      <c r="BC69" s="319"/>
      <c r="BD69" s="319"/>
      <c r="BE69" s="319"/>
      <c r="BF69" s="319"/>
      <c r="BG69" s="319"/>
      <c r="BH69" s="319"/>
      <c r="BI69" s="319"/>
      <c r="BJ69" s="319"/>
      <c r="BK69" s="326"/>
      <c r="BL69" s="242"/>
      <c r="BM69" s="242"/>
      <c r="BN69" s="242"/>
      <c r="BO69" s="1249"/>
      <c r="BP69" s="1195"/>
      <c r="BQ69" s="242"/>
      <c r="BR69" s="242"/>
      <c r="BS69" s="242" t="s">
        <v>949</v>
      </c>
      <c r="BT69" s="242">
        <v>3444</v>
      </c>
      <c r="BU69" s="242"/>
      <c r="BV69" s="242"/>
      <c r="BW69" s="242"/>
      <c r="BX69" s="1249"/>
      <c r="BY69" s="1195"/>
      <c r="BZ69" s="242"/>
      <c r="CA69" s="242"/>
      <c r="CB69" s="242"/>
      <c r="CC69" s="242"/>
      <c r="CD69" s="1249"/>
      <c r="CE69" s="1195"/>
      <c r="CF69" s="242"/>
      <c r="CG69" s="242"/>
      <c r="CH69" s="242"/>
      <c r="CI69" s="242"/>
      <c r="CJ69" s="242"/>
      <c r="CK69" s="242"/>
      <c r="CL69" s="242"/>
      <c r="CM69" s="242"/>
      <c r="CO69" s="242"/>
      <c r="CP69" s="242"/>
      <c r="CQ69" s="242"/>
      <c r="CR69" s="1249"/>
      <c r="CS69" s="1195"/>
      <c r="CT69" s="242"/>
      <c r="CU69" s="242"/>
      <c r="CV69" s="242"/>
      <c r="CW69" s="242"/>
      <c r="CX69" s="242"/>
      <c r="CY69" s="242"/>
      <c r="CZ69" s="242"/>
      <c r="DA69" s="1249"/>
      <c r="DB69" s="1195"/>
      <c r="DC69" s="242"/>
      <c r="DD69" s="242"/>
      <c r="DS69" s="242"/>
      <c r="DT69" s="242"/>
      <c r="DU69" s="242"/>
      <c r="DV69" s="1249"/>
      <c r="DW69" s="1195"/>
      <c r="DX69" s="242"/>
      <c r="DY69" s="242"/>
      <c r="DZ69" s="242"/>
      <c r="EA69" s="242"/>
      <c r="EB69" s="242"/>
      <c r="EC69" s="242"/>
      <c r="ED69" s="242"/>
      <c r="EE69" s="1249"/>
      <c r="EF69" s="1195"/>
      <c r="EG69" s="242"/>
      <c r="EH69" s="242"/>
      <c r="EI69" s="242"/>
      <c r="EJ69" s="242"/>
      <c r="EK69" s="1249"/>
      <c r="EL69" s="1195"/>
      <c r="EM69" s="242"/>
      <c r="EN69" s="242"/>
      <c r="EO69" s="242"/>
      <c r="EP69" s="242"/>
      <c r="EQ69" s="242"/>
      <c r="ER69" s="242"/>
      <c r="ES69" s="242"/>
      <c r="ET69" s="242"/>
      <c r="EV69" s="269"/>
      <c r="EW69" s="269"/>
      <c r="EX69" s="269"/>
      <c r="EY69" s="1268"/>
      <c r="EZ69" s="1213"/>
      <c r="FA69" s="269"/>
      <c r="FB69" s="269"/>
      <c r="FC69" s="269"/>
      <c r="FD69" s="269"/>
      <c r="FE69" s="269"/>
      <c r="FF69" s="242"/>
      <c r="FG69" s="242"/>
      <c r="FH69" s="1249"/>
      <c r="FI69" s="1195"/>
      <c r="FJ69" s="242"/>
      <c r="FK69" s="242"/>
    </row>
    <row r="70" spans="3:180" ht="15" thickBot="1" x14ac:dyDescent="0.4">
      <c r="C70" s="448" t="s">
        <v>416</v>
      </c>
      <c r="D70" s="449"/>
      <c r="E70" s="449"/>
      <c r="F70" s="1035">
        <f>1198+1113</f>
        <v>2311</v>
      </c>
      <c r="G70" s="450">
        <f>1149+1100</f>
        <v>2249</v>
      </c>
      <c r="H70" s="450">
        <f>1064+1095</f>
        <v>2159</v>
      </c>
      <c r="I70" s="1250">
        <v>2186</v>
      </c>
      <c r="J70" s="1196"/>
      <c r="K70" s="450"/>
      <c r="L70" s="450"/>
      <c r="M70" s="450"/>
      <c r="N70" s="450"/>
      <c r="O70" s="1250"/>
      <c r="P70" s="1196"/>
      <c r="Q70" s="450"/>
      <c r="R70" s="1250"/>
      <c r="S70" s="1196"/>
      <c r="T70" s="450"/>
      <c r="U70" s="450"/>
      <c r="V70" s="1140"/>
      <c r="W70" s="1140"/>
      <c r="X70" s="1448"/>
      <c r="Y70" s="1430"/>
      <c r="Z70" s="1140"/>
      <c r="AA70" s="1140"/>
      <c r="AB70" s="1140"/>
      <c r="AC70" s="1140"/>
      <c r="AD70" s="1140"/>
      <c r="AE70" s="1140"/>
      <c r="AF70" s="1140"/>
      <c r="AG70" s="1140"/>
      <c r="AI70" s="242"/>
      <c r="AJ70" s="242"/>
      <c r="AK70" s="242"/>
      <c r="AL70" s="1249"/>
      <c r="AM70" s="1195"/>
      <c r="AN70" s="242"/>
      <c r="AO70" s="242"/>
      <c r="AP70" s="242"/>
      <c r="AQ70" s="242"/>
      <c r="AR70" s="242"/>
      <c r="AS70" s="319"/>
      <c r="AT70" s="319"/>
      <c r="AU70" s="1618"/>
      <c r="AV70" s="1610"/>
      <c r="AW70" s="319"/>
      <c r="AX70" s="319"/>
      <c r="AY70" s="319"/>
      <c r="AZ70" s="319"/>
      <c r="BA70" s="1618"/>
      <c r="BB70" s="1610"/>
      <c r="BC70" s="319"/>
      <c r="BD70" s="319"/>
      <c r="BE70" s="319"/>
      <c r="BF70" s="319"/>
      <c r="BG70" s="319"/>
      <c r="BH70" s="319"/>
      <c r="BI70" s="319"/>
      <c r="BJ70" s="319"/>
      <c r="BK70" s="326"/>
      <c r="BL70" s="242"/>
      <c r="BM70" s="242"/>
      <c r="BN70" s="242"/>
      <c r="BO70" s="1249"/>
      <c r="BP70" s="2260"/>
      <c r="BQ70" s="2261"/>
      <c r="BR70" s="2261"/>
      <c r="BT70" s="242"/>
      <c r="BU70" s="242"/>
      <c r="BV70" s="242"/>
      <c r="BW70" s="242"/>
      <c r="BX70" s="1249"/>
      <c r="BY70" s="1195"/>
      <c r="BZ70" s="242"/>
      <c r="CA70" s="242"/>
      <c r="CB70" s="242"/>
      <c r="CC70" s="242"/>
      <c r="CD70" s="1249"/>
      <c r="CE70" s="1195"/>
      <c r="CF70" s="242"/>
      <c r="CG70" s="242"/>
      <c r="CH70" s="242"/>
      <c r="CI70" s="242"/>
      <c r="CJ70" s="242"/>
      <c r="CK70" s="242"/>
      <c r="CL70" s="242"/>
      <c r="CM70" s="242"/>
      <c r="CO70" s="242"/>
      <c r="CP70" s="242"/>
      <c r="CQ70" s="242"/>
      <c r="CR70" s="1249"/>
      <c r="CS70" s="2262">
        <v>45990</v>
      </c>
      <c r="CT70" s="2263">
        <v>45991</v>
      </c>
      <c r="CU70" s="2263">
        <v>45992</v>
      </c>
      <c r="CV70" s="242"/>
      <c r="CW70" s="242"/>
      <c r="CX70" s="242"/>
      <c r="CY70" s="242"/>
      <c r="CZ70" s="242"/>
      <c r="DA70" s="1249"/>
      <c r="DB70" s="1195"/>
      <c r="DC70" s="242"/>
      <c r="DD70" s="242"/>
      <c r="DS70" s="242"/>
      <c r="DT70" s="242"/>
      <c r="DU70" s="242"/>
      <c r="DV70" s="1249"/>
      <c r="DW70" s="2262"/>
      <c r="DX70" s="2263"/>
      <c r="DY70" s="2263"/>
      <c r="DZ70" s="242"/>
      <c r="EA70" s="242"/>
      <c r="EB70" s="242"/>
      <c r="EC70" s="242"/>
      <c r="ED70" s="242"/>
      <c r="EE70" s="1249"/>
      <c r="EF70" s="1195"/>
      <c r="EG70" s="242"/>
      <c r="EH70" s="242"/>
      <c r="EI70" s="242"/>
      <c r="EJ70" s="242"/>
      <c r="EK70" s="1249"/>
      <c r="EL70" s="1195"/>
      <c r="EM70" s="242"/>
      <c r="EN70" s="242"/>
      <c r="EO70" s="242"/>
      <c r="EP70" s="242"/>
      <c r="EQ70" s="242"/>
      <c r="ER70" s="242"/>
      <c r="ES70" s="242"/>
      <c r="ET70" s="242"/>
      <c r="EV70" s="269"/>
      <c r="EW70" s="269"/>
      <c r="EX70" s="269"/>
      <c r="EY70" s="1268"/>
      <c r="EZ70" s="2265"/>
      <c r="FA70" s="2264"/>
      <c r="FB70" s="2264"/>
      <c r="FC70" s="269"/>
      <c r="FD70" s="269"/>
      <c r="FE70" s="269"/>
      <c r="FF70" s="242"/>
      <c r="FG70" s="242"/>
      <c r="FH70" s="1249"/>
      <c r="FI70" s="1195"/>
      <c r="FJ70" s="242"/>
      <c r="FK70" s="242"/>
    </row>
    <row r="71" spans="3:180" ht="15" thickBot="1" x14ac:dyDescent="0.4">
      <c r="C71" s="418" t="s">
        <v>415</v>
      </c>
      <c r="F71" s="1695">
        <f>F70/23.5</f>
        <v>98.340425531914889</v>
      </c>
      <c r="G71" s="1069">
        <f>G70/24</f>
        <v>93.708333333333329</v>
      </c>
      <c r="H71" s="1069">
        <f>H70/(23.4)</f>
        <v>92.264957264957275</v>
      </c>
      <c r="I71" s="1251">
        <f>I70/23.5</f>
        <v>93.021276595744681</v>
      </c>
      <c r="J71" s="2250" t="s">
        <v>926</v>
      </c>
      <c r="K71" s="2108" t="s">
        <v>921</v>
      </c>
      <c r="L71" s="2108" t="s">
        <v>927</v>
      </c>
      <c r="M71" s="2108" t="s">
        <v>928</v>
      </c>
      <c r="N71" s="2108" t="s">
        <v>929</v>
      </c>
      <c r="O71" s="2254" t="s">
        <v>930</v>
      </c>
      <c r="P71" s="2246" t="s">
        <v>931</v>
      </c>
      <c r="Q71" s="247" t="s">
        <v>932</v>
      </c>
      <c r="R71" s="2245" t="s">
        <v>933</v>
      </c>
      <c r="S71" s="2246" t="s">
        <v>934</v>
      </c>
      <c r="T71" s="247" t="s">
        <v>935</v>
      </c>
      <c r="U71" s="247" t="s">
        <v>936</v>
      </c>
      <c r="V71" s="247" t="s">
        <v>937</v>
      </c>
      <c r="W71" s="247" t="s">
        <v>938</v>
      </c>
      <c r="X71" s="2245" t="s">
        <v>939</v>
      </c>
      <c r="Y71" s="2246" t="s">
        <v>940</v>
      </c>
      <c r="Z71" s="247" t="s">
        <v>941</v>
      </c>
      <c r="AA71" s="247" t="s">
        <v>942</v>
      </c>
      <c r="AB71" s="247" t="s">
        <v>943</v>
      </c>
      <c r="AC71" s="247" t="s">
        <v>944</v>
      </c>
      <c r="AD71" s="247" t="s">
        <v>945</v>
      </c>
      <c r="AE71" s="247" t="s">
        <v>946</v>
      </c>
      <c r="AF71" s="247" t="s">
        <v>947</v>
      </c>
      <c r="AG71" s="247" t="s">
        <v>948</v>
      </c>
      <c r="AH71" s="344"/>
      <c r="AI71" s="1069"/>
      <c r="AJ71" s="1069"/>
      <c r="AK71" s="1069"/>
      <c r="AL71" s="1251"/>
      <c r="AM71" s="1197" t="s">
        <v>926</v>
      </c>
      <c r="AN71" s="1069" t="s">
        <v>921</v>
      </c>
      <c r="AO71" s="1069" t="s">
        <v>927</v>
      </c>
      <c r="AP71" s="1069" t="s">
        <v>928</v>
      </c>
      <c r="AQ71" s="1069" t="s">
        <v>929</v>
      </c>
      <c r="AR71" s="1069" t="s">
        <v>930</v>
      </c>
      <c r="AS71" s="1089" t="s">
        <v>931</v>
      </c>
      <c r="AT71" s="1089" t="s">
        <v>932</v>
      </c>
      <c r="AU71" s="1619" t="s">
        <v>933</v>
      </c>
      <c r="AV71" s="1611" t="s">
        <v>934</v>
      </c>
      <c r="AW71" s="1089" t="s">
        <v>935</v>
      </c>
      <c r="AX71" s="1089" t="s">
        <v>936</v>
      </c>
      <c r="AY71" s="1089" t="s">
        <v>937</v>
      </c>
      <c r="AZ71" s="1089" t="s">
        <v>938</v>
      </c>
      <c r="BA71" s="1619" t="s">
        <v>939</v>
      </c>
      <c r="BB71" s="1611" t="s">
        <v>940</v>
      </c>
      <c r="BC71" s="1089" t="s">
        <v>941</v>
      </c>
      <c r="BD71" s="1089" t="s">
        <v>942</v>
      </c>
      <c r="BE71" s="1089" t="s">
        <v>943</v>
      </c>
      <c r="BF71" s="1089" t="s">
        <v>944</v>
      </c>
      <c r="BG71" s="1089" t="s">
        <v>945</v>
      </c>
      <c r="BH71" s="1089" t="s">
        <v>946</v>
      </c>
      <c r="BI71" s="1089" t="s">
        <v>947</v>
      </c>
      <c r="BJ71" s="1089" t="s">
        <v>948</v>
      </c>
      <c r="BK71" s="1090"/>
      <c r="BL71" s="1069" t="s">
        <v>922</v>
      </c>
      <c r="BM71" s="1069"/>
      <c r="BN71" s="1069"/>
      <c r="BO71" s="1251"/>
      <c r="BP71" s="1197" t="s">
        <v>926</v>
      </c>
      <c r="BQ71" s="1069" t="s">
        <v>921</v>
      </c>
      <c r="BR71" s="1069" t="s">
        <v>927</v>
      </c>
      <c r="BS71" s="1069" t="s">
        <v>928</v>
      </c>
      <c r="BT71" s="1069" t="s">
        <v>929</v>
      </c>
      <c r="BU71" s="1069" t="s">
        <v>930</v>
      </c>
      <c r="BV71" s="1069" t="s">
        <v>931</v>
      </c>
      <c r="BW71" s="1069" t="s">
        <v>932</v>
      </c>
      <c r="BX71" s="1251" t="s">
        <v>933</v>
      </c>
      <c r="BY71" s="1197" t="s">
        <v>934</v>
      </c>
      <c r="BZ71" s="1069" t="s">
        <v>935</v>
      </c>
      <c r="CA71" s="1069" t="s">
        <v>936</v>
      </c>
      <c r="CB71" s="1069" t="s">
        <v>937</v>
      </c>
      <c r="CC71" s="1069" t="s">
        <v>938</v>
      </c>
      <c r="CD71" s="1251" t="s">
        <v>939</v>
      </c>
      <c r="CE71" s="1197" t="s">
        <v>940</v>
      </c>
      <c r="CF71" s="1069" t="s">
        <v>941</v>
      </c>
      <c r="CG71" s="1069" t="s">
        <v>942</v>
      </c>
      <c r="CH71" s="1069" t="s">
        <v>943</v>
      </c>
      <c r="CI71" s="1069" t="s">
        <v>944</v>
      </c>
      <c r="CJ71" s="1069" t="s">
        <v>945</v>
      </c>
      <c r="CK71" s="1069" t="s">
        <v>946</v>
      </c>
      <c r="CL71" s="1069" t="s">
        <v>947</v>
      </c>
      <c r="CM71" s="1069" t="s">
        <v>948</v>
      </c>
      <c r="CN71" s="344"/>
      <c r="CO71" s="1069" t="s">
        <v>922</v>
      </c>
      <c r="CP71" s="1069" t="s">
        <v>923</v>
      </c>
      <c r="CQ71" s="1069" t="s">
        <v>924</v>
      </c>
      <c r="CR71" s="1251" t="s">
        <v>925</v>
      </c>
      <c r="CS71" s="1197" t="s">
        <v>926</v>
      </c>
      <c r="CT71" s="1069" t="s">
        <v>921</v>
      </c>
      <c r="CU71" s="1069" t="s">
        <v>927</v>
      </c>
      <c r="CV71" s="1069" t="s">
        <v>928</v>
      </c>
      <c r="CW71" s="1069" t="s">
        <v>929</v>
      </c>
      <c r="CX71" s="1069" t="s">
        <v>930</v>
      </c>
      <c r="CY71" s="1069" t="s">
        <v>931</v>
      </c>
      <c r="CZ71" s="1069" t="s">
        <v>932</v>
      </c>
      <c r="DA71" s="1251" t="s">
        <v>933</v>
      </c>
      <c r="DB71" s="1197"/>
      <c r="DC71" s="1069"/>
      <c r="DD71" s="1069"/>
      <c r="DE71" s="225"/>
      <c r="DF71" s="225"/>
      <c r="DG71" s="1269"/>
      <c r="DH71" s="1214"/>
      <c r="DI71" s="225"/>
      <c r="DJ71" s="225"/>
      <c r="DK71" s="225"/>
      <c r="DL71" s="225"/>
      <c r="DM71" s="225"/>
      <c r="DN71" s="225"/>
      <c r="DO71" s="225"/>
      <c r="DP71" s="225"/>
      <c r="DQ71" s="344"/>
      <c r="DR71" s="345"/>
      <c r="DS71" s="1069" t="s">
        <v>922</v>
      </c>
      <c r="DT71" s="1069" t="s">
        <v>923</v>
      </c>
      <c r="DU71" s="1069" t="s">
        <v>924</v>
      </c>
      <c r="DV71" s="1251" t="s">
        <v>925</v>
      </c>
      <c r="DW71" s="1197" t="s">
        <v>926</v>
      </c>
      <c r="DX71" s="1069" t="s">
        <v>921</v>
      </c>
      <c r="DY71" s="1069" t="s">
        <v>927</v>
      </c>
      <c r="DZ71" s="1069" t="s">
        <v>928</v>
      </c>
      <c r="EA71" s="1069" t="s">
        <v>929</v>
      </c>
      <c r="EB71" s="1069" t="s">
        <v>930</v>
      </c>
      <c r="EC71" s="1069" t="s">
        <v>931</v>
      </c>
      <c r="ED71" s="1069" t="s">
        <v>932</v>
      </c>
      <c r="EE71" s="1251" t="s">
        <v>933</v>
      </c>
      <c r="EF71" s="1197"/>
      <c r="EG71" s="1069"/>
      <c r="EH71" s="1069"/>
      <c r="EI71" s="1069"/>
      <c r="EJ71" s="1069"/>
      <c r="EK71" s="1251"/>
      <c r="EL71" s="1197"/>
      <c r="EM71" s="1069"/>
      <c r="EN71" s="1069"/>
      <c r="EO71" s="1069"/>
      <c r="EP71" s="1069"/>
      <c r="EQ71" s="1069"/>
      <c r="ER71" s="1069"/>
      <c r="ES71" s="1069"/>
      <c r="ET71" s="1069"/>
      <c r="EU71" s="344"/>
      <c r="EV71" s="1086" t="s">
        <v>922</v>
      </c>
      <c r="EW71" s="389" t="s">
        <v>923</v>
      </c>
      <c r="EX71" s="1086" t="s">
        <v>924</v>
      </c>
      <c r="EY71" s="1550" t="s">
        <v>925</v>
      </c>
      <c r="EZ71" s="1533" t="s">
        <v>926</v>
      </c>
      <c r="FA71" s="1086" t="s">
        <v>921</v>
      </c>
      <c r="FB71" s="1086" t="s">
        <v>927</v>
      </c>
      <c r="FC71" s="1086" t="s">
        <v>928</v>
      </c>
      <c r="FD71" s="1069" t="s">
        <v>929</v>
      </c>
      <c r="FE71" s="1069" t="s">
        <v>930</v>
      </c>
      <c r="FF71" s="1069" t="s">
        <v>931</v>
      </c>
      <c r="FG71" s="1069" t="s">
        <v>932</v>
      </c>
      <c r="FH71" s="1251" t="s">
        <v>933</v>
      </c>
      <c r="FI71" s="1197"/>
      <c r="FJ71" s="1069"/>
      <c r="FK71" s="1069"/>
      <c r="FL71" s="225"/>
      <c r="FM71" s="225"/>
      <c r="FN71" s="1269"/>
      <c r="FO71" s="1214"/>
      <c r="FP71" s="225"/>
      <c r="FQ71" s="225"/>
      <c r="FR71" s="225"/>
      <c r="FS71" s="225"/>
      <c r="FT71" s="225"/>
      <c r="FU71" s="225"/>
      <c r="FV71" s="225"/>
      <c r="FW71" s="225"/>
    </row>
    <row r="72" spans="3:180" ht="15.5" thickTop="1" thickBot="1" x14ac:dyDescent="0.4">
      <c r="C72" s="1133" t="s">
        <v>434</v>
      </c>
      <c r="D72" s="1134"/>
      <c r="E72" s="1135"/>
      <c r="F72" s="2578">
        <f>F68+F70</f>
        <v>7777</v>
      </c>
      <c r="G72" s="1101">
        <f>G68+G70</f>
        <v>7820</v>
      </c>
      <c r="H72" s="1101">
        <f>H68+H70</f>
        <v>7704</v>
      </c>
      <c r="I72" s="1252">
        <f>I68+I71</f>
        <v>5515.0212765957449</v>
      </c>
      <c r="J72" s="1198">
        <v>2324</v>
      </c>
      <c r="K72" s="1101">
        <v>4291</v>
      </c>
      <c r="L72" s="1101">
        <v>2987</v>
      </c>
      <c r="M72" s="1101">
        <v>4219</v>
      </c>
      <c r="N72" s="1101">
        <f>2350+1485</f>
        <v>3835</v>
      </c>
      <c r="O72" s="1252">
        <v>4348</v>
      </c>
      <c r="P72" s="1198">
        <v>4352</v>
      </c>
      <c r="Q72" s="1101">
        <v>4295</v>
      </c>
      <c r="R72" s="1252">
        <v>4291</v>
      </c>
      <c r="S72" s="1198"/>
      <c r="T72" s="1101"/>
      <c r="U72" s="1101"/>
      <c r="V72" s="1139"/>
      <c r="W72" s="1139"/>
      <c r="X72" s="1449"/>
      <c r="Y72" s="1431"/>
      <c r="Z72" s="1139"/>
      <c r="AA72" s="1139"/>
      <c r="AB72" s="1139"/>
      <c r="AC72" s="1139"/>
      <c r="AD72" s="1139"/>
      <c r="AE72" s="1139"/>
      <c r="AF72" s="1139"/>
      <c r="AG72" s="1139"/>
      <c r="AH72" s="1102"/>
      <c r="AI72" s="1103"/>
      <c r="AJ72" s="1103">
        <v>19</v>
      </c>
      <c r="AK72" s="1103"/>
      <c r="AL72" s="1513"/>
      <c r="AM72" s="1507">
        <v>45</v>
      </c>
      <c r="AN72" s="1103">
        <v>36.228000000000002</v>
      </c>
      <c r="AO72" s="1103"/>
      <c r="AP72" s="1103"/>
      <c r="AQ72" s="1103"/>
      <c r="AR72" s="1103"/>
      <c r="AS72" s="1103">
        <v>27.11</v>
      </c>
      <c r="AT72" s="1103"/>
      <c r="AU72" s="1513"/>
      <c r="AV72" s="1507"/>
      <c r="AW72" s="1103"/>
      <c r="AX72" s="1103"/>
      <c r="AY72" s="1103"/>
      <c r="AZ72" s="1103"/>
      <c r="BA72" s="1513"/>
      <c r="BB72" s="1507"/>
      <c r="BC72" s="1103"/>
      <c r="BD72" s="1103"/>
      <c r="BE72" s="1103"/>
      <c r="BF72" s="1103"/>
      <c r="BG72" s="1103"/>
      <c r="BH72" s="1103"/>
      <c r="BI72" s="1103"/>
      <c r="BJ72" s="1103"/>
      <c r="BK72" s="1102"/>
      <c r="BL72" s="1104">
        <f>3620+3564</f>
        <v>7184</v>
      </c>
      <c r="BM72" s="1104">
        <f>(3320+3350)</f>
        <v>6670</v>
      </c>
      <c r="BN72" s="1104">
        <v>7042</v>
      </c>
      <c r="BO72" s="1476">
        <f>2044+1464+3456</f>
        <v>6964</v>
      </c>
      <c r="BP72" s="2635">
        <v>1760</v>
      </c>
      <c r="BQ72" s="1104">
        <v>2576</v>
      </c>
      <c r="BR72" s="1104">
        <v>2610</v>
      </c>
      <c r="BS72" s="1104">
        <v>3456</v>
      </c>
      <c r="BT72" s="1104">
        <f>2024+1170</f>
        <v>3194</v>
      </c>
      <c r="BU72" s="1104">
        <v>3546</v>
      </c>
      <c r="BV72" s="1104">
        <v>3556</v>
      </c>
      <c r="BW72" s="1104">
        <v>3468</v>
      </c>
      <c r="BX72" s="1476">
        <v>3510</v>
      </c>
      <c r="BY72" s="1485"/>
      <c r="BZ72" s="1104"/>
      <c r="CA72" s="1104"/>
      <c r="CB72" s="1104"/>
      <c r="CC72" s="1104"/>
      <c r="CD72" s="1476"/>
      <c r="CE72" s="1485"/>
      <c r="CF72" s="1104"/>
      <c r="CG72" s="1104"/>
      <c r="CH72" s="1104"/>
      <c r="CI72" s="1104"/>
      <c r="CJ72" s="1104"/>
      <c r="CK72" s="1104"/>
      <c r="CL72" s="1104"/>
      <c r="CM72" s="1104"/>
      <c r="CN72" s="1102"/>
      <c r="CO72" s="1103"/>
      <c r="CP72" s="1104">
        <v>338</v>
      </c>
      <c r="CQ72" s="1104">
        <v>192</v>
      </c>
      <c r="CR72" s="1476">
        <v>272</v>
      </c>
      <c r="CS72" s="1485">
        <v>392</v>
      </c>
      <c r="CT72" s="1104">
        <v>446</v>
      </c>
      <c r="CU72" s="1104">
        <v>372</v>
      </c>
      <c r="CV72" s="1104">
        <v>390</v>
      </c>
      <c r="CW72" s="1104">
        <f>218+160</f>
        <v>378</v>
      </c>
      <c r="CX72" s="1104">
        <v>436</v>
      </c>
      <c r="CY72" s="1104">
        <v>348</v>
      </c>
      <c r="CZ72" s="1104">
        <v>396</v>
      </c>
      <c r="DA72" s="1476">
        <v>360</v>
      </c>
      <c r="DB72" s="1485"/>
      <c r="DC72" s="1104"/>
      <c r="DD72" s="1104"/>
      <c r="DE72" s="1103"/>
      <c r="DF72" s="1103"/>
      <c r="DG72" s="1513"/>
      <c r="DH72" s="1507"/>
      <c r="DI72" s="1103"/>
      <c r="DJ72" s="1103"/>
      <c r="DK72" s="1103"/>
      <c r="DL72" s="1103"/>
      <c r="DM72" s="1103"/>
      <c r="DN72" s="1103"/>
      <c r="DO72" s="1103"/>
      <c r="DP72" s="1105"/>
      <c r="DQ72" s="1106"/>
      <c r="DR72" s="1107"/>
      <c r="DS72" s="1108">
        <v>753</v>
      </c>
      <c r="DT72" s="1104">
        <f>1308.5+249.9</f>
        <v>1558.4</v>
      </c>
      <c r="DU72" s="1104">
        <v>489.4</v>
      </c>
      <c r="DV72" s="1476">
        <v>491.1</v>
      </c>
      <c r="DW72" s="1485">
        <v>315.7</v>
      </c>
      <c r="DX72" s="1104">
        <v>344</v>
      </c>
      <c r="DY72" s="1104">
        <v>347.7</v>
      </c>
      <c r="DZ72" s="1104">
        <v>363.4</v>
      </c>
      <c r="EA72" s="1109">
        <f>215.5+133.2</f>
        <v>348.7</v>
      </c>
      <c r="EB72" s="1109">
        <v>361.6</v>
      </c>
      <c r="EC72" s="1104">
        <v>374.4</v>
      </c>
      <c r="ED72" s="1104">
        <v>373.8</v>
      </c>
      <c r="EE72" s="1476">
        <v>373.5</v>
      </c>
      <c r="EF72" s="1485"/>
      <c r="EG72" s="1104"/>
      <c r="EH72" s="1104"/>
      <c r="EI72" s="1104"/>
      <c r="EJ72" s="1104"/>
      <c r="EK72" s="1476"/>
      <c r="EL72" s="1485"/>
      <c r="EM72" s="1104"/>
      <c r="EN72" s="1104"/>
      <c r="EO72" s="1104"/>
      <c r="EP72" s="1104"/>
      <c r="EQ72" s="1104"/>
      <c r="ER72" s="1104"/>
      <c r="ES72" s="1104"/>
      <c r="ET72" s="1110"/>
      <c r="EU72" s="1111" t="s">
        <v>185</v>
      </c>
      <c r="EV72" s="1112">
        <v>131.4</v>
      </c>
      <c r="EW72" s="1113">
        <f>223.8+1062.8</f>
        <v>1286.5999999999999</v>
      </c>
      <c r="EX72" s="1113">
        <v>230</v>
      </c>
      <c r="EY72" s="1551">
        <v>222.5</v>
      </c>
      <c r="EZ72" s="1534">
        <v>1846.7</v>
      </c>
      <c r="FA72" s="1113">
        <v>2575</v>
      </c>
      <c r="FB72" s="1114">
        <v>1806.7</v>
      </c>
      <c r="FC72" s="1113">
        <v>2814.9</v>
      </c>
      <c r="FD72" s="1115">
        <f>1055.9+918.3</f>
        <v>1974.2</v>
      </c>
      <c r="FE72" s="1116">
        <v>2714.3</v>
      </c>
      <c r="FF72" s="1114">
        <v>2390</v>
      </c>
      <c r="FG72" s="1114">
        <v>2553.8000000000002</v>
      </c>
      <c r="FH72" s="1570">
        <v>2067.9</v>
      </c>
      <c r="FI72" s="1507"/>
      <c r="FJ72" s="1103"/>
      <c r="FK72" s="1103"/>
      <c r="FL72" s="1103"/>
      <c r="FM72" s="1103"/>
      <c r="FN72" s="1513"/>
      <c r="FO72" s="1507"/>
      <c r="FP72" s="1103"/>
      <c r="FQ72" s="1103"/>
      <c r="FR72" s="1103"/>
      <c r="FS72" s="1103"/>
      <c r="FT72" s="1103"/>
      <c r="FU72" s="1103"/>
      <c r="FV72" s="1103"/>
      <c r="FW72" s="1105"/>
    </row>
    <row r="73" spans="3:180" ht="15" thickBot="1" x14ac:dyDescent="0.4">
      <c r="C73" s="1136" t="s">
        <v>419</v>
      </c>
      <c r="D73" s="1137"/>
      <c r="E73" s="1138"/>
      <c r="F73" s="1696">
        <f>F72/23.5</f>
        <v>330.93617021276594</v>
      </c>
      <c r="G73" s="1118">
        <f>G$69+G$71</f>
        <v>325.83333333333331</v>
      </c>
      <c r="H73" s="1119">
        <f t="shared" ref="H73" si="10">H$69+H$71</f>
        <v>329.23076923076928</v>
      </c>
      <c r="I73" s="1253">
        <v>325.39</v>
      </c>
      <c r="J73" s="1459">
        <f>J72/12</f>
        <v>193.66666666666666</v>
      </c>
      <c r="K73" s="1119">
        <f>K72/23</f>
        <v>186.56521739130434</v>
      </c>
      <c r="L73" s="1119">
        <f>L$72/16</f>
        <v>186.6875</v>
      </c>
      <c r="M73" s="1119">
        <f>M$72/23</f>
        <v>183.43478260869566</v>
      </c>
      <c r="N73" s="1119">
        <f>N$72/21</f>
        <v>182.61904761904762</v>
      </c>
      <c r="O73" s="1253">
        <f>O72/23</f>
        <v>189.04347826086956</v>
      </c>
      <c r="P73" s="1459">
        <f>P72/23</f>
        <v>189.21739130434781</v>
      </c>
      <c r="Q73" s="1119">
        <f>Q72/23</f>
        <v>186.7391304347826</v>
      </c>
      <c r="R73" s="1253">
        <f>R72/23</f>
        <v>186.56521739130434</v>
      </c>
      <c r="S73" s="1199"/>
      <c r="T73" s="1118"/>
      <c r="U73" s="1118"/>
      <c r="V73" s="1120"/>
      <c r="W73" s="1120"/>
      <c r="X73" s="1450"/>
      <c r="Y73" s="1432"/>
      <c r="Z73" s="1120"/>
      <c r="AA73" s="1120"/>
      <c r="AB73" s="1120"/>
      <c r="AC73" s="1120"/>
      <c r="AD73" s="1120"/>
      <c r="AE73" s="1120"/>
      <c r="AF73" s="1120"/>
      <c r="AG73" s="1120"/>
      <c r="AH73" s="1121"/>
      <c r="AI73" s="1120">
        <f>AI$72/23.5</f>
        <v>0</v>
      </c>
      <c r="AJ73" s="1120">
        <f>AJ72/12</f>
        <v>1.5833333333333333</v>
      </c>
      <c r="AK73" s="1120">
        <f>AK72/24</f>
        <v>0</v>
      </c>
      <c r="AL73" s="1450"/>
      <c r="AM73" s="1432">
        <f>AM72/23.5</f>
        <v>1.9148936170212767</v>
      </c>
      <c r="AN73" s="1120">
        <f>AN72/24</f>
        <v>1.5095000000000001</v>
      </c>
      <c r="AO73" s="1120">
        <f>AO72/24</f>
        <v>0</v>
      </c>
      <c r="AP73" s="1120">
        <f>AP72/24</f>
        <v>0</v>
      </c>
      <c r="AQ73" s="1120"/>
      <c r="AR73" s="1120"/>
      <c r="AS73" s="1120">
        <f>AS72/24</f>
        <v>1.1295833333333334</v>
      </c>
      <c r="AT73" s="1120">
        <f>AT72/24</f>
        <v>0</v>
      </c>
      <c r="AU73" s="1450">
        <f>AU72/24</f>
        <v>0</v>
      </c>
      <c r="AV73" s="1432">
        <f>AV72/24</f>
        <v>0</v>
      </c>
      <c r="AW73" s="1120"/>
      <c r="AX73" s="1120"/>
      <c r="AY73" s="1120"/>
      <c r="AZ73" s="1120"/>
      <c r="BA73" s="1450"/>
      <c r="BB73" s="1432"/>
      <c r="BC73" s="1120"/>
      <c r="BD73" s="1120"/>
      <c r="BE73" s="1120"/>
      <c r="BF73" s="1120"/>
      <c r="BG73" s="1120"/>
      <c r="BH73" s="1120"/>
      <c r="BI73" s="1120"/>
      <c r="BJ73" s="1120"/>
      <c r="BK73" s="1121"/>
      <c r="BL73" s="1122">
        <f>BL$72/23.5</f>
        <v>305.70212765957444</v>
      </c>
      <c r="BM73" s="1122">
        <f>BM72/24</f>
        <v>277.91666666666669</v>
      </c>
      <c r="BN73" s="1122">
        <f>BN72/24</f>
        <v>293.41666666666669</v>
      </c>
      <c r="BO73" s="1595">
        <f>BO72/24</f>
        <v>290.16666666666669</v>
      </c>
      <c r="BP73" s="1566">
        <f>BP72/12</f>
        <v>146.66666666666666</v>
      </c>
      <c r="BQ73" s="1123">
        <f>BQ72/18</f>
        <v>143.11111111111111</v>
      </c>
      <c r="BR73" s="1123">
        <f>BR72/17.7</f>
        <v>147.45762711864407</v>
      </c>
      <c r="BS73" s="1123">
        <f>BS72/24</f>
        <v>144</v>
      </c>
      <c r="BT73" s="1123">
        <f>BT72/22.3</f>
        <v>143.22869955156949</v>
      </c>
      <c r="BU73" s="1123">
        <f>BU72/24</f>
        <v>147.75</v>
      </c>
      <c r="BV73" s="1123">
        <f>BV72/24</f>
        <v>148.16666666666666</v>
      </c>
      <c r="BW73" s="1123">
        <f>BW72/24</f>
        <v>144.5</v>
      </c>
      <c r="BX73" s="1552">
        <f>BX72/24</f>
        <v>146.25</v>
      </c>
      <c r="BY73" s="1566">
        <v>143.5</v>
      </c>
      <c r="BZ73" s="1123"/>
      <c r="CA73" s="1123"/>
      <c r="CB73" s="1123">
        <f t="shared" ref="CB73:CM73" si="11">CB$72/23.5</f>
        <v>0</v>
      </c>
      <c r="CC73" s="1123">
        <f t="shared" si="11"/>
        <v>0</v>
      </c>
      <c r="CD73" s="1552">
        <f t="shared" si="11"/>
        <v>0</v>
      </c>
      <c r="CE73" s="1566">
        <f t="shared" si="11"/>
        <v>0</v>
      </c>
      <c r="CF73" s="1123">
        <f t="shared" si="11"/>
        <v>0</v>
      </c>
      <c r="CG73" s="1123">
        <f t="shared" si="11"/>
        <v>0</v>
      </c>
      <c r="CH73" s="1123">
        <f t="shared" si="11"/>
        <v>0</v>
      </c>
      <c r="CI73" s="1123">
        <f t="shared" si="11"/>
        <v>0</v>
      </c>
      <c r="CJ73" s="1123">
        <f t="shared" si="11"/>
        <v>0</v>
      </c>
      <c r="CK73" s="1123">
        <f t="shared" si="11"/>
        <v>0</v>
      </c>
      <c r="CL73" s="1123">
        <f t="shared" si="11"/>
        <v>0</v>
      </c>
      <c r="CM73" s="1123">
        <f t="shared" si="11"/>
        <v>0</v>
      </c>
      <c r="CN73" s="1124"/>
      <c r="CO73" s="1118">
        <f>CO$72/(11+8)</f>
        <v>0</v>
      </c>
      <c r="CP73" s="1118">
        <f>CP$72/24</f>
        <v>14.083333333333334</v>
      </c>
      <c r="CQ73" s="1118">
        <f>CQ$72/24</f>
        <v>8</v>
      </c>
      <c r="CR73" s="1413">
        <f>CR72/24</f>
        <v>11.333333333333334</v>
      </c>
      <c r="CS73" s="1199">
        <f>CS$72/24</f>
        <v>16.333333333333332</v>
      </c>
      <c r="CT73" s="1118">
        <f>CT$72/24</f>
        <v>18.583333333333332</v>
      </c>
      <c r="CU73" s="1118">
        <f>CU$72/17</f>
        <v>21.882352941176471</v>
      </c>
      <c r="CV73" s="1118">
        <f>CV72/24</f>
        <v>16.25</v>
      </c>
      <c r="CW73" s="1118">
        <f>CW$72/22.33</f>
        <v>16.927899686520377</v>
      </c>
      <c r="CX73" s="1118">
        <f>CX$72/24</f>
        <v>18.166666666666668</v>
      </c>
      <c r="CY73" s="1118">
        <f>CY72/24</f>
        <v>14.5</v>
      </c>
      <c r="CZ73" s="1118">
        <f>CZ72/24</f>
        <v>16.5</v>
      </c>
      <c r="DA73" s="1413">
        <f>DA72/24</f>
        <v>15</v>
      </c>
      <c r="DB73" s="1199"/>
      <c r="DC73" s="1118">
        <f>DC$72/(21-4)</f>
        <v>0</v>
      </c>
      <c r="DD73" s="1118">
        <f>DD$72/12</f>
        <v>0</v>
      </c>
      <c r="DE73" s="1118">
        <f t="shared" ref="DE73:DP73" si="12">DE$72/23.5</f>
        <v>0</v>
      </c>
      <c r="DF73" s="1118">
        <f t="shared" si="12"/>
        <v>0</v>
      </c>
      <c r="DG73" s="1413">
        <f t="shared" si="12"/>
        <v>0</v>
      </c>
      <c r="DH73" s="1199">
        <f t="shared" si="12"/>
        <v>0</v>
      </c>
      <c r="DI73" s="1118">
        <f t="shared" si="12"/>
        <v>0</v>
      </c>
      <c r="DJ73" s="1118">
        <f t="shared" si="12"/>
        <v>0</v>
      </c>
      <c r="DK73" s="1118">
        <f t="shared" si="12"/>
        <v>0</v>
      </c>
      <c r="DL73" s="1118">
        <f t="shared" si="12"/>
        <v>0</v>
      </c>
      <c r="DM73" s="1118">
        <f t="shared" si="12"/>
        <v>0</v>
      </c>
      <c r="DN73" s="1118">
        <f t="shared" si="12"/>
        <v>0</v>
      </c>
      <c r="DO73" s="1118">
        <f t="shared" si="12"/>
        <v>0</v>
      </c>
      <c r="DP73" s="1125">
        <f t="shared" si="12"/>
        <v>0</v>
      </c>
      <c r="DQ73" s="1126"/>
      <c r="DR73" s="1127"/>
      <c r="DS73" s="1128">
        <f>DS$72/12</f>
        <v>62.75</v>
      </c>
      <c r="DT73" s="1123">
        <f>DT$72/24</f>
        <v>64.933333333333337</v>
      </c>
      <c r="DU73" s="1123">
        <f>DU$72/24</f>
        <v>20.391666666666666</v>
      </c>
      <c r="DV73" s="1552">
        <f>DV$72/24</f>
        <v>20.462500000000002</v>
      </c>
      <c r="DW73" s="1566">
        <f>DW$72/23</f>
        <v>13.726086956521739</v>
      </c>
      <c r="DX73" s="1123">
        <f>DX$72/24</f>
        <v>14.333333333333334</v>
      </c>
      <c r="DY73" s="1123">
        <f>DY$72/23</f>
        <v>15.117391304347825</v>
      </c>
      <c r="DZ73" s="1123">
        <f>DZ$72/24</f>
        <v>15.141666666666666</v>
      </c>
      <c r="EA73" s="1123">
        <f>EA$72/24</f>
        <v>14.529166666666667</v>
      </c>
      <c r="EB73" s="1123">
        <f>EB$72/24</f>
        <v>15.066666666666668</v>
      </c>
      <c r="EC73" s="1123">
        <f>EC72/24</f>
        <v>15.6</v>
      </c>
      <c r="ED73" s="1123">
        <f>ED72/24</f>
        <v>15.575000000000001</v>
      </c>
      <c r="EE73" s="1552">
        <f>EE72/24</f>
        <v>15.5625</v>
      </c>
      <c r="EF73" s="1566"/>
      <c r="EG73" s="1123"/>
      <c r="EH73" s="1123"/>
      <c r="EI73" s="1123"/>
      <c r="EJ73" s="1123"/>
      <c r="EK73" s="1552"/>
      <c r="EL73" s="1566"/>
      <c r="EM73" s="1123"/>
      <c r="EN73" s="1123"/>
      <c r="EO73" s="1123"/>
      <c r="EP73" s="1123"/>
      <c r="EQ73" s="1123"/>
      <c r="ER73" s="1123"/>
      <c r="ES73" s="1123"/>
      <c r="ET73" s="1129"/>
      <c r="EU73" s="1130" t="s">
        <v>207</v>
      </c>
      <c r="EV73" s="1128">
        <f>EV$72/12</f>
        <v>10.950000000000001</v>
      </c>
      <c r="EW73" s="1123">
        <f>EW$72/24</f>
        <v>53.608333333333327</v>
      </c>
      <c r="EX73" s="1123">
        <f>EX$72/24</f>
        <v>9.5833333333333339</v>
      </c>
      <c r="EY73" s="1552">
        <f>EY$72/24</f>
        <v>9.2708333333333339</v>
      </c>
      <c r="EZ73" s="1566">
        <f>EZ$72/23</f>
        <v>80.291304347826085</v>
      </c>
      <c r="FA73" s="1123">
        <f>FA$72/24</f>
        <v>107.29166666666667</v>
      </c>
      <c r="FB73" s="1123">
        <f>FB$72/17</f>
        <v>106.2764705882353</v>
      </c>
      <c r="FC73" s="1123">
        <f>FC$72/24</f>
        <v>117.28750000000001</v>
      </c>
      <c r="FD73" s="1123">
        <f>FD$72/24</f>
        <v>82.25833333333334</v>
      </c>
      <c r="FE73" s="1123">
        <f>FE$72/24</f>
        <v>113.09583333333335</v>
      </c>
      <c r="FF73" s="1123">
        <f>FF72/24</f>
        <v>99.583333333333329</v>
      </c>
      <c r="FG73" s="1123">
        <f>FG72/24</f>
        <v>106.40833333333335</v>
      </c>
      <c r="FH73" s="1552">
        <f>FH72/24</f>
        <v>86.162500000000009</v>
      </c>
      <c r="FI73" s="1566"/>
      <c r="FJ73" s="1123"/>
      <c r="FK73" s="1123"/>
      <c r="FL73" s="1131"/>
      <c r="FM73" s="1131"/>
      <c r="FN73" s="1576"/>
      <c r="FO73" s="1574"/>
      <c r="FP73" s="1131"/>
      <c r="FQ73" s="1131"/>
      <c r="FR73" s="1131"/>
      <c r="FS73" s="1131"/>
      <c r="FT73" s="1131"/>
      <c r="FU73" s="1131"/>
      <c r="FV73" s="1131"/>
      <c r="FW73" s="1132"/>
    </row>
    <row r="74" spans="3:180" ht="15" thickTop="1" x14ac:dyDescent="0.35">
      <c r="C74" s="1" t="s">
        <v>366</v>
      </c>
      <c r="F74" s="1091"/>
      <c r="G74" s="1092"/>
      <c r="H74" s="1092"/>
      <c r="I74" s="1254"/>
      <c r="J74" s="1200"/>
      <c r="K74" s="1092"/>
      <c r="L74" s="1092"/>
      <c r="M74" s="1092"/>
      <c r="N74" s="1092"/>
      <c r="O74" s="2255"/>
      <c r="P74" s="1200"/>
      <c r="Q74" s="1092"/>
      <c r="R74" s="1254"/>
      <c r="S74" s="1200"/>
      <c r="T74" s="1092"/>
      <c r="U74" s="1092"/>
      <c r="V74" s="1093"/>
      <c r="W74" s="1093"/>
      <c r="X74" s="1451"/>
      <c r="Y74" s="1433"/>
      <c r="Z74" s="1093"/>
      <c r="AA74" s="1093"/>
      <c r="AB74" s="1093"/>
      <c r="AC74" s="1093"/>
      <c r="AD74" s="1093"/>
      <c r="AE74" s="1093"/>
      <c r="AF74" s="1093"/>
      <c r="AG74" s="1093"/>
      <c r="AH74" s="1094"/>
      <c r="AI74" s="1093"/>
      <c r="AJ74" s="1093"/>
      <c r="AK74" s="1093"/>
      <c r="AL74" s="1451"/>
      <c r="AM74" s="1433"/>
      <c r="AN74" s="1093"/>
      <c r="AO74" s="1093"/>
      <c r="AP74" s="1093"/>
      <c r="AQ74" s="1093"/>
      <c r="AR74" s="1093"/>
      <c r="AS74" s="1093"/>
      <c r="AT74" s="1093"/>
      <c r="AU74" s="1451"/>
      <c r="AV74" s="1433"/>
      <c r="AW74" s="1093"/>
      <c r="AX74" s="1093"/>
      <c r="AY74" s="1093"/>
      <c r="AZ74" s="1093"/>
      <c r="BA74" s="1451"/>
      <c r="BB74" s="1433"/>
      <c r="BC74" s="1093"/>
      <c r="BD74" s="1093"/>
      <c r="BE74" s="1093"/>
      <c r="BF74" s="1093"/>
      <c r="BG74" s="1093"/>
      <c r="BH74" s="1093"/>
      <c r="BI74" s="1093"/>
      <c r="BJ74" s="1093"/>
      <c r="BK74" s="1094"/>
      <c r="BL74" s="1087"/>
      <c r="BM74" s="1087"/>
      <c r="BN74" s="1087"/>
      <c r="BO74" s="1553"/>
      <c r="BP74" s="1536"/>
      <c r="BQ74" s="1087"/>
      <c r="BR74" s="1087"/>
      <c r="BS74" s="1095"/>
      <c r="BT74" s="1095"/>
      <c r="BU74" s="1095"/>
      <c r="BV74" s="1095"/>
      <c r="BW74" s="1095"/>
      <c r="BX74" s="1603"/>
      <c r="BY74" s="1599"/>
      <c r="BZ74" s="1095"/>
      <c r="CA74" s="1095"/>
      <c r="CB74" s="1095"/>
      <c r="CC74" s="1095"/>
      <c r="CD74" s="1603"/>
      <c r="CE74" s="1599"/>
      <c r="CF74" s="1095"/>
      <c r="CG74" s="1095"/>
      <c r="CH74" s="1095"/>
      <c r="CI74" s="1095"/>
      <c r="CJ74" s="1095"/>
      <c r="CK74" s="1095"/>
      <c r="CL74" s="1095"/>
      <c r="CM74" s="1095"/>
      <c r="CN74" s="1096"/>
      <c r="CO74" s="1097"/>
      <c r="CP74" s="1092"/>
      <c r="CQ74" s="1092"/>
      <c r="CR74" s="1254"/>
      <c r="CS74" s="1200"/>
      <c r="CT74" s="1092"/>
      <c r="CU74" s="1092"/>
      <c r="CV74" s="1092"/>
      <c r="CW74" s="1092"/>
      <c r="CX74" s="1092"/>
      <c r="CY74" s="1092"/>
      <c r="CZ74" s="1092"/>
      <c r="DA74" s="1254"/>
      <c r="DB74" s="1200"/>
      <c r="DC74" s="1092"/>
      <c r="DD74" s="1092"/>
      <c r="DE74" s="300"/>
      <c r="DF74" s="300"/>
      <c r="DG74" s="1512"/>
      <c r="DH74" s="1506"/>
      <c r="DI74" s="300"/>
      <c r="DJ74" s="300"/>
      <c r="DK74" s="300"/>
      <c r="DL74" s="300"/>
      <c r="DM74" s="300"/>
      <c r="DN74" s="300"/>
      <c r="DO74" s="300"/>
      <c r="DP74" s="300"/>
      <c r="DQ74" s="1096"/>
      <c r="DR74" s="1098"/>
      <c r="DS74" s="1087"/>
      <c r="DT74" s="1087"/>
      <c r="DU74" s="1087"/>
      <c r="DV74" s="1553"/>
      <c r="DW74" s="1536"/>
      <c r="DX74" s="1087"/>
      <c r="DY74" s="1087"/>
      <c r="DZ74" s="1087"/>
      <c r="EA74" s="1087"/>
      <c r="EB74" s="1087"/>
      <c r="EC74" s="1087"/>
      <c r="ED74" s="1087"/>
      <c r="EE74" s="1553"/>
      <c r="EF74" s="1536"/>
      <c r="EG74" s="1087"/>
      <c r="EH74" s="1087"/>
      <c r="EI74" s="1087"/>
      <c r="EJ74" s="1087"/>
      <c r="EK74" s="1553"/>
      <c r="EL74" s="1536"/>
      <c r="EM74" s="1087"/>
      <c r="EN74" s="1087"/>
      <c r="EO74" s="1087"/>
      <c r="EP74" s="1087"/>
      <c r="EQ74" s="1087"/>
      <c r="ER74" s="1087"/>
      <c r="ES74" s="1087"/>
      <c r="ET74" s="1087"/>
      <c r="EU74" s="1099"/>
      <c r="EV74" s="1087"/>
      <c r="EW74" s="1087"/>
      <c r="EX74" s="1087"/>
      <c r="EY74" s="1553"/>
      <c r="EZ74" s="1536"/>
      <c r="FA74" s="1087"/>
      <c r="FB74" s="1087"/>
      <c r="FC74" s="1087"/>
      <c r="FD74" s="1088"/>
      <c r="FE74" s="1088"/>
      <c r="FF74" s="1088"/>
      <c r="FG74" s="1088"/>
      <c r="FH74" s="1571"/>
      <c r="FI74" s="1506"/>
      <c r="FJ74" s="300"/>
      <c r="FK74" s="300"/>
      <c r="FL74" s="229"/>
      <c r="FM74" s="229"/>
      <c r="FN74" s="1245"/>
      <c r="FO74" s="538"/>
      <c r="FP74" s="229"/>
      <c r="FQ74" s="229"/>
      <c r="FR74" s="229"/>
      <c r="FS74" s="229"/>
      <c r="FT74" s="229"/>
      <c r="FU74" s="229"/>
      <c r="FV74" s="229"/>
      <c r="FW74" s="229"/>
    </row>
    <row r="75" spans="3:180" x14ac:dyDescent="0.35">
      <c r="C75" s="1" t="s">
        <v>622</v>
      </c>
      <c r="E75" s="1143"/>
      <c r="F75" s="1142">
        <f t="shared" ref="F75:U75" si="13">CO$73*100/(CO$73+BL$73)</f>
        <v>0</v>
      </c>
      <c r="G75" s="252">
        <f t="shared" si="13"/>
        <v>4.8230593607305945</v>
      </c>
      <c r="H75" s="252">
        <f t="shared" si="13"/>
        <v>2.6541332596074092</v>
      </c>
      <c r="I75" s="1255">
        <f t="shared" si="13"/>
        <v>3.7589828634604761</v>
      </c>
      <c r="J75" s="651">
        <f t="shared" si="13"/>
        <v>10.020449897750511</v>
      </c>
      <c r="K75" s="252">
        <f t="shared" si="13"/>
        <v>11.492870640783369</v>
      </c>
      <c r="L75" s="252">
        <f t="shared" si="13"/>
        <v>12.922142150628799</v>
      </c>
      <c r="M75" s="252">
        <f t="shared" si="13"/>
        <v>10.140405616224649</v>
      </c>
      <c r="N75" s="252">
        <f t="shared" si="13"/>
        <v>10.569592365878878</v>
      </c>
      <c r="O75" s="1255">
        <f t="shared" si="13"/>
        <v>10.949271722752387</v>
      </c>
      <c r="P75" s="651">
        <f t="shared" si="13"/>
        <v>8.9139344262295079</v>
      </c>
      <c r="Q75" s="252">
        <f t="shared" si="13"/>
        <v>10.248447204968944</v>
      </c>
      <c r="R75" s="1255">
        <f t="shared" si="13"/>
        <v>9.3023255813953494</v>
      </c>
      <c r="S75" s="651">
        <f t="shared" si="13"/>
        <v>0</v>
      </c>
      <c r="T75" s="252" t="e">
        <f t="shared" si="13"/>
        <v>#DIV/0!</v>
      </c>
      <c r="U75" s="252" t="e">
        <f t="shared" si="13"/>
        <v>#DIV/0!</v>
      </c>
      <c r="V75" s="252" t="e">
        <f t="shared" ref="V75:AG75" si="14">DE$73*100/(DE$73+CB$73)</f>
        <v>#DIV/0!</v>
      </c>
      <c r="W75" s="252" t="e">
        <f t="shared" si="14"/>
        <v>#DIV/0!</v>
      </c>
      <c r="X75" s="1255" t="e">
        <f t="shared" si="14"/>
        <v>#DIV/0!</v>
      </c>
      <c r="Y75" s="651" t="e">
        <f t="shared" si="14"/>
        <v>#DIV/0!</v>
      </c>
      <c r="Z75" s="252" t="e">
        <f t="shared" si="14"/>
        <v>#DIV/0!</v>
      </c>
      <c r="AA75" s="252" t="e">
        <f t="shared" si="14"/>
        <v>#DIV/0!</v>
      </c>
      <c r="AB75" s="252" t="e">
        <f t="shared" si="14"/>
        <v>#DIV/0!</v>
      </c>
      <c r="AC75" s="252" t="e">
        <f t="shared" si="14"/>
        <v>#DIV/0!</v>
      </c>
      <c r="AD75" s="252" t="e">
        <f t="shared" si="14"/>
        <v>#DIV/0!</v>
      </c>
      <c r="AE75" s="252" t="e">
        <f t="shared" si="14"/>
        <v>#DIV/0!</v>
      </c>
      <c r="AF75" s="252" t="e">
        <f t="shared" si="14"/>
        <v>#DIV/0!</v>
      </c>
      <c r="AG75" s="252" t="e">
        <f t="shared" si="14"/>
        <v>#DIV/0!</v>
      </c>
      <c r="AH75" s="327"/>
      <c r="AI75" s="253"/>
      <c r="AJ75" s="253"/>
      <c r="AK75" s="253"/>
      <c r="AL75" s="1620"/>
      <c r="AM75" s="1612"/>
      <c r="AN75" s="253"/>
      <c r="AO75" s="253"/>
      <c r="AP75" s="253"/>
      <c r="AQ75" s="253"/>
      <c r="AR75" s="253"/>
      <c r="AS75" s="253"/>
      <c r="AT75" s="253"/>
      <c r="AU75" s="1620"/>
      <c r="AV75" s="1612"/>
      <c r="AW75" s="253"/>
      <c r="AX75" s="253"/>
      <c r="AY75" s="253"/>
      <c r="AZ75" s="253"/>
      <c r="BA75" s="1620"/>
      <c r="BB75" s="1612"/>
      <c r="BC75" s="253"/>
      <c r="BD75" s="253"/>
      <c r="BE75" s="253"/>
      <c r="BF75" s="253"/>
      <c r="BG75" s="253"/>
      <c r="BH75" s="253"/>
      <c r="BI75" s="253"/>
      <c r="BJ75" s="253"/>
      <c r="BK75" s="327"/>
      <c r="BL75" s="254"/>
      <c r="BM75" s="254"/>
      <c r="BN75" s="254"/>
      <c r="BO75" s="1257"/>
      <c r="BP75" s="1202">
        <v>2024</v>
      </c>
      <c r="BQ75" s="254">
        <v>1760</v>
      </c>
      <c r="BR75" s="254"/>
      <c r="BS75" s="255"/>
      <c r="BT75" s="255"/>
      <c r="BU75" s="255"/>
      <c r="BV75" s="255"/>
      <c r="BW75" s="255">
        <v>153.80000000000001</v>
      </c>
      <c r="BX75" s="1604"/>
      <c r="BY75" s="2293" t="s">
        <v>961</v>
      </c>
      <c r="BZ75" s="255"/>
      <c r="CA75" s="255"/>
      <c r="CB75" s="255"/>
      <c r="CC75" s="255"/>
      <c r="CD75" s="1604"/>
      <c r="CE75" s="1600"/>
      <c r="CF75" s="255"/>
      <c r="CG75" s="255"/>
      <c r="CH75" s="255"/>
      <c r="CI75" s="255"/>
      <c r="CJ75" s="255"/>
      <c r="CK75" s="255"/>
      <c r="CL75" s="255"/>
      <c r="CM75" s="255"/>
      <c r="CN75" s="324"/>
      <c r="CO75" s="320"/>
      <c r="CP75" s="252"/>
      <c r="CQ75" s="252"/>
      <c r="CR75" s="1255"/>
      <c r="CS75" s="651"/>
      <c r="CT75" s="252"/>
      <c r="CU75" s="252"/>
      <c r="CV75" s="252"/>
      <c r="CW75" s="252"/>
      <c r="CX75" s="252"/>
      <c r="CY75" s="252"/>
      <c r="CZ75" s="252"/>
      <c r="DA75" s="1255"/>
      <c r="DB75" s="651"/>
      <c r="DC75" s="252"/>
      <c r="DD75" s="252"/>
      <c r="DE75" s="239"/>
      <c r="DF75" s="239"/>
      <c r="DG75" s="1277"/>
      <c r="DH75" s="1221"/>
      <c r="DI75" s="239"/>
      <c r="DJ75" s="239"/>
      <c r="DK75" s="239"/>
      <c r="DL75" s="239"/>
      <c r="DM75" s="239"/>
      <c r="DN75" s="239"/>
      <c r="DO75" s="239"/>
      <c r="DP75" s="239"/>
      <c r="DQ75" s="324"/>
      <c r="DR75" s="328"/>
      <c r="DS75" s="254"/>
      <c r="DT75" s="254"/>
      <c r="DU75" s="254"/>
      <c r="DV75" s="1257"/>
      <c r="DW75" s="1202"/>
      <c r="DX75" s="254"/>
      <c r="DY75" s="254"/>
      <c r="DZ75" s="254"/>
      <c r="EA75" s="254"/>
      <c r="EB75" s="254"/>
      <c r="EC75" s="254"/>
      <c r="ED75" s="254"/>
      <c r="EE75" s="1257"/>
      <c r="EF75" s="1202"/>
      <c r="EG75" s="254"/>
      <c r="EH75" s="254"/>
      <c r="EI75" s="254"/>
      <c r="EJ75" s="254"/>
      <c r="EK75" s="1257"/>
      <c r="EL75" s="1202"/>
      <c r="EM75" s="254"/>
      <c r="EN75" s="254"/>
      <c r="EO75" s="254"/>
      <c r="EP75" s="254"/>
      <c r="EQ75" s="254"/>
      <c r="ER75" s="254"/>
      <c r="ES75" s="254"/>
      <c r="ET75" s="254"/>
      <c r="EU75" s="329"/>
      <c r="EV75" s="254"/>
      <c r="EW75" s="254"/>
      <c r="EX75" s="254"/>
      <c r="EY75" s="1257"/>
      <c r="EZ75" s="1202"/>
      <c r="FA75" s="254"/>
      <c r="FB75" s="254"/>
      <c r="FC75" s="254"/>
      <c r="FD75" s="245"/>
      <c r="FE75" s="245"/>
      <c r="FF75" s="245"/>
      <c r="FG75" s="245"/>
      <c r="FH75" s="1414"/>
      <c r="FI75" s="1221"/>
      <c r="FJ75" s="239"/>
      <c r="FK75" s="239"/>
    </row>
    <row r="76" spans="3:180" x14ac:dyDescent="0.35">
      <c r="C76" s="1" t="s">
        <v>367</v>
      </c>
      <c r="F76" s="1037">
        <f>'HPS DAILY'!$G$11</f>
        <v>1.0542</v>
      </c>
      <c r="G76" s="252">
        <f>'HPS DAILY'!$G$11</f>
        <v>1.0542</v>
      </c>
      <c r="H76" s="252">
        <f>'HPS DAILY'!$G$11</f>
        <v>1.0542</v>
      </c>
      <c r="I76" s="1255">
        <f>'HPS DAILY'!$G$11</f>
        <v>1.0542</v>
      </c>
      <c r="J76" s="651">
        <f>'HPS DAILY'!$G$11</f>
        <v>1.0542</v>
      </c>
      <c r="K76" s="252">
        <f>'HPS DAILY'!$G$11</f>
        <v>1.0542</v>
      </c>
      <c r="L76" s="252">
        <f>'HPS DAILY'!$G$11</f>
        <v>1.0542</v>
      </c>
      <c r="M76" s="252">
        <f>'HPS DAILY'!$G$11</f>
        <v>1.0542</v>
      </c>
      <c r="N76" s="252">
        <f>'HPS DAILY'!$G$11</f>
        <v>1.0542</v>
      </c>
      <c r="O76" s="1255">
        <f>'HPS DAILY'!$G$11</f>
        <v>1.0542</v>
      </c>
      <c r="P76" s="651">
        <f>'HPS DAILY'!$G$11</f>
        <v>1.0542</v>
      </c>
      <c r="Q76" s="252">
        <f>'HPS DAILY'!$G$11</f>
        <v>1.0542</v>
      </c>
      <c r="R76" s="1255">
        <f>'HPS DAILY'!$G$11</f>
        <v>1.0542</v>
      </c>
      <c r="S76" s="651">
        <f>'HPS DAILY'!$G$11</f>
        <v>1.0542</v>
      </c>
      <c r="T76" s="252">
        <f>'HPS DAILY'!$G$11</f>
        <v>1.0542</v>
      </c>
      <c r="U76" s="252">
        <f>'HPS DAILY'!$G$11</f>
        <v>1.0542</v>
      </c>
      <c r="V76" s="252">
        <f>'HPS DAILY'!$G$11</f>
        <v>1.0542</v>
      </c>
      <c r="W76" s="252">
        <f>'HPS DAILY'!$G$11</f>
        <v>1.0542</v>
      </c>
      <c r="X76" s="1255">
        <f>'HPS DAILY'!$G$11</f>
        <v>1.0542</v>
      </c>
      <c r="Y76" s="651">
        <f>'HPS DAILY'!$G$11</f>
        <v>1.0542</v>
      </c>
      <c r="Z76" s="252">
        <f>'HPS DAILY'!$G$11</f>
        <v>1.0542</v>
      </c>
      <c r="AA76" s="252">
        <f>'HPS DAILY'!$G$11</f>
        <v>1.0542</v>
      </c>
      <c r="AB76" s="252">
        <v>1.0454000000000001</v>
      </c>
      <c r="AC76" s="252">
        <v>1.0454000000000001</v>
      </c>
      <c r="AD76" s="252">
        <v>1.0454000000000001</v>
      </c>
      <c r="AE76" s="252">
        <v>1.0454000000000001</v>
      </c>
      <c r="AF76" s="252">
        <v>1.0454000000000001</v>
      </c>
      <c r="AG76" s="252">
        <v>1.0454000000000001</v>
      </c>
      <c r="AH76" s="327"/>
      <c r="AI76" s="253"/>
      <c r="AJ76" s="253"/>
      <c r="AK76" s="253"/>
      <c r="AL76" s="1620"/>
      <c r="AM76" s="1612"/>
      <c r="AN76" s="253"/>
      <c r="AO76" s="253"/>
      <c r="AP76" s="253"/>
      <c r="AQ76" s="253"/>
      <c r="AR76" s="253"/>
      <c r="AS76" s="253"/>
      <c r="AT76" s="253"/>
      <c r="AU76" s="1620"/>
      <c r="AV76" s="1612"/>
      <c r="AW76" s="253"/>
      <c r="AX76" s="253"/>
      <c r="AY76" s="253"/>
      <c r="AZ76" s="253"/>
      <c r="BA76" s="1620"/>
      <c r="BB76" s="1612"/>
      <c r="BC76" s="253"/>
      <c r="BD76" s="253"/>
      <c r="BE76" s="253"/>
      <c r="BF76" s="253"/>
      <c r="BG76" s="253"/>
      <c r="BH76" s="253"/>
      <c r="BI76" s="253"/>
      <c r="BJ76" s="253"/>
      <c r="BK76" s="327"/>
      <c r="BL76" s="254"/>
      <c r="BM76" s="254"/>
      <c r="BN76" s="254"/>
      <c r="BO76" s="1257"/>
      <c r="BP76" s="1202"/>
      <c r="BQ76" s="254">
        <f>AVERAGE(BQ73:BU73)</f>
        <v>145.10948755626492</v>
      </c>
      <c r="BR76" s="254"/>
      <c r="BS76" s="255"/>
      <c r="BT76" s="255"/>
      <c r="BU76" s="255"/>
      <c r="BV76" s="255"/>
      <c r="BW76" s="254">
        <f>AVERAGE(BV73:BZ73)</f>
        <v>145.60416666666666</v>
      </c>
      <c r="BX76" s="1604"/>
      <c r="BY76" s="1600"/>
      <c r="BZ76" s="255"/>
      <c r="CA76" s="255"/>
      <c r="CB76" s="255"/>
      <c r="CC76" s="255"/>
      <c r="CD76" s="1604"/>
      <c r="CE76" s="1600"/>
      <c r="CF76" s="255"/>
      <c r="CG76" s="255"/>
      <c r="CH76" s="255"/>
      <c r="CI76" s="255"/>
      <c r="CJ76" s="255"/>
      <c r="CK76" s="255"/>
      <c r="CL76" s="255"/>
      <c r="CM76" s="255"/>
      <c r="CN76" s="324"/>
      <c r="CO76" s="320"/>
      <c r="CP76" s="252"/>
      <c r="CQ76" s="252"/>
      <c r="CR76" s="1255"/>
      <c r="CS76" s="651"/>
      <c r="CT76" s="252">
        <f>AVERAGE(CT73:CX73)</f>
        <v>18.36205052553937</v>
      </c>
      <c r="CU76" s="500"/>
      <c r="CV76" s="252"/>
      <c r="CW76" s="252"/>
      <c r="CX76" s="252"/>
      <c r="CZ76" s="252">
        <f>AVERAGE(CY73:DC73)</f>
        <v>11.5</v>
      </c>
      <c r="DA76" s="1255"/>
      <c r="DB76" s="651"/>
      <c r="DC76" s="252"/>
      <c r="DD76" s="252"/>
      <c r="DE76" s="239"/>
      <c r="DF76" s="239"/>
      <c r="DG76" s="1277"/>
      <c r="DH76" s="1221"/>
      <c r="DI76" s="239"/>
      <c r="DJ76" s="239"/>
      <c r="DK76" s="239"/>
      <c r="DL76" s="239"/>
      <c r="DM76" s="239"/>
      <c r="DN76" s="239"/>
      <c r="DO76" s="239"/>
      <c r="DP76" s="239"/>
      <c r="DQ76" s="324"/>
      <c r="DR76" s="328"/>
      <c r="DS76" s="254"/>
      <c r="DT76" s="254"/>
      <c r="DU76" s="254"/>
      <c r="DV76" s="1257"/>
      <c r="DW76" s="1202"/>
      <c r="DX76" s="254"/>
      <c r="DY76" s="254"/>
      <c r="DZ76" s="254"/>
      <c r="EA76" s="254"/>
      <c r="EB76" s="254"/>
      <c r="EC76" s="254"/>
      <c r="ED76" s="254"/>
      <c r="EE76" s="1257"/>
      <c r="EF76" s="1202"/>
      <c r="EG76" s="254"/>
      <c r="EH76" s="254"/>
      <c r="EI76" s="254"/>
      <c r="EJ76" s="254"/>
      <c r="EK76" s="1257"/>
      <c r="EL76" s="1202"/>
      <c r="EM76" s="254"/>
      <c r="EN76" s="254"/>
      <c r="EO76" s="254"/>
      <c r="EP76" s="254"/>
      <c r="EQ76" s="254"/>
      <c r="ER76" s="254"/>
      <c r="ES76" s="254"/>
      <c r="ET76" s="254"/>
      <c r="EU76" s="329"/>
      <c r="EV76" s="254"/>
      <c r="EW76" s="254"/>
      <c r="EX76" s="254"/>
      <c r="EY76" s="1257"/>
      <c r="EZ76" s="1202"/>
      <c r="FA76" s="254"/>
      <c r="FB76" s="254"/>
      <c r="FC76" s="254"/>
      <c r="FD76" s="245"/>
      <c r="FE76" s="245"/>
      <c r="FF76" s="245"/>
      <c r="FG76" s="245"/>
      <c r="FH76" s="1414"/>
      <c r="FI76" s="1221"/>
      <c r="FJ76" s="239"/>
      <c r="FK76" s="239"/>
    </row>
    <row r="77" spans="3:180" s="182" customFormat="1" x14ac:dyDescent="0.35">
      <c r="C77" s="164" t="s">
        <v>323</v>
      </c>
      <c r="D77" s="164"/>
      <c r="E77" s="164"/>
      <c r="F77" s="1038">
        <f>F$73/F$76</f>
        <v>313.92161849057669</v>
      </c>
      <c r="G77" s="256">
        <f t="shared" ref="G77:AG77" si="15">G$73/G$76</f>
        <v>309.08113577436285</v>
      </c>
      <c r="H77" s="464">
        <f t="shared" si="15"/>
        <v>312.30389796126855</v>
      </c>
      <c r="I77" s="1256">
        <f t="shared" si="15"/>
        <v>308.6605957123885</v>
      </c>
      <c r="J77" s="1434">
        <f t="shared" si="15"/>
        <v>183.70960602036297</v>
      </c>
      <c r="K77" s="464">
        <f t="shared" si="15"/>
        <v>176.97326635487036</v>
      </c>
      <c r="L77" s="464">
        <f>L$73/L$76</f>
        <v>177.08926199962056</v>
      </c>
      <c r="M77" s="464">
        <f t="shared" si="15"/>
        <v>174.00377784926548</v>
      </c>
      <c r="N77" s="464">
        <f t="shared" si="15"/>
        <v>173.22998256407476</v>
      </c>
      <c r="O77" s="1256">
        <f>O$73/O$76</f>
        <v>179.3241114218076</v>
      </c>
      <c r="P77" s="1434">
        <f>P$73/P$76</f>
        <v>179.4890830054523</v>
      </c>
      <c r="Q77" s="464">
        <f t="shared" si="15"/>
        <v>177.13823793851506</v>
      </c>
      <c r="R77" s="1256">
        <f t="shared" si="15"/>
        <v>176.97326635487036</v>
      </c>
      <c r="S77" s="1201">
        <f t="shared" si="15"/>
        <v>0</v>
      </c>
      <c r="T77" s="464">
        <f t="shared" si="15"/>
        <v>0</v>
      </c>
      <c r="U77" s="464">
        <f t="shared" si="15"/>
        <v>0</v>
      </c>
      <c r="V77" s="464">
        <f t="shared" si="15"/>
        <v>0</v>
      </c>
      <c r="W77" s="464">
        <f t="shared" si="15"/>
        <v>0</v>
      </c>
      <c r="X77" s="1256">
        <f t="shared" si="15"/>
        <v>0</v>
      </c>
      <c r="Y77" s="1434">
        <f t="shared" si="15"/>
        <v>0</v>
      </c>
      <c r="Z77" s="464">
        <f t="shared" si="15"/>
        <v>0</v>
      </c>
      <c r="AA77" s="464">
        <f t="shared" si="15"/>
        <v>0</v>
      </c>
      <c r="AB77" s="464">
        <f t="shared" si="15"/>
        <v>0</v>
      </c>
      <c r="AC77" s="464">
        <f t="shared" si="15"/>
        <v>0</v>
      </c>
      <c r="AD77" s="464">
        <f t="shared" si="15"/>
        <v>0</v>
      </c>
      <c r="AE77" s="464">
        <f t="shared" si="15"/>
        <v>0</v>
      </c>
      <c r="AF77" s="464">
        <f t="shared" si="15"/>
        <v>0</v>
      </c>
      <c r="AG77" s="464">
        <f t="shared" si="15"/>
        <v>0</v>
      </c>
      <c r="AH77" s="330"/>
      <c r="AI77" s="257"/>
      <c r="AJ77" s="257"/>
      <c r="AK77" s="257"/>
      <c r="AL77" s="1621"/>
      <c r="AM77" s="1613"/>
      <c r="AN77" s="257"/>
      <c r="AO77" s="257"/>
      <c r="AP77" s="257"/>
      <c r="AQ77" s="257"/>
      <c r="AR77" s="257"/>
      <c r="AS77" s="257"/>
      <c r="AT77" s="257"/>
      <c r="AU77" s="1621"/>
      <c r="AV77" s="1613"/>
      <c r="AW77" s="257"/>
      <c r="AX77" s="257"/>
      <c r="AY77" s="257"/>
      <c r="AZ77" s="257"/>
      <c r="BA77" s="1621"/>
      <c r="BB77" s="1613"/>
      <c r="BC77" s="257"/>
      <c r="BD77" s="257"/>
      <c r="BE77" s="257"/>
      <c r="BF77" s="257"/>
      <c r="BG77" s="257"/>
      <c r="BH77" s="257"/>
      <c r="BI77" s="257"/>
      <c r="BJ77" s="257"/>
      <c r="BK77" s="330"/>
      <c r="BL77" s="258"/>
      <c r="BM77" s="259"/>
      <c r="BN77" s="259"/>
      <c r="BO77" s="1596"/>
      <c r="BP77" s="1589"/>
      <c r="BQ77" s="259"/>
      <c r="BR77" s="259"/>
      <c r="BS77" s="260"/>
      <c r="BT77" s="260"/>
      <c r="BU77" s="260"/>
      <c r="BV77" s="260"/>
      <c r="BW77" s="260"/>
      <c r="BX77" s="1605"/>
      <c r="BY77" s="1601"/>
      <c r="BZ77" s="260"/>
      <c r="CA77" s="260"/>
      <c r="CB77" s="260"/>
      <c r="CC77" s="260"/>
      <c r="CD77" s="1605"/>
      <c r="CE77" s="1601"/>
      <c r="CF77" s="260"/>
      <c r="CG77" s="260"/>
      <c r="CH77" s="260"/>
      <c r="CI77" s="260"/>
      <c r="CJ77" s="260"/>
      <c r="CK77" s="260"/>
      <c r="CL77" s="260"/>
      <c r="CM77" s="260"/>
      <c r="CN77" s="330"/>
      <c r="CO77" s="321"/>
      <c r="CP77" s="261"/>
      <c r="CQ77" s="262"/>
      <c r="CR77" s="1477"/>
      <c r="CS77" s="1465"/>
      <c r="CT77" s="239">
        <f>100*CT76/(CT76+BQ76)</f>
        <v>11.232567296424806</v>
      </c>
      <c r="CU77" s="602" t="s">
        <v>586</v>
      </c>
      <c r="CV77" s="263"/>
      <c r="CW77" s="263"/>
      <c r="CX77" s="263"/>
      <c r="CY77" s="263"/>
      <c r="CZ77" s="256">
        <f>100*CZ76/(CZ76+BW76)</f>
        <v>7.3199840869911155</v>
      </c>
      <c r="DA77" s="1495" t="s">
        <v>587</v>
      </c>
      <c r="DB77" s="1486"/>
      <c r="DC77" s="263"/>
      <c r="DD77" s="263"/>
      <c r="DE77" s="230"/>
      <c r="DF77" s="230"/>
      <c r="DG77" s="1455"/>
      <c r="DH77" s="1438"/>
      <c r="DI77" s="230"/>
      <c r="DJ77" s="230"/>
      <c r="DK77" s="230"/>
      <c r="DL77" s="230"/>
      <c r="DM77" s="230"/>
      <c r="DN77" s="230"/>
      <c r="DO77" s="230"/>
      <c r="DP77" s="230"/>
      <c r="DQ77" s="331"/>
      <c r="DR77" s="332"/>
      <c r="DS77" s="258"/>
      <c r="DT77" s="258"/>
      <c r="DU77" s="258"/>
      <c r="DV77" s="1581"/>
      <c r="DW77" s="1579"/>
      <c r="DX77" s="258"/>
      <c r="DY77" s="258"/>
      <c r="DZ77" s="258"/>
      <c r="EA77" s="258"/>
      <c r="EB77" s="258"/>
      <c r="EC77" s="258"/>
      <c r="ED77" s="258"/>
      <c r="EE77" s="1581"/>
      <c r="EF77" s="1579"/>
      <c r="EG77" s="258"/>
      <c r="EH77" s="258"/>
      <c r="EI77" s="258"/>
      <c r="EJ77" s="258"/>
      <c r="EK77" s="1581"/>
      <c r="EL77" s="1579"/>
      <c r="EM77" s="258"/>
      <c r="EN77" s="258"/>
      <c r="EO77" s="258"/>
      <c r="EP77" s="258"/>
      <c r="EQ77" s="258"/>
      <c r="ER77" s="258"/>
      <c r="ES77" s="258"/>
      <c r="ET77" s="258"/>
      <c r="EU77" s="333"/>
      <c r="EV77" s="246"/>
      <c r="EW77" s="246"/>
      <c r="EX77" s="246"/>
      <c r="EY77" s="1554"/>
      <c r="EZ77" s="1537"/>
      <c r="FA77" s="246"/>
      <c r="FB77" s="246"/>
      <c r="FC77" s="246"/>
      <c r="FD77" s="246"/>
      <c r="FE77" s="246"/>
      <c r="FF77" s="246"/>
      <c r="FG77" s="246"/>
      <c r="FH77" s="1554"/>
      <c r="FI77" s="1438"/>
      <c r="FJ77" s="230"/>
      <c r="FK77" s="230"/>
      <c r="FL77" s="230"/>
      <c r="FM77" s="230"/>
      <c r="FN77" s="1455"/>
      <c r="FO77" s="1438"/>
      <c r="FP77" s="230"/>
      <c r="FQ77" s="230"/>
      <c r="FR77" s="230"/>
      <c r="FS77" s="230"/>
      <c r="FT77" s="230"/>
      <c r="FU77" s="230"/>
      <c r="FV77" s="230"/>
      <c r="FW77" s="230"/>
    </row>
    <row r="78" spans="3:180" s="182" customFormat="1" x14ac:dyDescent="0.35">
      <c r="C78" s="1358" t="s">
        <v>425</v>
      </c>
      <c r="D78" s="1358"/>
      <c r="E78" s="1358"/>
      <c r="F78" s="2618">
        <f>F$77/(3*186)</f>
        <v>0.56258354568203706</v>
      </c>
      <c r="G78" s="2619">
        <f>G$77/(3*186)</f>
        <v>0.55390884547376851</v>
      </c>
      <c r="H78" s="2619">
        <f t="shared" ref="H78:U78" si="16">H$77/(3*186)</f>
        <v>0.55968440494850991</v>
      </c>
      <c r="I78" s="2620">
        <f t="shared" si="16"/>
        <v>0.55315518944872488</v>
      </c>
      <c r="J78" s="1362">
        <f t="shared" si="16"/>
        <v>0.32922868462430638</v>
      </c>
      <c r="K78" s="1360">
        <f t="shared" si="16"/>
        <v>0.31715639131697199</v>
      </c>
      <c r="L78" s="1360">
        <f>L$77/(3*186)</f>
        <v>0.3173642688165243</v>
      </c>
      <c r="M78" s="1360">
        <f t="shared" si="16"/>
        <v>0.31183472732843276</v>
      </c>
      <c r="N78" s="1360">
        <f t="shared" si="16"/>
        <v>0.3104479974266573</v>
      </c>
      <c r="O78" s="1361">
        <f t="shared" si="16"/>
        <v>0.32136937530789894</v>
      </c>
      <c r="P78" s="1362">
        <f t="shared" si="16"/>
        <v>0.32166502330726221</v>
      </c>
      <c r="Q78" s="1360">
        <f t="shared" si="16"/>
        <v>0.31745203931633525</v>
      </c>
      <c r="R78" s="1361">
        <f>R77/(3*186)</f>
        <v>0.31715639131697199</v>
      </c>
      <c r="S78" s="1362">
        <f>S$77/(3*186)</f>
        <v>0</v>
      </c>
      <c r="T78" s="1360">
        <f t="shared" si="16"/>
        <v>0</v>
      </c>
      <c r="U78" s="1360">
        <f t="shared" si="16"/>
        <v>0</v>
      </c>
      <c r="V78" s="1363"/>
      <c r="W78" s="1363"/>
      <c r="X78" s="1452"/>
      <c r="Y78" s="1435"/>
      <c r="Z78" s="1363"/>
      <c r="AA78" s="1363"/>
      <c r="AB78" s="1363"/>
      <c r="AC78" s="1363"/>
      <c r="AD78" s="1363"/>
      <c r="AE78" s="1363"/>
      <c r="AF78" s="1363"/>
      <c r="AG78" s="1363"/>
      <c r="AH78" s="334"/>
      <c r="AI78" s="264"/>
      <c r="AJ78" s="264"/>
      <c r="AK78" s="264"/>
      <c r="AL78" s="1454"/>
      <c r="AM78" s="1437"/>
      <c r="AN78" s="264"/>
      <c r="AO78" s="264"/>
      <c r="AP78" s="264"/>
      <c r="AQ78" s="264"/>
      <c r="AR78" s="264"/>
      <c r="AS78" s="264"/>
      <c r="AT78" s="264"/>
      <c r="AU78" s="1454"/>
      <c r="AV78" s="1437"/>
      <c r="AW78" s="264"/>
      <c r="AX78" s="264"/>
      <c r="AY78" s="264"/>
      <c r="AZ78" s="264"/>
      <c r="BA78" s="1454"/>
      <c r="BB78" s="1437"/>
      <c r="BC78" s="264"/>
      <c r="BD78" s="264"/>
      <c r="BE78" s="264"/>
      <c r="BF78" s="264"/>
      <c r="BG78" s="264"/>
      <c r="BH78" s="264"/>
      <c r="BI78" s="264"/>
      <c r="BJ78" s="264"/>
      <c r="BK78" s="334"/>
      <c r="BL78" s="264"/>
      <c r="BM78" s="230"/>
      <c r="BN78" s="230"/>
      <c r="BO78" s="1455"/>
      <c r="BP78" s="1438"/>
      <c r="BQ78" s="230"/>
      <c r="BR78" s="230"/>
      <c r="BS78" s="230"/>
      <c r="BT78" s="230"/>
      <c r="BU78" s="230"/>
      <c r="BV78" s="230"/>
      <c r="BW78" s="230"/>
      <c r="BX78" s="1455"/>
      <c r="BY78" s="1438"/>
      <c r="BZ78" s="230"/>
      <c r="CA78" s="230"/>
      <c r="CB78" s="230"/>
      <c r="CC78" s="230"/>
      <c r="CD78" s="1455"/>
      <c r="CE78" s="1438"/>
      <c r="CF78" s="230"/>
      <c r="CG78" s="230"/>
      <c r="CH78" s="230"/>
      <c r="CI78" s="230"/>
      <c r="CJ78" s="230"/>
      <c r="CK78" s="230"/>
      <c r="CL78" s="230"/>
      <c r="CM78" s="230"/>
      <c r="CN78" s="331"/>
      <c r="CO78" s="230"/>
      <c r="CP78" s="265"/>
      <c r="CQ78" s="265"/>
      <c r="CR78" s="1478"/>
      <c r="CS78" s="1466"/>
      <c r="CT78" s="265"/>
      <c r="CU78" s="262"/>
      <c r="CV78" s="230"/>
      <c r="CW78" s="230"/>
      <c r="CX78" s="230"/>
      <c r="CY78" s="230"/>
      <c r="CZ78" s="230"/>
      <c r="DA78" s="1455"/>
      <c r="DB78" s="1438"/>
      <c r="DC78" s="230"/>
      <c r="DD78" s="230"/>
      <c r="DE78" s="230"/>
      <c r="DF78" s="230"/>
      <c r="DG78" s="1455"/>
      <c r="DH78" s="1438"/>
      <c r="DI78" s="230"/>
      <c r="DJ78" s="230"/>
      <c r="DK78" s="230"/>
      <c r="DL78" s="230"/>
      <c r="DM78" s="230"/>
      <c r="DN78" s="230"/>
      <c r="DO78" s="230"/>
      <c r="DP78" s="230"/>
      <c r="DQ78" s="331"/>
      <c r="DR78" s="332"/>
      <c r="DS78" s="230"/>
      <c r="DT78" s="230"/>
      <c r="DU78" s="230"/>
      <c r="DV78" s="1455"/>
      <c r="DW78" s="1438"/>
      <c r="DX78" s="230"/>
      <c r="DY78" s="230"/>
      <c r="DZ78" s="230"/>
      <c r="EA78" s="230"/>
      <c r="EB78" s="230"/>
      <c r="EC78" s="230"/>
      <c r="ED78" s="230"/>
      <c r="EE78" s="1455"/>
      <c r="EF78" s="1438"/>
      <c r="EG78" s="230"/>
      <c r="EH78" s="230"/>
      <c r="EI78" s="230"/>
      <c r="EJ78" s="230"/>
      <c r="EK78" s="1455"/>
      <c r="EL78" s="1438"/>
      <c r="EM78" s="230"/>
      <c r="EN78" s="230"/>
      <c r="EO78" s="230"/>
      <c r="EP78" s="230"/>
      <c r="EQ78" s="230"/>
      <c r="ER78" s="230"/>
      <c r="ES78" s="230"/>
      <c r="ET78" s="230"/>
      <c r="EU78" s="331"/>
      <c r="EV78" s="230"/>
      <c r="EW78" s="230"/>
      <c r="EX78" s="230"/>
      <c r="EY78" s="1455"/>
      <c r="EZ78" s="1438"/>
      <c r="FA78" s="230"/>
      <c r="FB78" s="230"/>
      <c r="FC78" s="230"/>
      <c r="FD78" s="230"/>
      <c r="FE78" s="230"/>
      <c r="FF78" s="230"/>
      <c r="FG78" s="230"/>
      <c r="FH78" s="1455"/>
      <c r="FI78" s="1438"/>
      <c r="FJ78" s="230"/>
      <c r="FK78" s="230"/>
      <c r="FL78" s="230"/>
      <c r="FM78" s="230"/>
      <c r="FN78" s="1455"/>
      <c r="FO78" s="1438"/>
      <c r="FP78" s="230"/>
      <c r="FQ78" s="230"/>
      <c r="FR78" s="230"/>
      <c r="FS78" s="230"/>
      <c r="FT78" s="230"/>
      <c r="FU78" s="230"/>
      <c r="FV78" s="230"/>
      <c r="FW78" s="230"/>
    </row>
    <row r="79" spans="3:180" s="182" customFormat="1" x14ac:dyDescent="0.35">
      <c r="C79" s="417" t="s">
        <v>426</v>
      </c>
      <c r="D79" s="417"/>
      <c r="E79" s="417"/>
      <c r="F79" s="1355">
        <v>0.55000000000000004</v>
      </c>
      <c r="G79" s="914">
        <v>0.55000000000000004</v>
      </c>
      <c r="H79" s="914">
        <v>0.55000000000000004</v>
      </c>
      <c r="I79" s="1356">
        <v>0.55000000000000004</v>
      </c>
      <c r="J79" s="913">
        <v>0.33</v>
      </c>
      <c r="K79" s="913">
        <v>0.32</v>
      </c>
      <c r="L79" s="913">
        <v>0.32</v>
      </c>
      <c r="M79" s="913">
        <v>0.32</v>
      </c>
      <c r="N79" s="913">
        <v>0.32</v>
      </c>
      <c r="O79" s="913">
        <v>0.32</v>
      </c>
      <c r="P79" s="913">
        <v>0.32</v>
      </c>
      <c r="Q79" s="913">
        <v>0.32</v>
      </c>
      <c r="R79" s="913">
        <v>0.32</v>
      </c>
      <c r="S79" s="913">
        <v>0.32</v>
      </c>
      <c r="T79" s="913">
        <v>0.32</v>
      </c>
      <c r="U79" s="913">
        <v>0.32</v>
      </c>
      <c r="V79" s="913">
        <v>0.32</v>
      </c>
      <c r="W79" s="913">
        <v>0.32</v>
      </c>
      <c r="X79" s="913">
        <v>0.32</v>
      </c>
      <c r="Y79" s="913">
        <v>0.32</v>
      </c>
      <c r="Z79" s="913">
        <v>0.32</v>
      </c>
      <c r="AA79" s="913">
        <v>0.32</v>
      </c>
      <c r="AB79" s="2158"/>
      <c r="AC79" s="2158"/>
      <c r="AD79" s="2158"/>
      <c r="AE79" s="1357"/>
      <c r="AF79" s="1357"/>
      <c r="AG79" s="1357"/>
      <c r="AH79" s="334"/>
      <c r="AI79" s="264"/>
      <c r="AJ79" s="264"/>
      <c r="AK79" s="264"/>
      <c r="AL79" s="1454"/>
      <c r="AM79" s="1437"/>
      <c r="AN79" s="264"/>
      <c r="AO79" s="264"/>
      <c r="AP79" s="264"/>
      <c r="AQ79" s="264"/>
      <c r="AR79" s="264"/>
      <c r="AS79" s="264"/>
      <c r="AT79" s="264"/>
      <c r="AU79" s="1454"/>
      <c r="AV79" s="1437"/>
      <c r="AW79" s="264"/>
      <c r="AX79" s="264"/>
      <c r="AY79" s="264"/>
      <c r="AZ79" s="264"/>
      <c r="BA79" s="1454"/>
      <c r="BB79" s="1437"/>
      <c r="BC79" s="264"/>
      <c r="BD79" s="264"/>
      <c r="BE79" s="264"/>
      <c r="BF79" s="264"/>
      <c r="BG79" s="264"/>
      <c r="BH79" s="264"/>
      <c r="BI79" s="264"/>
      <c r="BJ79" s="264"/>
      <c r="BK79" s="334"/>
      <c r="BL79" s="264"/>
      <c r="BM79" s="230"/>
      <c r="BN79" s="230"/>
      <c r="BO79" s="1455"/>
      <c r="BP79" s="1438"/>
      <c r="BQ79" s="230"/>
      <c r="BR79" s="230"/>
      <c r="BS79" s="230"/>
      <c r="BT79" s="230"/>
      <c r="BU79" s="230"/>
      <c r="BV79" s="230"/>
      <c r="BW79" s="230"/>
      <c r="BX79" s="1455"/>
      <c r="BY79" s="1438"/>
      <c r="BZ79" s="230"/>
      <c r="CA79" s="230"/>
      <c r="CB79" s="230"/>
      <c r="CC79" s="230"/>
      <c r="CD79" s="1455"/>
      <c r="CE79" s="1438"/>
      <c r="CF79" s="230"/>
      <c r="CG79" s="230"/>
      <c r="CH79" s="230"/>
      <c r="CI79" s="230"/>
      <c r="CJ79" s="230"/>
      <c r="CK79" s="230"/>
      <c r="CL79" s="230"/>
      <c r="CM79" s="230"/>
      <c r="CN79" s="331"/>
      <c r="CO79" s="230"/>
      <c r="CP79" s="265"/>
      <c r="CQ79" s="265"/>
      <c r="CR79" s="1478"/>
      <c r="CS79" s="1466"/>
      <c r="CT79" s="265"/>
      <c r="CU79" s="262"/>
      <c r="CV79" s="230"/>
      <c r="CW79" s="230"/>
      <c r="CX79" s="230"/>
      <c r="CY79" s="230"/>
      <c r="CZ79" s="230"/>
      <c r="DA79" s="1455"/>
      <c r="DB79" s="1438"/>
      <c r="DC79" s="230"/>
      <c r="DD79" s="230"/>
      <c r="DE79" s="230"/>
      <c r="DF79" s="230"/>
      <c r="DG79" s="1455"/>
      <c r="DH79" s="1438"/>
      <c r="DI79" s="230"/>
      <c r="DJ79" s="230"/>
      <c r="DK79" s="230"/>
      <c r="DL79" s="230"/>
      <c r="DM79" s="230"/>
      <c r="DN79" s="230"/>
      <c r="DO79" s="230"/>
      <c r="DP79" s="230"/>
      <c r="DQ79" s="331"/>
      <c r="DR79" s="332"/>
      <c r="DS79" s="230"/>
      <c r="DT79" s="230"/>
      <c r="DU79" s="230"/>
      <c r="DV79" s="1455"/>
      <c r="DW79" s="1438"/>
      <c r="DX79" s="230"/>
      <c r="DY79" s="230"/>
      <c r="DZ79" s="230"/>
      <c r="EA79" s="230"/>
      <c r="EB79" s="230"/>
      <c r="EC79" s="230"/>
      <c r="ED79" s="230"/>
      <c r="EE79" s="1455"/>
      <c r="EF79" s="1438"/>
      <c r="EG79" s="230"/>
      <c r="EH79" s="230"/>
      <c r="EI79" s="230"/>
      <c r="EJ79" s="230"/>
      <c r="EK79" s="1455"/>
      <c r="EL79" s="1438"/>
      <c r="EM79" s="230"/>
      <c r="EN79" s="230"/>
      <c r="EO79" s="230"/>
      <c r="EP79" s="230"/>
      <c r="EQ79" s="230"/>
      <c r="ER79" s="230"/>
      <c r="ES79" s="230"/>
      <c r="ET79" s="230"/>
      <c r="EU79" s="331"/>
      <c r="EV79" s="230"/>
      <c r="EW79" s="230"/>
      <c r="EX79" s="230"/>
      <c r="EY79" s="1455"/>
      <c r="EZ79" s="1438"/>
      <c r="FA79" s="230"/>
      <c r="FB79" s="230"/>
      <c r="FC79" s="230"/>
      <c r="FD79" s="230"/>
      <c r="FE79" s="230"/>
      <c r="FF79" s="230"/>
      <c r="FG79" s="230"/>
      <c r="FH79" s="1455"/>
      <c r="FI79" s="1438"/>
      <c r="FJ79" s="230"/>
      <c r="FK79" s="230"/>
      <c r="FL79" s="230"/>
      <c r="FM79" s="230"/>
      <c r="FN79" s="1455"/>
      <c r="FO79" s="1438"/>
      <c r="FP79" s="230"/>
      <c r="FQ79" s="230"/>
      <c r="FR79" s="230"/>
      <c r="FS79" s="230"/>
      <c r="FT79" s="230"/>
      <c r="FU79" s="230"/>
      <c r="FV79" s="230"/>
      <c r="FW79" s="230"/>
    </row>
    <row r="80" spans="3:180" s="182" customFormat="1" x14ac:dyDescent="0.35">
      <c r="C80" s="164" t="s">
        <v>424</v>
      </c>
      <c r="D80" s="164"/>
      <c r="E80" s="164"/>
      <c r="F80" s="566">
        <f>F$77/137</f>
        <v>2.2913986751136983</v>
      </c>
      <c r="G80" s="254">
        <f t="shared" ref="G80:U80" si="17">G$77/137</f>
        <v>2.2560666844844004</v>
      </c>
      <c r="H80" s="254">
        <f t="shared" si="17"/>
        <v>2.2795904960676534</v>
      </c>
      <c r="I80" s="1257">
        <f t="shared" si="17"/>
        <v>2.2529970489955367</v>
      </c>
      <c r="J80" s="1202">
        <f t="shared" si="17"/>
        <v>1.3409460293457152</v>
      </c>
      <c r="K80" s="254">
        <f t="shared" si="17"/>
        <v>1.2917756668238713</v>
      </c>
      <c r="L80" s="254">
        <f t="shared" si="17"/>
        <v>1.2926223503621939</v>
      </c>
      <c r="M80" s="254">
        <f t="shared" si="17"/>
        <v>1.2701005682428137</v>
      </c>
      <c r="N80" s="254">
        <f t="shared" si="17"/>
        <v>1.2644524274749982</v>
      </c>
      <c r="O80" s="1257">
        <f t="shared" si="17"/>
        <v>1.3089351198672088</v>
      </c>
      <c r="P80" s="1202">
        <f t="shared" si="17"/>
        <v>1.3101392920106008</v>
      </c>
      <c r="Q80" s="254">
        <f t="shared" si="17"/>
        <v>1.2929798389672633</v>
      </c>
      <c r="R80" s="1257">
        <f t="shared" si="17"/>
        <v>1.2917756668238713</v>
      </c>
      <c r="S80" s="1202">
        <f t="shared" si="17"/>
        <v>0</v>
      </c>
      <c r="T80" s="254">
        <f t="shared" si="17"/>
        <v>0</v>
      </c>
      <c r="U80" s="254">
        <f t="shared" si="17"/>
        <v>0</v>
      </c>
      <c r="V80" s="264"/>
      <c r="W80" s="264"/>
      <c r="X80" s="1454"/>
      <c r="Y80" s="1437"/>
      <c r="Z80" s="264"/>
      <c r="AA80" s="264"/>
      <c r="AB80" s="264"/>
      <c r="AC80" s="264"/>
      <c r="AD80" s="264"/>
      <c r="AE80" s="264"/>
      <c r="AF80" s="264"/>
      <c r="AG80" s="264"/>
      <c r="AH80" s="334"/>
      <c r="AI80" s="264"/>
      <c r="AJ80" s="264"/>
      <c r="AK80" s="264"/>
      <c r="AL80" s="1454"/>
      <c r="AM80" s="1437"/>
      <c r="AN80" s="264"/>
      <c r="AO80" s="264"/>
      <c r="AP80" s="264"/>
      <c r="AQ80" s="264"/>
      <c r="AR80" s="264"/>
      <c r="AS80" s="264"/>
      <c r="AT80" s="264"/>
      <c r="AU80" s="1454"/>
      <c r="AV80" s="1437"/>
      <c r="AW80" s="264"/>
      <c r="AX80" s="264"/>
      <c r="AY80" s="264"/>
      <c r="AZ80" s="264"/>
      <c r="BA80" s="1454"/>
      <c r="BB80" s="1437"/>
      <c r="BC80" s="264"/>
      <c r="BD80" s="264"/>
      <c r="BE80" s="264"/>
      <c r="BF80" s="264"/>
      <c r="BG80" s="264"/>
      <c r="BH80" s="264"/>
      <c r="BI80" s="264"/>
      <c r="BJ80" s="264"/>
      <c r="BK80" s="334"/>
      <c r="BL80" s="264"/>
      <c r="BM80" s="230"/>
      <c r="BN80" s="230"/>
      <c r="BO80" s="1455"/>
      <c r="BP80" s="1438"/>
      <c r="BQ80" s="230"/>
      <c r="BR80" s="230"/>
      <c r="BS80" s="230"/>
      <c r="BT80" s="230"/>
      <c r="BU80" s="230"/>
      <c r="BV80" s="230"/>
      <c r="BW80" s="230"/>
      <c r="BX80" s="1455"/>
      <c r="BY80" s="1438"/>
      <c r="BZ80" s="230"/>
      <c r="CA80" s="230"/>
      <c r="CB80" s="230"/>
      <c r="CC80" s="230"/>
      <c r="CD80" s="1455"/>
      <c r="CE80" s="1438"/>
      <c r="CF80" s="230"/>
      <c r="CG80" s="230"/>
      <c r="CH80" s="230"/>
      <c r="CI80" s="230"/>
      <c r="CJ80" s="230"/>
      <c r="CK80" s="230"/>
      <c r="CL80" s="230"/>
      <c r="CM80" s="230"/>
      <c r="CN80" s="331"/>
      <c r="CO80" s="230"/>
      <c r="CP80" s="265"/>
      <c r="CQ80" s="265"/>
      <c r="CR80" s="1478"/>
      <c r="CS80" s="1466"/>
      <c r="CT80" s="265"/>
      <c r="CU80" s="262"/>
      <c r="CV80" s="230"/>
      <c r="CW80" s="230"/>
      <c r="CX80" s="230"/>
      <c r="CY80" s="230"/>
      <c r="CZ80" s="230"/>
      <c r="DA80" s="1455"/>
      <c r="DB80" s="1438"/>
      <c r="DC80" s="230"/>
      <c r="DD80" s="230"/>
      <c r="DE80" s="230"/>
      <c r="DF80" s="230"/>
      <c r="DG80" s="1455"/>
      <c r="DH80" s="1438"/>
      <c r="DI80" s="230"/>
      <c r="DJ80" s="230"/>
      <c r="DK80" s="230"/>
      <c r="DL80" s="230"/>
      <c r="DM80" s="230"/>
      <c r="DN80" s="230"/>
      <c r="DO80" s="230"/>
      <c r="DP80" s="230"/>
      <c r="DQ80" s="331"/>
      <c r="DR80" s="332"/>
      <c r="DS80" s="230"/>
      <c r="DT80" s="230"/>
      <c r="DU80" s="230"/>
      <c r="DV80" s="1455"/>
      <c r="DW80" s="1438"/>
      <c r="DX80" s="230"/>
      <c r="DY80" s="230"/>
      <c r="DZ80" s="230"/>
      <c r="EA80" s="230"/>
      <c r="EB80" s="230"/>
      <c r="EC80" s="230"/>
      <c r="ED80" s="230"/>
      <c r="EE80" s="1455"/>
      <c r="EF80" s="1438"/>
      <c r="EG80" s="230"/>
      <c r="EH80" s="230"/>
      <c r="EI80" s="230"/>
      <c r="EJ80" s="230"/>
      <c r="EK80" s="1455"/>
      <c r="EL80" s="1438"/>
      <c r="EM80" s="230"/>
      <c r="EN80" s="230"/>
      <c r="EO80" s="230"/>
      <c r="EP80" s="230"/>
      <c r="EQ80" s="230"/>
      <c r="ER80" s="230"/>
      <c r="ES80" s="230"/>
      <c r="ET80" s="230"/>
      <c r="EU80" s="331"/>
      <c r="EV80" s="230"/>
      <c r="EW80" s="230"/>
      <c r="EX80" s="230"/>
      <c r="EY80" s="1455"/>
      <c r="EZ80" s="1438"/>
      <c r="FA80" s="230"/>
      <c r="FB80" s="230"/>
      <c r="FC80" s="230"/>
      <c r="FD80" s="230"/>
      <c r="FE80" s="230"/>
      <c r="FF80" s="230"/>
      <c r="FG80" s="230"/>
      <c r="FH80" s="1455"/>
      <c r="FI80" s="1438"/>
      <c r="FJ80" s="230"/>
      <c r="FK80" s="230"/>
      <c r="FL80" s="230"/>
      <c r="FM80" s="230"/>
      <c r="FN80" s="1455"/>
      <c r="FO80" s="1438"/>
      <c r="FP80" s="230"/>
      <c r="FQ80" s="230"/>
      <c r="FR80" s="230"/>
      <c r="FS80" s="230"/>
      <c r="FT80" s="230"/>
      <c r="FU80" s="230"/>
      <c r="FV80" s="230"/>
      <c r="FW80" s="230"/>
    </row>
    <row r="81" spans="3:180" s="182" customFormat="1" x14ac:dyDescent="0.35">
      <c r="C81" s="417" t="s">
        <v>1022</v>
      </c>
      <c r="D81" s="417"/>
      <c r="E81" s="417"/>
      <c r="F81" s="1355">
        <v>0.55000000000000004</v>
      </c>
      <c r="G81" s="914">
        <v>0.54</v>
      </c>
      <c r="H81" s="914">
        <v>0.54</v>
      </c>
      <c r="I81" s="1356">
        <v>0.55000000000000004</v>
      </c>
      <c r="J81" s="913">
        <v>0.33</v>
      </c>
      <c r="K81" s="913">
        <v>0.32</v>
      </c>
      <c r="L81" s="913">
        <v>0.32</v>
      </c>
      <c r="M81" s="913">
        <v>0.32</v>
      </c>
      <c r="N81" s="913">
        <v>0.32</v>
      </c>
      <c r="O81" s="913">
        <v>0.32</v>
      </c>
      <c r="P81" s="913">
        <v>0.32</v>
      </c>
      <c r="Q81" s="913">
        <v>0.32</v>
      </c>
      <c r="R81" s="913">
        <v>0.32</v>
      </c>
      <c r="S81" s="913">
        <v>0.32</v>
      </c>
      <c r="T81" s="913">
        <v>0.32</v>
      </c>
      <c r="U81" s="913">
        <v>0.32</v>
      </c>
      <c r="V81" s="913">
        <v>0.32</v>
      </c>
      <c r="W81" s="913">
        <v>0.32</v>
      </c>
      <c r="X81" s="913">
        <v>0.32</v>
      </c>
      <c r="Y81" s="913">
        <v>0.32</v>
      </c>
      <c r="Z81" s="913">
        <v>0.32</v>
      </c>
      <c r="AA81" s="913">
        <v>0.32</v>
      </c>
      <c r="AB81" s="2158"/>
      <c r="AC81" s="2158"/>
      <c r="AD81" s="2158"/>
      <c r="AE81" s="1357"/>
      <c r="AF81" s="1357"/>
      <c r="AG81" s="1357"/>
      <c r="AH81" s="334"/>
      <c r="AI81" s="264"/>
      <c r="AJ81" s="264"/>
      <c r="AK81" s="264"/>
      <c r="AL81" s="1454"/>
      <c r="AM81" s="1437"/>
      <c r="AN81" s="264"/>
      <c r="AO81" s="264"/>
      <c r="AP81" s="264"/>
      <c r="AQ81" s="264"/>
      <c r="AR81" s="264"/>
      <c r="AS81" s="264"/>
      <c r="AT81" s="264"/>
      <c r="AU81" s="1454"/>
      <c r="AV81" s="1437"/>
      <c r="AW81" s="264"/>
      <c r="AX81" s="264"/>
      <c r="AY81" s="264"/>
      <c r="AZ81" s="264"/>
      <c r="BA81" s="1454"/>
      <c r="BB81" s="1437"/>
      <c r="BC81" s="264"/>
      <c r="BD81" s="264"/>
      <c r="BE81" s="264"/>
      <c r="BF81" s="264"/>
      <c r="BG81" s="264"/>
      <c r="BH81" s="264"/>
      <c r="BI81" s="264"/>
      <c r="BJ81" s="264"/>
      <c r="BK81" s="334"/>
      <c r="BL81" s="264"/>
      <c r="BM81" s="230"/>
      <c r="BN81" s="230"/>
      <c r="BO81" s="1455"/>
      <c r="BP81" s="1438"/>
      <c r="BQ81" s="230"/>
      <c r="BR81" s="230"/>
      <c r="BS81" s="230"/>
      <c r="BT81" s="230"/>
      <c r="BU81" s="230"/>
      <c r="BV81" s="230"/>
      <c r="BW81" s="230"/>
      <c r="BX81" s="1455"/>
      <c r="BY81" s="1438"/>
      <c r="BZ81" s="230"/>
      <c r="CA81" s="230"/>
      <c r="CB81" s="230"/>
      <c r="CC81" s="230"/>
      <c r="CD81" s="1455"/>
      <c r="CE81" s="1438"/>
      <c r="CF81" s="230"/>
      <c r="CG81" s="230"/>
      <c r="CH81" s="230"/>
      <c r="CI81" s="230"/>
      <c r="CJ81" s="230"/>
      <c r="CK81" s="230"/>
      <c r="CL81" s="230"/>
      <c r="CM81" s="230"/>
      <c r="CN81" s="331"/>
      <c r="CO81" s="230"/>
      <c r="CP81" s="265"/>
      <c r="CQ81" s="265"/>
      <c r="CR81" s="1478"/>
      <c r="CS81" s="1466"/>
      <c r="CT81" s="265"/>
      <c r="CU81" s="262"/>
      <c r="CV81" s="230"/>
      <c r="CW81" s="230"/>
      <c r="CX81" s="230"/>
      <c r="CY81" s="230"/>
      <c r="CZ81" s="230"/>
      <c r="DA81" s="1455"/>
      <c r="DB81" s="1438"/>
      <c r="DC81" s="230"/>
      <c r="DD81" s="230"/>
      <c r="DE81" s="230"/>
      <c r="DF81" s="230"/>
      <c r="DG81" s="1455"/>
      <c r="DH81" s="1438"/>
      <c r="DI81" s="230"/>
      <c r="DJ81" s="230"/>
      <c r="DK81" s="230"/>
      <c r="DL81" s="230"/>
      <c r="DM81" s="230"/>
      <c r="DN81" s="230"/>
      <c r="DO81" s="230"/>
      <c r="DP81" s="230"/>
      <c r="DQ81" s="331"/>
      <c r="DR81" s="332"/>
      <c r="DS81" s="230"/>
      <c r="DT81" s="230"/>
      <c r="DU81" s="230"/>
      <c r="DV81" s="1455"/>
      <c r="DW81" s="1438"/>
      <c r="DX81" s="230"/>
      <c r="DY81" s="230"/>
      <c r="DZ81" s="230"/>
      <c r="EA81" s="230"/>
      <c r="EB81" s="230"/>
      <c r="EC81" s="230"/>
      <c r="ED81" s="230"/>
      <c r="EE81" s="1455"/>
      <c r="EF81" s="1438"/>
      <c r="EG81" s="230"/>
      <c r="EH81" s="230"/>
      <c r="EI81" s="230"/>
      <c r="EJ81" s="230"/>
      <c r="EK81" s="1455"/>
      <c r="EL81" s="1438"/>
      <c r="EM81" s="230"/>
      <c r="EN81" s="230"/>
      <c r="EO81" s="230"/>
      <c r="EP81" s="230"/>
      <c r="EQ81" s="230"/>
      <c r="ER81" s="230"/>
      <c r="ES81" s="230"/>
      <c r="ET81" s="230"/>
      <c r="EU81" s="331"/>
      <c r="EV81" s="230"/>
      <c r="EW81" s="230"/>
      <c r="EX81" s="230"/>
      <c r="EY81" s="1455"/>
      <c r="EZ81" s="1438"/>
      <c r="FA81" s="230"/>
      <c r="FB81" s="230"/>
      <c r="FC81" s="230"/>
      <c r="FD81" s="230"/>
      <c r="FE81" s="230"/>
      <c r="FF81" s="230"/>
      <c r="FG81" s="230"/>
      <c r="FH81" s="1455"/>
      <c r="FI81" s="1438"/>
      <c r="FJ81" s="230"/>
      <c r="FK81" s="230"/>
      <c r="FL81" s="230"/>
      <c r="FM81" s="230"/>
      <c r="FN81" s="1455"/>
      <c r="FO81" s="1438"/>
      <c r="FP81" s="230"/>
      <c r="FQ81" s="230"/>
      <c r="FR81" s="230"/>
      <c r="FS81" s="230"/>
      <c r="FT81" s="230"/>
      <c r="FU81" s="230"/>
      <c r="FV81" s="230"/>
      <c r="FW81" s="230"/>
    </row>
    <row r="82" spans="3:180" s="182" customFormat="1" x14ac:dyDescent="0.35">
      <c r="C82" s="164" t="s">
        <v>358</v>
      </c>
      <c r="D82" s="164"/>
      <c r="E82" s="164"/>
      <c r="F82" s="566">
        <v>0.38</v>
      </c>
      <c r="G82" s="254">
        <v>0.38</v>
      </c>
      <c r="H82" s="254">
        <v>0.38</v>
      </c>
      <c r="I82" s="1257">
        <v>0.38</v>
      </c>
      <c r="J82" s="1203">
        <v>0.23</v>
      </c>
      <c r="K82" s="245">
        <v>0.23</v>
      </c>
      <c r="L82" s="245">
        <v>0.23</v>
      </c>
      <c r="M82" s="245">
        <v>0.23</v>
      </c>
      <c r="N82" s="245">
        <v>0.23</v>
      </c>
      <c r="O82" s="1414">
        <v>0.23</v>
      </c>
      <c r="P82" s="1203">
        <v>0.23</v>
      </c>
      <c r="Q82" s="245">
        <v>0.23</v>
      </c>
      <c r="R82" s="1414">
        <v>0.23</v>
      </c>
      <c r="S82" s="1203">
        <v>0.23</v>
      </c>
      <c r="T82" s="245">
        <v>0.23</v>
      </c>
      <c r="U82" s="245">
        <v>0.23</v>
      </c>
      <c r="V82" s="232">
        <v>0.23</v>
      </c>
      <c r="W82" s="232">
        <v>0.23</v>
      </c>
      <c r="X82" s="1236">
        <v>0.23</v>
      </c>
      <c r="Y82" s="643">
        <v>0.23</v>
      </c>
      <c r="Z82" s="232">
        <v>0.23</v>
      </c>
      <c r="AA82" s="232">
        <v>0.23</v>
      </c>
      <c r="AB82" s="230"/>
      <c r="AC82" s="230"/>
      <c r="AD82" s="230"/>
      <c r="AE82" s="230"/>
      <c r="AF82" s="230"/>
      <c r="AG82" s="230"/>
      <c r="AH82" s="331"/>
      <c r="AI82" s="230"/>
      <c r="AJ82" s="230"/>
      <c r="AK82" s="230"/>
      <c r="AL82" s="1455"/>
      <c r="AM82" s="1438"/>
      <c r="AN82" s="230"/>
      <c r="AO82" s="230"/>
      <c r="AP82" s="230"/>
      <c r="AQ82" s="230"/>
      <c r="AR82" s="230"/>
      <c r="AS82" s="230"/>
      <c r="AT82" s="230"/>
      <c r="AU82" s="1455"/>
      <c r="AV82" s="1438"/>
      <c r="AW82" s="230"/>
      <c r="AX82" s="230"/>
      <c r="AY82" s="230"/>
      <c r="AZ82" s="230"/>
      <c r="BA82" s="1455"/>
      <c r="BB82" s="1438"/>
      <c r="BC82" s="230"/>
      <c r="BD82" s="230"/>
      <c r="BE82" s="230"/>
      <c r="BF82" s="230"/>
      <c r="BG82" s="230"/>
      <c r="BH82" s="230"/>
      <c r="BI82" s="230"/>
      <c r="BJ82" s="230"/>
      <c r="BK82" s="331"/>
      <c r="BL82" s="230"/>
      <c r="BM82" s="230"/>
      <c r="BN82" s="230"/>
      <c r="BO82" s="1455"/>
      <c r="BP82" s="1438"/>
      <c r="BQ82" s="230"/>
      <c r="BR82" s="230"/>
      <c r="BS82" s="230"/>
      <c r="BT82" s="230"/>
      <c r="BU82" s="230"/>
      <c r="BV82" s="230"/>
      <c r="BW82" s="230"/>
      <c r="BX82" s="1455"/>
      <c r="BY82" s="1438"/>
      <c r="BZ82" s="230"/>
      <c r="CA82" s="230"/>
      <c r="CB82" s="230"/>
      <c r="CC82" s="230"/>
      <c r="CD82" s="1455"/>
      <c r="CE82" s="1438"/>
      <c r="CF82" s="230"/>
      <c r="CG82" s="230"/>
      <c r="CH82" s="230"/>
      <c r="CI82" s="230"/>
      <c r="CJ82" s="230"/>
      <c r="CK82" s="230"/>
      <c r="CL82" s="230"/>
      <c r="CM82" s="230"/>
      <c r="CN82" s="331"/>
      <c r="CO82" s="230"/>
      <c r="CP82" s="230"/>
      <c r="CQ82" s="230"/>
      <c r="CR82" s="1455"/>
      <c r="CS82" s="1438"/>
      <c r="CT82" s="230"/>
      <c r="CU82" s="230"/>
      <c r="CV82" s="230"/>
      <c r="CW82" s="230"/>
      <c r="CX82" s="230"/>
      <c r="CY82" s="230"/>
      <c r="CZ82" s="230"/>
      <c r="DA82" s="1455"/>
      <c r="DB82" s="1438"/>
      <c r="DC82" s="230"/>
      <c r="DD82" s="230"/>
      <c r="DE82" s="230"/>
      <c r="DF82" s="230"/>
      <c r="DG82" s="1455"/>
      <c r="DH82" s="1438"/>
      <c r="DI82" s="230"/>
      <c r="DJ82" s="230"/>
      <c r="DK82" s="230"/>
      <c r="DL82" s="230"/>
      <c r="DM82" s="230"/>
      <c r="DN82" s="230"/>
      <c r="DO82" s="230"/>
      <c r="DP82" s="230"/>
      <c r="DQ82" s="331"/>
      <c r="DR82" s="332"/>
      <c r="DS82" s="230"/>
      <c r="DT82" s="230"/>
      <c r="DU82" s="230"/>
      <c r="DV82" s="1455"/>
      <c r="DW82" s="1438"/>
      <c r="DX82" s="230"/>
      <c r="DY82" s="230"/>
      <c r="DZ82" s="230"/>
      <c r="EA82" s="230"/>
      <c r="EB82" s="230"/>
      <c r="EC82" s="230"/>
      <c r="ED82" s="230"/>
      <c r="EE82" s="1455"/>
      <c r="EF82" s="1438"/>
      <c r="EG82" s="230"/>
      <c r="EH82" s="230"/>
      <c r="EI82" s="230"/>
      <c r="EJ82" s="230"/>
      <c r="EK82" s="1455"/>
      <c r="EL82" s="1438"/>
      <c r="EM82" s="230"/>
      <c r="EN82" s="230"/>
      <c r="EO82" s="230"/>
      <c r="EP82" s="230"/>
      <c r="EQ82" s="230"/>
      <c r="ER82" s="230"/>
      <c r="ES82" s="230"/>
      <c r="ET82" s="230"/>
      <c r="EU82" s="331"/>
      <c r="EV82" s="230"/>
      <c r="EW82" s="230"/>
      <c r="EX82" s="230"/>
      <c r="EY82" s="1455"/>
      <c r="EZ82" s="1438"/>
      <c r="FA82" s="230"/>
      <c r="FB82" s="230"/>
      <c r="FC82" s="230"/>
      <c r="FD82" s="230"/>
      <c r="FE82" s="230"/>
      <c r="FF82" s="230"/>
      <c r="FG82" s="230"/>
      <c r="FH82" s="1455"/>
      <c r="FI82" s="1438"/>
      <c r="FJ82" s="230"/>
      <c r="FK82" s="230"/>
      <c r="FL82" s="230"/>
      <c r="FM82" s="230"/>
      <c r="FN82" s="1455"/>
      <c r="FO82" s="1438"/>
      <c r="FP82" s="230"/>
      <c r="FQ82" s="230"/>
      <c r="FR82" s="230"/>
      <c r="FS82" s="230"/>
      <c r="FT82" s="230"/>
      <c r="FU82" s="230"/>
      <c r="FV82" s="230"/>
      <c r="FW82" s="230"/>
    </row>
    <row r="83" spans="3:180" s="182" customFormat="1" x14ac:dyDescent="0.35">
      <c r="C83" s="1343" t="s">
        <v>359</v>
      </c>
      <c r="D83" s="1343"/>
      <c r="E83" s="1343"/>
      <c r="F83" s="1350"/>
      <c r="G83" s="1351"/>
      <c r="H83" s="1352"/>
      <c r="I83" s="1353"/>
      <c r="J83" s="1354"/>
      <c r="K83" s="1352"/>
      <c r="L83" s="1352"/>
      <c r="M83" s="1352"/>
      <c r="N83" s="1352"/>
      <c r="O83" s="1353"/>
      <c r="P83" s="1354"/>
      <c r="Q83" s="1352"/>
      <c r="R83" s="1353"/>
      <c r="S83" s="1408"/>
      <c r="T83" s="1352"/>
      <c r="U83" s="1352"/>
      <c r="V83" s="1408"/>
      <c r="W83" s="1352"/>
      <c r="X83" s="1352"/>
      <c r="Y83" s="1408"/>
      <c r="Z83" s="1352"/>
      <c r="AA83" s="1352"/>
      <c r="AB83" s="1408"/>
      <c r="AC83" s="1352"/>
      <c r="AD83" s="1352"/>
      <c r="AE83" s="1349"/>
      <c r="AF83" s="1349"/>
      <c r="AG83" s="1349"/>
      <c r="AH83" s="331"/>
      <c r="AI83" s="230"/>
      <c r="AJ83" s="230"/>
      <c r="AK83" s="230"/>
      <c r="AL83" s="1455"/>
      <c r="AM83" s="1438"/>
      <c r="AN83" s="230"/>
      <c r="AO83" s="230"/>
      <c r="AP83" s="230"/>
      <c r="AQ83" s="230"/>
      <c r="AR83" s="230"/>
      <c r="AS83" s="230"/>
      <c r="AT83" s="230"/>
      <c r="AU83" s="1455"/>
      <c r="AV83" s="1438"/>
      <c r="AW83" s="230"/>
      <c r="AX83" s="230"/>
      <c r="AY83" s="230"/>
      <c r="AZ83" s="230"/>
      <c r="BA83" s="1455"/>
      <c r="BB83" s="1438"/>
      <c r="BC83" s="230"/>
      <c r="BD83" s="230"/>
      <c r="BE83" s="230"/>
      <c r="BF83" s="230"/>
      <c r="BG83" s="230"/>
      <c r="BH83" s="230"/>
      <c r="BI83" s="230"/>
      <c r="BJ83" s="230"/>
      <c r="BK83" s="331"/>
      <c r="BL83" s="230"/>
      <c r="BM83" s="230"/>
      <c r="BN83" s="230"/>
      <c r="BO83" s="1455"/>
      <c r="BP83" s="1438"/>
      <c r="BQ83" s="230"/>
      <c r="BR83" s="230"/>
      <c r="BS83" s="230"/>
      <c r="BT83" s="230"/>
      <c r="BU83" s="230"/>
      <c r="BV83" s="230"/>
      <c r="BW83" s="230"/>
      <c r="BX83" s="1455"/>
      <c r="BY83" s="1438"/>
      <c r="BZ83" s="230"/>
      <c r="CA83" s="230"/>
      <c r="CB83" s="230"/>
      <c r="CC83" s="230"/>
      <c r="CD83" s="1455"/>
      <c r="CE83" s="1438"/>
      <c r="CF83" s="230"/>
      <c r="CG83" s="230"/>
      <c r="CH83" s="230"/>
      <c r="CI83" s="230"/>
      <c r="CJ83" s="230"/>
      <c r="CK83" s="230"/>
      <c r="CL83" s="230"/>
      <c r="CM83" s="230"/>
      <c r="CN83" s="331"/>
      <c r="CO83" s="230"/>
      <c r="CP83" s="230"/>
      <c r="CQ83" s="230"/>
      <c r="CR83" s="1455"/>
      <c r="CS83" s="1438"/>
      <c r="CT83" s="230"/>
      <c r="CU83" s="230"/>
      <c r="CV83" s="230"/>
      <c r="CW83" s="230"/>
      <c r="CX83" s="230"/>
      <c r="CY83" s="230"/>
      <c r="CZ83" s="230"/>
      <c r="DA83" s="1455"/>
      <c r="DB83" s="1438"/>
      <c r="DC83" s="230"/>
      <c r="DD83" s="230"/>
      <c r="DE83" s="230"/>
      <c r="DF83" s="230"/>
      <c r="DG83" s="1455"/>
      <c r="DH83" s="1438"/>
      <c r="DI83" s="230"/>
      <c r="DJ83" s="230"/>
      <c r="DK83" s="230"/>
      <c r="DL83" s="230"/>
      <c r="DM83" s="230"/>
      <c r="DN83" s="230"/>
      <c r="DO83" s="230"/>
      <c r="DP83" s="230"/>
      <c r="DQ83" s="331"/>
      <c r="DR83" s="332"/>
      <c r="DS83" s="230"/>
      <c r="DT83" s="230"/>
      <c r="DU83" s="230"/>
      <c r="DV83" s="1455"/>
      <c r="DW83" s="1438"/>
      <c r="DX83" s="230"/>
      <c r="DY83" s="230"/>
      <c r="DZ83" s="230"/>
      <c r="EA83" s="230"/>
      <c r="EB83" s="230"/>
      <c r="EC83" s="230"/>
      <c r="ED83" s="230"/>
      <c r="EE83" s="1455"/>
      <c r="EF83" s="1438"/>
      <c r="EG83" s="230"/>
      <c r="EH83" s="230"/>
      <c r="EI83" s="230"/>
      <c r="EJ83" s="230"/>
      <c r="EK83" s="1455"/>
      <c r="EL83" s="1438"/>
      <c r="EM83" s="230"/>
      <c r="EN83" s="230"/>
      <c r="EO83" s="230"/>
      <c r="EP83" s="230"/>
      <c r="EQ83" s="230"/>
      <c r="ER83" s="230"/>
      <c r="ES83" s="230"/>
      <c r="ET83" s="230"/>
      <c r="EU83" s="331"/>
      <c r="EV83" s="230"/>
      <c r="EW83" s="230"/>
      <c r="EX83" s="230"/>
      <c r="EY83" s="1455"/>
      <c r="EZ83" s="1438"/>
      <c r="FA83" s="230"/>
      <c r="FB83" s="230"/>
      <c r="FC83" s="230"/>
      <c r="FD83" s="230"/>
      <c r="FE83" s="230"/>
      <c r="FF83" s="230"/>
      <c r="FG83" s="230"/>
      <c r="FH83" s="1455"/>
      <c r="FI83" s="1438"/>
      <c r="FJ83" s="230"/>
      <c r="FK83" s="230"/>
      <c r="FL83" s="230"/>
      <c r="FM83" s="230"/>
      <c r="FN83" s="1455"/>
      <c r="FO83" s="1438"/>
      <c r="FP83" s="230"/>
      <c r="FQ83" s="230"/>
      <c r="FR83" s="230"/>
      <c r="FS83" s="230"/>
      <c r="FT83" s="230"/>
      <c r="FU83" s="230"/>
      <c r="FV83" s="230"/>
      <c r="FW83" s="230"/>
    </row>
    <row r="84" spans="3:180" s="182" customFormat="1" x14ac:dyDescent="0.35">
      <c r="C84" s="164" t="s">
        <v>382</v>
      </c>
      <c r="D84" s="164"/>
      <c r="E84" s="164"/>
      <c r="F84" s="1679">
        <v>176.5</v>
      </c>
      <c r="G84" s="1680">
        <v>176.5</v>
      </c>
      <c r="H84" s="1680">
        <v>176.5</v>
      </c>
      <c r="I84" s="1681">
        <v>176.5</v>
      </c>
      <c r="J84" s="1682">
        <v>176.5</v>
      </c>
      <c r="K84" s="1680">
        <v>176.5</v>
      </c>
      <c r="L84" s="1680">
        <v>176.5</v>
      </c>
      <c r="M84" s="1680">
        <v>176.5</v>
      </c>
      <c r="N84" s="1680">
        <v>176.5</v>
      </c>
      <c r="O84" s="1681">
        <v>176.5</v>
      </c>
      <c r="P84" s="1682">
        <v>176.5</v>
      </c>
      <c r="Q84" s="1680">
        <v>176.5</v>
      </c>
      <c r="R84" s="1681">
        <v>176.5</v>
      </c>
      <c r="S84" s="1204"/>
      <c r="T84" s="573"/>
      <c r="U84" s="573"/>
      <c r="V84" s="230"/>
      <c r="W84" s="230"/>
      <c r="X84" s="1455"/>
      <c r="Y84" s="1438"/>
      <c r="Z84" s="230"/>
      <c r="AA84" s="230"/>
      <c r="AB84" s="230"/>
      <c r="AC84" s="230"/>
      <c r="AD84" s="230"/>
      <c r="AE84" s="230"/>
      <c r="AF84" s="230"/>
      <c r="AG84" s="230"/>
      <c r="AH84" s="331"/>
      <c r="AI84" s="230"/>
      <c r="AJ84" s="230"/>
      <c r="AK84" s="230"/>
      <c r="AL84" s="1455"/>
      <c r="AM84" s="1438"/>
      <c r="AN84" s="230"/>
      <c r="AO84" s="230"/>
      <c r="AP84" s="230"/>
      <c r="AQ84" s="230"/>
      <c r="AR84" s="230"/>
      <c r="AS84" s="230"/>
      <c r="AT84" s="230"/>
      <c r="AU84" s="1455"/>
      <c r="AV84" s="1438"/>
      <c r="AW84" s="230"/>
      <c r="AX84" s="230"/>
      <c r="AY84" s="230"/>
      <c r="AZ84" s="230"/>
      <c r="BA84" s="1455"/>
      <c r="BB84" s="1438"/>
      <c r="BC84" s="230"/>
      <c r="BD84" s="230"/>
      <c r="BE84" s="230"/>
      <c r="BF84" s="230"/>
      <c r="BG84" s="230"/>
      <c r="BH84" s="230"/>
      <c r="BI84" s="230"/>
      <c r="BJ84" s="230"/>
      <c r="BK84" s="331"/>
      <c r="BL84" s="230"/>
      <c r="BM84" s="230"/>
      <c r="BN84" s="230"/>
      <c r="BO84" s="1455"/>
      <c r="BP84" s="1438"/>
      <c r="BQ84" s="230"/>
      <c r="BR84" s="230"/>
      <c r="BS84" s="230"/>
      <c r="BT84" s="230"/>
      <c r="BU84" s="230"/>
      <c r="BV84" s="230"/>
      <c r="BW84" s="230"/>
      <c r="BX84" s="1455"/>
      <c r="BY84" s="1438"/>
      <c r="BZ84" s="230"/>
      <c r="CA84" s="230"/>
      <c r="CB84" s="230"/>
      <c r="CC84" s="230"/>
      <c r="CD84" s="1455"/>
      <c r="CE84" s="1438"/>
      <c r="CF84" s="230"/>
      <c r="CG84" s="230"/>
      <c r="CH84" s="230"/>
      <c r="CI84" s="230"/>
      <c r="CJ84" s="230"/>
      <c r="CK84" s="230"/>
      <c r="CL84" s="230"/>
      <c r="CM84" s="230"/>
      <c r="CN84" s="331"/>
      <c r="CO84" s="230"/>
      <c r="CP84" s="230"/>
      <c r="CQ84" s="230"/>
      <c r="CR84" s="1455"/>
      <c r="CS84" s="1438"/>
      <c r="CT84" s="230"/>
      <c r="CU84" s="230"/>
      <c r="CV84" s="230"/>
      <c r="CW84" s="230"/>
      <c r="CX84" s="230"/>
      <c r="CY84" s="230"/>
      <c r="CZ84" s="230"/>
      <c r="DA84" s="1455"/>
      <c r="DB84" s="1438"/>
      <c r="DC84" s="230"/>
      <c r="DD84" s="230"/>
      <c r="DE84" s="230"/>
      <c r="DF84" s="230"/>
      <c r="DG84" s="1455"/>
      <c r="DH84" s="1438"/>
      <c r="DI84" s="230"/>
      <c r="DJ84" s="230"/>
      <c r="DK84" s="230"/>
      <c r="DL84" s="230"/>
      <c r="DM84" s="230"/>
      <c r="DN84" s="230"/>
      <c r="DO84" s="230"/>
      <c r="DP84" s="230"/>
      <c r="DQ84" s="331"/>
      <c r="DR84" s="332"/>
      <c r="DS84" s="230"/>
      <c r="DT84" s="230"/>
      <c r="DU84" s="230"/>
      <c r="DV84" s="1455"/>
      <c r="DW84" s="1438"/>
      <c r="DX84" s="230"/>
      <c r="DY84" s="230"/>
      <c r="DZ84" s="230"/>
      <c r="EA84" s="230"/>
      <c r="EB84" s="230"/>
      <c r="EC84" s="230"/>
      <c r="ED84" s="230"/>
      <c r="EE84" s="1455"/>
      <c r="EF84" s="1438"/>
      <c r="EG84" s="230"/>
      <c r="EH84" s="230"/>
      <c r="EI84" s="230"/>
      <c r="EJ84" s="230"/>
      <c r="EK84" s="1455"/>
      <c r="EL84" s="1438"/>
      <c r="EM84" s="230"/>
      <c r="EN84" s="230"/>
      <c r="EO84" s="230"/>
      <c r="EP84" s="230"/>
      <c r="EQ84" s="230"/>
      <c r="ER84" s="230"/>
      <c r="ES84" s="230"/>
      <c r="ET84" s="230"/>
      <c r="EU84" s="331"/>
      <c r="EV84" s="230"/>
      <c r="EW84" s="230"/>
      <c r="EX84" s="230"/>
      <c r="EY84" s="1455"/>
      <c r="EZ84" s="1438"/>
      <c r="FA84" s="230"/>
      <c r="FB84" s="230"/>
      <c r="FC84" s="230"/>
      <c r="FD84" s="230"/>
      <c r="FE84" s="230"/>
      <c r="FF84" s="230"/>
      <c r="FG84" s="230"/>
      <c r="FH84" s="1455"/>
      <c r="FI84" s="1438"/>
      <c r="FJ84" s="230"/>
      <c r="FK84" s="230"/>
      <c r="FL84" s="230"/>
      <c r="FM84" s="230"/>
      <c r="FN84" s="1455"/>
      <c r="FO84" s="1438"/>
      <c r="FP84" s="230"/>
      <c r="FQ84" s="230"/>
      <c r="FR84" s="230"/>
      <c r="FS84" s="230"/>
      <c r="FT84" s="230"/>
      <c r="FU84" s="230"/>
      <c r="FV84" s="230"/>
      <c r="FW84" s="230"/>
    </row>
    <row r="85" spans="3:180" s="182" customFormat="1" x14ac:dyDescent="0.35">
      <c r="C85" s="1343" t="s">
        <v>365</v>
      </c>
      <c r="D85" s="1343"/>
      <c r="E85" s="1343"/>
      <c r="F85" s="1344" t="s">
        <v>1075</v>
      </c>
      <c r="G85" s="1345" t="s">
        <v>1075</v>
      </c>
      <c r="H85" s="1346" t="s">
        <v>1075</v>
      </c>
      <c r="I85" s="1347" t="s">
        <v>1075</v>
      </c>
      <c r="J85" s="1348">
        <v>423.2</v>
      </c>
      <c r="K85" s="1346">
        <v>423.6</v>
      </c>
      <c r="L85" s="1346"/>
      <c r="M85" s="1346"/>
      <c r="N85" s="1346"/>
      <c r="O85" s="1347"/>
      <c r="P85" s="1348"/>
      <c r="Q85" s="1346"/>
      <c r="R85" s="1415"/>
      <c r="S85" s="1409"/>
      <c r="T85" s="1346"/>
      <c r="U85" s="1345"/>
      <c r="V85" s="1349"/>
      <c r="W85" s="1349"/>
      <c r="X85" s="1456"/>
      <c r="Y85" s="1439"/>
      <c r="Z85" s="1349"/>
      <c r="AA85" s="1349"/>
      <c r="AB85" s="1349"/>
      <c r="AC85" s="1349"/>
      <c r="AD85" s="1349"/>
      <c r="AE85" s="1349"/>
      <c r="AF85" s="1349"/>
      <c r="AG85" s="1349"/>
      <c r="AH85" s="331"/>
      <c r="AI85" s="230"/>
      <c r="AJ85" s="230"/>
      <c r="AK85" s="230"/>
      <c r="AL85" s="1455"/>
      <c r="AM85" s="1438"/>
      <c r="AN85" s="230"/>
      <c r="AO85" s="230"/>
      <c r="AP85" s="230"/>
      <c r="AQ85" s="230"/>
      <c r="AR85" s="230"/>
      <c r="AS85" s="230"/>
      <c r="AT85" s="230"/>
      <c r="AU85" s="1455"/>
      <c r="AV85" s="1438"/>
      <c r="AW85" s="230"/>
      <c r="AX85" s="230"/>
      <c r="AY85" s="230"/>
      <c r="AZ85" s="230"/>
      <c r="BA85" s="1455"/>
      <c r="BB85" s="1438"/>
      <c r="BC85" s="230"/>
      <c r="BD85" s="230"/>
      <c r="BE85" s="230"/>
      <c r="BF85" s="230"/>
      <c r="BG85" s="230"/>
      <c r="BH85" s="230"/>
      <c r="BI85" s="230"/>
      <c r="BJ85" s="230"/>
      <c r="BK85" s="331"/>
      <c r="BL85" s="230"/>
      <c r="BM85" s="230"/>
      <c r="BN85" s="230"/>
      <c r="BO85" s="1455"/>
      <c r="BP85" s="1438"/>
      <c r="BQ85" s="230"/>
      <c r="BR85" s="230"/>
      <c r="BS85" s="230"/>
      <c r="BT85" s="230"/>
      <c r="BU85" s="230"/>
      <c r="BV85" s="230"/>
      <c r="BW85" s="230"/>
      <c r="BX85" s="1455"/>
      <c r="BY85" s="1438"/>
      <c r="BZ85" s="230"/>
      <c r="CA85" s="230"/>
      <c r="CB85" s="230"/>
      <c r="CC85" s="230"/>
      <c r="CD85" s="1455"/>
      <c r="CE85" s="1438"/>
      <c r="CF85" s="230"/>
      <c r="CG85" s="230"/>
      <c r="CH85" s="230"/>
      <c r="CI85" s="230"/>
      <c r="CJ85" s="230"/>
      <c r="CK85" s="230"/>
      <c r="CL85" s="230"/>
      <c r="CM85" s="230"/>
      <c r="CN85" s="331"/>
      <c r="CO85" s="230"/>
      <c r="CP85" s="230"/>
      <c r="CQ85" s="230"/>
      <c r="CR85" s="1455"/>
      <c r="CS85" s="1438"/>
      <c r="CT85" s="230"/>
      <c r="CU85" s="230"/>
      <c r="CV85" s="230"/>
      <c r="CW85" s="230"/>
      <c r="CX85" s="230"/>
      <c r="CY85" s="230"/>
      <c r="CZ85" s="230"/>
      <c r="DA85" s="1455"/>
      <c r="DB85" s="1438"/>
      <c r="DC85" s="230"/>
      <c r="DD85" s="230"/>
      <c r="DE85" s="230"/>
      <c r="DF85" s="230"/>
      <c r="DG85" s="1455"/>
      <c r="DH85" s="1438"/>
      <c r="DI85" s="230"/>
      <c r="DJ85" s="230"/>
      <c r="DK85" s="230"/>
      <c r="DL85" s="230"/>
      <c r="DM85" s="230"/>
      <c r="DN85" s="230"/>
      <c r="DO85" s="230"/>
      <c r="DP85" s="230"/>
      <c r="DQ85" s="331"/>
      <c r="DR85" s="332"/>
      <c r="DS85" s="230"/>
      <c r="DT85" s="230"/>
      <c r="DU85" s="230"/>
      <c r="DV85" s="1455"/>
      <c r="DW85" s="1438"/>
      <c r="DX85" s="230"/>
      <c r="DY85" s="230"/>
      <c r="DZ85" s="230"/>
      <c r="EA85" s="230"/>
      <c r="EB85" s="230"/>
      <c r="EC85" s="230"/>
      <c r="ED85" s="230"/>
      <c r="EE85" s="1455"/>
      <c r="EF85" s="1438"/>
      <c r="EG85" s="230"/>
      <c r="EH85" s="230"/>
      <c r="EI85" s="230"/>
      <c r="EJ85" s="230"/>
      <c r="EK85" s="1455"/>
      <c r="EL85" s="1438"/>
      <c r="EM85" s="230"/>
      <c r="EN85" s="230"/>
      <c r="EO85" s="230"/>
      <c r="EP85" s="230"/>
      <c r="EQ85" s="230"/>
      <c r="ER85" s="230"/>
      <c r="ES85" s="230"/>
      <c r="ET85" s="230"/>
      <c r="EU85" s="331"/>
      <c r="EV85" s="230"/>
      <c r="EW85" s="230"/>
      <c r="EX85" s="230"/>
      <c r="EY85" s="1455"/>
      <c r="EZ85" s="1438"/>
      <c r="FA85" s="230"/>
      <c r="FB85" s="230"/>
      <c r="FC85" s="230"/>
      <c r="FD85" s="230"/>
      <c r="FE85" s="230"/>
      <c r="FF85" s="230"/>
      <c r="FG85" s="230"/>
      <c r="FH85" s="1455"/>
      <c r="FI85" s="1438"/>
      <c r="FJ85" s="230"/>
      <c r="FK85" s="230"/>
      <c r="FL85" s="230"/>
      <c r="FM85" s="230"/>
      <c r="FN85" s="1455"/>
      <c r="FO85" s="1438"/>
      <c r="FP85" s="230"/>
      <c r="FQ85" s="230"/>
      <c r="FR85" s="230"/>
      <c r="FS85" s="230"/>
      <c r="FT85" s="230"/>
      <c r="FU85" s="230"/>
      <c r="FV85" s="230"/>
      <c r="FW85" s="230"/>
    </row>
    <row r="86" spans="3:180" s="182" customFormat="1" ht="15" thickBot="1" x14ac:dyDescent="0.4">
      <c r="C86" s="164" t="s">
        <v>368</v>
      </c>
      <c r="D86" s="164"/>
      <c r="E86" s="164"/>
      <c r="F86" s="1039"/>
      <c r="G86" s="575"/>
      <c r="H86" s="575"/>
      <c r="I86" s="1259"/>
      <c r="J86" s="1205"/>
      <c r="K86" s="575"/>
      <c r="L86" s="575"/>
      <c r="M86" s="575"/>
      <c r="N86" s="575"/>
      <c r="O86" s="2256"/>
      <c r="P86" s="1205"/>
      <c r="Q86" s="575"/>
      <c r="R86" s="1259"/>
      <c r="S86" s="1205"/>
      <c r="T86" s="575"/>
      <c r="U86" s="575"/>
      <c r="V86" s="378"/>
      <c r="W86" s="378"/>
      <c r="X86" s="1457"/>
      <c r="Y86" s="1440"/>
      <c r="Z86" s="378"/>
      <c r="AA86" s="378"/>
      <c r="AB86" s="378"/>
      <c r="AC86" s="378"/>
      <c r="AD86" s="378"/>
      <c r="AE86" s="378"/>
      <c r="AF86" s="378"/>
      <c r="AG86" s="378"/>
      <c r="AH86" s="379"/>
      <c r="AI86" s="378"/>
      <c r="AJ86" s="378"/>
      <c r="AK86" s="378"/>
      <c r="AL86" s="1457"/>
      <c r="AM86" s="1440"/>
      <c r="AN86" s="378"/>
      <c r="AO86" s="378"/>
      <c r="AP86" s="378"/>
      <c r="AQ86" s="378"/>
      <c r="AR86" s="378"/>
      <c r="AS86" s="378"/>
      <c r="AT86" s="378"/>
      <c r="AU86" s="1457"/>
      <c r="AV86" s="1440"/>
      <c r="AW86" s="378"/>
      <c r="AX86" s="378"/>
      <c r="AY86" s="378"/>
      <c r="AZ86" s="378"/>
      <c r="BA86" s="1457"/>
      <c r="BB86" s="1440"/>
      <c r="BC86" s="378"/>
      <c r="BD86" s="378"/>
      <c r="BE86" s="378"/>
      <c r="BF86" s="378"/>
      <c r="BG86" s="378"/>
      <c r="BH86" s="378"/>
      <c r="BI86" s="378"/>
      <c r="BJ86" s="378"/>
      <c r="BK86" s="379"/>
      <c r="BL86" s="378"/>
      <c r="BM86" s="378"/>
      <c r="BN86" s="378"/>
      <c r="BO86" s="1457"/>
      <c r="BP86" s="1440"/>
      <c r="BQ86" s="378"/>
      <c r="BR86" s="378"/>
      <c r="BS86" s="378"/>
      <c r="BT86" s="378"/>
      <c r="BU86" s="378"/>
      <c r="BV86" s="378"/>
      <c r="BW86" s="378"/>
      <c r="BX86" s="1457"/>
      <c r="BY86" s="1440"/>
      <c r="BZ86" s="378"/>
      <c r="CA86" s="378"/>
      <c r="CB86" s="378"/>
      <c r="CC86" s="378"/>
      <c r="CD86" s="1457"/>
      <c r="CE86" s="1440"/>
      <c r="CF86" s="378"/>
      <c r="CG86" s="378"/>
      <c r="CH86" s="378"/>
      <c r="CI86" s="378"/>
      <c r="CJ86" s="378"/>
      <c r="CK86" s="378"/>
      <c r="CL86" s="378"/>
      <c r="CM86" s="378"/>
      <c r="CN86" s="379"/>
      <c r="CO86" s="378"/>
      <c r="CP86" s="378"/>
      <c r="CQ86" s="378"/>
      <c r="CR86" s="1457"/>
      <c r="CS86" s="1440"/>
      <c r="CT86" s="378"/>
      <c r="CU86" s="378"/>
      <c r="CV86" s="378"/>
      <c r="CW86" s="378"/>
      <c r="CX86" s="378"/>
      <c r="CY86" s="378"/>
      <c r="CZ86" s="378"/>
      <c r="DA86" s="1457"/>
      <c r="DB86" s="1440"/>
      <c r="DC86" s="378"/>
      <c r="DD86" s="378"/>
      <c r="DE86" s="378"/>
      <c r="DF86" s="378"/>
      <c r="DG86" s="1457"/>
      <c r="DH86" s="1440"/>
      <c r="DI86" s="378"/>
      <c r="DJ86" s="378"/>
      <c r="DK86" s="378"/>
      <c r="DL86" s="378"/>
      <c r="DM86" s="378"/>
      <c r="DN86" s="378"/>
      <c r="DO86" s="378"/>
      <c r="DP86" s="378"/>
      <c r="DQ86" s="379"/>
      <c r="DR86" s="380"/>
      <c r="DS86" s="378"/>
      <c r="DT86" s="378"/>
      <c r="DU86" s="378"/>
      <c r="DV86" s="1457"/>
      <c r="DW86" s="1440"/>
      <c r="DX86" s="378"/>
      <c r="DY86" s="378"/>
      <c r="DZ86" s="378"/>
      <c r="EA86" s="378"/>
      <c r="EB86" s="378"/>
      <c r="EC86" s="378"/>
      <c r="ED86" s="378"/>
      <c r="EE86" s="1457"/>
      <c r="EF86" s="1440"/>
      <c r="EG86" s="378"/>
      <c r="EH86" s="378"/>
      <c r="EI86" s="378"/>
      <c r="EJ86" s="378"/>
      <c r="EK86" s="1457"/>
      <c r="EL86" s="1440"/>
      <c r="EM86" s="378"/>
      <c r="EN86" s="378"/>
      <c r="EO86" s="378"/>
      <c r="EP86" s="378"/>
      <c r="EQ86" s="378"/>
      <c r="ER86" s="378"/>
      <c r="ES86" s="378"/>
      <c r="ET86" s="378"/>
      <c r="EU86" s="379"/>
      <c r="EV86" s="378"/>
      <c r="EW86" s="378"/>
      <c r="EX86" s="378"/>
      <c r="EY86" s="1457"/>
      <c r="EZ86" s="1440"/>
      <c r="FA86" s="378"/>
      <c r="FB86" s="378"/>
      <c r="FC86" s="378"/>
      <c r="FD86" s="378"/>
      <c r="FE86" s="378"/>
      <c r="FF86" s="378"/>
      <c r="FG86" s="378"/>
      <c r="FH86" s="1457"/>
      <c r="FI86" s="1440"/>
      <c r="FJ86" s="378"/>
      <c r="FK86" s="378"/>
      <c r="FL86" s="378"/>
      <c r="FM86" s="378"/>
      <c r="FN86" s="1457"/>
      <c r="FO86" s="1440"/>
      <c r="FP86" s="378"/>
      <c r="FQ86" s="378"/>
      <c r="FR86" s="378"/>
      <c r="FS86" s="378"/>
      <c r="FT86" s="378"/>
      <c r="FU86" s="378"/>
      <c r="FV86" s="378"/>
      <c r="FW86" s="378"/>
    </row>
    <row r="87" spans="3:180" s="388" customFormat="1" ht="15.5" thickTop="1" thickBot="1" x14ac:dyDescent="0.4">
      <c r="C87" s="383"/>
      <c r="D87" s="383"/>
      <c r="E87" s="383"/>
      <c r="F87" s="1040"/>
      <c r="G87" s="384"/>
      <c r="H87" s="384"/>
      <c r="I87" s="1260"/>
      <c r="J87" s="1206"/>
      <c r="K87" s="384"/>
      <c r="L87" s="384"/>
      <c r="M87" s="384"/>
      <c r="N87" s="384"/>
      <c r="O87" s="1260"/>
      <c r="P87" s="1206"/>
      <c r="Q87" s="384"/>
      <c r="R87" s="1260"/>
      <c r="S87" s="1206"/>
      <c r="T87" s="384"/>
      <c r="U87" s="384"/>
      <c r="V87" s="385"/>
      <c r="W87" s="385"/>
      <c r="X87" s="1458"/>
      <c r="Y87" s="1441"/>
      <c r="Z87" s="385"/>
      <c r="AA87" s="385"/>
      <c r="AB87" s="385"/>
      <c r="AC87" s="385"/>
      <c r="AD87" s="385"/>
      <c r="AE87" s="385"/>
      <c r="AF87" s="385"/>
      <c r="AG87" s="385"/>
      <c r="AH87" s="386"/>
      <c r="AI87" s="385"/>
      <c r="AJ87" s="385"/>
      <c r="AK87" s="385"/>
      <c r="AL87" s="1458"/>
      <c r="AM87" s="1441"/>
      <c r="AN87" s="385"/>
      <c r="AO87" s="385"/>
      <c r="AP87" s="385"/>
      <c r="AQ87" s="385"/>
      <c r="AR87" s="385"/>
      <c r="AS87" s="385"/>
      <c r="AT87" s="385"/>
      <c r="AU87" s="1458"/>
      <c r="AV87" s="1441"/>
      <c r="AW87" s="385"/>
      <c r="AX87" s="385"/>
      <c r="AY87" s="385"/>
      <c r="AZ87" s="385"/>
      <c r="BA87" s="1458"/>
      <c r="BB87" s="1441"/>
      <c r="BC87" s="385"/>
      <c r="BD87" s="385"/>
      <c r="BE87" s="385"/>
      <c r="BF87" s="385"/>
      <c r="BG87" s="385"/>
      <c r="BH87" s="385"/>
      <c r="BI87" s="385"/>
      <c r="BJ87" s="385"/>
      <c r="BK87" s="386"/>
      <c r="BL87" s="385"/>
      <c r="BM87" s="385"/>
      <c r="BN87" s="385"/>
      <c r="BO87" s="1458"/>
      <c r="BP87" s="1441"/>
      <c r="BQ87" s="385"/>
      <c r="BR87" s="385"/>
      <c r="BS87" s="385"/>
      <c r="BT87" s="385"/>
      <c r="BU87" s="385"/>
      <c r="BV87" s="385"/>
      <c r="BW87" s="385"/>
      <c r="BX87" s="1458"/>
      <c r="BY87" s="1441"/>
      <c r="BZ87" s="385"/>
      <c r="CA87" s="385"/>
      <c r="CB87" s="385"/>
      <c r="CC87" s="385"/>
      <c r="CD87" s="1458"/>
      <c r="CE87" s="1441"/>
      <c r="CF87" s="385"/>
      <c r="CG87" s="385"/>
      <c r="CH87" s="385"/>
      <c r="CI87" s="385"/>
      <c r="CJ87" s="385"/>
      <c r="CK87" s="385"/>
      <c r="CL87" s="385"/>
      <c r="CM87" s="385"/>
      <c r="CN87" s="386"/>
      <c r="CO87" s="385"/>
      <c r="CP87" s="385"/>
      <c r="CQ87" s="385"/>
      <c r="CR87" s="1458"/>
      <c r="CS87" s="1441"/>
      <c r="CT87" s="385"/>
      <c r="CU87" s="385"/>
      <c r="CV87" s="385"/>
      <c r="CW87" s="385"/>
      <c r="CX87" s="385"/>
      <c r="CY87" s="385"/>
      <c r="CZ87" s="385"/>
      <c r="DA87" s="1458"/>
      <c r="DB87" s="1441"/>
      <c r="DC87" s="385"/>
      <c r="DD87" s="385"/>
      <c r="DE87" s="385"/>
      <c r="DF87" s="385"/>
      <c r="DG87" s="1458"/>
      <c r="DH87" s="1441"/>
      <c r="DI87" s="385"/>
      <c r="DJ87" s="385"/>
      <c r="DK87" s="385"/>
      <c r="DL87" s="385"/>
      <c r="DM87" s="385"/>
      <c r="DN87" s="385"/>
      <c r="DO87" s="385"/>
      <c r="DP87" s="385"/>
      <c r="DQ87" s="386"/>
      <c r="DR87" s="387"/>
      <c r="DS87" s="385"/>
      <c r="DT87" s="385"/>
      <c r="DU87" s="385"/>
      <c r="DV87" s="1458"/>
      <c r="DW87" s="1441"/>
      <c r="DX87" s="385"/>
      <c r="DY87" s="385"/>
      <c r="DZ87" s="385"/>
      <c r="EA87" s="385"/>
      <c r="EB87" s="385"/>
      <c r="EC87" s="385"/>
      <c r="ED87" s="385"/>
      <c r="EE87" s="1458"/>
      <c r="EF87" s="1441"/>
      <c r="EG87" s="385"/>
      <c r="EH87" s="385"/>
      <c r="EI87" s="385"/>
      <c r="EJ87" s="385"/>
      <c r="EK87" s="1458"/>
      <c r="EL87" s="1441"/>
      <c r="EM87" s="385"/>
      <c r="EN87" s="385"/>
      <c r="EO87" s="385"/>
      <c r="EP87" s="385"/>
      <c r="EQ87" s="385"/>
      <c r="ER87" s="385"/>
      <c r="ES87" s="385"/>
      <c r="ET87" s="385"/>
      <c r="EU87" s="386"/>
      <c r="EV87" s="385"/>
      <c r="EW87" s="385"/>
      <c r="EX87" s="385"/>
      <c r="EY87" s="1458"/>
      <c r="EZ87" s="1441"/>
      <c r="FA87" s="385"/>
      <c r="FB87" s="385"/>
      <c r="FC87" s="385"/>
      <c r="FD87" s="385"/>
      <c r="FE87" s="385"/>
      <c r="FF87" s="385"/>
      <c r="FG87" s="385"/>
      <c r="FH87" s="1458"/>
      <c r="FI87" s="1441"/>
      <c r="FJ87" s="385"/>
      <c r="FK87" s="385"/>
      <c r="FL87" s="385"/>
      <c r="FM87" s="385"/>
      <c r="FN87" s="1458"/>
      <c r="FO87" s="1441"/>
      <c r="FP87" s="385"/>
      <c r="FQ87" s="385"/>
      <c r="FR87" s="385"/>
      <c r="FS87" s="385"/>
      <c r="FT87" s="385"/>
      <c r="FU87" s="385"/>
      <c r="FV87" s="385"/>
      <c r="FW87" s="385"/>
    </row>
    <row r="88" spans="3:180" ht="15" thickTop="1" x14ac:dyDescent="0.35">
      <c r="C88" s="1" t="s">
        <v>126</v>
      </c>
      <c r="F88" s="1033">
        <f t="shared" ref="F88:AG88" si="18">F8*F$73/100</f>
        <v>0</v>
      </c>
      <c r="G88" s="309">
        <f t="shared" si="18"/>
        <v>0</v>
      </c>
      <c r="H88" s="309">
        <f t="shared" si="18"/>
        <v>0</v>
      </c>
      <c r="I88" s="422">
        <f t="shared" si="18"/>
        <v>0</v>
      </c>
      <c r="J88" s="421">
        <f t="shared" si="18"/>
        <v>0</v>
      </c>
      <c r="K88" s="309">
        <f t="shared" si="18"/>
        <v>0</v>
      </c>
      <c r="L88" s="309">
        <f t="shared" si="18"/>
        <v>0</v>
      </c>
      <c r="M88" s="309">
        <f t="shared" si="18"/>
        <v>0</v>
      </c>
      <c r="N88" s="309">
        <f t="shared" si="18"/>
        <v>0</v>
      </c>
      <c r="O88" s="422">
        <f t="shared" si="18"/>
        <v>0</v>
      </c>
      <c r="P88" s="421">
        <f t="shared" si="18"/>
        <v>0</v>
      </c>
      <c r="Q88" s="309">
        <f t="shared" si="18"/>
        <v>0</v>
      </c>
      <c r="R88" s="422">
        <f t="shared" si="18"/>
        <v>0</v>
      </c>
      <c r="S88" s="421">
        <f t="shared" si="18"/>
        <v>0</v>
      </c>
      <c r="T88" s="309">
        <f t="shared" si="18"/>
        <v>0</v>
      </c>
      <c r="U88" s="309">
        <f t="shared" si="18"/>
        <v>0</v>
      </c>
      <c r="V88" s="309">
        <f t="shared" si="18"/>
        <v>0</v>
      </c>
      <c r="W88" s="309">
        <f t="shared" si="18"/>
        <v>0</v>
      </c>
      <c r="X88" s="422">
        <f t="shared" si="18"/>
        <v>0</v>
      </c>
      <c r="Y88" s="421">
        <f t="shared" si="18"/>
        <v>0</v>
      </c>
      <c r="Z88" s="309">
        <f t="shared" si="18"/>
        <v>0</v>
      </c>
      <c r="AA88" s="309">
        <f t="shared" si="18"/>
        <v>0</v>
      </c>
      <c r="AB88" s="309">
        <f t="shared" si="18"/>
        <v>0</v>
      </c>
      <c r="AC88" s="309">
        <f t="shared" si="18"/>
        <v>0</v>
      </c>
      <c r="AD88" s="309">
        <f t="shared" si="18"/>
        <v>0</v>
      </c>
      <c r="AE88" s="309">
        <f t="shared" si="18"/>
        <v>0</v>
      </c>
      <c r="AF88" s="309">
        <f t="shared" si="18"/>
        <v>0</v>
      </c>
      <c r="AG88" s="309">
        <f t="shared" si="18"/>
        <v>0</v>
      </c>
      <c r="AH88" s="381"/>
      <c r="AI88" s="309">
        <f t="shared" ref="AI88:BJ88" si="19">AI8*AI$73/100</f>
        <v>0</v>
      </c>
      <c r="AJ88" s="309">
        <f t="shared" si="19"/>
        <v>3.1666666666666666E-3</v>
      </c>
      <c r="AK88" s="309">
        <f t="shared" si="19"/>
        <v>0</v>
      </c>
      <c r="AL88" s="422">
        <f t="shared" si="19"/>
        <v>0</v>
      </c>
      <c r="AM88" s="421">
        <f t="shared" si="19"/>
        <v>0</v>
      </c>
      <c r="AN88" s="309">
        <f t="shared" si="19"/>
        <v>0</v>
      </c>
      <c r="AO88" s="309">
        <f t="shared" si="19"/>
        <v>0</v>
      </c>
      <c r="AP88" s="309">
        <f t="shared" si="19"/>
        <v>0</v>
      </c>
      <c r="AQ88" s="309">
        <f t="shared" si="19"/>
        <v>0</v>
      </c>
      <c r="AR88" s="309">
        <f t="shared" si="19"/>
        <v>0</v>
      </c>
      <c r="AS88" s="309">
        <f t="shared" si="19"/>
        <v>0</v>
      </c>
      <c r="AT88" s="309">
        <f t="shared" si="19"/>
        <v>0</v>
      </c>
      <c r="AU88" s="422">
        <f t="shared" si="19"/>
        <v>0</v>
      </c>
      <c r="AV88" s="421">
        <f t="shared" si="19"/>
        <v>0</v>
      </c>
      <c r="AW88" s="309">
        <f t="shared" si="19"/>
        <v>0</v>
      </c>
      <c r="AX88" s="309">
        <f t="shared" si="19"/>
        <v>0</v>
      </c>
      <c r="AY88" s="309">
        <f t="shared" si="19"/>
        <v>0</v>
      </c>
      <c r="AZ88" s="309">
        <f t="shared" si="19"/>
        <v>0</v>
      </c>
      <c r="BA88" s="422">
        <f t="shared" si="19"/>
        <v>0</v>
      </c>
      <c r="BB88" s="421">
        <f t="shared" si="19"/>
        <v>0</v>
      </c>
      <c r="BC88" s="309">
        <f t="shared" si="19"/>
        <v>0</v>
      </c>
      <c r="BD88" s="309">
        <f t="shared" si="19"/>
        <v>0</v>
      </c>
      <c r="BE88" s="309">
        <f t="shared" si="19"/>
        <v>0</v>
      </c>
      <c r="BF88" s="309">
        <f t="shared" si="19"/>
        <v>0</v>
      </c>
      <c r="BG88" s="309">
        <f t="shared" si="19"/>
        <v>0</v>
      </c>
      <c r="BH88" s="309">
        <f t="shared" si="19"/>
        <v>0</v>
      </c>
      <c r="BI88" s="309">
        <f t="shared" si="19"/>
        <v>0</v>
      </c>
      <c r="BJ88" s="309">
        <f t="shared" si="19"/>
        <v>0</v>
      </c>
      <c r="BK88" s="381"/>
      <c r="BL88" s="309">
        <f t="shared" ref="BL88:CM88" si="20">BL8*BL$73/100</f>
        <v>0.35461446808510627</v>
      </c>
      <c r="BM88" s="309">
        <f t="shared" si="20"/>
        <v>0.40575833333333344</v>
      </c>
      <c r="BN88" s="309">
        <f t="shared" si="20"/>
        <v>0.21615027777777779</v>
      </c>
      <c r="BO88" s="422">
        <f t="shared" si="20"/>
        <v>0.14798500000000001</v>
      </c>
      <c r="BP88" s="421">
        <f t="shared" si="20"/>
        <v>4.9866666666666663E-2</v>
      </c>
      <c r="BQ88" s="309">
        <f t="shared" si="20"/>
        <v>6.2968888888888894E-2</v>
      </c>
      <c r="BR88" s="309">
        <f t="shared" si="20"/>
        <v>7.0779661016949158E-2</v>
      </c>
      <c r="BS88" s="309">
        <f t="shared" si="20"/>
        <v>4.4640000000000006E-2</v>
      </c>
      <c r="BT88" s="309">
        <f t="shared" si="20"/>
        <v>3.1510313901345288E-2</v>
      </c>
      <c r="BU88" s="309">
        <f t="shared" si="20"/>
        <v>4.5802500000000003E-2</v>
      </c>
      <c r="BV88" s="309">
        <f t="shared" si="20"/>
        <v>7.7046666666666652E-2</v>
      </c>
      <c r="BW88" s="309">
        <f t="shared" si="20"/>
        <v>4.335E-2</v>
      </c>
      <c r="BX88" s="422">
        <f t="shared" si="20"/>
        <v>0.11407500000000001</v>
      </c>
      <c r="BY88" s="421">
        <f t="shared" si="20"/>
        <v>0</v>
      </c>
      <c r="BZ88" s="309">
        <f t="shared" si="20"/>
        <v>0</v>
      </c>
      <c r="CA88" s="309">
        <f t="shared" si="20"/>
        <v>0</v>
      </c>
      <c r="CB88" s="309">
        <f t="shared" si="20"/>
        <v>0</v>
      </c>
      <c r="CC88" s="309">
        <f t="shared" si="20"/>
        <v>0</v>
      </c>
      <c r="CD88" s="422">
        <f t="shared" si="20"/>
        <v>0</v>
      </c>
      <c r="CE88" s="421">
        <f t="shared" si="20"/>
        <v>0</v>
      </c>
      <c r="CF88" s="309">
        <f t="shared" si="20"/>
        <v>0</v>
      </c>
      <c r="CG88" s="309">
        <f t="shared" si="20"/>
        <v>0</v>
      </c>
      <c r="CH88" s="309">
        <f t="shared" si="20"/>
        <v>0</v>
      </c>
      <c r="CI88" s="309">
        <f t="shared" si="20"/>
        <v>0</v>
      </c>
      <c r="CJ88" s="309">
        <f t="shared" si="20"/>
        <v>0</v>
      </c>
      <c r="CK88" s="309">
        <f t="shared" si="20"/>
        <v>0</v>
      </c>
      <c r="CL88" s="309">
        <f t="shared" si="20"/>
        <v>0</v>
      </c>
      <c r="CM88" s="309">
        <f t="shared" si="20"/>
        <v>0</v>
      </c>
      <c r="CN88" s="357"/>
      <c r="CO88" s="309">
        <f t="shared" ref="CO88:DP88" si="21">CO$73*CO8/100</f>
        <v>0</v>
      </c>
      <c r="CP88" s="309">
        <f t="shared" si="21"/>
        <v>0.16899999999999998</v>
      </c>
      <c r="CQ88" s="309">
        <f t="shared" si="21"/>
        <v>0.34399999999999997</v>
      </c>
      <c r="CR88" s="422">
        <f t="shared" si="21"/>
        <v>0.46466666666666667</v>
      </c>
      <c r="CS88" s="421">
        <f t="shared" si="21"/>
        <v>0.245</v>
      </c>
      <c r="CT88" s="309">
        <f t="shared" si="21"/>
        <v>0.78049999999999997</v>
      </c>
      <c r="CU88" s="309">
        <f t="shared" si="21"/>
        <v>0.24070588235294121</v>
      </c>
      <c r="CV88" s="309">
        <f t="shared" si="21"/>
        <v>0.35749999999999998</v>
      </c>
      <c r="CW88" s="309">
        <f t="shared" si="21"/>
        <v>0.18620689655172418</v>
      </c>
      <c r="CX88" s="309">
        <f t="shared" si="21"/>
        <v>0.38150000000000006</v>
      </c>
      <c r="CY88" s="309">
        <f t="shared" si="21"/>
        <v>0.14499999999999999</v>
      </c>
      <c r="CZ88" s="309">
        <f t="shared" si="21"/>
        <v>0.3135</v>
      </c>
      <c r="DA88" s="422">
        <f t="shared" si="21"/>
        <v>0.24</v>
      </c>
      <c r="DB88" s="421">
        <f t="shared" si="21"/>
        <v>0</v>
      </c>
      <c r="DC88" s="309">
        <f t="shared" si="21"/>
        <v>0</v>
      </c>
      <c r="DD88" s="309">
        <f t="shared" si="21"/>
        <v>0</v>
      </c>
      <c r="DE88" s="309">
        <f t="shared" si="21"/>
        <v>0</v>
      </c>
      <c r="DF88" s="309">
        <f t="shared" si="21"/>
        <v>0</v>
      </c>
      <c r="DG88" s="422">
        <f t="shared" si="21"/>
        <v>0</v>
      </c>
      <c r="DH88" s="421">
        <f t="shared" si="21"/>
        <v>0</v>
      </c>
      <c r="DI88" s="309">
        <f t="shared" si="21"/>
        <v>0</v>
      </c>
      <c r="DJ88" s="309">
        <f t="shared" si="21"/>
        <v>0</v>
      </c>
      <c r="DK88" s="309">
        <f t="shared" si="21"/>
        <v>0</v>
      </c>
      <c r="DL88" s="309">
        <f t="shared" si="21"/>
        <v>0</v>
      </c>
      <c r="DM88" s="309">
        <f t="shared" si="21"/>
        <v>0</v>
      </c>
      <c r="DN88" s="309">
        <f t="shared" si="21"/>
        <v>0</v>
      </c>
      <c r="DO88" s="309">
        <f t="shared" si="21"/>
        <v>0</v>
      </c>
      <c r="DP88" s="309">
        <f t="shared" si="21"/>
        <v>0</v>
      </c>
      <c r="DQ88" s="381"/>
      <c r="DR88" s="382"/>
      <c r="DS88" s="229"/>
      <c r="DT88" s="229"/>
      <c r="DU88" s="229"/>
      <c r="DV88" s="1245"/>
      <c r="DW88" s="538"/>
      <c r="DX88" s="229"/>
      <c r="DY88" s="229"/>
      <c r="DZ88" s="229"/>
      <c r="EA88" s="229"/>
      <c r="EB88" s="229"/>
      <c r="EC88" s="229"/>
      <c r="ED88" s="229"/>
      <c r="EE88" s="1245"/>
      <c r="EF88" s="538"/>
      <c r="EG88" s="229"/>
      <c r="EH88" s="229"/>
      <c r="EI88" s="229"/>
      <c r="EJ88" s="229"/>
      <c r="EK88" s="1245"/>
      <c r="EL88" s="538"/>
      <c r="EM88" s="229"/>
      <c r="EN88" s="229"/>
      <c r="EO88" s="229"/>
      <c r="EP88" s="229"/>
      <c r="EQ88" s="229"/>
      <c r="ER88" s="229"/>
      <c r="ES88" s="229"/>
      <c r="ET88" s="229"/>
      <c r="EU88" s="356"/>
      <c r="EV88" s="229"/>
      <c r="EW88" s="229"/>
      <c r="EX88" s="229"/>
      <c r="EY88" s="1245"/>
      <c r="EZ88" s="538"/>
      <c r="FA88" s="229"/>
      <c r="FB88" s="229"/>
      <c r="FC88" s="229"/>
      <c r="FD88" s="229"/>
      <c r="FE88" s="229"/>
      <c r="FF88" s="229"/>
      <c r="FG88" s="229"/>
      <c r="FH88" s="1245"/>
      <c r="FI88" s="538"/>
      <c r="FJ88" s="229"/>
      <c r="FK88" s="229"/>
      <c r="FL88" s="229"/>
      <c r="FM88" s="229"/>
      <c r="FN88" s="1245"/>
      <c r="FO88" s="538"/>
      <c r="FP88" s="229"/>
      <c r="FQ88" s="229"/>
      <c r="FR88" s="229"/>
      <c r="FS88" s="229"/>
      <c r="FT88" s="229"/>
      <c r="FU88" s="229"/>
      <c r="FV88" s="229"/>
      <c r="FW88" s="229"/>
      <c r="FX88" s="1" t="s">
        <v>191</v>
      </c>
    </row>
    <row r="89" spans="3:180" x14ac:dyDescent="0.35">
      <c r="C89" s="1" t="s">
        <v>125</v>
      </c>
      <c r="F89" s="501">
        <f t="shared" ref="F89:AG89" si="22">F9*F$73/100</f>
        <v>0</v>
      </c>
      <c r="G89" s="249">
        <f t="shared" si="22"/>
        <v>0</v>
      </c>
      <c r="H89" s="249">
        <f t="shared" si="22"/>
        <v>0</v>
      </c>
      <c r="I89" s="1242">
        <f t="shared" si="22"/>
        <v>0</v>
      </c>
      <c r="J89" s="419">
        <f t="shared" si="22"/>
        <v>0</v>
      </c>
      <c r="K89" s="249">
        <f t="shared" si="22"/>
        <v>0</v>
      </c>
      <c r="L89" s="249">
        <f t="shared" si="22"/>
        <v>0</v>
      </c>
      <c r="M89" s="249">
        <f t="shared" si="22"/>
        <v>0</v>
      </c>
      <c r="N89" s="249">
        <f t="shared" si="22"/>
        <v>0</v>
      </c>
      <c r="O89" s="1242">
        <f t="shared" si="22"/>
        <v>0</v>
      </c>
      <c r="P89" s="419">
        <f t="shared" si="22"/>
        <v>0</v>
      </c>
      <c r="Q89" s="249">
        <f t="shared" si="22"/>
        <v>0</v>
      </c>
      <c r="R89" s="1242">
        <f t="shared" si="22"/>
        <v>0</v>
      </c>
      <c r="S89" s="419">
        <f t="shared" si="22"/>
        <v>0</v>
      </c>
      <c r="T89" s="249">
        <f t="shared" si="22"/>
        <v>0</v>
      </c>
      <c r="U89" s="249">
        <f t="shared" si="22"/>
        <v>0</v>
      </c>
      <c r="V89" s="249">
        <f t="shared" si="22"/>
        <v>0</v>
      </c>
      <c r="W89" s="249">
        <f t="shared" si="22"/>
        <v>0</v>
      </c>
      <c r="X89" s="1242">
        <f t="shared" si="22"/>
        <v>0</v>
      </c>
      <c r="Y89" s="419">
        <f t="shared" si="22"/>
        <v>0</v>
      </c>
      <c r="Z89" s="249">
        <f t="shared" si="22"/>
        <v>0</v>
      </c>
      <c r="AA89" s="249">
        <f t="shared" si="22"/>
        <v>0</v>
      </c>
      <c r="AB89" s="249">
        <f t="shared" si="22"/>
        <v>0</v>
      </c>
      <c r="AC89" s="249">
        <f t="shared" si="22"/>
        <v>0</v>
      </c>
      <c r="AD89" s="249">
        <f t="shared" si="22"/>
        <v>0</v>
      </c>
      <c r="AE89" s="249">
        <f t="shared" si="22"/>
        <v>0</v>
      </c>
      <c r="AF89" s="249">
        <f t="shared" si="22"/>
        <v>0</v>
      </c>
      <c r="AG89" s="249">
        <f t="shared" si="22"/>
        <v>0</v>
      </c>
      <c r="AH89" s="335"/>
      <c r="AI89" s="249">
        <f t="shared" ref="AI89:BJ89" si="23">AI9*AI$73/100</f>
        <v>0</v>
      </c>
      <c r="AJ89" s="249">
        <f t="shared" si="23"/>
        <v>0.19615916666666663</v>
      </c>
      <c r="AK89" s="249">
        <f t="shared" si="23"/>
        <v>0</v>
      </c>
      <c r="AL89" s="1242">
        <f t="shared" si="23"/>
        <v>0</v>
      </c>
      <c r="AM89" s="419">
        <f t="shared" si="23"/>
        <v>0</v>
      </c>
      <c r="AN89" s="249">
        <f t="shared" si="23"/>
        <v>0</v>
      </c>
      <c r="AO89" s="249">
        <f t="shared" si="23"/>
        <v>0</v>
      </c>
      <c r="AP89" s="249">
        <f t="shared" si="23"/>
        <v>0</v>
      </c>
      <c r="AQ89" s="249">
        <f t="shared" si="23"/>
        <v>0</v>
      </c>
      <c r="AR89" s="249">
        <f t="shared" si="23"/>
        <v>0</v>
      </c>
      <c r="AS89" s="249">
        <f t="shared" si="23"/>
        <v>0</v>
      </c>
      <c r="AT89" s="249">
        <f t="shared" si="23"/>
        <v>0</v>
      </c>
      <c r="AU89" s="1242">
        <f t="shared" si="23"/>
        <v>0</v>
      </c>
      <c r="AV89" s="419">
        <f t="shared" si="23"/>
        <v>0</v>
      </c>
      <c r="AW89" s="249">
        <f t="shared" si="23"/>
        <v>0</v>
      </c>
      <c r="AX89" s="249">
        <f t="shared" si="23"/>
        <v>0</v>
      </c>
      <c r="AY89" s="249">
        <f t="shared" si="23"/>
        <v>0</v>
      </c>
      <c r="AZ89" s="249">
        <f t="shared" si="23"/>
        <v>0</v>
      </c>
      <c r="BA89" s="1242">
        <f t="shared" si="23"/>
        <v>0</v>
      </c>
      <c r="BB89" s="419">
        <f t="shared" si="23"/>
        <v>0</v>
      </c>
      <c r="BC89" s="249">
        <f t="shared" si="23"/>
        <v>0</v>
      </c>
      <c r="BD89" s="249">
        <f t="shared" si="23"/>
        <v>0</v>
      </c>
      <c r="BE89" s="249">
        <f t="shared" si="23"/>
        <v>0</v>
      </c>
      <c r="BF89" s="249">
        <f t="shared" si="23"/>
        <v>0</v>
      </c>
      <c r="BG89" s="249">
        <f t="shared" si="23"/>
        <v>0</v>
      </c>
      <c r="BH89" s="249">
        <f t="shared" si="23"/>
        <v>0</v>
      </c>
      <c r="BI89" s="249">
        <f t="shared" si="23"/>
        <v>0</v>
      </c>
      <c r="BJ89" s="249">
        <f t="shared" si="23"/>
        <v>0</v>
      </c>
      <c r="BK89" s="335"/>
      <c r="BL89" s="249">
        <f t="shared" ref="BL89:CM89" si="24">BL9*BL$73/100</f>
        <v>1.5529668085106383</v>
      </c>
      <c r="BM89" s="249">
        <f t="shared" si="24"/>
        <v>1.3617916666666667</v>
      </c>
      <c r="BN89" s="249">
        <f t="shared" si="24"/>
        <v>1.355585</v>
      </c>
      <c r="BO89" s="1242">
        <f t="shared" si="24"/>
        <v>1.4392266666666669</v>
      </c>
      <c r="BP89" s="419">
        <f t="shared" si="24"/>
        <v>2.0826666666666664</v>
      </c>
      <c r="BQ89" s="249">
        <f t="shared" si="24"/>
        <v>2.0693866666666669</v>
      </c>
      <c r="BR89" s="249">
        <f t="shared" si="24"/>
        <v>2.1440338983050848</v>
      </c>
      <c r="BS89" s="249">
        <f t="shared" si="24"/>
        <v>2.0318399999999999</v>
      </c>
      <c r="BT89" s="249">
        <f t="shared" si="24"/>
        <v>1.4358677130044841</v>
      </c>
      <c r="BU89" s="249">
        <f t="shared" si="24"/>
        <v>1.7907300000000002</v>
      </c>
      <c r="BV89" s="249">
        <f t="shared" si="24"/>
        <v>1.6476133333333334</v>
      </c>
      <c r="BW89" s="249">
        <f t="shared" si="24"/>
        <v>1.5736049999999999</v>
      </c>
      <c r="BX89" s="1242">
        <f t="shared" si="24"/>
        <v>1.6014374999999998</v>
      </c>
      <c r="BY89" s="419">
        <f t="shared" si="24"/>
        <v>0</v>
      </c>
      <c r="BZ89" s="249">
        <f t="shared" si="24"/>
        <v>0</v>
      </c>
      <c r="CA89" s="249">
        <f t="shared" si="24"/>
        <v>0</v>
      </c>
      <c r="CB89" s="249">
        <f t="shared" si="24"/>
        <v>0</v>
      </c>
      <c r="CC89" s="249">
        <f t="shared" si="24"/>
        <v>0</v>
      </c>
      <c r="CD89" s="1242">
        <f t="shared" si="24"/>
        <v>0</v>
      </c>
      <c r="CE89" s="419">
        <f t="shared" si="24"/>
        <v>0</v>
      </c>
      <c r="CF89" s="249">
        <f t="shared" si="24"/>
        <v>0</v>
      </c>
      <c r="CG89" s="249">
        <f t="shared" si="24"/>
        <v>0</v>
      </c>
      <c r="CH89" s="249">
        <f t="shared" si="24"/>
        <v>0</v>
      </c>
      <c r="CI89" s="249">
        <f t="shared" si="24"/>
        <v>0</v>
      </c>
      <c r="CJ89" s="249">
        <f t="shared" si="24"/>
        <v>0</v>
      </c>
      <c r="CK89" s="249">
        <f t="shared" si="24"/>
        <v>0</v>
      </c>
      <c r="CL89" s="249">
        <f t="shared" si="24"/>
        <v>0</v>
      </c>
      <c r="CM89" s="249">
        <f t="shared" si="24"/>
        <v>0</v>
      </c>
      <c r="CN89" s="325"/>
      <c r="CO89" s="249">
        <f t="shared" ref="CO89:DP89" si="25">CO$73*CO9/100</f>
        <v>0</v>
      </c>
      <c r="CP89" s="249">
        <f t="shared" si="25"/>
        <v>2.7039999999999997</v>
      </c>
      <c r="CQ89" s="249">
        <f t="shared" si="25"/>
        <v>1.496</v>
      </c>
      <c r="CR89" s="1242">
        <f t="shared" si="25"/>
        <v>2.2780000000000005</v>
      </c>
      <c r="CS89" s="419">
        <f t="shared" si="25"/>
        <v>2.7766666666666664</v>
      </c>
      <c r="CT89" s="249">
        <f t="shared" si="25"/>
        <v>3.6795</v>
      </c>
      <c r="CU89" s="249">
        <f t="shared" si="25"/>
        <v>3.1729411764705886</v>
      </c>
      <c r="CV89" s="249">
        <f t="shared" si="25"/>
        <v>2.6974999999999998</v>
      </c>
      <c r="CW89" s="249">
        <f t="shared" si="25"/>
        <v>2.5603448275862064</v>
      </c>
      <c r="CX89" s="249">
        <f t="shared" si="25"/>
        <v>2.9793333333333334</v>
      </c>
      <c r="CY89" s="249">
        <f t="shared" si="25"/>
        <v>2.1315</v>
      </c>
      <c r="CZ89" s="249">
        <f t="shared" si="25"/>
        <v>2.7555000000000001</v>
      </c>
      <c r="DA89" s="1242">
        <f t="shared" si="25"/>
        <v>2.4599999999999995</v>
      </c>
      <c r="DB89" s="419">
        <f t="shared" si="25"/>
        <v>0</v>
      </c>
      <c r="DC89" s="249">
        <f t="shared" si="25"/>
        <v>0</v>
      </c>
      <c r="DD89" s="249">
        <f t="shared" si="25"/>
        <v>0</v>
      </c>
      <c r="DE89" s="249">
        <f t="shared" si="25"/>
        <v>0</v>
      </c>
      <c r="DF89" s="249">
        <f t="shared" si="25"/>
        <v>0</v>
      </c>
      <c r="DG89" s="1242">
        <f t="shared" si="25"/>
        <v>0</v>
      </c>
      <c r="DH89" s="419">
        <f t="shared" si="25"/>
        <v>0</v>
      </c>
      <c r="DI89" s="249">
        <f t="shared" si="25"/>
        <v>0</v>
      </c>
      <c r="DJ89" s="249">
        <f t="shared" si="25"/>
        <v>0</v>
      </c>
      <c r="DK89" s="249">
        <f t="shared" si="25"/>
        <v>0</v>
      </c>
      <c r="DL89" s="249">
        <f t="shared" si="25"/>
        <v>0</v>
      </c>
      <c r="DM89" s="249">
        <f t="shared" si="25"/>
        <v>0</v>
      </c>
      <c r="DN89" s="249">
        <f t="shared" si="25"/>
        <v>0</v>
      </c>
      <c r="DO89" s="249">
        <f t="shared" si="25"/>
        <v>0</v>
      </c>
      <c r="DP89" s="249">
        <f t="shared" si="25"/>
        <v>0</v>
      </c>
      <c r="DQ89" s="335"/>
      <c r="DR89" s="336"/>
      <c r="FF89" s="242"/>
      <c r="FG89" s="242"/>
      <c r="FH89" s="1249"/>
      <c r="FX89" s="1" t="s">
        <v>178</v>
      </c>
    </row>
    <row r="90" spans="3:180" x14ac:dyDescent="0.35">
      <c r="C90" s="1" t="s">
        <v>127</v>
      </c>
      <c r="F90" s="501">
        <f t="shared" ref="F90:AG90" si="26">F10*F$73/100</f>
        <v>0</v>
      </c>
      <c r="G90" s="249">
        <f t="shared" si="26"/>
        <v>0</v>
      </c>
      <c r="H90" s="249">
        <f t="shared" si="26"/>
        <v>0</v>
      </c>
      <c r="I90" s="1242">
        <f t="shared" si="26"/>
        <v>0</v>
      </c>
      <c r="J90" s="419">
        <f t="shared" si="26"/>
        <v>0</v>
      </c>
      <c r="K90" s="249">
        <f t="shared" si="26"/>
        <v>0</v>
      </c>
      <c r="L90" s="249">
        <f t="shared" si="26"/>
        <v>0</v>
      </c>
      <c r="M90" s="249">
        <f t="shared" si="26"/>
        <v>0</v>
      </c>
      <c r="N90" s="249">
        <f t="shared" si="26"/>
        <v>0</v>
      </c>
      <c r="O90" s="1242">
        <f t="shared" si="26"/>
        <v>0</v>
      </c>
      <c r="P90" s="419">
        <f t="shared" si="26"/>
        <v>0</v>
      </c>
      <c r="Q90" s="249">
        <f t="shared" si="26"/>
        <v>0</v>
      </c>
      <c r="R90" s="1242">
        <f t="shared" si="26"/>
        <v>0</v>
      </c>
      <c r="S90" s="419">
        <f t="shared" si="26"/>
        <v>0</v>
      </c>
      <c r="T90" s="249">
        <f t="shared" si="26"/>
        <v>0</v>
      </c>
      <c r="U90" s="249">
        <f t="shared" si="26"/>
        <v>0</v>
      </c>
      <c r="V90" s="249">
        <f t="shared" si="26"/>
        <v>0</v>
      </c>
      <c r="W90" s="249">
        <f t="shared" si="26"/>
        <v>0</v>
      </c>
      <c r="X90" s="1242">
        <f t="shared" si="26"/>
        <v>0</v>
      </c>
      <c r="Y90" s="419">
        <f t="shared" si="26"/>
        <v>0</v>
      </c>
      <c r="Z90" s="249">
        <f t="shared" si="26"/>
        <v>0</v>
      </c>
      <c r="AA90" s="249">
        <f t="shared" si="26"/>
        <v>0</v>
      </c>
      <c r="AB90" s="249">
        <f t="shared" si="26"/>
        <v>0</v>
      </c>
      <c r="AC90" s="249">
        <f t="shared" si="26"/>
        <v>0</v>
      </c>
      <c r="AD90" s="249">
        <f t="shared" si="26"/>
        <v>0</v>
      </c>
      <c r="AE90" s="249">
        <f t="shared" si="26"/>
        <v>0</v>
      </c>
      <c r="AF90" s="249">
        <f t="shared" si="26"/>
        <v>0</v>
      </c>
      <c r="AG90" s="249">
        <f t="shared" si="26"/>
        <v>0</v>
      </c>
      <c r="AH90" s="335"/>
      <c r="AI90" s="249">
        <f t="shared" ref="AI90:BJ90" si="27">AI10*AI$73/100</f>
        <v>0</v>
      </c>
      <c r="AJ90" s="249">
        <f t="shared" si="27"/>
        <v>2.5475833333333333E-2</v>
      </c>
      <c r="AK90" s="249">
        <f t="shared" si="27"/>
        <v>0</v>
      </c>
      <c r="AL90" s="1242">
        <f t="shared" si="27"/>
        <v>0</v>
      </c>
      <c r="AM90" s="419">
        <f t="shared" si="27"/>
        <v>0</v>
      </c>
      <c r="AN90" s="249">
        <f t="shared" si="27"/>
        <v>0</v>
      </c>
      <c r="AO90" s="249">
        <f t="shared" si="27"/>
        <v>0</v>
      </c>
      <c r="AP90" s="249">
        <f t="shared" si="27"/>
        <v>0</v>
      </c>
      <c r="AQ90" s="249">
        <f t="shared" si="27"/>
        <v>0</v>
      </c>
      <c r="AR90" s="249">
        <f t="shared" si="27"/>
        <v>0</v>
      </c>
      <c r="AS90" s="249">
        <f t="shared" si="27"/>
        <v>0</v>
      </c>
      <c r="AT90" s="249">
        <f t="shared" si="27"/>
        <v>0</v>
      </c>
      <c r="AU90" s="1242">
        <f t="shared" si="27"/>
        <v>0</v>
      </c>
      <c r="AV90" s="419">
        <f t="shared" si="27"/>
        <v>0</v>
      </c>
      <c r="AW90" s="249">
        <f t="shared" si="27"/>
        <v>0</v>
      </c>
      <c r="AX90" s="249">
        <f t="shared" si="27"/>
        <v>0</v>
      </c>
      <c r="AY90" s="249">
        <f t="shared" si="27"/>
        <v>0</v>
      </c>
      <c r="AZ90" s="249">
        <f t="shared" si="27"/>
        <v>0</v>
      </c>
      <c r="BA90" s="1242">
        <f t="shared" si="27"/>
        <v>0</v>
      </c>
      <c r="BB90" s="419">
        <f t="shared" si="27"/>
        <v>0</v>
      </c>
      <c r="BC90" s="249">
        <f t="shared" si="27"/>
        <v>0</v>
      </c>
      <c r="BD90" s="249">
        <f t="shared" si="27"/>
        <v>0</v>
      </c>
      <c r="BE90" s="249">
        <f t="shared" si="27"/>
        <v>0</v>
      </c>
      <c r="BF90" s="249">
        <f t="shared" si="27"/>
        <v>0</v>
      </c>
      <c r="BG90" s="249">
        <f t="shared" si="27"/>
        <v>0</v>
      </c>
      <c r="BH90" s="249">
        <f t="shared" si="27"/>
        <v>0</v>
      </c>
      <c r="BI90" s="249">
        <f t="shared" si="27"/>
        <v>0</v>
      </c>
      <c r="BJ90" s="249">
        <f t="shared" si="27"/>
        <v>0</v>
      </c>
      <c r="BK90" s="335"/>
      <c r="BL90" s="249">
        <f t="shared" ref="BL90:CM90" si="28">BL10*BL$73/100</f>
        <v>7.3383795744680844</v>
      </c>
      <c r="BM90" s="249">
        <f t="shared" si="28"/>
        <v>6.3976416666666669</v>
      </c>
      <c r="BN90" s="249">
        <f t="shared" si="28"/>
        <v>6.8776866666666674</v>
      </c>
      <c r="BO90" s="1242">
        <f t="shared" si="28"/>
        <v>7.9302550000000007</v>
      </c>
      <c r="BP90" s="419">
        <f t="shared" si="28"/>
        <v>12.199733333333331</v>
      </c>
      <c r="BQ90" s="249">
        <f t="shared" si="28"/>
        <v>12.281795555555556</v>
      </c>
      <c r="BR90" s="249">
        <f t="shared" si="28"/>
        <v>12.286169491525424</v>
      </c>
      <c r="BS90" s="249">
        <f t="shared" si="28"/>
        <v>11.544479999999998</v>
      </c>
      <c r="BT90" s="249">
        <f t="shared" si="28"/>
        <v>10.658363677130044</v>
      </c>
      <c r="BU90" s="249">
        <f t="shared" si="28"/>
        <v>11.2718475</v>
      </c>
      <c r="BV90" s="249">
        <f t="shared" si="28"/>
        <v>11.327341666666666</v>
      </c>
      <c r="BW90" s="249">
        <f t="shared" si="28"/>
        <v>10.890965</v>
      </c>
      <c r="BX90" s="1242">
        <f t="shared" si="28"/>
        <v>11.115</v>
      </c>
      <c r="BY90" s="419">
        <f t="shared" si="28"/>
        <v>0</v>
      </c>
      <c r="BZ90" s="249">
        <f t="shared" si="28"/>
        <v>0</v>
      </c>
      <c r="CA90" s="249">
        <f t="shared" si="28"/>
        <v>0</v>
      </c>
      <c r="CB90" s="249">
        <f t="shared" si="28"/>
        <v>0</v>
      </c>
      <c r="CC90" s="249">
        <f t="shared" si="28"/>
        <v>0</v>
      </c>
      <c r="CD90" s="1242">
        <f t="shared" si="28"/>
        <v>0</v>
      </c>
      <c r="CE90" s="419">
        <f t="shared" si="28"/>
        <v>0</v>
      </c>
      <c r="CF90" s="249">
        <f t="shared" si="28"/>
        <v>0</v>
      </c>
      <c r="CG90" s="249">
        <f t="shared" si="28"/>
        <v>0</v>
      </c>
      <c r="CH90" s="249">
        <f t="shared" si="28"/>
        <v>0</v>
      </c>
      <c r="CI90" s="249">
        <f t="shared" si="28"/>
        <v>0</v>
      </c>
      <c r="CJ90" s="249">
        <f t="shared" si="28"/>
        <v>0</v>
      </c>
      <c r="CK90" s="249">
        <f t="shared" si="28"/>
        <v>0</v>
      </c>
      <c r="CL90" s="249">
        <f t="shared" si="28"/>
        <v>0</v>
      </c>
      <c r="CM90" s="249">
        <f t="shared" si="28"/>
        <v>0</v>
      </c>
      <c r="CN90" s="325"/>
      <c r="CO90" s="249">
        <f t="shared" ref="CO90:DP90" si="29">CO$73*CO10/100</f>
        <v>0</v>
      </c>
      <c r="CP90" s="249">
        <f t="shared" si="29"/>
        <v>4.9995833333333337</v>
      </c>
      <c r="CQ90" s="249">
        <f t="shared" si="29"/>
        <v>2.9279999999999999</v>
      </c>
      <c r="CR90" s="1242">
        <f t="shared" si="29"/>
        <v>4.2953333333333337</v>
      </c>
      <c r="CS90" s="419">
        <f t="shared" si="29"/>
        <v>6.8763333333333332</v>
      </c>
      <c r="CT90" s="249">
        <f t="shared" si="29"/>
        <v>7.6377499999999996</v>
      </c>
      <c r="CU90" s="249">
        <f t="shared" si="29"/>
        <v>9.9127058823529417</v>
      </c>
      <c r="CV90" s="249">
        <f t="shared" si="29"/>
        <v>7.13375</v>
      </c>
      <c r="CW90" s="249">
        <f t="shared" si="29"/>
        <v>6.8642633228840122</v>
      </c>
      <c r="CX90" s="249">
        <f t="shared" si="29"/>
        <v>7.7753333333333332</v>
      </c>
      <c r="CY90" s="249">
        <f t="shared" si="29"/>
        <v>6.5684999999999993</v>
      </c>
      <c r="CZ90" s="249">
        <f t="shared" si="29"/>
        <v>7.309499999999999</v>
      </c>
      <c r="DA90" s="1242">
        <f t="shared" si="29"/>
        <v>6.69</v>
      </c>
      <c r="DB90" s="419">
        <f t="shared" si="29"/>
        <v>0</v>
      </c>
      <c r="DC90" s="249">
        <f t="shared" si="29"/>
        <v>0</v>
      </c>
      <c r="DD90" s="249">
        <f t="shared" si="29"/>
        <v>0</v>
      </c>
      <c r="DE90" s="249">
        <f t="shared" si="29"/>
        <v>0</v>
      </c>
      <c r="DF90" s="249">
        <f t="shared" si="29"/>
        <v>0</v>
      </c>
      <c r="DG90" s="1242">
        <f t="shared" si="29"/>
        <v>0</v>
      </c>
      <c r="DH90" s="419">
        <f t="shared" si="29"/>
        <v>0</v>
      </c>
      <c r="DI90" s="249">
        <f t="shared" si="29"/>
        <v>0</v>
      </c>
      <c r="DJ90" s="249">
        <f t="shared" si="29"/>
        <v>0</v>
      </c>
      <c r="DK90" s="249">
        <f t="shared" si="29"/>
        <v>0</v>
      </c>
      <c r="DL90" s="249">
        <f t="shared" si="29"/>
        <v>0</v>
      </c>
      <c r="DM90" s="249">
        <f t="shared" si="29"/>
        <v>0</v>
      </c>
      <c r="DN90" s="249">
        <f t="shared" si="29"/>
        <v>0</v>
      </c>
      <c r="DO90" s="249">
        <f t="shared" si="29"/>
        <v>0</v>
      </c>
      <c r="DP90" s="249">
        <f t="shared" si="29"/>
        <v>0</v>
      </c>
      <c r="DQ90" s="335"/>
      <c r="DR90" s="336"/>
      <c r="FX90" s="1" t="s">
        <v>179</v>
      </c>
    </row>
    <row r="91" spans="3:180" x14ac:dyDescent="0.35">
      <c r="C91" s="1" t="s">
        <v>128</v>
      </c>
      <c r="F91" s="501">
        <f t="shared" ref="F91:AG91" si="30">F11*F$73/100</f>
        <v>3.6105136170212764</v>
      </c>
      <c r="G91" s="249">
        <f t="shared" si="30"/>
        <v>3.5548416666666665</v>
      </c>
      <c r="H91" s="249">
        <f t="shared" si="30"/>
        <v>3.5919076923076925</v>
      </c>
      <c r="I91" s="1242">
        <f t="shared" si="30"/>
        <v>3.5500048999999994</v>
      </c>
      <c r="J91" s="419">
        <f t="shared" si="30"/>
        <v>1.3111233333333334</v>
      </c>
      <c r="K91" s="249">
        <f t="shared" si="30"/>
        <v>1.2630465217391305</v>
      </c>
      <c r="L91" s="249">
        <f t="shared" si="30"/>
        <v>1.2638743750000001</v>
      </c>
      <c r="M91" s="249">
        <f t="shared" si="30"/>
        <v>1.2418534782608697</v>
      </c>
      <c r="N91" s="249">
        <f t="shared" si="30"/>
        <v>1.2363309523809525</v>
      </c>
      <c r="O91" s="1242">
        <f t="shared" si="30"/>
        <v>1.2798243478260871</v>
      </c>
      <c r="P91" s="419">
        <f t="shared" si="30"/>
        <v>1.2810017391304347</v>
      </c>
      <c r="Q91" s="249">
        <f t="shared" si="30"/>
        <v>1.2642239130434783</v>
      </c>
      <c r="R91" s="1242">
        <f t="shared" si="30"/>
        <v>1.2630465217391305</v>
      </c>
      <c r="S91" s="419">
        <f t="shared" si="30"/>
        <v>0</v>
      </c>
      <c r="T91" s="249">
        <f t="shared" si="30"/>
        <v>0</v>
      </c>
      <c r="U91" s="249">
        <f t="shared" si="30"/>
        <v>0</v>
      </c>
      <c r="V91" s="249">
        <f t="shared" si="30"/>
        <v>0</v>
      </c>
      <c r="W91" s="249">
        <f t="shared" si="30"/>
        <v>0</v>
      </c>
      <c r="X91" s="1242">
        <f t="shared" si="30"/>
        <v>0</v>
      </c>
      <c r="Y91" s="419">
        <f t="shared" si="30"/>
        <v>0</v>
      </c>
      <c r="Z91" s="249">
        <f t="shared" si="30"/>
        <v>0</v>
      </c>
      <c r="AA91" s="249">
        <f t="shared" si="30"/>
        <v>0</v>
      </c>
      <c r="AB91" s="249">
        <f t="shared" si="30"/>
        <v>0</v>
      </c>
      <c r="AC91" s="249">
        <f t="shared" si="30"/>
        <v>0</v>
      </c>
      <c r="AD91" s="249">
        <f t="shared" si="30"/>
        <v>0</v>
      </c>
      <c r="AE91" s="249">
        <f t="shared" si="30"/>
        <v>0</v>
      </c>
      <c r="AF91" s="249">
        <f t="shared" si="30"/>
        <v>0</v>
      </c>
      <c r="AG91" s="249">
        <f t="shared" si="30"/>
        <v>0</v>
      </c>
      <c r="AH91" s="335"/>
      <c r="AI91" s="249">
        <f t="shared" ref="AI91:BJ91" si="31">AI11*AI$73/100</f>
        <v>0</v>
      </c>
      <c r="AJ91" s="249">
        <f t="shared" si="31"/>
        <v>0.363375</v>
      </c>
      <c r="AK91" s="249">
        <f t="shared" si="31"/>
        <v>0</v>
      </c>
      <c r="AL91" s="1242">
        <f t="shared" si="31"/>
        <v>0</v>
      </c>
      <c r="AM91" s="419">
        <f t="shared" si="31"/>
        <v>0</v>
      </c>
      <c r="AN91" s="249">
        <f t="shared" si="31"/>
        <v>0</v>
      </c>
      <c r="AO91" s="249">
        <f t="shared" si="31"/>
        <v>0</v>
      </c>
      <c r="AP91" s="249">
        <f t="shared" si="31"/>
        <v>0</v>
      </c>
      <c r="AQ91" s="249">
        <f t="shared" si="31"/>
        <v>0</v>
      </c>
      <c r="AR91" s="249">
        <f t="shared" si="31"/>
        <v>0</v>
      </c>
      <c r="AS91" s="249">
        <f t="shared" si="31"/>
        <v>0</v>
      </c>
      <c r="AT91" s="249">
        <f t="shared" si="31"/>
        <v>0</v>
      </c>
      <c r="AU91" s="1242">
        <f t="shared" si="31"/>
        <v>0</v>
      </c>
      <c r="AV91" s="419">
        <f t="shared" si="31"/>
        <v>0</v>
      </c>
      <c r="AW91" s="249">
        <f t="shared" si="31"/>
        <v>0</v>
      </c>
      <c r="AX91" s="249">
        <f t="shared" si="31"/>
        <v>0</v>
      </c>
      <c r="AY91" s="249">
        <f t="shared" si="31"/>
        <v>0</v>
      </c>
      <c r="AZ91" s="249">
        <f t="shared" si="31"/>
        <v>0</v>
      </c>
      <c r="BA91" s="1242">
        <f t="shared" si="31"/>
        <v>0</v>
      </c>
      <c r="BB91" s="419">
        <f t="shared" si="31"/>
        <v>0</v>
      </c>
      <c r="BC91" s="249">
        <f t="shared" si="31"/>
        <v>0</v>
      </c>
      <c r="BD91" s="249">
        <f t="shared" si="31"/>
        <v>0</v>
      </c>
      <c r="BE91" s="249">
        <f t="shared" si="31"/>
        <v>0</v>
      </c>
      <c r="BF91" s="249">
        <f t="shared" si="31"/>
        <v>0</v>
      </c>
      <c r="BG91" s="249">
        <f t="shared" si="31"/>
        <v>0</v>
      </c>
      <c r="BH91" s="249">
        <f t="shared" si="31"/>
        <v>0</v>
      </c>
      <c r="BI91" s="249">
        <f t="shared" si="31"/>
        <v>0</v>
      </c>
      <c r="BJ91" s="249">
        <f t="shared" si="31"/>
        <v>0</v>
      </c>
      <c r="BK91" s="335"/>
      <c r="BL91" s="249">
        <f t="shared" ref="BL91:CM91" si="32">BL11*BL$73/100</f>
        <v>22.064051063829783</v>
      </c>
      <c r="BM91" s="249">
        <f t="shared" si="32"/>
        <v>18.680168750000004</v>
      </c>
      <c r="BN91" s="249">
        <f t="shared" si="32"/>
        <v>20.229123055555554</v>
      </c>
      <c r="BO91" s="1242">
        <f t="shared" si="32"/>
        <v>21.591301666666666</v>
      </c>
      <c r="BP91" s="419">
        <f t="shared" si="32"/>
        <v>26.663999999999998</v>
      </c>
      <c r="BQ91" s="249">
        <f t="shared" si="32"/>
        <v>27.390035555555556</v>
      </c>
      <c r="BR91" s="249">
        <f t="shared" si="32"/>
        <v>27.338644067796608</v>
      </c>
      <c r="BS91" s="249">
        <f t="shared" si="32"/>
        <v>25.912800000000001</v>
      </c>
      <c r="BT91" s="249">
        <f t="shared" si="32"/>
        <v>25.402326008968611</v>
      </c>
      <c r="BU91" s="249">
        <f t="shared" si="32"/>
        <v>26.445772500000004</v>
      </c>
      <c r="BV91" s="249">
        <f t="shared" si="32"/>
        <v>26.296619999999997</v>
      </c>
      <c r="BW91" s="249">
        <f t="shared" si="32"/>
        <v>25.852494999999998</v>
      </c>
      <c r="BX91" s="1242">
        <f t="shared" si="32"/>
        <v>26.504887499999999</v>
      </c>
      <c r="BY91" s="419">
        <f t="shared" si="32"/>
        <v>0</v>
      </c>
      <c r="BZ91" s="249">
        <f t="shared" si="32"/>
        <v>0</v>
      </c>
      <c r="CA91" s="249">
        <f t="shared" si="32"/>
        <v>0</v>
      </c>
      <c r="CB91" s="249">
        <f t="shared" si="32"/>
        <v>0</v>
      </c>
      <c r="CC91" s="249">
        <f t="shared" si="32"/>
        <v>0</v>
      </c>
      <c r="CD91" s="1242">
        <f t="shared" si="32"/>
        <v>0</v>
      </c>
      <c r="CE91" s="419">
        <f t="shared" si="32"/>
        <v>0</v>
      </c>
      <c r="CF91" s="249">
        <f t="shared" si="32"/>
        <v>0</v>
      </c>
      <c r="CG91" s="249">
        <f t="shared" si="32"/>
        <v>0</v>
      </c>
      <c r="CH91" s="249">
        <f t="shared" si="32"/>
        <v>0</v>
      </c>
      <c r="CI91" s="249">
        <f t="shared" si="32"/>
        <v>0</v>
      </c>
      <c r="CJ91" s="249">
        <f t="shared" si="32"/>
        <v>0</v>
      </c>
      <c r="CK91" s="249">
        <f t="shared" si="32"/>
        <v>0</v>
      </c>
      <c r="CL91" s="249">
        <f t="shared" si="32"/>
        <v>0</v>
      </c>
      <c r="CM91" s="249">
        <f t="shared" si="32"/>
        <v>0</v>
      </c>
      <c r="CN91" s="325"/>
      <c r="CO91" s="249">
        <f t="shared" ref="CO91:DP91" si="33">CO$73*CO11/100</f>
        <v>0</v>
      </c>
      <c r="CP91" s="249">
        <f t="shared" si="33"/>
        <v>4.253166666666667</v>
      </c>
      <c r="CQ91" s="249">
        <f t="shared" si="33"/>
        <v>2.3759999999999999</v>
      </c>
      <c r="CR91" s="1242">
        <f t="shared" si="33"/>
        <v>3.2640000000000002</v>
      </c>
      <c r="CS91" s="419">
        <f t="shared" si="33"/>
        <v>5.0143333333333331</v>
      </c>
      <c r="CT91" s="249">
        <f t="shared" si="33"/>
        <v>5.2590833333333329</v>
      </c>
      <c r="CU91" s="249">
        <f t="shared" si="33"/>
        <v>6.9585882352941182</v>
      </c>
      <c r="CV91" s="249">
        <f t="shared" si="33"/>
        <v>4.9400000000000004</v>
      </c>
      <c r="CW91" s="249">
        <f t="shared" si="33"/>
        <v>5.2899686520376177</v>
      </c>
      <c r="CX91" s="249">
        <f t="shared" si="33"/>
        <v>5.4863333333333335</v>
      </c>
      <c r="CY91" s="249">
        <f t="shared" si="33"/>
        <v>4.5820000000000007</v>
      </c>
      <c r="CZ91" s="249">
        <f t="shared" si="33"/>
        <v>4.9830000000000005</v>
      </c>
      <c r="DA91" s="1242">
        <f t="shared" si="33"/>
        <v>4.5750000000000002</v>
      </c>
      <c r="DB91" s="419">
        <f t="shared" si="33"/>
        <v>0</v>
      </c>
      <c r="DC91" s="249">
        <f t="shared" si="33"/>
        <v>0</v>
      </c>
      <c r="DD91" s="249">
        <f t="shared" si="33"/>
        <v>0</v>
      </c>
      <c r="DE91" s="249">
        <f t="shared" si="33"/>
        <v>0</v>
      </c>
      <c r="DF91" s="249">
        <f t="shared" si="33"/>
        <v>0</v>
      </c>
      <c r="DG91" s="1242">
        <f t="shared" si="33"/>
        <v>0</v>
      </c>
      <c r="DH91" s="419">
        <f t="shared" si="33"/>
        <v>0</v>
      </c>
      <c r="DI91" s="249">
        <f t="shared" si="33"/>
        <v>0</v>
      </c>
      <c r="DJ91" s="249">
        <f t="shared" si="33"/>
        <v>0</v>
      </c>
      <c r="DK91" s="249">
        <f t="shared" si="33"/>
        <v>0</v>
      </c>
      <c r="DL91" s="249">
        <f t="shared" si="33"/>
        <v>0</v>
      </c>
      <c r="DM91" s="249">
        <f t="shared" si="33"/>
        <v>0</v>
      </c>
      <c r="DN91" s="249">
        <f t="shared" si="33"/>
        <v>0</v>
      </c>
      <c r="DO91" s="249">
        <f t="shared" si="33"/>
        <v>0</v>
      </c>
      <c r="DP91" s="249">
        <f t="shared" si="33"/>
        <v>0</v>
      </c>
      <c r="DQ91" s="335"/>
      <c r="DR91" s="336"/>
      <c r="FF91" s="251"/>
      <c r="FG91" s="251"/>
      <c r="FH91" s="1267"/>
      <c r="FX91" s="1" t="s">
        <v>180</v>
      </c>
    </row>
    <row r="92" spans="3:180" x14ac:dyDescent="0.35">
      <c r="C92" s="1" t="s">
        <v>168</v>
      </c>
      <c r="F92" s="501">
        <f t="shared" ref="F92:AG92" si="34">F12*F$73/100</f>
        <v>17.364220851063827</v>
      </c>
      <c r="G92" s="249">
        <f t="shared" si="34"/>
        <v>17.096474999999998</v>
      </c>
      <c r="H92" s="249">
        <f t="shared" si="34"/>
        <v>17.274738461538462</v>
      </c>
      <c r="I92" s="1242">
        <f t="shared" si="34"/>
        <v>17.073213299999999</v>
      </c>
      <c r="J92" s="419">
        <f t="shared" si="34"/>
        <v>7.9713199999999995</v>
      </c>
      <c r="K92" s="249">
        <f t="shared" si="34"/>
        <v>7.6790243478260853</v>
      </c>
      <c r="L92" s="249">
        <f t="shared" si="34"/>
        <v>7.6840574999999989</v>
      </c>
      <c r="M92" s="249">
        <f t="shared" si="34"/>
        <v>7.5501756521739125</v>
      </c>
      <c r="N92" s="249">
        <f t="shared" si="34"/>
        <v>7.5165999999999995</v>
      </c>
      <c r="O92" s="1242">
        <f t="shared" si="34"/>
        <v>7.7810295652173913</v>
      </c>
      <c r="P92" s="419">
        <f t="shared" si="34"/>
        <v>7.788187826086955</v>
      </c>
      <c r="Q92" s="249">
        <f t="shared" si="34"/>
        <v>7.6861826086956508</v>
      </c>
      <c r="R92" s="1242">
        <f t="shared" si="34"/>
        <v>7.6790243478260853</v>
      </c>
      <c r="S92" s="419">
        <f t="shared" si="34"/>
        <v>0</v>
      </c>
      <c r="T92" s="249">
        <f t="shared" si="34"/>
        <v>0</v>
      </c>
      <c r="U92" s="249">
        <f t="shared" si="34"/>
        <v>0</v>
      </c>
      <c r="V92" s="249">
        <f t="shared" si="34"/>
        <v>0</v>
      </c>
      <c r="W92" s="249">
        <f t="shared" si="34"/>
        <v>0</v>
      </c>
      <c r="X92" s="1242">
        <f t="shared" si="34"/>
        <v>0</v>
      </c>
      <c r="Y92" s="419">
        <f t="shared" si="34"/>
        <v>0</v>
      </c>
      <c r="Z92" s="249">
        <f t="shared" si="34"/>
        <v>0</v>
      </c>
      <c r="AA92" s="249">
        <f t="shared" si="34"/>
        <v>0</v>
      </c>
      <c r="AB92" s="249">
        <f t="shared" si="34"/>
        <v>0</v>
      </c>
      <c r="AC92" s="249">
        <f t="shared" si="34"/>
        <v>0</v>
      </c>
      <c r="AD92" s="249">
        <f t="shared" si="34"/>
        <v>0</v>
      </c>
      <c r="AE92" s="249">
        <f t="shared" si="34"/>
        <v>0</v>
      </c>
      <c r="AF92" s="249">
        <f t="shared" si="34"/>
        <v>0</v>
      </c>
      <c r="AG92" s="249">
        <f t="shared" si="34"/>
        <v>0</v>
      </c>
      <c r="AH92" s="335"/>
      <c r="AI92" s="249">
        <f t="shared" ref="AI92:BJ92" si="35">AI12*AI$73/100</f>
        <v>0</v>
      </c>
      <c r="AJ92" s="249">
        <f t="shared" si="35"/>
        <v>0.16482499999999997</v>
      </c>
      <c r="AK92" s="249">
        <f t="shared" si="35"/>
        <v>0</v>
      </c>
      <c r="AL92" s="1242">
        <f t="shared" si="35"/>
        <v>0</v>
      </c>
      <c r="AM92" s="419">
        <f t="shared" si="35"/>
        <v>0</v>
      </c>
      <c r="AN92" s="249">
        <f t="shared" si="35"/>
        <v>0</v>
      </c>
      <c r="AO92" s="249">
        <f t="shared" si="35"/>
        <v>0</v>
      </c>
      <c r="AP92" s="249">
        <f t="shared" si="35"/>
        <v>0</v>
      </c>
      <c r="AQ92" s="249">
        <f t="shared" si="35"/>
        <v>0</v>
      </c>
      <c r="AR92" s="249">
        <f t="shared" si="35"/>
        <v>0</v>
      </c>
      <c r="AS92" s="249">
        <f t="shared" si="35"/>
        <v>0</v>
      </c>
      <c r="AT92" s="249">
        <f t="shared" si="35"/>
        <v>0</v>
      </c>
      <c r="AU92" s="1242">
        <f t="shared" si="35"/>
        <v>0</v>
      </c>
      <c r="AV92" s="419">
        <f t="shared" si="35"/>
        <v>0</v>
      </c>
      <c r="AW92" s="249">
        <f t="shared" si="35"/>
        <v>0</v>
      </c>
      <c r="AX92" s="249">
        <f t="shared" si="35"/>
        <v>0</v>
      </c>
      <c r="AY92" s="249">
        <f t="shared" si="35"/>
        <v>0</v>
      </c>
      <c r="AZ92" s="249">
        <f t="shared" si="35"/>
        <v>0</v>
      </c>
      <c r="BA92" s="1242">
        <f t="shared" si="35"/>
        <v>0</v>
      </c>
      <c r="BB92" s="419">
        <f t="shared" si="35"/>
        <v>0</v>
      </c>
      <c r="BC92" s="249">
        <f t="shared" si="35"/>
        <v>0</v>
      </c>
      <c r="BD92" s="249">
        <f t="shared" si="35"/>
        <v>0</v>
      </c>
      <c r="BE92" s="249">
        <f t="shared" si="35"/>
        <v>0</v>
      </c>
      <c r="BF92" s="249">
        <f t="shared" si="35"/>
        <v>0</v>
      </c>
      <c r="BG92" s="249">
        <f t="shared" si="35"/>
        <v>0</v>
      </c>
      <c r="BH92" s="249">
        <f t="shared" si="35"/>
        <v>0</v>
      </c>
      <c r="BI92" s="249">
        <f t="shared" si="35"/>
        <v>0</v>
      </c>
      <c r="BJ92" s="249">
        <f t="shared" si="35"/>
        <v>0</v>
      </c>
      <c r="BK92" s="335"/>
      <c r="BL92" s="249">
        <f t="shared" ref="BL92:CM92" si="36">BL12*BL$73/100</f>
        <v>69.107022978723407</v>
      </c>
      <c r="BM92" s="249">
        <f t="shared" si="36"/>
        <v>56.293410416666667</v>
      </c>
      <c r="BN92" s="249">
        <f t="shared" si="36"/>
        <v>56.006395277777784</v>
      </c>
      <c r="BO92" s="1242">
        <f t="shared" si="36"/>
        <v>56.303940000000004</v>
      </c>
      <c r="BP92" s="419">
        <f t="shared" si="36"/>
        <v>44.33</v>
      </c>
      <c r="BQ92" s="249">
        <f t="shared" si="36"/>
        <v>45.565146666666671</v>
      </c>
      <c r="BR92" s="249">
        <f t="shared" si="36"/>
        <v>46.328237288135597</v>
      </c>
      <c r="BS92" s="249">
        <f t="shared" si="36"/>
        <v>44.497439999999997</v>
      </c>
      <c r="BT92" s="249">
        <f t="shared" si="36"/>
        <v>43.58520941704036</v>
      </c>
      <c r="BU92" s="249">
        <f t="shared" si="36"/>
        <v>44.855422500000003</v>
      </c>
      <c r="BV92" s="249">
        <f t="shared" si="36"/>
        <v>45.74794</v>
      </c>
      <c r="BW92" s="249">
        <f t="shared" si="36"/>
        <v>44.556575000000002</v>
      </c>
      <c r="BX92" s="1242">
        <f t="shared" si="36"/>
        <v>45.749925000000005</v>
      </c>
      <c r="BY92" s="419">
        <f t="shared" si="36"/>
        <v>0</v>
      </c>
      <c r="BZ92" s="249">
        <f t="shared" si="36"/>
        <v>0</v>
      </c>
      <c r="CA92" s="249">
        <f t="shared" si="36"/>
        <v>0</v>
      </c>
      <c r="CB92" s="249">
        <f t="shared" si="36"/>
        <v>0</v>
      </c>
      <c r="CC92" s="249">
        <f t="shared" si="36"/>
        <v>0</v>
      </c>
      <c r="CD92" s="1242">
        <f t="shared" si="36"/>
        <v>0</v>
      </c>
      <c r="CE92" s="419">
        <f t="shared" si="36"/>
        <v>0</v>
      </c>
      <c r="CF92" s="249">
        <f t="shared" si="36"/>
        <v>0</v>
      </c>
      <c r="CG92" s="249">
        <f t="shared" si="36"/>
        <v>0</v>
      </c>
      <c r="CH92" s="249">
        <f t="shared" si="36"/>
        <v>0</v>
      </c>
      <c r="CI92" s="249">
        <f t="shared" si="36"/>
        <v>0</v>
      </c>
      <c r="CJ92" s="249">
        <f t="shared" si="36"/>
        <v>0</v>
      </c>
      <c r="CK92" s="249">
        <f t="shared" si="36"/>
        <v>0</v>
      </c>
      <c r="CL92" s="249">
        <f t="shared" si="36"/>
        <v>0</v>
      </c>
      <c r="CM92" s="249">
        <f t="shared" si="36"/>
        <v>0</v>
      </c>
      <c r="CN92" s="325"/>
      <c r="CO92" s="249">
        <f t="shared" ref="CO92:DP92" si="37">CO$73*CO12/100</f>
        <v>0</v>
      </c>
      <c r="CP92" s="249">
        <f t="shared" si="37"/>
        <v>1.9435000000000002</v>
      </c>
      <c r="CQ92" s="249">
        <f t="shared" si="37"/>
        <v>0.85599999999999998</v>
      </c>
      <c r="CR92" s="1242">
        <f t="shared" si="37"/>
        <v>1.0313333333333334</v>
      </c>
      <c r="CS92" s="419">
        <f t="shared" si="37"/>
        <v>1.4209999999999996</v>
      </c>
      <c r="CT92" s="249">
        <f t="shared" si="37"/>
        <v>1.2264999999999999</v>
      </c>
      <c r="CU92" s="249">
        <f t="shared" si="37"/>
        <v>1.5974117647058825</v>
      </c>
      <c r="CV92" s="249">
        <f t="shared" si="37"/>
        <v>1.1212500000000001</v>
      </c>
      <c r="CW92" s="249">
        <f t="shared" si="37"/>
        <v>2.0271159874608151</v>
      </c>
      <c r="CX92" s="249">
        <f t="shared" si="37"/>
        <v>1.5441666666666669</v>
      </c>
      <c r="CY92" s="249">
        <f t="shared" si="37"/>
        <v>1.0730000000000002</v>
      </c>
      <c r="CZ92" s="249">
        <f t="shared" si="37"/>
        <v>1.1385000000000001</v>
      </c>
      <c r="DA92" s="1242">
        <f t="shared" si="37"/>
        <v>1.0349999999999999</v>
      </c>
      <c r="DB92" s="419">
        <f t="shared" si="37"/>
        <v>0</v>
      </c>
      <c r="DC92" s="249">
        <f t="shared" si="37"/>
        <v>0</v>
      </c>
      <c r="DD92" s="249">
        <f t="shared" si="37"/>
        <v>0</v>
      </c>
      <c r="DE92" s="249">
        <f t="shared" si="37"/>
        <v>0</v>
      </c>
      <c r="DF92" s="249">
        <f t="shared" si="37"/>
        <v>0</v>
      </c>
      <c r="DG92" s="1242">
        <f t="shared" si="37"/>
        <v>0</v>
      </c>
      <c r="DH92" s="419">
        <f t="shared" si="37"/>
        <v>0</v>
      </c>
      <c r="DI92" s="249">
        <f t="shared" si="37"/>
        <v>0</v>
      </c>
      <c r="DJ92" s="249">
        <f t="shared" si="37"/>
        <v>0</v>
      </c>
      <c r="DK92" s="249">
        <f t="shared" si="37"/>
        <v>0</v>
      </c>
      <c r="DL92" s="249">
        <f t="shared" si="37"/>
        <v>0</v>
      </c>
      <c r="DM92" s="249">
        <f t="shared" si="37"/>
        <v>0</v>
      </c>
      <c r="DN92" s="249">
        <f t="shared" si="37"/>
        <v>0</v>
      </c>
      <c r="DO92" s="249">
        <f t="shared" si="37"/>
        <v>0</v>
      </c>
      <c r="DP92" s="249">
        <f t="shared" si="37"/>
        <v>0</v>
      </c>
      <c r="DQ92" s="335"/>
      <c r="DR92" s="336"/>
      <c r="FF92" s="251"/>
      <c r="FG92" s="251"/>
      <c r="FH92" s="1267"/>
      <c r="FX92" s="1" t="s">
        <v>181</v>
      </c>
    </row>
    <row r="93" spans="3:180" x14ac:dyDescent="0.35">
      <c r="C93" s="1" t="s">
        <v>169</v>
      </c>
      <c r="F93" s="501">
        <f t="shared" ref="F93:AG93" si="38">F13*F$73/100</f>
        <v>28.364539148936171</v>
      </c>
      <c r="G93" s="249">
        <f t="shared" si="38"/>
        <v>27.927174999999998</v>
      </c>
      <c r="H93" s="249">
        <f t="shared" si="38"/>
        <v>28.218369230769234</v>
      </c>
      <c r="I93" s="1242">
        <f t="shared" si="38"/>
        <v>27.889176899999999</v>
      </c>
      <c r="J93" s="419">
        <f t="shared" si="38"/>
        <v>14.647009999999998</v>
      </c>
      <c r="K93" s="249">
        <f t="shared" si="38"/>
        <v>14.109927391304348</v>
      </c>
      <c r="L93" s="249">
        <f t="shared" si="38"/>
        <v>14.119175625</v>
      </c>
      <c r="M93" s="249">
        <f t="shared" si="38"/>
        <v>13.873172608695652</v>
      </c>
      <c r="N93" s="249">
        <f t="shared" si="38"/>
        <v>13.811478571428569</v>
      </c>
      <c r="O93" s="1242">
        <f t="shared" si="38"/>
        <v>14.297358260869565</v>
      </c>
      <c r="P93" s="419">
        <f t="shared" si="38"/>
        <v>14.310511304347823</v>
      </c>
      <c r="Q93" s="249">
        <f t="shared" si="38"/>
        <v>14.123080434782608</v>
      </c>
      <c r="R93" s="1242">
        <f t="shared" si="38"/>
        <v>14.109927391304348</v>
      </c>
      <c r="S93" s="419">
        <f t="shared" si="38"/>
        <v>0</v>
      </c>
      <c r="T93" s="249">
        <f t="shared" si="38"/>
        <v>0</v>
      </c>
      <c r="U93" s="249">
        <f t="shared" si="38"/>
        <v>0</v>
      </c>
      <c r="V93" s="249">
        <f t="shared" si="38"/>
        <v>0</v>
      </c>
      <c r="W93" s="249">
        <f t="shared" si="38"/>
        <v>0</v>
      </c>
      <c r="X93" s="1242">
        <f t="shared" si="38"/>
        <v>0</v>
      </c>
      <c r="Y93" s="419">
        <f t="shared" si="38"/>
        <v>0</v>
      </c>
      <c r="Z93" s="249">
        <f t="shared" si="38"/>
        <v>0</v>
      </c>
      <c r="AA93" s="249">
        <f t="shared" si="38"/>
        <v>0</v>
      </c>
      <c r="AB93" s="249">
        <f t="shared" si="38"/>
        <v>0</v>
      </c>
      <c r="AC93" s="249">
        <f t="shared" si="38"/>
        <v>0</v>
      </c>
      <c r="AD93" s="249">
        <f t="shared" si="38"/>
        <v>0</v>
      </c>
      <c r="AE93" s="249">
        <f t="shared" si="38"/>
        <v>0</v>
      </c>
      <c r="AF93" s="249">
        <f t="shared" si="38"/>
        <v>0</v>
      </c>
      <c r="AG93" s="249">
        <f t="shared" si="38"/>
        <v>0</v>
      </c>
      <c r="AH93" s="335"/>
      <c r="AI93" s="249">
        <f t="shared" ref="AI93:BJ93" si="39">AI13*AI$73/100</f>
        <v>0</v>
      </c>
      <c r="AJ93" s="249">
        <f t="shared" si="39"/>
        <v>0.15480566666666667</v>
      </c>
      <c r="AK93" s="249">
        <f t="shared" si="39"/>
        <v>0</v>
      </c>
      <c r="AL93" s="1242">
        <f t="shared" si="39"/>
        <v>0</v>
      </c>
      <c r="AM93" s="419">
        <f t="shared" si="39"/>
        <v>0</v>
      </c>
      <c r="AN93" s="249">
        <f t="shared" si="39"/>
        <v>0</v>
      </c>
      <c r="AO93" s="249">
        <f t="shared" si="39"/>
        <v>0</v>
      </c>
      <c r="AP93" s="249">
        <f t="shared" si="39"/>
        <v>0</v>
      </c>
      <c r="AQ93" s="249">
        <f t="shared" si="39"/>
        <v>0</v>
      </c>
      <c r="AR93" s="249">
        <f t="shared" si="39"/>
        <v>0</v>
      </c>
      <c r="AS93" s="249">
        <f t="shared" si="39"/>
        <v>0</v>
      </c>
      <c r="AT93" s="249">
        <f t="shared" si="39"/>
        <v>0</v>
      </c>
      <c r="AU93" s="1242">
        <f t="shared" si="39"/>
        <v>0</v>
      </c>
      <c r="AV93" s="419">
        <f t="shared" si="39"/>
        <v>0</v>
      </c>
      <c r="AW93" s="249">
        <f t="shared" si="39"/>
        <v>0</v>
      </c>
      <c r="AX93" s="249">
        <f t="shared" si="39"/>
        <v>0</v>
      </c>
      <c r="AY93" s="249">
        <f t="shared" si="39"/>
        <v>0</v>
      </c>
      <c r="AZ93" s="249">
        <f t="shared" si="39"/>
        <v>0</v>
      </c>
      <c r="BA93" s="1242">
        <f t="shared" si="39"/>
        <v>0</v>
      </c>
      <c r="BB93" s="419">
        <f t="shared" si="39"/>
        <v>0</v>
      </c>
      <c r="BC93" s="249">
        <f t="shared" si="39"/>
        <v>0</v>
      </c>
      <c r="BD93" s="249">
        <f t="shared" si="39"/>
        <v>0</v>
      </c>
      <c r="BE93" s="249">
        <f t="shared" si="39"/>
        <v>0</v>
      </c>
      <c r="BF93" s="249">
        <f t="shared" si="39"/>
        <v>0</v>
      </c>
      <c r="BG93" s="249">
        <f t="shared" si="39"/>
        <v>0</v>
      </c>
      <c r="BH93" s="249">
        <f t="shared" si="39"/>
        <v>0</v>
      </c>
      <c r="BI93" s="249">
        <f t="shared" si="39"/>
        <v>0</v>
      </c>
      <c r="BJ93" s="249">
        <f t="shared" si="39"/>
        <v>0</v>
      </c>
      <c r="BK93" s="335"/>
      <c r="BL93" s="249">
        <f t="shared" ref="BL93:CM93" si="40">BL13*BL$73/100</f>
        <v>42.481896170212757</v>
      </c>
      <c r="BM93" s="249">
        <f t="shared" si="40"/>
        <v>37.709122916666672</v>
      </c>
      <c r="BN93" s="249">
        <f t="shared" si="40"/>
        <v>41.309154444444459</v>
      </c>
      <c r="BO93" s="1242">
        <f t="shared" si="40"/>
        <v>43.382818333333333</v>
      </c>
      <c r="BP93" s="419">
        <f t="shared" si="40"/>
        <v>19.747199999999999</v>
      </c>
      <c r="BQ93" s="249">
        <f t="shared" si="40"/>
        <v>20.103247111111113</v>
      </c>
      <c r="BR93" s="249">
        <f t="shared" si="40"/>
        <v>20.82101694915254</v>
      </c>
      <c r="BS93" s="249">
        <f t="shared" si="40"/>
        <v>20.132639999999999</v>
      </c>
      <c r="BT93" s="249">
        <f t="shared" si="40"/>
        <v>19.784180269058293</v>
      </c>
      <c r="BU93" s="249">
        <f t="shared" si="40"/>
        <v>20.321534999999997</v>
      </c>
      <c r="BV93" s="249">
        <f t="shared" si="40"/>
        <v>20.894463333333334</v>
      </c>
      <c r="BW93" s="249">
        <f t="shared" si="40"/>
        <v>20.162085000000001</v>
      </c>
      <c r="BX93" s="1242">
        <f t="shared" si="40"/>
        <v>20.3887125</v>
      </c>
      <c r="BY93" s="419">
        <f t="shared" si="40"/>
        <v>0</v>
      </c>
      <c r="BZ93" s="249">
        <f t="shared" si="40"/>
        <v>0</v>
      </c>
      <c r="CA93" s="249">
        <f t="shared" si="40"/>
        <v>0</v>
      </c>
      <c r="CB93" s="249">
        <f t="shared" si="40"/>
        <v>0</v>
      </c>
      <c r="CC93" s="249">
        <f t="shared" si="40"/>
        <v>0</v>
      </c>
      <c r="CD93" s="1242">
        <f t="shared" si="40"/>
        <v>0</v>
      </c>
      <c r="CE93" s="419">
        <f t="shared" si="40"/>
        <v>0</v>
      </c>
      <c r="CF93" s="249">
        <f t="shared" si="40"/>
        <v>0</v>
      </c>
      <c r="CG93" s="249">
        <f t="shared" si="40"/>
        <v>0</v>
      </c>
      <c r="CH93" s="249">
        <f t="shared" si="40"/>
        <v>0</v>
      </c>
      <c r="CI93" s="249">
        <f t="shared" si="40"/>
        <v>0</v>
      </c>
      <c r="CJ93" s="249">
        <f t="shared" si="40"/>
        <v>0</v>
      </c>
      <c r="CK93" s="249">
        <f t="shared" si="40"/>
        <v>0</v>
      </c>
      <c r="CL93" s="249">
        <f t="shared" si="40"/>
        <v>0</v>
      </c>
      <c r="CM93" s="249">
        <f t="shared" si="40"/>
        <v>0</v>
      </c>
      <c r="CN93" s="325"/>
      <c r="CO93" s="249">
        <f t="shared" ref="CO93:DP93" si="41">CO$73*CO13/100</f>
        <v>0</v>
      </c>
      <c r="CP93" s="249">
        <f t="shared" si="41"/>
        <v>1.4083333333333335E-2</v>
      </c>
      <c r="CQ93" s="249">
        <f t="shared" si="41"/>
        <v>0</v>
      </c>
      <c r="CR93" s="1242">
        <f t="shared" si="41"/>
        <v>0</v>
      </c>
      <c r="CS93" s="419">
        <f t="shared" si="41"/>
        <v>0</v>
      </c>
      <c r="CT93" s="249">
        <f t="shared" si="41"/>
        <v>0</v>
      </c>
      <c r="CU93" s="249">
        <f t="shared" si="41"/>
        <v>0</v>
      </c>
      <c r="CV93" s="249">
        <f t="shared" si="41"/>
        <v>0</v>
      </c>
      <c r="CW93" s="249">
        <f t="shared" si="41"/>
        <v>0</v>
      </c>
      <c r="CX93" s="249">
        <f t="shared" si="41"/>
        <v>0</v>
      </c>
      <c r="CY93" s="249">
        <f t="shared" si="41"/>
        <v>0</v>
      </c>
      <c r="CZ93" s="249">
        <f t="shared" si="41"/>
        <v>0</v>
      </c>
      <c r="DA93" s="1242">
        <f t="shared" si="41"/>
        <v>0</v>
      </c>
      <c r="DB93" s="419">
        <f t="shared" si="41"/>
        <v>0</v>
      </c>
      <c r="DC93" s="249">
        <f t="shared" si="41"/>
        <v>0</v>
      </c>
      <c r="DD93" s="249">
        <f t="shared" si="41"/>
        <v>0</v>
      </c>
      <c r="DE93" s="249">
        <f t="shared" si="41"/>
        <v>0</v>
      </c>
      <c r="DF93" s="249">
        <f t="shared" si="41"/>
        <v>0</v>
      </c>
      <c r="DG93" s="1242">
        <f t="shared" si="41"/>
        <v>0</v>
      </c>
      <c r="DH93" s="419">
        <f t="shared" si="41"/>
        <v>0</v>
      </c>
      <c r="DI93" s="249">
        <f t="shared" si="41"/>
        <v>0</v>
      </c>
      <c r="DJ93" s="249">
        <f t="shared" si="41"/>
        <v>0</v>
      </c>
      <c r="DK93" s="249">
        <f t="shared" si="41"/>
        <v>0</v>
      </c>
      <c r="DL93" s="249">
        <f t="shared" si="41"/>
        <v>0</v>
      </c>
      <c r="DM93" s="249">
        <f t="shared" si="41"/>
        <v>0</v>
      </c>
      <c r="DN93" s="249">
        <f t="shared" si="41"/>
        <v>0</v>
      </c>
      <c r="DO93" s="249">
        <f t="shared" si="41"/>
        <v>0</v>
      </c>
      <c r="DP93" s="249">
        <f t="shared" si="41"/>
        <v>0</v>
      </c>
      <c r="DQ93" s="335"/>
      <c r="DR93" s="336"/>
      <c r="FF93" s="251"/>
      <c r="FG93" s="251"/>
      <c r="FH93" s="1267"/>
      <c r="FX93" s="1" t="s">
        <v>182</v>
      </c>
    </row>
    <row r="94" spans="3:180" x14ac:dyDescent="0.35">
      <c r="C94" s="1" t="s">
        <v>395</v>
      </c>
      <c r="F94" s="501">
        <f t="shared" ref="F94:AG94" si="42">F14*F$73/100</f>
        <v>281.59689659574468</v>
      </c>
      <c r="G94" s="249">
        <f t="shared" si="42"/>
        <v>277.25484166666666</v>
      </c>
      <c r="H94" s="249">
        <f t="shared" si="42"/>
        <v>280.14575384615392</v>
      </c>
      <c r="I94" s="1242">
        <f t="shared" si="42"/>
        <v>276.87760489999999</v>
      </c>
      <c r="J94" s="419">
        <f t="shared" si="42"/>
        <v>169.73721333333336</v>
      </c>
      <c r="K94" s="249">
        <f t="shared" si="42"/>
        <v>163.51321913043478</v>
      </c>
      <c r="L94" s="249">
        <f t="shared" si="42"/>
        <v>163.62039250000001</v>
      </c>
      <c r="M94" s="249">
        <f t="shared" si="42"/>
        <v>160.76958086956523</v>
      </c>
      <c r="N94" s="249">
        <f t="shared" si="42"/>
        <v>160.05463809523812</v>
      </c>
      <c r="O94" s="1242">
        <f t="shared" si="42"/>
        <v>165.68526608695655</v>
      </c>
      <c r="P94" s="419">
        <f t="shared" si="42"/>
        <v>165.83769043478259</v>
      </c>
      <c r="Q94" s="249">
        <f t="shared" si="42"/>
        <v>163.66564347826088</v>
      </c>
      <c r="R94" s="1242">
        <f t="shared" si="42"/>
        <v>163.51321913043478</v>
      </c>
      <c r="S94" s="419">
        <f t="shared" si="42"/>
        <v>0</v>
      </c>
      <c r="T94" s="249">
        <f t="shared" si="42"/>
        <v>0</v>
      </c>
      <c r="U94" s="249">
        <f t="shared" si="42"/>
        <v>0</v>
      </c>
      <c r="V94" s="249">
        <f t="shared" si="42"/>
        <v>0</v>
      </c>
      <c r="W94" s="249">
        <f t="shared" si="42"/>
        <v>0</v>
      </c>
      <c r="X94" s="1242">
        <f t="shared" si="42"/>
        <v>0</v>
      </c>
      <c r="Y94" s="419">
        <f t="shared" si="42"/>
        <v>0</v>
      </c>
      <c r="Z94" s="249">
        <f t="shared" si="42"/>
        <v>0</v>
      </c>
      <c r="AA94" s="249">
        <f t="shared" si="42"/>
        <v>0</v>
      </c>
      <c r="AB94" s="249">
        <f t="shared" si="42"/>
        <v>0</v>
      </c>
      <c r="AC94" s="249">
        <f t="shared" si="42"/>
        <v>0</v>
      </c>
      <c r="AD94" s="249">
        <f t="shared" si="42"/>
        <v>0</v>
      </c>
      <c r="AE94" s="249">
        <f t="shared" si="42"/>
        <v>0</v>
      </c>
      <c r="AF94" s="249">
        <f t="shared" si="42"/>
        <v>0</v>
      </c>
      <c r="AG94" s="249">
        <f t="shared" si="42"/>
        <v>0</v>
      </c>
      <c r="AH94" s="335"/>
      <c r="AI94" s="249">
        <f t="shared" ref="AI94:BJ94" si="43">AI14*AI$73/100</f>
        <v>0</v>
      </c>
      <c r="AJ94" s="249">
        <f t="shared" si="43"/>
        <v>0.67552600000000007</v>
      </c>
      <c r="AK94" s="249">
        <f t="shared" si="43"/>
        <v>0</v>
      </c>
      <c r="AL94" s="1242">
        <f t="shared" si="43"/>
        <v>0</v>
      </c>
      <c r="AM94" s="419">
        <f t="shared" si="43"/>
        <v>1.9148936170212767</v>
      </c>
      <c r="AN94" s="249">
        <f t="shared" si="43"/>
        <v>1.5095000000000001</v>
      </c>
      <c r="AO94" s="249">
        <f t="shared" si="43"/>
        <v>0</v>
      </c>
      <c r="AP94" s="249">
        <f t="shared" si="43"/>
        <v>0</v>
      </c>
      <c r="AQ94" s="249">
        <f t="shared" si="43"/>
        <v>0</v>
      </c>
      <c r="AR94" s="249">
        <f t="shared" si="43"/>
        <v>0</v>
      </c>
      <c r="AS94" s="249">
        <f t="shared" si="43"/>
        <v>1.1295833333333334</v>
      </c>
      <c r="AT94" s="249">
        <f t="shared" si="43"/>
        <v>0</v>
      </c>
      <c r="AU94" s="1242">
        <f t="shared" si="43"/>
        <v>0</v>
      </c>
      <c r="AV94" s="419">
        <f t="shared" si="43"/>
        <v>0</v>
      </c>
      <c r="AW94" s="249">
        <f t="shared" si="43"/>
        <v>0</v>
      </c>
      <c r="AX94" s="249">
        <f t="shared" si="43"/>
        <v>0</v>
      </c>
      <c r="AY94" s="249">
        <f t="shared" si="43"/>
        <v>0</v>
      </c>
      <c r="AZ94" s="249">
        <f t="shared" si="43"/>
        <v>0</v>
      </c>
      <c r="BA94" s="1242">
        <f t="shared" si="43"/>
        <v>0</v>
      </c>
      <c r="BB94" s="419">
        <f t="shared" si="43"/>
        <v>0</v>
      </c>
      <c r="BC94" s="249">
        <f t="shared" si="43"/>
        <v>0</v>
      </c>
      <c r="BD94" s="249">
        <f t="shared" si="43"/>
        <v>0</v>
      </c>
      <c r="BE94" s="249">
        <f t="shared" si="43"/>
        <v>0</v>
      </c>
      <c r="BF94" s="249">
        <f t="shared" si="43"/>
        <v>0</v>
      </c>
      <c r="BG94" s="249">
        <f t="shared" si="43"/>
        <v>0</v>
      </c>
      <c r="BH94" s="249">
        <f t="shared" si="43"/>
        <v>0</v>
      </c>
      <c r="BI94" s="249">
        <f t="shared" si="43"/>
        <v>0</v>
      </c>
      <c r="BJ94" s="249">
        <f t="shared" si="43"/>
        <v>0</v>
      </c>
      <c r="BK94" s="335"/>
      <c r="BL94" s="249">
        <f t="shared" ref="BL94:CM94" si="44">BL14*BL$73/100</f>
        <v>162.80319659574468</v>
      </c>
      <c r="BM94" s="249">
        <f t="shared" si="44"/>
        <v>157.06877291666669</v>
      </c>
      <c r="BN94" s="249">
        <f t="shared" si="44"/>
        <v>167.42257194444446</v>
      </c>
      <c r="BO94" s="1242">
        <f t="shared" si="44"/>
        <v>159.37114000000003</v>
      </c>
      <c r="BP94" s="419">
        <f t="shared" si="44"/>
        <v>41.593199999999989</v>
      </c>
      <c r="BQ94" s="249">
        <f t="shared" si="44"/>
        <v>35.638530666666682</v>
      </c>
      <c r="BR94" s="249">
        <f t="shared" si="44"/>
        <v>38.468745762711855</v>
      </c>
      <c r="BS94" s="249">
        <f t="shared" si="44"/>
        <v>39.83616</v>
      </c>
      <c r="BT94" s="249">
        <f t="shared" si="44"/>
        <v>42.331242152466366</v>
      </c>
      <c r="BU94" s="249">
        <f t="shared" si="44"/>
        <v>43.018889999999999</v>
      </c>
      <c r="BV94" s="249">
        <f t="shared" si="44"/>
        <v>42.17564166666665</v>
      </c>
      <c r="BW94" s="249">
        <f t="shared" si="44"/>
        <v>41.420925000000004</v>
      </c>
      <c r="BX94" s="1242">
        <f t="shared" si="44"/>
        <v>40.775962499999999</v>
      </c>
      <c r="BY94" s="419">
        <f t="shared" si="44"/>
        <v>143.5</v>
      </c>
      <c r="BZ94" s="249">
        <f t="shared" si="44"/>
        <v>0</v>
      </c>
      <c r="CA94" s="249">
        <f t="shared" si="44"/>
        <v>0</v>
      </c>
      <c r="CB94" s="249">
        <f t="shared" si="44"/>
        <v>0</v>
      </c>
      <c r="CC94" s="249">
        <f t="shared" si="44"/>
        <v>0</v>
      </c>
      <c r="CD94" s="1242">
        <f t="shared" si="44"/>
        <v>0</v>
      </c>
      <c r="CE94" s="419">
        <f t="shared" si="44"/>
        <v>0</v>
      </c>
      <c r="CF94" s="249">
        <f t="shared" si="44"/>
        <v>0</v>
      </c>
      <c r="CG94" s="249">
        <f t="shared" si="44"/>
        <v>0</v>
      </c>
      <c r="CH94" s="249">
        <f t="shared" si="44"/>
        <v>0</v>
      </c>
      <c r="CI94" s="249">
        <f t="shared" si="44"/>
        <v>0</v>
      </c>
      <c r="CJ94" s="249">
        <f t="shared" si="44"/>
        <v>0</v>
      </c>
      <c r="CK94" s="249">
        <f t="shared" si="44"/>
        <v>0</v>
      </c>
      <c r="CL94" s="249">
        <f t="shared" si="44"/>
        <v>0</v>
      </c>
      <c r="CM94" s="249">
        <f t="shared" si="44"/>
        <v>0</v>
      </c>
      <c r="CN94" s="325"/>
      <c r="CO94" s="249">
        <f t="shared" ref="CO94:DP94" si="45">CO$73*CO14/100</f>
        <v>0</v>
      </c>
      <c r="CP94" s="249">
        <f t="shared" si="45"/>
        <v>0</v>
      </c>
      <c r="CQ94" s="249">
        <f t="shared" si="45"/>
        <v>0</v>
      </c>
      <c r="CR94" s="1242">
        <f t="shared" si="45"/>
        <v>0</v>
      </c>
      <c r="CS94" s="419">
        <f t="shared" si="45"/>
        <v>0</v>
      </c>
      <c r="CT94" s="249">
        <f t="shared" si="45"/>
        <v>0</v>
      </c>
      <c r="CU94" s="249">
        <f t="shared" si="45"/>
        <v>0</v>
      </c>
      <c r="CV94" s="249">
        <f t="shared" si="45"/>
        <v>0</v>
      </c>
      <c r="CW94" s="249">
        <f t="shared" si="45"/>
        <v>0</v>
      </c>
      <c r="CX94" s="249">
        <f t="shared" si="45"/>
        <v>0</v>
      </c>
      <c r="CY94" s="249">
        <f t="shared" si="45"/>
        <v>0</v>
      </c>
      <c r="CZ94" s="249">
        <f t="shared" si="45"/>
        <v>0</v>
      </c>
      <c r="DA94" s="1242">
        <f t="shared" si="45"/>
        <v>0</v>
      </c>
      <c r="DB94" s="419">
        <f t="shared" si="45"/>
        <v>0</v>
      </c>
      <c r="DC94" s="249">
        <f t="shared" si="45"/>
        <v>0</v>
      </c>
      <c r="DD94" s="249">
        <f t="shared" si="45"/>
        <v>0</v>
      </c>
      <c r="DE94" s="249">
        <f t="shared" si="45"/>
        <v>0</v>
      </c>
      <c r="DF94" s="249">
        <f t="shared" si="45"/>
        <v>0</v>
      </c>
      <c r="DG94" s="1242">
        <f t="shared" si="45"/>
        <v>0</v>
      </c>
      <c r="DH94" s="419">
        <f t="shared" si="45"/>
        <v>0</v>
      </c>
      <c r="DI94" s="249">
        <f t="shared" si="45"/>
        <v>0</v>
      </c>
      <c r="DJ94" s="249">
        <f t="shared" si="45"/>
        <v>0</v>
      </c>
      <c r="DK94" s="249">
        <f t="shared" si="45"/>
        <v>0</v>
      </c>
      <c r="DL94" s="249">
        <f t="shared" si="45"/>
        <v>0</v>
      </c>
      <c r="DM94" s="249">
        <f t="shared" si="45"/>
        <v>0</v>
      </c>
      <c r="DN94" s="249">
        <f t="shared" si="45"/>
        <v>0</v>
      </c>
      <c r="DO94" s="249">
        <f t="shared" si="45"/>
        <v>0</v>
      </c>
      <c r="DP94" s="249">
        <f t="shared" si="45"/>
        <v>0</v>
      </c>
      <c r="DQ94" s="335"/>
      <c r="DR94" s="336"/>
      <c r="FF94" s="251"/>
      <c r="FG94" s="251"/>
      <c r="FH94" s="1267"/>
      <c r="FX94" s="1" t="s">
        <v>346</v>
      </c>
    </row>
    <row r="95" spans="3:180" ht="15" thickBot="1" x14ac:dyDescent="0.4">
      <c r="C95" s="1" t="s">
        <v>167</v>
      </c>
      <c r="F95" s="1041">
        <f t="shared" ref="F95" si="46">SUM(F88:F94)</f>
        <v>330.93617021276594</v>
      </c>
      <c r="G95" s="389">
        <f t="shared" ref="G95:O95" si="47">SUM(G88:G94)</f>
        <v>325.83333333333331</v>
      </c>
      <c r="H95" s="389">
        <f t="shared" si="47"/>
        <v>329.23076923076928</v>
      </c>
      <c r="I95" s="1261">
        <f t="shared" si="47"/>
        <v>325.39</v>
      </c>
      <c r="J95" s="1207">
        <f t="shared" si="47"/>
        <v>193.66666666666669</v>
      </c>
      <c r="K95" s="389">
        <f t="shared" si="47"/>
        <v>186.56521739130434</v>
      </c>
      <c r="L95" s="389">
        <f t="shared" si="47"/>
        <v>186.6875</v>
      </c>
      <c r="M95" s="389">
        <f t="shared" si="47"/>
        <v>183.43478260869566</v>
      </c>
      <c r="N95" s="389">
        <f t="shared" si="47"/>
        <v>182.61904761904765</v>
      </c>
      <c r="O95" s="2257">
        <f t="shared" si="47"/>
        <v>189.04347826086959</v>
      </c>
      <c r="P95" s="1207">
        <f t="shared" ref="P95:U95" si="48">SUM(P88:P94)</f>
        <v>189.21739130434781</v>
      </c>
      <c r="Q95" s="389">
        <f t="shared" si="48"/>
        <v>186.73913043478262</v>
      </c>
      <c r="R95" s="1261">
        <f t="shared" si="48"/>
        <v>186.56521739130434</v>
      </c>
      <c r="S95" s="1207">
        <f t="shared" si="48"/>
        <v>0</v>
      </c>
      <c r="T95" s="389">
        <f t="shared" si="48"/>
        <v>0</v>
      </c>
      <c r="U95" s="389">
        <f t="shared" si="48"/>
        <v>0</v>
      </c>
      <c r="V95" s="389">
        <f t="shared" ref="V95:AG95" si="49">SUM(V88:V94)</f>
        <v>0</v>
      </c>
      <c r="W95" s="389">
        <f t="shared" si="49"/>
        <v>0</v>
      </c>
      <c r="X95" s="1261">
        <f t="shared" si="49"/>
        <v>0</v>
      </c>
      <c r="Y95" s="1207">
        <f t="shared" si="49"/>
        <v>0</v>
      </c>
      <c r="Z95" s="389">
        <f t="shared" si="49"/>
        <v>0</v>
      </c>
      <c r="AA95" s="389">
        <f t="shared" si="49"/>
        <v>0</v>
      </c>
      <c r="AB95" s="389">
        <f t="shared" si="49"/>
        <v>0</v>
      </c>
      <c r="AC95" s="389">
        <f t="shared" si="49"/>
        <v>0</v>
      </c>
      <c r="AD95" s="389">
        <f t="shared" si="49"/>
        <v>0</v>
      </c>
      <c r="AE95" s="389">
        <f t="shared" si="49"/>
        <v>0</v>
      </c>
      <c r="AF95" s="389">
        <f t="shared" si="49"/>
        <v>0</v>
      </c>
      <c r="AG95" s="389">
        <f t="shared" si="49"/>
        <v>0</v>
      </c>
      <c r="AH95" s="390"/>
      <c r="AI95" s="389">
        <f t="shared" ref="AI95:CA95" si="50">SUM(AI88:AI94)</f>
        <v>0</v>
      </c>
      <c r="AJ95" s="389">
        <f t="shared" si="50"/>
        <v>1.5833333333333335</v>
      </c>
      <c r="AK95" s="389">
        <f t="shared" si="50"/>
        <v>0</v>
      </c>
      <c r="AL95" s="1261">
        <f t="shared" si="50"/>
        <v>0</v>
      </c>
      <c r="AM95" s="1207">
        <f t="shared" si="50"/>
        <v>1.9148936170212767</v>
      </c>
      <c r="AN95" s="389">
        <f t="shared" si="50"/>
        <v>1.5095000000000001</v>
      </c>
      <c r="AO95" s="389">
        <f t="shared" si="50"/>
        <v>0</v>
      </c>
      <c r="AP95" s="389">
        <f t="shared" si="50"/>
        <v>0</v>
      </c>
      <c r="AQ95" s="389">
        <f t="shared" si="50"/>
        <v>0</v>
      </c>
      <c r="AR95" s="389">
        <f t="shared" si="50"/>
        <v>0</v>
      </c>
      <c r="AS95" s="389">
        <f t="shared" si="50"/>
        <v>1.1295833333333334</v>
      </c>
      <c r="AT95" s="389">
        <f t="shared" si="50"/>
        <v>0</v>
      </c>
      <c r="AU95" s="1261">
        <f t="shared" si="50"/>
        <v>0</v>
      </c>
      <c r="AV95" s="1207">
        <f t="shared" si="50"/>
        <v>0</v>
      </c>
      <c r="AW95" s="389">
        <f t="shared" si="50"/>
        <v>0</v>
      </c>
      <c r="AX95" s="389">
        <f t="shared" ref="AX95:BG95" si="51">SUM(AX88:AX94)</f>
        <v>0</v>
      </c>
      <c r="AY95" s="389">
        <f t="shared" si="51"/>
        <v>0</v>
      </c>
      <c r="AZ95" s="389">
        <f t="shared" si="51"/>
        <v>0</v>
      </c>
      <c r="BA95" s="1261">
        <f t="shared" si="51"/>
        <v>0</v>
      </c>
      <c r="BB95" s="1207">
        <f t="shared" si="51"/>
        <v>0</v>
      </c>
      <c r="BC95" s="389">
        <f t="shared" si="51"/>
        <v>0</v>
      </c>
      <c r="BD95" s="389">
        <f t="shared" si="51"/>
        <v>0</v>
      </c>
      <c r="BE95" s="389">
        <f t="shared" si="51"/>
        <v>0</v>
      </c>
      <c r="BF95" s="389">
        <f t="shared" si="51"/>
        <v>0</v>
      </c>
      <c r="BG95" s="389">
        <f t="shared" si="51"/>
        <v>0</v>
      </c>
      <c r="BH95" s="389">
        <f t="shared" ref="BH95:BJ95" si="52">SUM(BH88:BH94)</f>
        <v>0</v>
      </c>
      <c r="BI95" s="389">
        <f t="shared" si="52"/>
        <v>0</v>
      </c>
      <c r="BJ95" s="389">
        <f t="shared" si="52"/>
        <v>0</v>
      </c>
      <c r="BK95" s="390"/>
      <c r="BL95" s="389">
        <f t="shared" si="50"/>
        <v>305.70212765957444</v>
      </c>
      <c r="BM95" s="389">
        <f t="shared" si="50"/>
        <v>277.91666666666669</v>
      </c>
      <c r="BN95" s="389">
        <f t="shared" si="50"/>
        <v>293.41666666666669</v>
      </c>
      <c r="BO95" s="1261">
        <f t="shared" si="50"/>
        <v>290.16666666666669</v>
      </c>
      <c r="BP95" s="1207">
        <f t="shared" si="50"/>
        <v>146.66666666666666</v>
      </c>
      <c r="BQ95" s="389">
        <f t="shared" si="50"/>
        <v>143.11111111111114</v>
      </c>
      <c r="BR95" s="389">
        <f t="shared" si="50"/>
        <v>147.45762711864407</v>
      </c>
      <c r="BS95" s="389">
        <f t="shared" si="50"/>
        <v>144</v>
      </c>
      <c r="BT95" s="389">
        <f t="shared" si="50"/>
        <v>143.22869955156952</v>
      </c>
      <c r="BU95" s="389">
        <f t="shared" si="50"/>
        <v>147.75</v>
      </c>
      <c r="BV95" s="389">
        <f t="shared" si="50"/>
        <v>148.16666666666663</v>
      </c>
      <c r="BW95" s="389">
        <f t="shared" si="50"/>
        <v>144.5</v>
      </c>
      <c r="BX95" s="1261">
        <f t="shared" si="50"/>
        <v>146.25</v>
      </c>
      <c r="BY95" s="1207">
        <f t="shared" si="50"/>
        <v>143.5</v>
      </c>
      <c r="BZ95" s="389">
        <f t="shared" si="50"/>
        <v>0</v>
      </c>
      <c r="CA95" s="389">
        <f t="shared" si="50"/>
        <v>0</v>
      </c>
      <c r="CB95" s="389">
        <f t="shared" ref="CB95:CJ95" si="53">SUM(CB88:CB94)</f>
        <v>0</v>
      </c>
      <c r="CC95" s="389">
        <f t="shared" si="53"/>
        <v>0</v>
      </c>
      <c r="CD95" s="1261">
        <f t="shared" si="53"/>
        <v>0</v>
      </c>
      <c r="CE95" s="1207">
        <f t="shared" si="53"/>
        <v>0</v>
      </c>
      <c r="CF95" s="389">
        <f t="shared" si="53"/>
        <v>0</v>
      </c>
      <c r="CG95" s="389">
        <f t="shared" si="53"/>
        <v>0</v>
      </c>
      <c r="CH95" s="389">
        <f t="shared" si="53"/>
        <v>0</v>
      </c>
      <c r="CI95" s="389">
        <f t="shared" si="53"/>
        <v>0</v>
      </c>
      <c r="CJ95" s="389">
        <f t="shared" si="53"/>
        <v>0</v>
      </c>
      <c r="CK95" s="389">
        <f t="shared" ref="CK95:CM95" si="54">SUM(CK88:CK94)</f>
        <v>0</v>
      </c>
      <c r="CL95" s="389">
        <f t="shared" si="54"/>
        <v>0</v>
      </c>
      <c r="CM95" s="389">
        <f t="shared" si="54"/>
        <v>0</v>
      </c>
      <c r="CN95" s="391"/>
      <c r="CO95" s="389">
        <f t="shared" ref="CO95" si="55">SUM(CO88:CO94)</f>
        <v>0</v>
      </c>
      <c r="CP95" s="389">
        <f t="shared" ref="CP95:CU95" si="56">SUM(CP88:CP94)</f>
        <v>14.083333333333334</v>
      </c>
      <c r="CQ95" s="389">
        <f t="shared" si="56"/>
        <v>8</v>
      </c>
      <c r="CR95" s="1261">
        <f t="shared" si="56"/>
        <v>11.333333333333332</v>
      </c>
      <c r="CS95" s="1207">
        <f t="shared" si="56"/>
        <v>16.333333333333332</v>
      </c>
      <c r="CT95" s="389">
        <f t="shared" si="56"/>
        <v>18.583333333333336</v>
      </c>
      <c r="CU95" s="389">
        <f t="shared" si="56"/>
        <v>21.882352941176471</v>
      </c>
      <c r="CV95" s="389">
        <f t="shared" ref="CV95:DD95" si="57">SUM(CV88:CV94)</f>
        <v>16.25</v>
      </c>
      <c r="CW95" s="389">
        <f t="shared" si="57"/>
        <v>16.927899686520373</v>
      </c>
      <c r="CX95" s="389">
        <f t="shared" si="57"/>
        <v>18.166666666666664</v>
      </c>
      <c r="CY95" s="389">
        <f t="shared" si="57"/>
        <v>14.5</v>
      </c>
      <c r="CZ95" s="389">
        <f t="shared" si="57"/>
        <v>16.5</v>
      </c>
      <c r="DA95" s="1261">
        <f t="shared" si="57"/>
        <v>15</v>
      </c>
      <c r="DB95" s="1207">
        <f t="shared" si="57"/>
        <v>0</v>
      </c>
      <c r="DC95" s="389">
        <f t="shared" si="57"/>
        <v>0</v>
      </c>
      <c r="DD95" s="389">
        <f t="shared" si="57"/>
        <v>0</v>
      </c>
      <c r="DE95" s="389">
        <f t="shared" ref="DE95:DM95" si="58">SUM(DE88:DE94)</f>
        <v>0</v>
      </c>
      <c r="DF95" s="389">
        <f t="shared" si="58"/>
        <v>0</v>
      </c>
      <c r="DG95" s="1261">
        <f t="shared" si="58"/>
        <v>0</v>
      </c>
      <c r="DH95" s="1207">
        <f t="shared" si="58"/>
        <v>0</v>
      </c>
      <c r="DI95" s="389">
        <f t="shared" si="58"/>
        <v>0</v>
      </c>
      <c r="DJ95" s="389">
        <f t="shared" si="58"/>
        <v>0</v>
      </c>
      <c r="DK95" s="389">
        <f t="shared" si="58"/>
        <v>0</v>
      </c>
      <c r="DL95" s="389">
        <f t="shared" si="58"/>
        <v>0</v>
      </c>
      <c r="DM95" s="389">
        <f t="shared" si="58"/>
        <v>0</v>
      </c>
      <c r="DN95" s="389">
        <f t="shared" ref="DN95:DP95" si="59">SUM(DN88:DN94)</f>
        <v>0</v>
      </c>
      <c r="DO95" s="389">
        <f t="shared" si="59"/>
        <v>0</v>
      </c>
      <c r="DP95" s="389">
        <f t="shared" si="59"/>
        <v>0</v>
      </c>
      <c r="DQ95" s="344"/>
      <c r="DR95" s="345"/>
      <c r="DS95" s="225"/>
      <c r="DT95" s="225"/>
      <c r="DU95" s="225"/>
      <c r="DV95" s="1269"/>
      <c r="DW95" s="1214"/>
      <c r="DX95" s="225"/>
      <c r="DY95" s="225"/>
      <c r="DZ95" s="225"/>
      <c r="EA95" s="225"/>
      <c r="EB95" s="225"/>
      <c r="EC95" s="225"/>
      <c r="ED95" s="225"/>
      <c r="EE95" s="1269"/>
      <c r="EF95" s="1214"/>
      <c r="EG95" s="225"/>
      <c r="EH95" s="225"/>
      <c r="EI95" s="225"/>
      <c r="EJ95" s="225"/>
      <c r="EK95" s="1269"/>
      <c r="EL95" s="1214"/>
      <c r="EM95" s="225"/>
      <c r="EN95" s="225"/>
      <c r="EO95" s="225"/>
      <c r="EP95" s="225"/>
      <c r="EQ95" s="225"/>
      <c r="ER95" s="225"/>
      <c r="ES95" s="225"/>
      <c r="ET95" s="225"/>
      <c r="EU95" s="344"/>
      <c r="EV95" s="225"/>
      <c r="EW95" s="225"/>
      <c r="EX95" s="225"/>
      <c r="EY95" s="1269"/>
      <c r="EZ95" s="1214"/>
      <c r="FA95" s="225"/>
      <c r="FB95" s="225"/>
      <c r="FC95" s="225"/>
      <c r="FD95" s="225"/>
      <c r="FE95" s="225"/>
      <c r="FF95" s="392"/>
      <c r="FG95" s="392"/>
      <c r="FH95" s="1273"/>
      <c r="FI95" s="1214"/>
      <c r="FJ95" s="225"/>
      <c r="FK95" s="225"/>
      <c r="FL95" s="225"/>
      <c r="FM95" s="225"/>
      <c r="FN95" s="1269"/>
      <c r="FO95" s="1214"/>
      <c r="FP95" s="225"/>
      <c r="FQ95" s="225"/>
      <c r="FR95" s="225"/>
      <c r="FS95" s="225"/>
      <c r="FT95" s="225"/>
      <c r="FU95" s="225"/>
      <c r="FV95" s="225"/>
      <c r="FW95" s="225"/>
    </row>
    <row r="96" spans="3:180" s="299" customFormat="1" ht="15.5" thickTop="1" thickBot="1" x14ac:dyDescent="0.4">
      <c r="C96" s="305"/>
      <c r="D96" s="305"/>
      <c r="E96" s="305"/>
      <c r="F96" s="1031"/>
      <c r="G96" s="307"/>
      <c r="H96" s="307"/>
      <c r="I96" s="1239"/>
      <c r="J96" s="1186"/>
      <c r="K96" s="307"/>
      <c r="L96" s="307"/>
      <c r="M96" s="307"/>
      <c r="N96" s="307"/>
      <c r="O96" s="1239"/>
      <c r="P96" s="1186"/>
      <c r="Q96" s="307"/>
      <c r="R96" s="1239"/>
      <c r="S96" s="1186"/>
      <c r="T96" s="307"/>
      <c r="U96" s="307"/>
      <c r="V96" s="307"/>
      <c r="W96" s="307"/>
      <c r="X96" s="1239"/>
      <c r="Y96" s="1186"/>
      <c r="Z96" s="307"/>
      <c r="AA96" s="307"/>
      <c r="AB96" s="307"/>
      <c r="AC96" s="307"/>
      <c r="AD96" s="307"/>
      <c r="AE96" s="307"/>
      <c r="AF96" s="307"/>
      <c r="AG96" s="307"/>
      <c r="AH96" s="359"/>
      <c r="AI96" s="307"/>
      <c r="AJ96" s="307"/>
      <c r="AK96" s="307"/>
      <c r="AL96" s="1239"/>
      <c r="AM96" s="1186"/>
      <c r="AN96" s="307"/>
      <c r="AO96" s="307"/>
      <c r="AP96" s="307"/>
      <c r="AQ96" s="307"/>
      <c r="AR96" s="307"/>
      <c r="AS96" s="307"/>
      <c r="AT96" s="307"/>
      <c r="AU96" s="1239"/>
      <c r="AV96" s="1186"/>
      <c r="AW96" s="307"/>
      <c r="AX96" s="307"/>
      <c r="AY96" s="307"/>
      <c r="AZ96" s="307"/>
      <c r="BA96" s="1239"/>
      <c r="BB96" s="1186"/>
      <c r="BC96" s="307"/>
      <c r="BD96" s="307"/>
      <c r="BE96" s="307"/>
      <c r="BF96" s="307"/>
      <c r="BG96" s="307"/>
      <c r="BH96" s="307"/>
      <c r="BI96" s="307"/>
      <c r="BJ96" s="307"/>
      <c r="BK96" s="359"/>
      <c r="BL96" s="307"/>
      <c r="BM96" s="307"/>
      <c r="BN96" s="307"/>
      <c r="BO96" s="1239"/>
      <c r="BP96" s="1186"/>
      <c r="BQ96" s="307"/>
      <c r="BR96" s="307"/>
      <c r="BS96" s="307"/>
      <c r="BT96" s="307"/>
      <c r="BU96" s="307"/>
      <c r="BV96" s="307"/>
      <c r="BW96" s="307"/>
      <c r="BX96" s="1239"/>
      <c r="BY96" s="1186"/>
      <c r="BZ96" s="307"/>
      <c r="CA96" s="307"/>
      <c r="CB96" s="307"/>
      <c r="CC96" s="307"/>
      <c r="CD96" s="1239"/>
      <c r="CE96" s="1186"/>
      <c r="CF96" s="307"/>
      <c r="CG96" s="307"/>
      <c r="CH96" s="307"/>
      <c r="CI96" s="307"/>
      <c r="CJ96" s="307"/>
      <c r="CK96" s="307"/>
      <c r="CL96" s="307"/>
      <c r="CM96" s="307"/>
      <c r="CN96" s="359"/>
      <c r="CO96" s="307"/>
      <c r="CP96" s="307"/>
      <c r="CQ96" s="307"/>
      <c r="CR96" s="1239"/>
      <c r="CS96" s="1186"/>
      <c r="CT96" s="307"/>
      <c r="CU96" s="307"/>
      <c r="CV96" s="307"/>
      <c r="CW96" s="307"/>
      <c r="CX96" s="307"/>
      <c r="CY96" s="307"/>
      <c r="CZ96" s="307"/>
      <c r="DA96" s="1239"/>
      <c r="DB96" s="1186"/>
      <c r="DC96" s="307"/>
      <c r="DD96" s="307"/>
      <c r="DE96" s="307"/>
      <c r="DF96" s="307"/>
      <c r="DG96" s="1239"/>
      <c r="DH96" s="1186"/>
      <c r="DI96" s="307"/>
      <c r="DJ96" s="307"/>
      <c r="DK96" s="307"/>
      <c r="DL96" s="307"/>
      <c r="DM96" s="307"/>
      <c r="DN96" s="307"/>
      <c r="DO96" s="307"/>
      <c r="DP96" s="307"/>
      <c r="DQ96" s="359"/>
      <c r="DR96" s="361"/>
      <c r="DS96" s="307"/>
      <c r="DT96" s="307"/>
      <c r="DU96" s="307"/>
      <c r="DV96" s="1239"/>
      <c r="DW96" s="1186"/>
      <c r="DX96" s="307"/>
      <c r="DY96" s="307"/>
      <c r="DZ96" s="307"/>
      <c r="EA96" s="307"/>
      <c r="EB96" s="307"/>
      <c r="EC96" s="307"/>
      <c r="ED96" s="307"/>
      <c r="EE96" s="1239"/>
      <c r="EF96" s="1186"/>
      <c r="EG96" s="307"/>
      <c r="EH96" s="307"/>
      <c r="EI96" s="307"/>
      <c r="EJ96" s="307"/>
      <c r="EK96" s="1239"/>
      <c r="EL96" s="1186"/>
      <c r="EM96" s="307"/>
      <c r="EN96" s="307"/>
      <c r="EO96" s="307"/>
      <c r="EP96" s="307"/>
      <c r="EQ96" s="307"/>
      <c r="ER96" s="307"/>
      <c r="ES96" s="307"/>
      <c r="ET96" s="307"/>
      <c r="EU96" s="359"/>
      <c r="EV96" s="307"/>
      <c r="EW96" s="307"/>
      <c r="EX96" s="307"/>
      <c r="EY96" s="1239"/>
      <c r="EZ96" s="1186"/>
      <c r="FA96" s="307"/>
      <c r="FB96" s="307"/>
      <c r="FC96" s="307"/>
      <c r="FD96" s="307"/>
      <c r="FE96" s="307"/>
      <c r="FF96" s="1144"/>
      <c r="FG96" s="1144"/>
      <c r="FH96" s="1572"/>
      <c r="FI96" s="1186"/>
      <c r="FJ96" s="307"/>
      <c r="FK96" s="307"/>
      <c r="FL96" s="307"/>
      <c r="FM96" s="307"/>
      <c r="FN96" s="1239"/>
      <c r="FO96" s="1186"/>
      <c r="FP96" s="307"/>
      <c r="FQ96" s="307"/>
      <c r="FR96" s="307"/>
      <c r="FS96" s="307"/>
      <c r="FT96" s="307"/>
      <c r="FU96" s="307"/>
      <c r="FV96" s="307"/>
      <c r="FW96" s="307"/>
    </row>
    <row r="97" spans="3:179" ht="15" thickTop="1" x14ac:dyDescent="0.35">
      <c r="C97" s="1" t="s">
        <v>423</v>
      </c>
      <c r="F97" s="896">
        <f>F$20*F$69*10^-6</f>
        <v>1.4325571914893616E-2</v>
      </c>
      <c r="G97" s="895">
        <f t="shared" ref="G97:O97" si="60">G$20*G$69*10^-6</f>
        <v>1.429657875E-2</v>
      </c>
      <c r="H97" s="894">
        <f t="shared" si="60"/>
        <v>1.4594724358974361E-2</v>
      </c>
      <c r="I97" s="1262">
        <f t="shared" si="60"/>
        <v>1.4210254468085106E-2</v>
      </c>
      <c r="J97" s="1208">
        <f t="shared" si="60"/>
        <v>0</v>
      </c>
      <c r="K97" s="894">
        <f t="shared" si="60"/>
        <v>0</v>
      </c>
      <c r="L97" s="894">
        <f t="shared" si="60"/>
        <v>0</v>
      </c>
      <c r="M97" s="894">
        <f t="shared" si="60"/>
        <v>0</v>
      </c>
      <c r="N97" s="894">
        <f t="shared" si="60"/>
        <v>0</v>
      </c>
      <c r="O97" s="1262">
        <f t="shared" si="60"/>
        <v>0</v>
      </c>
      <c r="P97" s="1208">
        <f t="shared" ref="P97:AG97" si="61">P$20*P$70*10^-6</f>
        <v>0</v>
      </c>
      <c r="Q97" s="894">
        <f t="shared" si="61"/>
        <v>0</v>
      </c>
      <c r="R97" s="1262">
        <f t="shared" si="61"/>
        <v>0</v>
      </c>
      <c r="S97" s="1208">
        <f t="shared" si="61"/>
        <v>0</v>
      </c>
      <c r="T97" s="894">
        <f t="shared" si="61"/>
        <v>0</v>
      </c>
      <c r="U97" s="894">
        <f t="shared" si="61"/>
        <v>0</v>
      </c>
      <c r="V97" s="894">
        <f t="shared" si="61"/>
        <v>0</v>
      </c>
      <c r="W97" s="894">
        <f t="shared" si="61"/>
        <v>0</v>
      </c>
      <c r="X97" s="1262">
        <f t="shared" si="61"/>
        <v>0</v>
      </c>
      <c r="Y97" s="1208">
        <f t="shared" si="61"/>
        <v>0</v>
      </c>
      <c r="Z97" s="894">
        <f t="shared" si="61"/>
        <v>0</v>
      </c>
      <c r="AA97" s="894">
        <f t="shared" si="61"/>
        <v>0</v>
      </c>
      <c r="AB97" s="894">
        <f t="shared" si="61"/>
        <v>0</v>
      </c>
      <c r="AC97" s="894">
        <f t="shared" si="61"/>
        <v>0</v>
      </c>
      <c r="AD97" s="894">
        <f t="shared" si="61"/>
        <v>0</v>
      </c>
      <c r="AE97" s="894">
        <f t="shared" si="61"/>
        <v>0</v>
      </c>
      <c r="AF97" s="894">
        <f t="shared" si="61"/>
        <v>0</v>
      </c>
      <c r="AG97" s="894">
        <f t="shared" si="61"/>
        <v>0</v>
      </c>
      <c r="AH97" s="356"/>
      <c r="AI97" s="229"/>
      <c r="AJ97" s="229"/>
      <c r="AK97" s="229"/>
      <c r="AL97" s="1245"/>
      <c r="AM97" s="538"/>
      <c r="AN97" s="229"/>
      <c r="AO97" s="229"/>
      <c r="AP97" s="229"/>
      <c r="AQ97" s="229"/>
      <c r="AR97" s="229"/>
      <c r="AS97" s="229"/>
      <c r="AT97" s="229"/>
      <c r="AU97" s="1245"/>
      <c r="AV97" s="538"/>
      <c r="AW97" s="229"/>
      <c r="AX97" s="229"/>
      <c r="AY97" s="229"/>
      <c r="AZ97" s="229"/>
      <c r="BA97" s="1245"/>
      <c r="BB97" s="538"/>
      <c r="BC97" s="229"/>
      <c r="BD97" s="229"/>
      <c r="BE97" s="229"/>
      <c r="BF97" s="229"/>
      <c r="BG97" s="229"/>
      <c r="BH97" s="229"/>
      <c r="BI97" s="229"/>
      <c r="BJ97" s="229"/>
      <c r="BK97" s="356"/>
      <c r="BL97" s="229"/>
      <c r="BM97" s="229"/>
      <c r="BN97" s="229"/>
      <c r="BO97" s="1245"/>
      <c r="BP97" s="538"/>
      <c r="BQ97" s="229"/>
      <c r="BR97" s="229"/>
      <c r="BS97" s="229"/>
      <c r="BT97" s="229"/>
      <c r="BU97" s="229"/>
      <c r="BV97" s="229"/>
      <c r="BW97" s="229"/>
      <c r="BX97" s="1245"/>
      <c r="BY97" s="538"/>
      <c r="BZ97" s="229"/>
      <c r="CA97" s="229"/>
      <c r="CB97" s="229"/>
      <c r="CC97" s="229"/>
      <c r="CD97" s="1245"/>
      <c r="CE97" s="538"/>
      <c r="CF97" s="229"/>
      <c r="CG97" s="229"/>
      <c r="CH97" s="229"/>
      <c r="CI97" s="229"/>
      <c r="CJ97" s="229"/>
      <c r="CK97" s="229"/>
      <c r="CL97" s="229"/>
      <c r="CM97" s="229"/>
      <c r="CN97" s="356"/>
      <c r="CO97" s="229"/>
      <c r="CP97" s="229"/>
      <c r="CQ97" s="229"/>
      <c r="CR97" s="1245"/>
      <c r="CS97" s="538"/>
      <c r="CT97" s="229"/>
      <c r="CU97" s="229"/>
      <c r="CV97" s="229"/>
      <c r="CW97" s="229"/>
      <c r="CX97" s="229"/>
      <c r="CY97" s="229"/>
      <c r="CZ97" s="229"/>
      <c r="DA97" s="1245"/>
      <c r="DB97" s="538"/>
      <c r="DC97" s="229"/>
      <c r="DD97" s="229"/>
      <c r="DE97" s="229"/>
      <c r="DF97" s="229"/>
      <c r="DG97" s="1245"/>
      <c r="DH97" s="538"/>
      <c r="DI97" s="229"/>
      <c r="DJ97" s="229"/>
      <c r="DK97" s="229"/>
      <c r="DL97" s="229"/>
      <c r="DM97" s="229"/>
      <c r="DN97" s="229"/>
      <c r="DO97" s="229"/>
      <c r="DP97" s="229"/>
      <c r="DQ97" s="356"/>
      <c r="DR97" s="358"/>
      <c r="DS97" s="229"/>
      <c r="DT97" s="229"/>
      <c r="DU97" s="229"/>
      <c r="DV97" s="1245"/>
      <c r="DW97" s="538"/>
      <c r="DX97" s="229"/>
      <c r="DY97" s="229"/>
      <c r="DZ97" s="229"/>
      <c r="EA97" s="229"/>
      <c r="EB97" s="229"/>
      <c r="EC97" s="229"/>
      <c r="ED97" s="229"/>
      <c r="EE97" s="1245"/>
      <c r="EF97" s="538"/>
      <c r="EG97" s="229"/>
      <c r="EH97" s="229"/>
      <c r="EI97" s="229"/>
      <c r="EJ97" s="229"/>
      <c r="EK97" s="1245"/>
      <c r="EL97" s="538"/>
      <c r="EM97" s="229"/>
      <c r="EN97" s="229"/>
      <c r="EO97" s="229"/>
      <c r="EP97" s="229"/>
      <c r="EQ97" s="229"/>
      <c r="ER97" s="229"/>
      <c r="ES97" s="229"/>
      <c r="ET97" s="229"/>
      <c r="EU97" s="356"/>
      <c r="EV97" s="229"/>
      <c r="EW97" s="229"/>
      <c r="EX97" s="229"/>
      <c r="EY97" s="1245"/>
      <c r="EZ97" s="538"/>
      <c r="FA97" s="229"/>
      <c r="FB97" s="229"/>
      <c r="FC97" s="229"/>
      <c r="FD97" s="229"/>
      <c r="FE97" s="229"/>
      <c r="FF97" s="393"/>
      <c r="FG97" s="393"/>
      <c r="FH97" s="1266"/>
      <c r="FI97" s="538"/>
      <c r="FJ97" s="229"/>
      <c r="FK97" s="229"/>
      <c r="FL97" s="229"/>
      <c r="FM97" s="229"/>
      <c r="FN97" s="1245"/>
      <c r="FO97" s="538"/>
      <c r="FP97" s="229"/>
      <c r="FQ97" s="229"/>
      <c r="FR97" s="229"/>
      <c r="FS97" s="229"/>
      <c r="FT97" s="229"/>
      <c r="FU97" s="229"/>
      <c r="FV97" s="229"/>
      <c r="FW97" s="229"/>
    </row>
    <row r="98" spans="3:179" x14ac:dyDescent="0.35">
      <c r="C98" s="1" t="s">
        <v>422</v>
      </c>
      <c r="F98" s="1042">
        <f>F$71*F$20*10^-6</f>
        <v>6.0567868085106384E-3</v>
      </c>
      <c r="G98" s="232">
        <f t="shared" ref="G98:I98" si="62">G$71*G$20*10^-6</f>
        <v>5.77149625E-3</v>
      </c>
      <c r="H98" s="232">
        <f t="shared" si="62"/>
        <v>5.6825987179487192E-3</v>
      </c>
      <c r="I98" s="1236">
        <f t="shared" si="62"/>
        <v>5.7291804255319148E-3</v>
      </c>
      <c r="J98" s="898"/>
      <c r="K98" s="465"/>
      <c r="L98" s="465"/>
      <c r="M98" s="465"/>
      <c r="N98" s="465"/>
      <c r="O98" s="1416"/>
      <c r="P98" s="898"/>
      <c r="Q98" s="465"/>
      <c r="R98" s="1416"/>
      <c r="S98" s="898"/>
      <c r="T98" s="465"/>
      <c r="U98" s="465"/>
      <c r="FF98" s="251"/>
      <c r="FG98" s="251"/>
      <c r="FH98" s="1267"/>
    </row>
    <row r="99" spans="3:179" s="1147" customFormat="1" x14ac:dyDescent="0.35">
      <c r="C99" s="911" t="s">
        <v>129</v>
      </c>
      <c r="D99" s="911"/>
      <c r="E99" s="911"/>
      <c r="F99" s="1043">
        <f>F$73*F$20*(10^-6)</f>
        <v>2.0382358723404256E-2</v>
      </c>
      <c r="G99" s="912">
        <f t="shared" ref="G99:AG99" si="63">G$73*G$20*(10^-6)</f>
        <v>2.0068075000000001E-2</v>
      </c>
      <c r="H99" s="912">
        <f t="shared" si="63"/>
        <v>2.0277323076923079E-2</v>
      </c>
      <c r="I99" s="1263">
        <f>I$73*I$20*(10^-6)</f>
        <v>2.0040770100000001E-2</v>
      </c>
      <c r="J99" s="1209">
        <f>J$73*J$20*(10^-6)</f>
        <v>1.2530233333333333E-2</v>
      </c>
      <c r="K99" s="912">
        <f t="shared" si="63"/>
        <v>1.2070769565217391E-2</v>
      </c>
      <c r="L99" s="912">
        <f t="shared" si="63"/>
        <v>1.2078681249999999E-2</v>
      </c>
      <c r="M99" s="912">
        <f t="shared" si="63"/>
        <v>1.186823043478261E-2</v>
      </c>
      <c r="N99" s="912">
        <f t="shared" si="63"/>
        <v>1.1815452380952381E-2</v>
      </c>
      <c r="O99" s="1263">
        <f t="shared" si="63"/>
        <v>1.2231113043478261E-2</v>
      </c>
      <c r="P99" s="1209">
        <f t="shared" si="63"/>
        <v>1.2242365217391303E-2</v>
      </c>
      <c r="Q99" s="912">
        <f t="shared" si="63"/>
        <v>1.2082021739130434E-2</v>
      </c>
      <c r="R99" s="1263">
        <f t="shared" si="63"/>
        <v>1.2070769565217391E-2</v>
      </c>
      <c r="S99" s="1209">
        <f t="shared" si="63"/>
        <v>0</v>
      </c>
      <c r="T99" s="912">
        <f t="shared" si="63"/>
        <v>0</v>
      </c>
      <c r="U99" s="912">
        <f t="shared" si="63"/>
        <v>0</v>
      </c>
      <c r="V99" s="912">
        <f t="shared" si="63"/>
        <v>0</v>
      </c>
      <c r="W99" s="912">
        <f t="shared" si="63"/>
        <v>0</v>
      </c>
      <c r="X99" s="1263">
        <f t="shared" si="63"/>
        <v>0</v>
      </c>
      <c r="Y99" s="1209">
        <f t="shared" si="63"/>
        <v>0</v>
      </c>
      <c r="Z99" s="912">
        <f t="shared" si="63"/>
        <v>0</v>
      </c>
      <c r="AA99" s="912">
        <f t="shared" si="63"/>
        <v>0</v>
      </c>
      <c r="AB99" s="912">
        <f t="shared" si="63"/>
        <v>0</v>
      </c>
      <c r="AC99" s="912">
        <f t="shared" si="63"/>
        <v>0</v>
      </c>
      <c r="AD99" s="912">
        <f t="shared" si="63"/>
        <v>0</v>
      </c>
      <c r="AE99" s="912">
        <f t="shared" si="63"/>
        <v>0</v>
      </c>
      <c r="AF99" s="912">
        <f t="shared" si="63"/>
        <v>0</v>
      </c>
      <c r="AG99" s="912">
        <f t="shared" si="63"/>
        <v>0</v>
      </c>
      <c r="AH99" s="323"/>
      <c r="AI99" s="912">
        <f>AI$73*AI$20*(10^-6)</f>
        <v>0</v>
      </c>
      <c r="AJ99" s="912">
        <f t="shared" ref="AJ99:BJ99" si="64">AJ$73*AJ$20*(10^-6)</f>
        <v>7.9831666666666656E-5</v>
      </c>
      <c r="AK99" s="912">
        <f t="shared" si="64"/>
        <v>0</v>
      </c>
      <c r="AL99" s="1263">
        <f t="shared" si="64"/>
        <v>0</v>
      </c>
      <c r="AM99" s="1209">
        <f t="shared" si="64"/>
        <v>1.8143617021276596E-4</v>
      </c>
      <c r="AN99" s="912">
        <f t="shared" si="64"/>
        <v>1.0972555499999999E-4</v>
      </c>
      <c r="AO99" s="912">
        <f t="shared" si="64"/>
        <v>0</v>
      </c>
      <c r="AP99" s="912">
        <f t="shared" si="64"/>
        <v>0</v>
      </c>
      <c r="AQ99" s="912">
        <f t="shared" si="64"/>
        <v>0</v>
      </c>
      <c r="AR99" s="912">
        <f t="shared" si="64"/>
        <v>0</v>
      </c>
      <c r="AS99" s="912">
        <f t="shared" si="64"/>
        <v>7.2474066666666664E-5</v>
      </c>
      <c r="AT99" s="912">
        <f t="shared" si="64"/>
        <v>0</v>
      </c>
      <c r="AU99" s="1263">
        <f t="shared" si="64"/>
        <v>0</v>
      </c>
      <c r="AV99" s="1209">
        <f t="shared" si="64"/>
        <v>0</v>
      </c>
      <c r="AW99" s="912">
        <f t="shared" si="64"/>
        <v>0</v>
      </c>
      <c r="AX99" s="912">
        <f t="shared" si="64"/>
        <v>0</v>
      </c>
      <c r="AY99" s="912">
        <f t="shared" si="64"/>
        <v>0</v>
      </c>
      <c r="AZ99" s="912">
        <f t="shared" si="64"/>
        <v>0</v>
      </c>
      <c r="BA99" s="1263">
        <f t="shared" si="64"/>
        <v>0</v>
      </c>
      <c r="BB99" s="1209">
        <f t="shared" si="64"/>
        <v>0</v>
      </c>
      <c r="BC99" s="912">
        <f t="shared" si="64"/>
        <v>0</v>
      </c>
      <c r="BD99" s="912">
        <f t="shared" si="64"/>
        <v>0</v>
      </c>
      <c r="BE99" s="912">
        <f t="shared" si="64"/>
        <v>0</v>
      </c>
      <c r="BF99" s="912">
        <f t="shared" si="64"/>
        <v>0</v>
      </c>
      <c r="BG99" s="912">
        <f t="shared" si="64"/>
        <v>0</v>
      </c>
      <c r="BH99" s="912">
        <f t="shared" si="64"/>
        <v>0</v>
      </c>
      <c r="BI99" s="912">
        <f t="shared" si="64"/>
        <v>0</v>
      </c>
      <c r="BJ99" s="912">
        <f t="shared" si="64"/>
        <v>0</v>
      </c>
      <c r="BK99" s="323"/>
      <c r="BL99" s="912">
        <f t="shared" ref="BL99:CM99" si="65">BL$73*BL$20*(10^-6)</f>
        <v>6.0727727659574465E-3</v>
      </c>
      <c r="BM99" s="912">
        <f t="shared" si="65"/>
        <v>5.8334708333333323E-3</v>
      </c>
      <c r="BN99" s="912">
        <f t="shared" si="65"/>
        <v>6.6331727777777776E-3</v>
      </c>
      <c r="BO99" s="1263">
        <f t="shared" si="65"/>
        <v>6.279206666666667E-3</v>
      </c>
      <c r="BP99" s="1209">
        <f t="shared" si="65"/>
        <v>5.6906666666666655E-4</v>
      </c>
      <c r="BQ99" s="912">
        <f t="shared" si="65"/>
        <v>6.7977777777777785E-4</v>
      </c>
      <c r="BR99" s="912">
        <f t="shared" si="65"/>
        <v>8.8474576271186441E-4</v>
      </c>
      <c r="BS99" s="912">
        <f t="shared" si="65"/>
        <v>9.8063999999999985E-4</v>
      </c>
      <c r="BT99" s="912">
        <f t="shared" si="65"/>
        <v>1.0964156950672645E-3</v>
      </c>
      <c r="BU99" s="912">
        <f t="shared" si="65"/>
        <v>1.2278025E-3</v>
      </c>
      <c r="BV99" s="912">
        <f t="shared" si="65"/>
        <v>1.3794316666666665E-3</v>
      </c>
      <c r="BW99" s="912">
        <f t="shared" si="65"/>
        <v>1.330845E-3</v>
      </c>
      <c r="BX99" s="1263">
        <f t="shared" si="65"/>
        <v>1.4039999999999999E-3</v>
      </c>
      <c r="BY99" s="1209">
        <f t="shared" si="65"/>
        <v>0</v>
      </c>
      <c r="BZ99" s="912">
        <f t="shared" si="65"/>
        <v>0</v>
      </c>
      <c r="CA99" s="912">
        <f t="shared" si="65"/>
        <v>0</v>
      </c>
      <c r="CB99" s="912">
        <f t="shared" si="65"/>
        <v>0</v>
      </c>
      <c r="CC99" s="912">
        <f t="shared" si="65"/>
        <v>0</v>
      </c>
      <c r="CD99" s="1263">
        <f t="shared" si="65"/>
        <v>0</v>
      </c>
      <c r="CE99" s="1209">
        <f t="shared" si="65"/>
        <v>0</v>
      </c>
      <c r="CF99" s="912">
        <f t="shared" si="65"/>
        <v>0</v>
      </c>
      <c r="CG99" s="912">
        <f t="shared" si="65"/>
        <v>0</v>
      </c>
      <c r="CH99" s="912">
        <f t="shared" si="65"/>
        <v>0</v>
      </c>
      <c r="CI99" s="912">
        <f t="shared" si="65"/>
        <v>0</v>
      </c>
      <c r="CJ99" s="912">
        <f t="shared" si="65"/>
        <v>0</v>
      </c>
      <c r="CK99" s="912">
        <f t="shared" si="65"/>
        <v>0</v>
      </c>
      <c r="CL99" s="912">
        <f t="shared" si="65"/>
        <v>0</v>
      </c>
      <c r="CM99" s="912">
        <f t="shared" si="65"/>
        <v>0</v>
      </c>
      <c r="CN99" s="323"/>
      <c r="CO99" s="912"/>
      <c r="CP99" s="912"/>
      <c r="CQ99" s="912"/>
      <c r="CR99" s="1263"/>
      <c r="CS99" s="1209"/>
      <c r="CT99" s="912"/>
      <c r="CU99" s="912"/>
      <c r="CV99" s="912"/>
      <c r="CW99" s="912"/>
      <c r="CX99" s="912"/>
      <c r="CY99" s="912"/>
      <c r="CZ99" s="912"/>
      <c r="DA99" s="1263"/>
      <c r="DB99" s="1209"/>
      <c r="DC99" s="912"/>
      <c r="DD99" s="912"/>
      <c r="DE99" s="912"/>
      <c r="DF99" s="912"/>
      <c r="DG99" s="1263"/>
      <c r="DH99" s="1209"/>
      <c r="DI99" s="912"/>
      <c r="DJ99" s="912"/>
      <c r="DK99" s="912"/>
      <c r="DL99" s="912"/>
      <c r="DM99" s="912"/>
      <c r="DN99" s="912"/>
      <c r="DO99" s="912"/>
      <c r="DP99" s="912"/>
      <c r="DQ99" s="323"/>
      <c r="DR99" s="1145"/>
      <c r="DS99" s="912"/>
      <c r="DT99" s="912"/>
      <c r="DU99" s="912"/>
      <c r="DV99" s="1263"/>
      <c r="DW99" s="1209"/>
      <c r="DX99" s="912"/>
      <c r="DY99" s="912"/>
      <c r="DZ99" s="912"/>
      <c r="EA99" s="912"/>
      <c r="EB99" s="912"/>
      <c r="EC99" s="912"/>
      <c r="ED99" s="912"/>
      <c r="EE99" s="1263"/>
      <c r="EF99" s="1209"/>
      <c r="EG99" s="912"/>
      <c r="EH99" s="912"/>
      <c r="EI99" s="912"/>
      <c r="EJ99" s="912"/>
      <c r="EK99" s="1263"/>
      <c r="EL99" s="1209"/>
      <c r="EM99" s="912"/>
      <c r="EN99" s="912"/>
      <c r="EO99" s="912"/>
      <c r="EP99" s="912"/>
      <c r="EQ99" s="912"/>
      <c r="ER99" s="912"/>
      <c r="ES99" s="912"/>
      <c r="ET99" s="912"/>
      <c r="EU99" s="323"/>
      <c r="EV99" s="912"/>
      <c r="EW99" s="912"/>
      <c r="EX99" s="912"/>
      <c r="EY99" s="1263"/>
      <c r="EZ99" s="1209"/>
      <c r="FA99" s="912"/>
      <c r="FB99" s="912"/>
      <c r="FC99" s="912"/>
      <c r="FD99" s="912"/>
      <c r="FE99" s="912"/>
      <c r="FF99" s="912"/>
      <c r="FG99" s="912"/>
      <c r="FH99" s="1263"/>
      <c r="FI99" s="1209"/>
      <c r="FJ99" s="1146"/>
      <c r="FK99" s="912"/>
      <c r="FL99" s="912"/>
      <c r="FM99" s="912"/>
      <c r="FN99" s="1263"/>
      <c r="FO99" s="1209"/>
      <c r="FP99" s="912"/>
      <c r="FQ99" s="912"/>
      <c r="FR99" s="912"/>
      <c r="FS99" s="912"/>
      <c r="FT99" s="912"/>
      <c r="FU99" s="912"/>
      <c r="FV99" s="912"/>
      <c r="FW99" s="912"/>
    </row>
    <row r="100" spans="3:179" x14ac:dyDescent="0.35">
      <c r="C100" s="1" t="s">
        <v>417</v>
      </c>
      <c r="F100" s="1042">
        <f>F$69*F$24*10^-6</f>
        <v>4.6521474893617014E-2</v>
      </c>
      <c r="G100" s="232">
        <f t="shared" ref="G100:O100" si="66">G$69*G$24*10^-6</f>
        <v>4.642732125E-2</v>
      </c>
      <c r="H100" s="232">
        <f t="shared" si="66"/>
        <v>4.7395532051282052E-2</v>
      </c>
      <c r="I100" s="1236">
        <f t="shared" si="66"/>
        <v>4.614698808510638E-2</v>
      </c>
      <c r="J100" s="643">
        <f t="shared" si="66"/>
        <v>0</v>
      </c>
      <c r="K100" s="232">
        <f t="shared" si="66"/>
        <v>0</v>
      </c>
      <c r="L100" s="232">
        <f t="shared" si="66"/>
        <v>0</v>
      </c>
      <c r="M100" s="232">
        <f t="shared" si="66"/>
        <v>0</v>
      </c>
      <c r="N100" s="232">
        <f t="shared" si="66"/>
        <v>0</v>
      </c>
      <c r="O100" s="1236">
        <f t="shared" si="66"/>
        <v>0</v>
      </c>
      <c r="P100" s="643">
        <f t="shared" ref="P100:AG100" si="67">P$70*P$24*10^-6</f>
        <v>0</v>
      </c>
      <c r="Q100" s="232">
        <f t="shared" si="67"/>
        <v>0</v>
      </c>
      <c r="R100" s="1236">
        <f t="shared" si="67"/>
        <v>0</v>
      </c>
      <c r="S100" s="643">
        <f t="shared" si="67"/>
        <v>0</v>
      </c>
      <c r="T100" s="232">
        <f t="shared" si="67"/>
        <v>0</v>
      </c>
      <c r="U100" s="232">
        <f t="shared" si="67"/>
        <v>0</v>
      </c>
      <c r="V100" s="232">
        <f t="shared" si="67"/>
        <v>0</v>
      </c>
      <c r="W100" s="232">
        <f t="shared" si="67"/>
        <v>0</v>
      </c>
      <c r="X100" s="1236">
        <f t="shared" si="67"/>
        <v>0</v>
      </c>
      <c r="Y100" s="643">
        <f t="shared" si="67"/>
        <v>0</v>
      </c>
      <c r="Z100" s="232">
        <f t="shared" si="67"/>
        <v>0</v>
      </c>
      <c r="AA100" s="232">
        <f t="shared" si="67"/>
        <v>0</v>
      </c>
      <c r="AB100" s="232">
        <f t="shared" si="67"/>
        <v>0</v>
      </c>
      <c r="AC100" s="232">
        <f t="shared" si="67"/>
        <v>0</v>
      </c>
      <c r="AD100" s="232">
        <f t="shared" si="67"/>
        <v>0</v>
      </c>
      <c r="AE100" s="232">
        <f t="shared" si="67"/>
        <v>0</v>
      </c>
      <c r="AF100" s="232">
        <f t="shared" si="67"/>
        <v>0</v>
      </c>
      <c r="AG100" s="232">
        <f t="shared" si="67"/>
        <v>0</v>
      </c>
      <c r="AH100" s="337"/>
      <c r="AI100" s="266"/>
      <c r="AJ100" s="266"/>
      <c r="AK100" s="266"/>
      <c r="AL100" s="1479"/>
      <c r="AM100" s="1467"/>
      <c r="AN100" s="266"/>
      <c r="AO100" s="266"/>
      <c r="AP100" s="266"/>
      <c r="AQ100" s="266"/>
      <c r="AR100" s="266"/>
      <c r="AS100" s="266"/>
      <c r="AT100" s="266"/>
      <c r="AU100" s="1479"/>
      <c r="AV100" s="1467"/>
      <c r="AW100" s="266"/>
      <c r="AX100" s="266"/>
      <c r="AY100" s="266"/>
      <c r="AZ100" s="266"/>
      <c r="BA100" s="1479"/>
      <c r="BB100" s="1467"/>
      <c r="BC100" s="266"/>
      <c r="BD100" s="266"/>
      <c r="BE100" s="266"/>
      <c r="BF100" s="266"/>
      <c r="BG100" s="266"/>
      <c r="BH100" s="266"/>
      <c r="BI100" s="266"/>
      <c r="BJ100" s="266"/>
      <c r="BK100" s="337"/>
      <c r="BP100" s="898"/>
      <c r="BQ100" s="465"/>
      <c r="BR100" s="465"/>
      <c r="BS100" s="465"/>
      <c r="BT100" s="465"/>
      <c r="BU100" s="465"/>
      <c r="BV100" s="465"/>
      <c r="BW100" s="465"/>
      <c r="BX100" s="1416"/>
      <c r="BY100" s="898"/>
      <c r="BZ100" s="465"/>
      <c r="CA100" s="465"/>
      <c r="CB100" s="266"/>
      <c r="CC100" s="266"/>
      <c r="CD100" s="1479"/>
      <c r="CE100" s="1467"/>
      <c r="CF100" s="266"/>
      <c r="CG100" s="266"/>
      <c r="CH100" s="266"/>
      <c r="CI100" s="266"/>
      <c r="CJ100" s="266"/>
      <c r="CK100" s="266"/>
      <c r="CL100" s="266"/>
      <c r="CM100" s="266"/>
      <c r="CN100" s="337"/>
      <c r="CO100" s="266"/>
      <c r="CP100" s="266"/>
      <c r="CQ100" s="266"/>
      <c r="CR100" s="1479"/>
      <c r="CS100" s="1467"/>
      <c r="CT100" s="266"/>
      <c r="CU100" s="266"/>
      <c r="CV100" s="266"/>
      <c r="CW100" s="266"/>
      <c r="CX100" s="266"/>
      <c r="CY100" s="266"/>
      <c r="CZ100" s="266"/>
      <c r="DA100" s="1479"/>
      <c r="DB100" s="1467"/>
      <c r="DC100" s="266"/>
      <c r="DD100" s="266"/>
      <c r="FJ100" s="240"/>
    </row>
    <row r="101" spans="3:179" x14ac:dyDescent="0.35">
      <c r="C101" s="1" t="s">
        <v>418</v>
      </c>
      <c r="F101" s="1042">
        <f>F$71*F$24*10^-6</f>
        <v>1.9669068510638293E-2</v>
      </c>
      <c r="G101" s="232">
        <f t="shared" ref="G101:I101" si="68">G$71*G$24*10^-6</f>
        <v>1.8742603749999996E-2</v>
      </c>
      <c r="H101" s="232">
        <f t="shared" si="68"/>
        <v>1.8453914102564101E-2</v>
      </c>
      <c r="I101" s="1236">
        <f t="shared" si="68"/>
        <v>1.860518553191489E-2</v>
      </c>
      <c r="J101" s="898"/>
      <c r="K101" s="465"/>
      <c r="L101" s="465"/>
      <c r="M101" s="465"/>
      <c r="N101" s="465"/>
      <c r="O101" s="1416"/>
      <c r="P101" s="898"/>
      <c r="Q101" s="465"/>
      <c r="R101" s="1416"/>
      <c r="S101" s="898"/>
      <c r="T101" s="465"/>
      <c r="U101" s="465"/>
      <c r="V101" s="465"/>
      <c r="W101" s="465"/>
      <c r="X101" s="1416"/>
      <c r="Y101" s="898"/>
      <c r="Z101" s="465"/>
      <c r="AA101" s="465"/>
      <c r="AB101" s="465"/>
      <c r="AC101" s="465"/>
      <c r="AD101" s="465"/>
      <c r="AE101" s="465"/>
      <c r="AF101" s="465"/>
      <c r="AG101" s="465"/>
      <c r="AH101" s="337"/>
      <c r="AI101" s="266"/>
      <c r="AJ101" s="266"/>
      <c r="AK101" s="266"/>
      <c r="AL101" s="1479"/>
      <c r="AM101" s="1467"/>
      <c r="AN101" s="266"/>
      <c r="AO101" s="266"/>
      <c r="AP101" s="266"/>
      <c r="AQ101" s="266"/>
      <c r="AR101" s="266"/>
      <c r="AS101" s="266"/>
      <c r="AT101" s="266"/>
      <c r="AU101" s="1479"/>
      <c r="AV101" s="1467"/>
      <c r="AW101" s="266"/>
      <c r="AX101" s="266"/>
      <c r="AY101" s="266"/>
      <c r="AZ101" s="266"/>
      <c r="BA101" s="1479"/>
      <c r="BB101" s="1467"/>
      <c r="BC101" s="266"/>
      <c r="BD101" s="266"/>
      <c r="BE101" s="266"/>
      <c r="BF101" s="266"/>
      <c r="BG101" s="266"/>
      <c r="BH101" s="266"/>
      <c r="BI101" s="266"/>
      <c r="BJ101" s="266"/>
      <c r="BK101" s="337"/>
      <c r="BP101" s="898"/>
      <c r="BQ101" s="465"/>
      <c r="BR101" s="465"/>
      <c r="BS101" s="465"/>
      <c r="BT101" s="465"/>
      <c r="BU101" s="465"/>
      <c r="BV101" s="465"/>
      <c r="BW101" s="465"/>
      <c r="BX101" s="1416"/>
      <c r="BY101" s="898"/>
      <c r="BZ101" s="465"/>
      <c r="CA101" s="465"/>
      <c r="CB101" s="266"/>
      <c r="CC101" s="266"/>
      <c r="CD101" s="1479"/>
      <c r="CE101" s="1467"/>
      <c r="CF101" s="266"/>
      <c r="CG101" s="266"/>
      <c r="CH101" s="266"/>
      <c r="CI101" s="266"/>
      <c r="CJ101" s="266"/>
      <c r="CK101" s="266"/>
      <c r="CL101" s="266"/>
      <c r="CM101" s="266"/>
      <c r="CN101" s="337"/>
      <c r="CO101" s="266"/>
      <c r="CP101" s="266"/>
      <c r="CQ101" s="266"/>
      <c r="CR101" s="1479"/>
      <c r="CS101" s="1467"/>
      <c r="CT101" s="266"/>
      <c r="CU101" s="266"/>
      <c r="CV101" s="266"/>
      <c r="CW101" s="266"/>
      <c r="CX101" s="266"/>
      <c r="CY101" s="266"/>
      <c r="CZ101" s="266"/>
      <c r="DA101" s="1479"/>
      <c r="DB101" s="1467"/>
      <c r="DC101" s="266"/>
      <c r="DD101" s="266"/>
      <c r="FJ101" s="240"/>
    </row>
    <row r="102" spans="3:179" s="1148" customFormat="1" x14ac:dyDescent="0.35">
      <c r="C102" s="444" t="s">
        <v>130</v>
      </c>
      <c r="D102" s="444"/>
      <c r="E102" s="444"/>
      <c r="F102" s="1044">
        <f t="shared" ref="F102:AG102" si="69">F$73*F$24*(10^-6)</f>
        <v>6.61905434042553E-2</v>
      </c>
      <c r="G102" s="468">
        <f t="shared" si="69"/>
        <v>6.516992499999999E-2</v>
      </c>
      <c r="H102" s="468">
        <f t="shared" si="69"/>
        <v>6.5849446153846164E-2</v>
      </c>
      <c r="I102" s="1264">
        <f t="shared" si="69"/>
        <v>6.5081253899999997E-2</v>
      </c>
      <c r="J102" s="1210">
        <f t="shared" si="69"/>
        <v>3.9856599999999999E-2</v>
      </c>
      <c r="K102" s="468">
        <f t="shared" si="69"/>
        <v>3.8395121739130435E-2</v>
      </c>
      <c r="L102" s="468">
        <f t="shared" si="69"/>
        <v>3.8420287499999997E-2</v>
      </c>
      <c r="M102" s="468">
        <f t="shared" si="69"/>
        <v>3.7750878260869571E-2</v>
      </c>
      <c r="N102" s="468">
        <f t="shared" si="69"/>
        <v>3.7582999999999998E-2</v>
      </c>
      <c r="O102" s="1264">
        <f t="shared" si="69"/>
        <v>3.8905147826086957E-2</v>
      </c>
      <c r="P102" s="1210">
        <f t="shared" si="69"/>
        <v>3.8940939130434782E-2</v>
      </c>
      <c r="Q102" s="468">
        <f t="shared" si="69"/>
        <v>3.843091304347826E-2</v>
      </c>
      <c r="R102" s="1264">
        <f t="shared" si="69"/>
        <v>3.8395121739130435E-2</v>
      </c>
      <c r="S102" s="1210">
        <f t="shared" si="69"/>
        <v>0</v>
      </c>
      <c r="T102" s="468">
        <f t="shared" si="69"/>
        <v>0</v>
      </c>
      <c r="U102" s="468">
        <f t="shared" si="69"/>
        <v>0</v>
      </c>
      <c r="V102" s="468">
        <f t="shared" si="69"/>
        <v>0</v>
      </c>
      <c r="W102" s="468">
        <f t="shared" si="69"/>
        <v>0</v>
      </c>
      <c r="X102" s="1264">
        <f t="shared" si="69"/>
        <v>0</v>
      </c>
      <c r="Y102" s="1210">
        <f t="shared" si="69"/>
        <v>0</v>
      </c>
      <c r="Z102" s="468">
        <f t="shared" si="69"/>
        <v>0</v>
      </c>
      <c r="AA102" s="468">
        <f t="shared" si="69"/>
        <v>0</v>
      </c>
      <c r="AB102" s="468">
        <f t="shared" si="69"/>
        <v>0</v>
      </c>
      <c r="AC102" s="468">
        <f t="shared" si="69"/>
        <v>0</v>
      </c>
      <c r="AD102" s="468">
        <f t="shared" si="69"/>
        <v>0</v>
      </c>
      <c r="AE102" s="468">
        <f t="shared" si="69"/>
        <v>0</v>
      </c>
      <c r="AF102" s="468">
        <f t="shared" si="69"/>
        <v>0</v>
      </c>
      <c r="AG102" s="468">
        <f t="shared" si="69"/>
        <v>0</v>
      </c>
      <c r="AH102" s="323"/>
      <c r="AI102" s="468">
        <f t="shared" ref="AI102:BJ102" si="70">AI$73*AI$24*(10^-6)</f>
        <v>0</v>
      </c>
      <c r="AJ102" s="468">
        <f t="shared" si="70"/>
        <v>1.532983333333333E-4</v>
      </c>
      <c r="AK102" s="468">
        <f t="shared" si="70"/>
        <v>0</v>
      </c>
      <c r="AL102" s="1264">
        <f t="shared" si="70"/>
        <v>0</v>
      </c>
      <c r="AM102" s="1210">
        <f t="shared" si="70"/>
        <v>2.8418936170212763E-4</v>
      </c>
      <c r="AN102" s="468">
        <f t="shared" si="70"/>
        <v>1.6655823E-4</v>
      </c>
      <c r="AO102" s="468">
        <f t="shared" si="70"/>
        <v>0</v>
      </c>
      <c r="AP102" s="468">
        <f t="shared" si="70"/>
        <v>0</v>
      </c>
      <c r="AQ102" s="468">
        <f t="shared" si="70"/>
        <v>0</v>
      </c>
      <c r="AR102" s="468">
        <f t="shared" si="70"/>
        <v>0</v>
      </c>
      <c r="AS102" s="468">
        <f t="shared" si="70"/>
        <v>1.8926168750000002E-4</v>
      </c>
      <c r="AT102" s="468">
        <f t="shared" si="70"/>
        <v>0</v>
      </c>
      <c r="AU102" s="1264">
        <f t="shared" si="70"/>
        <v>0</v>
      </c>
      <c r="AV102" s="1210">
        <f t="shared" si="70"/>
        <v>0</v>
      </c>
      <c r="AW102" s="468">
        <f t="shared" si="70"/>
        <v>0</v>
      </c>
      <c r="AX102" s="468">
        <f t="shared" si="70"/>
        <v>0</v>
      </c>
      <c r="AY102" s="468">
        <f t="shared" si="70"/>
        <v>0</v>
      </c>
      <c r="AZ102" s="468">
        <f t="shared" si="70"/>
        <v>0</v>
      </c>
      <c r="BA102" s="1264">
        <f t="shared" si="70"/>
        <v>0</v>
      </c>
      <c r="BB102" s="1210">
        <f t="shared" si="70"/>
        <v>0</v>
      </c>
      <c r="BC102" s="468">
        <f t="shared" si="70"/>
        <v>0</v>
      </c>
      <c r="BD102" s="468">
        <f t="shared" si="70"/>
        <v>0</v>
      </c>
      <c r="BE102" s="468">
        <f t="shared" si="70"/>
        <v>0</v>
      </c>
      <c r="BF102" s="468">
        <f t="shared" si="70"/>
        <v>0</v>
      </c>
      <c r="BG102" s="468">
        <f t="shared" si="70"/>
        <v>0</v>
      </c>
      <c r="BH102" s="468">
        <f t="shared" si="70"/>
        <v>0</v>
      </c>
      <c r="BI102" s="468">
        <f t="shared" si="70"/>
        <v>0</v>
      </c>
      <c r="BJ102" s="468">
        <f t="shared" si="70"/>
        <v>0</v>
      </c>
      <c r="BK102" s="323"/>
      <c r="BL102" s="468">
        <f t="shared" ref="BL102:CM102" si="71">BL$73*BL$24*(10^-6)</f>
        <v>7.7006365957446796E-3</v>
      </c>
      <c r="BM102" s="468">
        <f t="shared" si="71"/>
        <v>8.2819166666666683E-3</v>
      </c>
      <c r="BN102" s="468">
        <f t="shared" si="71"/>
        <v>1.0554197499999999E-2</v>
      </c>
      <c r="BO102" s="1264">
        <f t="shared" si="71"/>
        <v>1.0370556666666668E-2</v>
      </c>
      <c r="BP102" s="1210">
        <f t="shared" si="71"/>
        <v>1.0413333333333332E-4</v>
      </c>
      <c r="BQ102" s="468">
        <f t="shared" si="71"/>
        <v>1.173511111111111E-4</v>
      </c>
      <c r="BR102" s="468">
        <f t="shared" si="71"/>
        <v>1.7842372881355929E-4</v>
      </c>
      <c r="BS102" s="468">
        <f t="shared" si="71"/>
        <v>2.4479999999999999E-4</v>
      </c>
      <c r="BT102" s="468">
        <f t="shared" si="71"/>
        <v>3.8027219730941698E-4</v>
      </c>
      <c r="BU102" s="468">
        <f t="shared" si="71"/>
        <v>4.0778999999999994E-4</v>
      </c>
      <c r="BV102" s="468">
        <f t="shared" si="71"/>
        <v>5.0376666666666653E-4</v>
      </c>
      <c r="BW102" s="468">
        <f t="shared" si="71"/>
        <v>4.8551999999999997E-4</v>
      </c>
      <c r="BX102" s="1264">
        <f t="shared" si="71"/>
        <v>5.46975E-4</v>
      </c>
      <c r="BY102" s="1210">
        <f t="shared" si="71"/>
        <v>0</v>
      </c>
      <c r="BZ102" s="468">
        <f t="shared" si="71"/>
        <v>0</v>
      </c>
      <c r="CA102" s="468">
        <f t="shared" si="71"/>
        <v>0</v>
      </c>
      <c r="CB102" s="468">
        <f t="shared" si="71"/>
        <v>0</v>
      </c>
      <c r="CC102" s="468">
        <f t="shared" si="71"/>
        <v>0</v>
      </c>
      <c r="CD102" s="1264">
        <f t="shared" si="71"/>
        <v>0</v>
      </c>
      <c r="CE102" s="1210">
        <f t="shared" si="71"/>
        <v>0</v>
      </c>
      <c r="CF102" s="468">
        <f t="shared" si="71"/>
        <v>0</v>
      </c>
      <c r="CG102" s="468">
        <f t="shared" si="71"/>
        <v>0</v>
      </c>
      <c r="CH102" s="468">
        <f t="shared" si="71"/>
        <v>0</v>
      </c>
      <c r="CI102" s="468">
        <f t="shared" si="71"/>
        <v>0</v>
      </c>
      <c r="CJ102" s="468">
        <f t="shared" si="71"/>
        <v>0</v>
      </c>
      <c r="CK102" s="468">
        <f t="shared" si="71"/>
        <v>0</v>
      </c>
      <c r="CL102" s="468">
        <f t="shared" si="71"/>
        <v>0</v>
      </c>
      <c r="CM102" s="468">
        <f t="shared" si="71"/>
        <v>0</v>
      </c>
      <c r="CN102" s="323"/>
      <c r="CO102" s="468"/>
      <c r="CP102" s="468"/>
      <c r="CQ102" s="468"/>
      <c r="CR102" s="1264"/>
      <c r="CS102" s="1210"/>
      <c r="CT102" s="468"/>
      <c r="CU102" s="468"/>
      <c r="CV102" s="468"/>
      <c r="CW102" s="468"/>
      <c r="CX102" s="468"/>
      <c r="CY102" s="468"/>
      <c r="CZ102" s="468"/>
      <c r="DA102" s="1264"/>
      <c r="DB102" s="1210"/>
      <c r="DC102" s="468"/>
      <c r="DD102" s="468"/>
      <c r="DE102" s="468"/>
      <c r="DF102" s="468"/>
      <c r="DG102" s="1264"/>
      <c r="DH102" s="1210"/>
      <c r="DI102" s="468"/>
      <c r="DJ102" s="468"/>
      <c r="DK102" s="468"/>
      <c r="DL102" s="468"/>
      <c r="DM102" s="468"/>
      <c r="DN102" s="468"/>
      <c r="DO102" s="468"/>
      <c r="DP102" s="468"/>
      <c r="DQ102" s="323"/>
      <c r="DR102" s="471"/>
      <c r="DS102" s="468"/>
      <c r="DT102" s="468"/>
      <c r="DU102" s="468"/>
      <c r="DV102" s="1264"/>
      <c r="DW102" s="1210"/>
      <c r="DX102" s="468"/>
      <c r="DY102" s="468"/>
      <c r="DZ102" s="468"/>
      <c r="EA102" s="468"/>
      <c r="EB102" s="468"/>
      <c r="EC102" s="468"/>
      <c r="ED102" s="468"/>
      <c r="EE102" s="1264"/>
      <c r="EF102" s="1210"/>
      <c r="EG102" s="468"/>
      <c r="EH102" s="468"/>
      <c r="EI102" s="468"/>
      <c r="EJ102" s="468"/>
      <c r="EK102" s="1264"/>
      <c r="EL102" s="1210"/>
      <c r="EM102" s="468"/>
      <c r="EN102" s="468"/>
      <c r="EO102" s="468"/>
      <c r="EP102" s="468"/>
      <c r="EQ102" s="468"/>
      <c r="ER102" s="468"/>
      <c r="ES102" s="468"/>
      <c r="ET102" s="468"/>
      <c r="EU102" s="323"/>
      <c r="EV102" s="468"/>
      <c r="EW102" s="468"/>
      <c r="EX102" s="468"/>
      <c r="EY102" s="1264"/>
      <c r="EZ102" s="1210"/>
      <c r="FA102" s="468"/>
      <c r="FB102" s="468"/>
      <c r="FC102" s="468"/>
      <c r="FD102" s="468"/>
      <c r="FE102" s="468"/>
      <c r="FF102" s="468"/>
      <c r="FG102" s="468"/>
      <c r="FH102" s="1264"/>
      <c r="FI102" s="1210"/>
      <c r="FJ102" s="473"/>
      <c r="FK102" s="468"/>
      <c r="FL102" s="468"/>
      <c r="FM102" s="468"/>
      <c r="FN102" s="1264"/>
      <c r="FO102" s="1210"/>
      <c r="FP102" s="468"/>
      <c r="FQ102" s="468"/>
      <c r="FR102" s="468"/>
      <c r="FS102" s="468"/>
      <c r="FT102" s="468"/>
      <c r="FU102" s="468"/>
      <c r="FV102" s="468"/>
      <c r="FW102" s="468"/>
    </row>
    <row r="103" spans="3:179" x14ac:dyDescent="0.35">
      <c r="C103" s="1" t="s">
        <v>131</v>
      </c>
      <c r="F103" s="1042">
        <f t="shared" ref="F103:AG103" si="72">F$73*F$28*(10^-6)</f>
        <v>5.3876408510638296E-3</v>
      </c>
      <c r="G103" s="232">
        <f t="shared" si="72"/>
        <v>5.3045666666666665E-3</v>
      </c>
      <c r="H103" s="232">
        <f t="shared" si="72"/>
        <v>5.3598769230769235E-3</v>
      </c>
      <c r="I103" s="1236">
        <f t="shared" si="72"/>
        <v>5.2973492000000007E-3</v>
      </c>
      <c r="J103" s="898">
        <f t="shared" si="72"/>
        <v>3.8985099999999996E-3</v>
      </c>
      <c r="K103" s="465">
        <f t="shared" si="72"/>
        <v>3.7555578260869559E-3</v>
      </c>
      <c r="L103" s="465">
        <f t="shared" si="72"/>
        <v>3.7580193749999998E-3</v>
      </c>
      <c r="M103" s="465">
        <f t="shared" si="72"/>
        <v>3.6925421739130433E-3</v>
      </c>
      <c r="N103" s="465">
        <f t="shared" si="72"/>
        <v>3.6761214285714284E-3</v>
      </c>
      <c r="O103" s="1416">
        <f t="shared" si="72"/>
        <v>3.8054452173913039E-3</v>
      </c>
      <c r="P103" s="898">
        <f t="shared" si="72"/>
        <v>3.8089460869565211E-3</v>
      </c>
      <c r="Q103" s="465">
        <f t="shared" si="72"/>
        <v>3.759058695652173E-3</v>
      </c>
      <c r="R103" s="1416">
        <f t="shared" si="72"/>
        <v>3.7555578260869559E-3</v>
      </c>
      <c r="S103" s="898">
        <f t="shared" si="72"/>
        <v>0</v>
      </c>
      <c r="T103" s="465">
        <f t="shared" si="72"/>
        <v>0</v>
      </c>
      <c r="U103" s="465">
        <f t="shared" si="72"/>
        <v>0</v>
      </c>
      <c r="V103" s="465">
        <f t="shared" si="72"/>
        <v>0</v>
      </c>
      <c r="W103" s="465">
        <f t="shared" si="72"/>
        <v>0</v>
      </c>
      <c r="X103" s="1416">
        <f t="shared" si="72"/>
        <v>0</v>
      </c>
      <c r="Y103" s="898">
        <f t="shared" si="72"/>
        <v>0</v>
      </c>
      <c r="Z103" s="465">
        <f t="shared" si="72"/>
        <v>0</v>
      </c>
      <c r="AA103" s="465">
        <f t="shared" si="72"/>
        <v>0</v>
      </c>
      <c r="AB103" s="465">
        <f t="shared" si="72"/>
        <v>0</v>
      </c>
      <c r="AC103" s="465">
        <f t="shared" si="72"/>
        <v>0</v>
      </c>
      <c r="AD103" s="465">
        <f t="shared" si="72"/>
        <v>0</v>
      </c>
      <c r="AE103" s="465">
        <f t="shared" si="72"/>
        <v>0</v>
      </c>
      <c r="AF103" s="465">
        <f t="shared" si="72"/>
        <v>0</v>
      </c>
      <c r="AG103" s="465">
        <f t="shared" si="72"/>
        <v>0</v>
      </c>
      <c r="AH103" s="337"/>
      <c r="AI103" s="465">
        <f t="shared" ref="AI103:BJ103" si="73">AI$73*AI$28*(10^-6)</f>
        <v>0</v>
      </c>
      <c r="AJ103" s="465">
        <f t="shared" si="73"/>
        <v>6.7529166666666657E-5</v>
      </c>
      <c r="AK103" s="465">
        <f t="shared" si="73"/>
        <v>0</v>
      </c>
      <c r="AL103" s="1416">
        <f t="shared" si="73"/>
        <v>0</v>
      </c>
      <c r="AM103" s="898">
        <f t="shared" si="73"/>
        <v>4.1553191489361705E-4</v>
      </c>
      <c r="AN103" s="465">
        <f t="shared" si="73"/>
        <v>1.6747902500000001E-4</v>
      </c>
      <c r="AO103" s="465">
        <f t="shared" si="73"/>
        <v>0</v>
      </c>
      <c r="AP103" s="465">
        <f t="shared" si="73"/>
        <v>0</v>
      </c>
      <c r="AQ103" s="465">
        <f t="shared" si="73"/>
        <v>0</v>
      </c>
      <c r="AR103" s="465">
        <f t="shared" si="73"/>
        <v>0</v>
      </c>
      <c r="AS103" s="465">
        <f t="shared" si="73"/>
        <v>1.9745116666666668E-4</v>
      </c>
      <c r="AT103" s="465">
        <f t="shared" si="73"/>
        <v>0</v>
      </c>
      <c r="AU103" s="1416">
        <f t="shared" si="73"/>
        <v>0</v>
      </c>
      <c r="AV103" s="898">
        <f t="shared" si="73"/>
        <v>0</v>
      </c>
      <c r="AW103" s="465">
        <f t="shared" si="73"/>
        <v>0</v>
      </c>
      <c r="AX103" s="465">
        <f t="shared" si="73"/>
        <v>0</v>
      </c>
      <c r="AY103" s="465">
        <f t="shared" si="73"/>
        <v>0</v>
      </c>
      <c r="AZ103" s="465">
        <f t="shared" si="73"/>
        <v>0</v>
      </c>
      <c r="BA103" s="1416">
        <f t="shared" si="73"/>
        <v>0</v>
      </c>
      <c r="BB103" s="898">
        <f t="shared" si="73"/>
        <v>0</v>
      </c>
      <c r="BC103" s="465">
        <f t="shared" si="73"/>
        <v>0</v>
      </c>
      <c r="BD103" s="465">
        <f t="shared" si="73"/>
        <v>0</v>
      </c>
      <c r="BE103" s="465">
        <f t="shared" si="73"/>
        <v>0</v>
      </c>
      <c r="BF103" s="465">
        <f t="shared" si="73"/>
        <v>0</v>
      </c>
      <c r="BG103" s="465">
        <f t="shared" si="73"/>
        <v>0</v>
      </c>
      <c r="BH103" s="465">
        <f t="shared" si="73"/>
        <v>0</v>
      </c>
      <c r="BI103" s="465">
        <f t="shared" si="73"/>
        <v>0</v>
      </c>
      <c r="BJ103" s="465">
        <f t="shared" si="73"/>
        <v>0</v>
      </c>
      <c r="BK103" s="337"/>
      <c r="BL103" s="232">
        <f t="shared" ref="BL103:CM103" si="74">BL$73*BL$28*(10^-6)</f>
        <v>6.6520782978723384E-3</v>
      </c>
      <c r="BM103" s="232">
        <f t="shared" si="74"/>
        <v>3.9853250000000005E-3</v>
      </c>
      <c r="BN103" s="232">
        <f t="shared" si="74"/>
        <v>4.175319166666666E-3</v>
      </c>
      <c r="BO103" s="1236">
        <f t="shared" si="74"/>
        <v>1.8512633333333333E-3</v>
      </c>
      <c r="BP103" s="898">
        <f t="shared" si="74"/>
        <v>2.3466666666666663E-4</v>
      </c>
      <c r="BQ103" s="465">
        <f t="shared" si="74"/>
        <v>2.0321777777777776E-4</v>
      </c>
      <c r="BR103" s="465">
        <f t="shared" si="74"/>
        <v>1.7842372881355929E-4</v>
      </c>
      <c r="BS103" s="465">
        <f t="shared" si="74"/>
        <v>2.7071999999999996E-4</v>
      </c>
      <c r="BT103" s="465">
        <f t="shared" si="74"/>
        <v>2.263013452914798E-4</v>
      </c>
      <c r="BU103" s="465">
        <f t="shared" si="74"/>
        <v>1.9207500000000002E-4</v>
      </c>
      <c r="BV103" s="465">
        <f t="shared" si="74"/>
        <v>1.7631833333333331E-4</v>
      </c>
      <c r="BW103" s="465">
        <f t="shared" si="74"/>
        <v>1.9074000000000001E-4</v>
      </c>
      <c r="BX103" s="1416">
        <f t="shared" si="74"/>
        <v>2.36925E-4</v>
      </c>
      <c r="BY103" s="898">
        <f t="shared" si="74"/>
        <v>0</v>
      </c>
      <c r="BZ103" s="465">
        <f t="shared" si="74"/>
        <v>0</v>
      </c>
      <c r="CA103" s="465">
        <f t="shared" si="74"/>
        <v>0</v>
      </c>
      <c r="CB103" s="465">
        <f t="shared" si="74"/>
        <v>0</v>
      </c>
      <c r="CC103" s="465">
        <f t="shared" si="74"/>
        <v>0</v>
      </c>
      <c r="CD103" s="1416">
        <f t="shared" si="74"/>
        <v>0</v>
      </c>
      <c r="CE103" s="898">
        <f t="shared" si="74"/>
        <v>0</v>
      </c>
      <c r="CF103" s="465">
        <f t="shared" si="74"/>
        <v>0</v>
      </c>
      <c r="CG103" s="465">
        <f t="shared" si="74"/>
        <v>0</v>
      </c>
      <c r="CH103" s="465">
        <f t="shared" si="74"/>
        <v>0</v>
      </c>
      <c r="CI103" s="465">
        <f t="shared" si="74"/>
        <v>0</v>
      </c>
      <c r="CJ103" s="465">
        <f t="shared" si="74"/>
        <v>0</v>
      </c>
      <c r="CK103" s="465">
        <f t="shared" si="74"/>
        <v>0</v>
      </c>
      <c r="CL103" s="465">
        <f t="shared" si="74"/>
        <v>0</v>
      </c>
      <c r="CM103" s="465">
        <f t="shared" si="74"/>
        <v>0</v>
      </c>
      <c r="CN103" s="337"/>
      <c r="CO103" s="266"/>
      <c r="CP103" s="266"/>
      <c r="CQ103" s="266"/>
      <c r="CR103" s="1479"/>
      <c r="CS103" s="1467"/>
      <c r="CT103" s="266"/>
      <c r="CU103" s="266"/>
      <c r="CV103" s="266"/>
      <c r="CW103" s="266"/>
      <c r="CX103" s="266"/>
      <c r="CY103" s="266"/>
      <c r="CZ103" s="266"/>
      <c r="DA103" s="1479"/>
      <c r="DB103" s="1467"/>
      <c r="DC103" s="266"/>
      <c r="DD103" s="266"/>
    </row>
    <row r="104" spans="3:179" ht="15" thickBot="1" x14ac:dyDescent="0.4">
      <c r="C104" s="1" t="s">
        <v>389</v>
      </c>
      <c r="F104" s="2524">
        <f>F$99+F$102</f>
        <v>8.6572902127659557E-2</v>
      </c>
      <c r="G104" s="403">
        <f t="shared" ref="G104:AG104" si="75">G$99+G$102</f>
        <v>8.5237999999999994E-2</v>
      </c>
      <c r="H104" s="403">
        <f t="shared" si="75"/>
        <v>8.6126769230769243E-2</v>
      </c>
      <c r="I104" s="1265">
        <f t="shared" si="75"/>
        <v>8.5122023999999991E-2</v>
      </c>
      <c r="J104" s="892">
        <f t="shared" si="75"/>
        <v>5.2386833333333334E-2</v>
      </c>
      <c r="K104" s="403">
        <f t="shared" si="75"/>
        <v>5.0465891304347824E-2</v>
      </c>
      <c r="L104" s="403">
        <f t="shared" si="75"/>
        <v>5.0498968749999998E-2</v>
      </c>
      <c r="M104" s="403">
        <f t="shared" si="75"/>
        <v>4.9619108695652184E-2</v>
      </c>
      <c r="N104" s="403">
        <f t="shared" si="75"/>
        <v>4.9398452380952376E-2</v>
      </c>
      <c r="O104" s="1265">
        <f t="shared" si="75"/>
        <v>5.1136260869565214E-2</v>
      </c>
      <c r="P104" s="892">
        <f t="shared" si="75"/>
        <v>5.1183304347826086E-2</v>
      </c>
      <c r="Q104" s="403">
        <f t="shared" si="75"/>
        <v>5.0512934782608696E-2</v>
      </c>
      <c r="R104" s="1265">
        <f t="shared" si="75"/>
        <v>5.0465891304347824E-2</v>
      </c>
      <c r="S104" s="892">
        <f t="shared" si="75"/>
        <v>0</v>
      </c>
      <c r="T104" s="403">
        <f t="shared" si="75"/>
        <v>0</v>
      </c>
      <c r="U104" s="403">
        <f t="shared" si="75"/>
        <v>0</v>
      </c>
      <c r="V104" s="403">
        <f t="shared" si="75"/>
        <v>0</v>
      </c>
      <c r="W104" s="403">
        <f t="shared" si="75"/>
        <v>0</v>
      </c>
      <c r="X104" s="1265">
        <f t="shared" si="75"/>
        <v>0</v>
      </c>
      <c r="Y104" s="892">
        <f t="shared" si="75"/>
        <v>0</v>
      </c>
      <c r="Z104" s="403">
        <f t="shared" si="75"/>
        <v>0</v>
      </c>
      <c r="AA104" s="403">
        <f t="shared" si="75"/>
        <v>0</v>
      </c>
      <c r="AB104" s="403">
        <f t="shared" si="75"/>
        <v>0</v>
      </c>
      <c r="AC104" s="403">
        <f t="shared" si="75"/>
        <v>0</v>
      </c>
      <c r="AD104" s="403">
        <f t="shared" si="75"/>
        <v>0</v>
      </c>
      <c r="AE104" s="403">
        <f t="shared" si="75"/>
        <v>0</v>
      </c>
      <c r="AF104" s="403">
        <f t="shared" si="75"/>
        <v>0</v>
      </c>
      <c r="AG104" s="403">
        <f t="shared" si="75"/>
        <v>0</v>
      </c>
      <c r="AH104" s="893"/>
      <c r="AI104" s="403">
        <f t="shared" ref="AI104:CA104" si="76">SUM(AI99:AI103)</f>
        <v>0</v>
      </c>
      <c r="AJ104" s="403">
        <f t="shared" si="76"/>
        <v>3.0065916666666663E-4</v>
      </c>
      <c r="AK104" s="403">
        <f t="shared" si="76"/>
        <v>0</v>
      </c>
      <c r="AL104" s="1265">
        <f t="shared" si="76"/>
        <v>0</v>
      </c>
      <c r="AM104" s="892">
        <f t="shared" si="76"/>
        <v>8.8115744680851058E-4</v>
      </c>
      <c r="AN104" s="403">
        <f t="shared" si="76"/>
        <v>4.4376281000000001E-4</v>
      </c>
      <c r="AO104" s="403">
        <f t="shared" si="76"/>
        <v>0</v>
      </c>
      <c r="AP104" s="403">
        <f t="shared" si="76"/>
        <v>0</v>
      </c>
      <c r="AQ104" s="403">
        <f t="shared" si="76"/>
        <v>0</v>
      </c>
      <c r="AR104" s="403">
        <f t="shared" si="76"/>
        <v>0</v>
      </c>
      <c r="AS104" s="403">
        <f t="shared" si="76"/>
        <v>4.591869208333334E-4</v>
      </c>
      <c r="AT104" s="403">
        <f t="shared" si="76"/>
        <v>0</v>
      </c>
      <c r="AU104" s="1265">
        <f t="shared" si="76"/>
        <v>0</v>
      </c>
      <c r="AV104" s="892">
        <f t="shared" si="76"/>
        <v>0</v>
      </c>
      <c r="AW104" s="403">
        <f t="shared" si="76"/>
        <v>0</v>
      </c>
      <c r="AX104" s="403">
        <f t="shared" ref="AX104" si="77">SUM(AX99:AX103)</f>
        <v>0</v>
      </c>
      <c r="AY104" s="403">
        <f t="shared" ref="AY104:BG104" si="78">SUM(AY99:AY103)</f>
        <v>0</v>
      </c>
      <c r="AZ104" s="403">
        <f t="shared" si="78"/>
        <v>0</v>
      </c>
      <c r="BA104" s="1265">
        <f t="shared" si="78"/>
        <v>0</v>
      </c>
      <c r="BB104" s="892">
        <f t="shared" si="78"/>
        <v>0</v>
      </c>
      <c r="BC104" s="403">
        <f t="shared" si="78"/>
        <v>0</v>
      </c>
      <c r="BD104" s="403">
        <f t="shared" si="78"/>
        <v>0</v>
      </c>
      <c r="BE104" s="403">
        <f t="shared" si="78"/>
        <v>0</v>
      </c>
      <c r="BF104" s="403">
        <f t="shared" si="78"/>
        <v>0</v>
      </c>
      <c r="BG104" s="403">
        <f t="shared" si="78"/>
        <v>0</v>
      </c>
      <c r="BH104" s="403">
        <f t="shared" ref="BH104:BJ104" si="79">SUM(BH99:BH103)</f>
        <v>0</v>
      </c>
      <c r="BI104" s="403">
        <f t="shared" si="79"/>
        <v>0</v>
      </c>
      <c r="BJ104" s="403">
        <f t="shared" si="79"/>
        <v>0</v>
      </c>
      <c r="BK104" s="893"/>
      <c r="BL104" s="403">
        <f t="shared" si="76"/>
        <v>2.0425487659574464E-2</v>
      </c>
      <c r="BM104" s="403">
        <f t="shared" si="76"/>
        <v>1.8100712500000001E-2</v>
      </c>
      <c r="BN104" s="403">
        <f t="shared" si="76"/>
        <v>2.1362689444444444E-2</v>
      </c>
      <c r="BO104" s="1265">
        <f t="shared" si="76"/>
        <v>1.8501026666666667E-2</v>
      </c>
      <c r="BP104" s="892">
        <f t="shared" si="76"/>
        <v>9.0786666666666654E-4</v>
      </c>
      <c r="BQ104" s="403">
        <f t="shared" si="76"/>
        <v>1.0003466666666668E-3</v>
      </c>
      <c r="BR104" s="403">
        <f t="shared" si="76"/>
        <v>1.241593220338983E-3</v>
      </c>
      <c r="BS104" s="403">
        <f t="shared" si="76"/>
        <v>1.4961599999999999E-3</v>
      </c>
      <c r="BT104" s="403">
        <f t="shared" si="76"/>
        <v>1.7029892376681612E-3</v>
      </c>
      <c r="BU104" s="403">
        <f t="shared" si="76"/>
        <v>1.8276675E-3</v>
      </c>
      <c r="BV104" s="403">
        <f t="shared" si="76"/>
        <v>2.0595166666666663E-3</v>
      </c>
      <c r="BW104" s="403">
        <f t="shared" si="76"/>
        <v>2.0071049999999999E-3</v>
      </c>
      <c r="BX104" s="1265">
        <f t="shared" si="76"/>
        <v>2.1878999999999996E-3</v>
      </c>
      <c r="BY104" s="892">
        <f t="shared" si="76"/>
        <v>0</v>
      </c>
      <c r="BZ104" s="403">
        <f t="shared" si="76"/>
        <v>0</v>
      </c>
      <c r="CA104" s="403">
        <f t="shared" si="76"/>
        <v>0</v>
      </c>
      <c r="CB104" s="403">
        <f t="shared" ref="CB104:CJ104" si="80">SUM(CB99:CB103)</f>
        <v>0</v>
      </c>
      <c r="CC104" s="403">
        <f t="shared" si="80"/>
        <v>0</v>
      </c>
      <c r="CD104" s="1265">
        <f t="shared" si="80"/>
        <v>0</v>
      </c>
      <c r="CE104" s="892">
        <f t="shared" si="80"/>
        <v>0</v>
      </c>
      <c r="CF104" s="403">
        <f t="shared" si="80"/>
        <v>0</v>
      </c>
      <c r="CG104" s="403">
        <f t="shared" si="80"/>
        <v>0</v>
      </c>
      <c r="CH104" s="403">
        <f t="shared" si="80"/>
        <v>0</v>
      </c>
      <c r="CI104" s="403">
        <f t="shared" si="80"/>
        <v>0</v>
      </c>
      <c r="CJ104" s="403">
        <f t="shared" si="80"/>
        <v>0</v>
      </c>
      <c r="CK104" s="403">
        <f t="shared" ref="CK104:CM104" si="81">SUM(CK99:CK103)</f>
        <v>0</v>
      </c>
      <c r="CL104" s="403">
        <f t="shared" si="81"/>
        <v>0</v>
      </c>
      <c r="CM104" s="403">
        <f t="shared" si="81"/>
        <v>0</v>
      </c>
      <c r="CN104" s="395"/>
      <c r="CO104" s="394"/>
      <c r="CP104" s="394"/>
      <c r="CQ104" s="394"/>
      <c r="CR104" s="1480"/>
      <c r="CS104" s="1468"/>
      <c r="CT104" s="394"/>
      <c r="CU104" s="394"/>
      <c r="CV104" s="394"/>
      <c r="CW104" s="394"/>
      <c r="CX104" s="394"/>
      <c r="CY104" s="394"/>
      <c r="CZ104" s="394"/>
      <c r="DA104" s="1480"/>
      <c r="DB104" s="1468"/>
      <c r="DC104" s="394"/>
      <c r="DD104" s="394"/>
      <c r="DE104" s="225"/>
      <c r="DF104" s="225"/>
      <c r="DG104" s="1269"/>
      <c r="DH104" s="1214"/>
      <c r="DI104" s="225"/>
      <c r="DJ104" s="225"/>
      <c r="DK104" s="225"/>
      <c r="DL104" s="225"/>
      <c r="DM104" s="225"/>
      <c r="DN104" s="225"/>
      <c r="DO104" s="225"/>
      <c r="DP104" s="225"/>
      <c r="DQ104" s="344"/>
      <c r="DR104" s="345"/>
      <c r="DS104" s="225"/>
      <c r="DT104" s="225"/>
      <c r="DU104" s="225"/>
      <c r="DV104" s="1269"/>
      <c r="DW104" s="1214"/>
      <c r="DX104" s="225"/>
      <c r="DY104" s="225"/>
      <c r="DZ104" s="225"/>
      <c r="EA104" s="225"/>
      <c r="EB104" s="225"/>
      <c r="EC104" s="225"/>
      <c r="ED104" s="225"/>
      <c r="EE104" s="1269"/>
      <c r="EF104" s="1214"/>
      <c r="EG104" s="225"/>
      <c r="EH104" s="225"/>
      <c r="EI104" s="225"/>
      <c r="EJ104" s="225"/>
      <c r="EK104" s="1269"/>
      <c r="EL104" s="1214"/>
      <c r="EM104" s="225"/>
      <c r="EN104" s="225"/>
      <c r="EO104" s="225"/>
      <c r="EP104" s="225"/>
      <c r="EQ104" s="225"/>
      <c r="ER104" s="225"/>
      <c r="ES104" s="225"/>
      <c r="ET104" s="225"/>
      <c r="EU104" s="344"/>
      <c r="EV104" s="225"/>
      <c r="EW104" s="225"/>
      <c r="EX104" s="225"/>
      <c r="EY104" s="1269"/>
      <c r="EZ104" s="1214"/>
      <c r="FA104" s="225"/>
      <c r="FB104" s="225"/>
      <c r="FC104" s="225"/>
      <c r="FD104" s="225"/>
      <c r="FE104" s="225"/>
      <c r="FF104" s="225"/>
      <c r="FG104" s="225"/>
      <c r="FH104" s="1269"/>
      <c r="FI104" s="1214"/>
      <c r="FJ104" s="225"/>
      <c r="FK104" s="225"/>
      <c r="FL104" s="225"/>
      <c r="FM104" s="225"/>
      <c r="FN104" s="1269"/>
      <c r="FO104" s="1214"/>
      <c r="FP104" s="225"/>
      <c r="FQ104" s="225"/>
      <c r="FR104" s="225"/>
      <c r="FS104" s="225"/>
      <c r="FT104" s="225"/>
      <c r="FU104" s="225"/>
      <c r="FV104" s="225"/>
      <c r="FW104" s="225"/>
    </row>
    <row r="105" spans="3:179" s="299" customFormat="1" ht="15.5" thickTop="1" thickBot="1" x14ac:dyDescent="0.4">
      <c r="C105" s="305"/>
      <c r="D105" s="305"/>
      <c r="E105" s="305"/>
      <c r="F105" s="1031"/>
      <c r="G105" s="307"/>
      <c r="H105" s="307"/>
      <c r="I105" s="1239"/>
      <c r="J105" s="1186"/>
      <c r="K105" s="307"/>
      <c r="L105" s="307"/>
      <c r="M105" s="307"/>
      <c r="N105" s="307"/>
      <c r="O105" s="1239"/>
      <c r="P105" s="1186"/>
      <c r="Q105" s="307"/>
      <c r="R105" s="1239"/>
      <c r="S105" s="1186"/>
      <c r="T105" s="307"/>
      <c r="U105" s="307"/>
      <c r="V105" s="307"/>
      <c r="W105" s="307"/>
      <c r="X105" s="1239"/>
      <c r="Y105" s="1186"/>
      <c r="Z105" s="307"/>
      <c r="AA105" s="307"/>
      <c r="AB105" s="307"/>
      <c r="AC105" s="307"/>
      <c r="AD105" s="307"/>
      <c r="AE105" s="307"/>
      <c r="AF105" s="307"/>
      <c r="AG105" s="307"/>
      <c r="AH105" s="359"/>
      <c r="AI105" s="307"/>
      <c r="AJ105" s="307"/>
      <c r="AK105" s="307"/>
      <c r="AL105" s="1239"/>
      <c r="AM105" s="1186"/>
      <c r="AN105" s="307"/>
      <c r="AO105" s="307"/>
      <c r="AP105" s="307"/>
      <c r="AQ105" s="307"/>
      <c r="AR105" s="307"/>
      <c r="AS105" s="307"/>
      <c r="AT105" s="307"/>
      <c r="AU105" s="1239"/>
      <c r="AV105" s="1186"/>
      <c r="AW105" s="307"/>
      <c r="AX105" s="307"/>
      <c r="AY105" s="307"/>
      <c r="AZ105" s="307"/>
      <c r="BA105" s="1239"/>
      <c r="BB105" s="1186"/>
      <c r="BC105" s="307"/>
      <c r="BD105" s="307"/>
      <c r="BE105" s="307"/>
      <c r="BF105" s="307"/>
      <c r="BG105" s="307"/>
      <c r="BH105" s="307"/>
      <c r="BI105" s="307"/>
      <c r="BJ105" s="307"/>
      <c r="BK105" s="359"/>
      <c r="BL105" s="307"/>
      <c r="BM105" s="307"/>
      <c r="BN105" s="307"/>
      <c r="BO105" s="1239"/>
      <c r="BP105" s="1186"/>
      <c r="BQ105" s="307"/>
      <c r="BR105" s="307"/>
      <c r="BS105" s="307"/>
      <c r="BT105" s="307"/>
      <c r="BU105" s="307"/>
      <c r="BV105" s="307"/>
      <c r="BW105" s="307"/>
      <c r="BX105" s="1239"/>
      <c r="BY105" s="1186"/>
      <c r="BZ105" s="307"/>
      <c r="CA105" s="307"/>
      <c r="CB105" s="307"/>
      <c r="CC105" s="307"/>
      <c r="CD105" s="1239"/>
      <c r="CE105" s="1186"/>
      <c r="CF105" s="307"/>
      <c r="CG105" s="307"/>
      <c r="CH105" s="307"/>
      <c r="CI105" s="307"/>
      <c r="CJ105" s="307"/>
      <c r="CK105" s="307"/>
      <c r="CL105" s="307"/>
      <c r="CM105" s="307"/>
      <c r="CN105" s="359"/>
      <c r="CO105" s="307"/>
      <c r="CP105" s="307"/>
      <c r="CQ105" s="307"/>
      <c r="CR105" s="1239"/>
      <c r="CS105" s="1186"/>
      <c r="CT105" s="307"/>
      <c r="CU105" s="307"/>
      <c r="CV105" s="307"/>
      <c r="CW105" s="307"/>
      <c r="CX105" s="307"/>
      <c r="CY105" s="307"/>
      <c r="CZ105" s="307"/>
      <c r="DA105" s="1239"/>
      <c r="DB105" s="1186"/>
      <c r="DC105" s="307"/>
      <c r="DD105" s="307"/>
      <c r="DE105" s="307"/>
      <c r="DF105" s="307"/>
      <c r="DG105" s="1239"/>
      <c r="DH105" s="1186"/>
      <c r="DI105" s="307"/>
      <c r="DJ105" s="307"/>
      <c r="DK105" s="307"/>
      <c r="DL105" s="307"/>
      <c r="DM105" s="307"/>
      <c r="DN105" s="307"/>
      <c r="DO105" s="307"/>
      <c r="DP105" s="307"/>
      <c r="DQ105" s="359"/>
      <c r="DR105" s="361"/>
      <c r="DS105" s="307"/>
      <c r="DT105" s="307"/>
      <c r="DU105" s="307"/>
      <c r="DV105" s="1239"/>
      <c r="DW105" s="1186"/>
      <c r="DX105" s="307"/>
      <c r="DY105" s="307"/>
      <c r="DZ105" s="307"/>
      <c r="EA105" s="307"/>
      <c r="EB105" s="307"/>
      <c r="EC105" s="307"/>
      <c r="ED105" s="307"/>
      <c r="EE105" s="1239"/>
      <c r="EF105" s="1186"/>
      <c r="EG105" s="307"/>
      <c r="EH105" s="307"/>
      <c r="EI105" s="307"/>
      <c r="EJ105" s="307"/>
      <c r="EK105" s="1239"/>
      <c r="EL105" s="1186"/>
      <c r="EM105" s="307"/>
      <c r="EN105" s="307"/>
      <c r="EO105" s="307"/>
      <c r="EP105" s="307"/>
      <c r="EQ105" s="307"/>
      <c r="ER105" s="307"/>
      <c r="ES105" s="307"/>
      <c r="ET105" s="307"/>
      <c r="EU105" s="359"/>
      <c r="EV105" s="307"/>
      <c r="EW105" s="307"/>
      <c r="EX105" s="307"/>
      <c r="EY105" s="1239"/>
      <c r="EZ105" s="1186"/>
      <c r="FA105" s="307"/>
      <c r="FB105" s="307"/>
      <c r="FC105" s="307"/>
      <c r="FD105" s="307"/>
      <c r="FE105" s="307"/>
      <c r="FF105" s="307"/>
      <c r="FG105" s="307"/>
      <c r="FH105" s="1239"/>
      <c r="FI105" s="1186"/>
      <c r="FJ105" s="307"/>
      <c r="FK105" s="307"/>
      <c r="FL105" s="307"/>
      <c r="FM105" s="307"/>
      <c r="FN105" s="1239"/>
      <c r="FO105" s="1186"/>
      <c r="FP105" s="307"/>
      <c r="FQ105" s="307"/>
      <c r="FR105" s="307"/>
      <c r="FS105" s="307"/>
      <c r="FT105" s="307"/>
      <c r="FU105" s="307"/>
      <c r="FV105" s="307"/>
      <c r="FW105" s="307"/>
    </row>
    <row r="106" spans="3:179" ht="15" thickTop="1" x14ac:dyDescent="0.35">
      <c r="C106" s="1" t="s">
        <v>170</v>
      </c>
      <c r="F106" s="1045">
        <f t="shared" ref="F106:AG106" si="82">F$73*F$34/100</f>
        <v>19.773436170212765</v>
      </c>
      <c r="G106" s="393">
        <f t="shared" si="82"/>
        <v>19.468541666666667</v>
      </c>
      <c r="H106" s="393">
        <f t="shared" si="82"/>
        <v>19.671538461538464</v>
      </c>
      <c r="I106" s="1266">
        <f t="shared" si="82"/>
        <v>19.442052499999999</v>
      </c>
      <c r="J106" s="1211">
        <f t="shared" si="82"/>
        <v>11.480560000000001</v>
      </c>
      <c r="K106" s="393">
        <f t="shared" si="82"/>
        <v>11.059586086956521</v>
      </c>
      <c r="L106" s="393">
        <f t="shared" si="82"/>
        <v>11.066835000000001</v>
      </c>
      <c r="M106" s="393">
        <f t="shared" si="82"/>
        <v>10.874013913043477</v>
      </c>
      <c r="N106" s="393">
        <f t="shared" si="82"/>
        <v>10.825657142857143</v>
      </c>
      <c r="O106" s="1266">
        <f t="shared" si="82"/>
        <v>11.206497391304346</v>
      </c>
      <c r="P106" s="1211">
        <f t="shared" si="82"/>
        <v>11.216806956521738</v>
      </c>
      <c r="Q106" s="393">
        <f t="shared" si="82"/>
        <v>11.069895652173912</v>
      </c>
      <c r="R106" s="1266">
        <f t="shared" si="82"/>
        <v>11.059586086956521</v>
      </c>
      <c r="S106" s="1211">
        <f t="shared" si="82"/>
        <v>0</v>
      </c>
      <c r="T106" s="393">
        <f t="shared" si="82"/>
        <v>0</v>
      </c>
      <c r="U106" s="393">
        <f t="shared" si="82"/>
        <v>0</v>
      </c>
      <c r="V106" s="393">
        <f t="shared" si="82"/>
        <v>0</v>
      </c>
      <c r="W106" s="393">
        <f t="shared" si="82"/>
        <v>0</v>
      </c>
      <c r="X106" s="1266">
        <f t="shared" si="82"/>
        <v>0</v>
      </c>
      <c r="Y106" s="1211">
        <f t="shared" si="82"/>
        <v>0</v>
      </c>
      <c r="Z106" s="393">
        <f t="shared" si="82"/>
        <v>0</v>
      </c>
      <c r="AA106" s="393">
        <f t="shared" si="82"/>
        <v>0</v>
      </c>
      <c r="AB106" s="393">
        <f t="shared" si="82"/>
        <v>0</v>
      </c>
      <c r="AC106" s="393">
        <f t="shared" si="82"/>
        <v>0</v>
      </c>
      <c r="AD106" s="393">
        <f t="shared" si="82"/>
        <v>0</v>
      </c>
      <c r="AE106" s="393">
        <f t="shared" si="82"/>
        <v>0</v>
      </c>
      <c r="AF106" s="393">
        <f t="shared" si="82"/>
        <v>0</v>
      </c>
      <c r="AG106" s="393">
        <f t="shared" si="82"/>
        <v>0</v>
      </c>
      <c r="AH106" s="396"/>
      <c r="AI106" s="393">
        <f t="shared" ref="AI106:BJ106" si="83">AI$73*AI$34/100</f>
        <v>0</v>
      </c>
      <c r="AJ106" s="393">
        <f t="shared" si="83"/>
        <v>5.7601666666666669E-2</v>
      </c>
      <c r="AK106" s="393">
        <f t="shared" si="83"/>
        <v>0</v>
      </c>
      <c r="AL106" s="1266">
        <f t="shared" si="83"/>
        <v>0</v>
      </c>
      <c r="AM106" s="1211">
        <f t="shared" si="83"/>
        <v>8.1382978723404248E-2</v>
      </c>
      <c r="AN106" s="393">
        <f t="shared" si="83"/>
        <v>5.3421204999999999E-2</v>
      </c>
      <c r="AO106" s="393">
        <f t="shared" si="83"/>
        <v>0</v>
      </c>
      <c r="AP106" s="393">
        <f t="shared" si="83"/>
        <v>0</v>
      </c>
      <c r="AQ106" s="393">
        <f t="shared" si="83"/>
        <v>0</v>
      </c>
      <c r="AR106" s="393">
        <f t="shared" si="83"/>
        <v>0</v>
      </c>
      <c r="AS106" s="393">
        <f t="shared" si="83"/>
        <v>0</v>
      </c>
      <c r="AT106" s="393">
        <f t="shared" si="83"/>
        <v>0</v>
      </c>
      <c r="AU106" s="1266">
        <f t="shared" si="83"/>
        <v>0</v>
      </c>
      <c r="AV106" s="1211">
        <f t="shared" si="83"/>
        <v>0</v>
      </c>
      <c r="AW106" s="393">
        <f t="shared" si="83"/>
        <v>0</v>
      </c>
      <c r="AX106" s="393">
        <f t="shared" si="83"/>
        <v>0</v>
      </c>
      <c r="AY106" s="393">
        <f t="shared" si="83"/>
        <v>0</v>
      </c>
      <c r="AZ106" s="393">
        <f t="shared" si="83"/>
        <v>0</v>
      </c>
      <c r="BA106" s="1266">
        <f t="shared" si="83"/>
        <v>0</v>
      </c>
      <c r="BB106" s="1211">
        <f t="shared" si="83"/>
        <v>0</v>
      </c>
      <c r="BC106" s="393">
        <f t="shared" si="83"/>
        <v>0</v>
      </c>
      <c r="BD106" s="393">
        <f t="shared" si="83"/>
        <v>0</v>
      </c>
      <c r="BE106" s="393">
        <f t="shared" si="83"/>
        <v>0</v>
      </c>
      <c r="BF106" s="393">
        <f t="shared" si="83"/>
        <v>0</v>
      </c>
      <c r="BG106" s="393">
        <f t="shared" si="83"/>
        <v>0</v>
      </c>
      <c r="BH106" s="393">
        <f t="shared" si="83"/>
        <v>0</v>
      </c>
      <c r="BI106" s="393">
        <f t="shared" si="83"/>
        <v>0</v>
      </c>
      <c r="BJ106" s="393">
        <f t="shared" si="83"/>
        <v>0</v>
      </c>
      <c r="BK106" s="396"/>
      <c r="BL106" s="393">
        <f t="shared" ref="BL106:CM106" si="84">BL$73*BL$34/100</f>
        <v>5.9871761702127655</v>
      </c>
      <c r="BM106" s="393">
        <f t="shared" si="84"/>
        <v>5.8042895833333326</v>
      </c>
      <c r="BN106" s="393">
        <f t="shared" si="84"/>
        <v>6.6898999999999997</v>
      </c>
      <c r="BO106" s="1266">
        <f t="shared" si="84"/>
        <v>6.5142416666666678</v>
      </c>
      <c r="BP106" s="1211">
        <f t="shared" si="84"/>
        <v>1.2716000000000001</v>
      </c>
      <c r="BQ106" s="393">
        <f t="shared" si="84"/>
        <v>1.3466755555555554</v>
      </c>
      <c r="BR106" s="393">
        <f t="shared" si="84"/>
        <v>1.5291355932203388</v>
      </c>
      <c r="BS106" s="393">
        <f t="shared" si="84"/>
        <v>1.6142400000000001</v>
      </c>
      <c r="BT106" s="393">
        <f t="shared" si="84"/>
        <v>1.6757757847533628</v>
      </c>
      <c r="BU106" s="393">
        <f t="shared" si="84"/>
        <v>1.7936849999999998</v>
      </c>
      <c r="BV106" s="393">
        <f t="shared" si="84"/>
        <v>1.8772716666666664</v>
      </c>
      <c r="BW106" s="393">
        <f t="shared" si="84"/>
        <v>1.8654949999999999</v>
      </c>
      <c r="BX106" s="1266">
        <f t="shared" si="84"/>
        <v>1.9231875</v>
      </c>
      <c r="BY106" s="1211">
        <f t="shared" si="84"/>
        <v>0</v>
      </c>
      <c r="BZ106" s="393">
        <f t="shared" si="84"/>
        <v>0</v>
      </c>
      <c r="CA106" s="393">
        <f t="shared" si="84"/>
        <v>0</v>
      </c>
      <c r="CB106" s="393">
        <f t="shared" si="84"/>
        <v>0</v>
      </c>
      <c r="CC106" s="393">
        <f t="shared" si="84"/>
        <v>0</v>
      </c>
      <c r="CD106" s="1266">
        <f t="shared" si="84"/>
        <v>0</v>
      </c>
      <c r="CE106" s="1211">
        <f t="shared" si="84"/>
        <v>0</v>
      </c>
      <c r="CF106" s="393">
        <f t="shared" si="84"/>
        <v>0</v>
      </c>
      <c r="CG106" s="393">
        <f t="shared" si="84"/>
        <v>0</v>
      </c>
      <c r="CH106" s="393">
        <f t="shared" si="84"/>
        <v>0</v>
      </c>
      <c r="CI106" s="393">
        <f t="shared" si="84"/>
        <v>0</v>
      </c>
      <c r="CJ106" s="393">
        <f t="shared" si="84"/>
        <v>0</v>
      </c>
      <c r="CK106" s="393">
        <f t="shared" si="84"/>
        <v>0</v>
      </c>
      <c r="CL106" s="393">
        <f t="shared" si="84"/>
        <v>0</v>
      </c>
      <c r="CM106" s="393">
        <f t="shared" si="84"/>
        <v>0</v>
      </c>
      <c r="CN106" s="396"/>
      <c r="CO106" s="393">
        <f t="shared" ref="CO106:DP106" si="85">CO$73*CO$34/100</f>
        <v>0</v>
      </c>
      <c r="CP106" s="393">
        <f t="shared" si="85"/>
        <v>2.3096666666666668E-2</v>
      </c>
      <c r="CQ106" s="393">
        <f t="shared" si="85"/>
        <v>1.376E-2</v>
      </c>
      <c r="CR106" s="1266">
        <f t="shared" si="85"/>
        <v>1.7793333333333335E-2</v>
      </c>
      <c r="CS106" s="1211">
        <f t="shared" si="85"/>
        <v>2.1685766666666665E-2</v>
      </c>
      <c r="CT106" s="393">
        <f t="shared" si="85"/>
        <v>1.680305E-2</v>
      </c>
      <c r="CU106" s="393">
        <f t="shared" si="85"/>
        <v>2.2538823529411764E-2</v>
      </c>
      <c r="CV106" s="393">
        <f t="shared" si="85"/>
        <v>1.755E-2</v>
      </c>
      <c r="CW106" s="393">
        <f t="shared" si="85"/>
        <v>2.8043605015673982E-2</v>
      </c>
      <c r="CX106" s="393">
        <f t="shared" si="85"/>
        <v>2.6452483333333335E-2</v>
      </c>
      <c r="CY106" s="393">
        <f t="shared" si="85"/>
        <v>1.9821499999999999E-2</v>
      </c>
      <c r="CZ106" s="393">
        <f t="shared" si="85"/>
        <v>2.0537549999999998E-2</v>
      </c>
      <c r="DA106" s="1266">
        <f t="shared" si="85"/>
        <v>1.8454499999999999E-2</v>
      </c>
      <c r="DB106" s="1211">
        <f t="shared" si="85"/>
        <v>0</v>
      </c>
      <c r="DC106" s="393">
        <f t="shared" si="85"/>
        <v>0</v>
      </c>
      <c r="DD106" s="393">
        <f t="shared" si="85"/>
        <v>0</v>
      </c>
      <c r="DE106" s="393">
        <f t="shared" si="85"/>
        <v>0</v>
      </c>
      <c r="DF106" s="393">
        <f t="shared" si="85"/>
        <v>0</v>
      </c>
      <c r="DG106" s="1266">
        <f t="shared" si="85"/>
        <v>0</v>
      </c>
      <c r="DH106" s="1211">
        <f t="shared" si="85"/>
        <v>0</v>
      </c>
      <c r="DI106" s="393">
        <f t="shared" si="85"/>
        <v>0</v>
      </c>
      <c r="DJ106" s="393">
        <f t="shared" si="85"/>
        <v>0</v>
      </c>
      <c r="DK106" s="393">
        <f t="shared" si="85"/>
        <v>0</v>
      </c>
      <c r="DL106" s="393">
        <f t="shared" si="85"/>
        <v>0</v>
      </c>
      <c r="DM106" s="393">
        <f t="shared" si="85"/>
        <v>0</v>
      </c>
      <c r="DN106" s="393">
        <f t="shared" si="85"/>
        <v>0</v>
      </c>
      <c r="DO106" s="393">
        <f t="shared" si="85"/>
        <v>0</v>
      </c>
      <c r="DP106" s="393">
        <f t="shared" si="85"/>
        <v>0</v>
      </c>
      <c r="DQ106" s="397"/>
      <c r="DR106" s="398"/>
      <c r="DS106" s="229"/>
      <c r="DT106" s="229"/>
      <c r="DU106" s="229"/>
      <c r="DV106" s="1245"/>
      <c r="DW106" s="538"/>
      <c r="DX106" s="229"/>
      <c r="DY106" s="229"/>
      <c r="DZ106" s="229"/>
      <c r="EA106" s="229"/>
      <c r="EB106" s="229"/>
      <c r="EC106" s="229"/>
      <c r="ED106" s="229"/>
      <c r="EE106" s="1245"/>
      <c r="EF106" s="538"/>
      <c r="EG106" s="229"/>
      <c r="EH106" s="229"/>
      <c r="EI106" s="229"/>
      <c r="EJ106" s="229"/>
      <c r="EK106" s="1245"/>
      <c r="EL106" s="538"/>
      <c r="EM106" s="229"/>
      <c r="EN106" s="229"/>
      <c r="EO106" s="229"/>
      <c r="EP106" s="229"/>
      <c r="EQ106" s="229"/>
      <c r="ER106" s="229"/>
      <c r="ES106" s="229"/>
      <c r="ET106" s="229"/>
      <c r="EU106" s="356"/>
      <c r="EV106" s="229"/>
      <c r="EW106" s="229"/>
      <c r="EX106" s="229"/>
      <c r="EY106" s="1245"/>
      <c r="EZ106" s="538"/>
      <c r="FA106" s="229"/>
      <c r="FB106" s="229"/>
      <c r="FC106" s="229"/>
      <c r="FD106" s="229"/>
      <c r="FE106" s="229"/>
      <c r="FF106" s="229"/>
      <c r="FG106" s="229"/>
      <c r="FH106" s="1245"/>
      <c r="FI106" s="538"/>
      <c r="FJ106" s="229"/>
      <c r="FK106" s="229"/>
      <c r="FL106" s="229"/>
      <c r="FM106" s="229"/>
      <c r="FN106" s="1245"/>
      <c r="FO106" s="538"/>
      <c r="FP106" s="229"/>
      <c r="FQ106" s="229"/>
      <c r="FR106" s="229"/>
      <c r="FS106" s="229"/>
      <c r="FT106" s="229"/>
      <c r="FU106" s="229"/>
      <c r="FV106" s="229"/>
      <c r="FW106" s="229"/>
    </row>
    <row r="107" spans="3:179" x14ac:dyDescent="0.35">
      <c r="C107" s="1" t="s">
        <v>171</v>
      </c>
      <c r="F107" s="604">
        <f t="shared" ref="F107:AG107" si="86">F$73*F$30/100</f>
        <v>1.3007876387234043</v>
      </c>
      <c r="G107" s="251">
        <f t="shared" si="86"/>
        <v>1.280730275</v>
      </c>
      <c r="H107" s="251">
        <f t="shared" si="86"/>
        <v>1.2940843384615386</v>
      </c>
      <c r="I107" s="1267">
        <f t="shared" si="86"/>
        <v>1.2789876956999999</v>
      </c>
      <c r="J107" s="1212">
        <f t="shared" si="86"/>
        <v>0.78279098333333319</v>
      </c>
      <c r="K107" s="251">
        <f t="shared" si="86"/>
        <v>0.75408728043478246</v>
      </c>
      <c r="L107" s="251">
        <f t="shared" si="86"/>
        <v>0.75458154062500005</v>
      </c>
      <c r="M107" s="251">
        <f t="shared" si="86"/>
        <v>0.74143421956521738</v>
      </c>
      <c r="N107" s="251">
        <f t="shared" si="86"/>
        <v>0.73813705952380948</v>
      </c>
      <c r="O107" s="1267">
        <f t="shared" si="86"/>
        <v>0.76410428695652177</v>
      </c>
      <c r="P107" s="1212">
        <f t="shared" si="86"/>
        <v>0.76480723478260859</v>
      </c>
      <c r="Q107" s="251">
        <f t="shared" si="86"/>
        <v>0.7547902282608695</v>
      </c>
      <c r="R107" s="1267">
        <f t="shared" si="86"/>
        <v>0.75408728043478246</v>
      </c>
      <c r="S107" s="1212">
        <f t="shared" si="86"/>
        <v>0</v>
      </c>
      <c r="T107" s="251">
        <f t="shared" si="86"/>
        <v>0</v>
      </c>
      <c r="U107" s="251">
        <f t="shared" si="86"/>
        <v>0</v>
      </c>
      <c r="V107" s="251">
        <f t="shared" si="86"/>
        <v>0</v>
      </c>
      <c r="W107" s="251">
        <f t="shared" si="86"/>
        <v>0</v>
      </c>
      <c r="X107" s="1267">
        <f t="shared" si="86"/>
        <v>0</v>
      </c>
      <c r="Y107" s="1212">
        <f t="shared" si="86"/>
        <v>0</v>
      </c>
      <c r="Z107" s="251">
        <f t="shared" si="86"/>
        <v>0</v>
      </c>
      <c r="AA107" s="251">
        <f t="shared" si="86"/>
        <v>0</v>
      </c>
      <c r="AB107" s="251">
        <f t="shared" si="86"/>
        <v>0</v>
      </c>
      <c r="AC107" s="251">
        <f t="shared" si="86"/>
        <v>0</v>
      </c>
      <c r="AD107" s="251">
        <f t="shared" si="86"/>
        <v>0</v>
      </c>
      <c r="AE107" s="251">
        <f t="shared" si="86"/>
        <v>0</v>
      </c>
      <c r="AF107" s="251">
        <f t="shared" si="86"/>
        <v>0</v>
      </c>
      <c r="AG107" s="251">
        <f t="shared" si="86"/>
        <v>0</v>
      </c>
      <c r="AH107" s="338"/>
      <c r="AI107" s="251">
        <f t="shared" ref="AI107:BJ107" si="87">AI$73*AI$30/100</f>
        <v>0</v>
      </c>
      <c r="AJ107" s="251">
        <f t="shared" si="87"/>
        <v>0</v>
      </c>
      <c r="AK107" s="251">
        <f t="shared" si="87"/>
        <v>0</v>
      </c>
      <c r="AL107" s="1267">
        <f t="shared" si="87"/>
        <v>0</v>
      </c>
      <c r="AM107" s="1212">
        <f t="shared" si="87"/>
        <v>6.6427659574468086E-3</v>
      </c>
      <c r="AN107" s="251">
        <f t="shared" si="87"/>
        <v>0</v>
      </c>
      <c r="AO107" s="251">
        <f t="shared" si="87"/>
        <v>0</v>
      </c>
      <c r="AP107" s="251">
        <f t="shared" si="87"/>
        <v>0</v>
      </c>
      <c r="AQ107" s="251">
        <f t="shared" si="87"/>
        <v>0</v>
      </c>
      <c r="AR107" s="251">
        <f t="shared" si="87"/>
        <v>0</v>
      </c>
      <c r="AS107" s="251">
        <f t="shared" si="87"/>
        <v>0</v>
      </c>
      <c r="AT107" s="251">
        <f t="shared" si="87"/>
        <v>0</v>
      </c>
      <c r="AU107" s="1267">
        <f t="shared" si="87"/>
        <v>0</v>
      </c>
      <c r="AV107" s="1212">
        <f t="shared" si="87"/>
        <v>0</v>
      </c>
      <c r="AW107" s="251">
        <f t="shared" si="87"/>
        <v>0</v>
      </c>
      <c r="AX107" s="251">
        <f t="shared" si="87"/>
        <v>0</v>
      </c>
      <c r="AY107" s="251">
        <f t="shared" si="87"/>
        <v>0</v>
      </c>
      <c r="AZ107" s="251">
        <f t="shared" si="87"/>
        <v>0</v>
      </c>
      <c r="BA107" s="1267">
        <f t="shared" si="87"/>
        <v>0</v>
      </c>
      <c r="BB107" s="1212">
        <f t="shared" si="87"/>
        <v>0</v>
      </c>
      <c r="BC107" s="251">
        <f t="shared" si="87"/>
        <v>0</v>
      </c>
      <c r="BD107" s="251">
        <f t="shared" si="87"/>
        <v>0</v>
      </c>
      <c r="BE107" s="251">
        <f t="shared" si="87"/>
        <v>0</v>
      </c>
      <c r="BF107" s="251">
        <f t="shared" si="87"/>
        <v>0</v>
      </c>
      <c r="BG107" s="251">
        <f t="shared" si="87"/>
        <v>0</v>
      </c>
      <c r="BH107" s="251">
        <f t="shared" si="87"/>
        <v>0</v>
      </c>
      <c r="BI107" s="251">
        <f t="shared" si="87"/>
        <v>0</v>
      </c>
      <c r="BJ107" s="251">
        <f t="shared" si="87"/>
        <v>0</v>
      </c>
      <c r="BK107" s="338"/>
      <c r="BL107" s="251">
        <f t="shared" ref="BL107:CM107" si="88">BL$73*BL$30/100</f>
        <v>0.86116289361702125</v>
      </c>
      <c r="BM107" s="251">
        <f t="shared" si="88"/>
        <v>0.81846319374999998</v>
      </c>
      <c r="BN107" s="251">
        <f t="shared" si="88"/>
        <v>0.90888159833333337</v>
      </c>
      <c r="BO107" s="1267">
        <f t="shared" si="88"/>
        <v>0.87576652500000007</v>
      </c>
      <c r="BP107" s="1212">
        <f t="shared" si="88"/>
        <v>0.35449333333333327</v>
      </c>
      <c r="BQ107" s="251">
        <f t="shared" si="88"/>
        <v>0.3660381511111111</v>
      </c>
      <c r="BR107" s="251">
        <f t="shared" si="88"/>
        <v>0.39290822033898309</v>
      </c>
      <c r="BS107" s="251">
        <f t="shared" si="88"/>
        <v>0.36892799999999992</v>
      </c>
      <c r="BT107" s="251">
        <f t="shared" si="88"/>
        <v>0.3738999524663677</v>
      </c>
      <c r="BU107" s="251">
        <f t="shared" si="88"/>
        <v>0.37572825000000004</v>
      </c>
      <c r="BV107" s="251">
        <f t="shared" si="88"/>
        <v>0.41129362749999998</v>
      </c>
      <c r="BW107" s="251">
        <f t="shared" si="88"/>
        <v>0.37471162000000002</v>
      </c>
      <c r="BX107" s="1267">
        <f t="shared" si="88"/>
        <v>0.3904216875</v>
      </c>
      <c r="BY107" s="1212">
        <f t="shared" si="88"/>
        <v>0</v>
      </c>
      <c r="BZ107" s="251">
        <f t="shared" si="88"/>
        <v>0</v>
      </c>
      <c r="CA107" s="251">
        <f t="shared" si="88"/>
        <v>0</v>
      </c>
      <c r="CB107" s="251">
        <f t="shared" si="88"/>
        <v>0</v>
      </c>
      <c r="CC107" s="251">
        <f t="shared" si="88"/>
        <v>0</v>
      </c>
      <c r="CD107" s="1267">
        <f t="shared" si="88"/>
        <v>0</v>
      </c>
      <c r="CE107" s="1212">
        <f t="shared" si="88"/>
        <v>0</v>
      </c>
      <c r="CF107" s="251">
        <f t="shared" si="88"/>
        <v>0</v>
      </c>
      <c r="CG107" s="251">
        <f t="shared" si="88"/>
        <v>0</v>
      </c>
      <c r="CH107" s="251">
        <f t="shared" si="88"/>
        <v>0</v>
      </c>
      <c r="CI107" s="251">
        <f t="shared" si="88"/>
        <v>0</v>
      </c>
      <c r="CJ107" s="251">
        <f t="shared" si="88"/>
        <v>0</v>
      </c>
      <c r="CK107" s="251">
        <f t="shared" si="88"/>
        <v>0</v>
      </c>
      <c r="CL107" s="251">
        <f t="shared" si="88"/>
        <v>0</v>
      </c>
      <c r="CM107" s="251">
        <f t="shared" si="88"/>
        <v>0</v>
      </c>
      <c r="CN107" s="338"/>
      <c r="CO107" s="251">
        <f t="shared" ref="CO107:DP107" si="89">CO$73*CO$30/100</f>
        <v>0</v>
      </c>
      <c r="CP107" s="251">
        <f t="shared" si="89"/>
        <v>6.453969166666667E-3</v>
      </c>
      <c r="CQ107" s="251">
        <f t="shared" si="89"/>
        <v>3.9360000000000003E-3</v>
      </c>
      <c r="CR107" s="1267">
        <f t="shared" si="89"/>
        <v>6.1614800000000004E-3</v>
      </c>
      <c r="CS107" s="1212">
        <f t="shared" si="89"/>
        <v>9.122493333333332E-3</v>
      </c>
      <c r="CT107" s="251">
        <f t="shared" si="89"/>
        <v>8.8205791666666668E-3</v>
      </c>
      <c r="CU107" s="251">
        <f t="shared" si="89"/>
        <v>1.2009035294117646E-2</v>
      </c>
      <c r="CV107" s="251">
        <f t="shared" si="89"/>
        <v>8.9017499999999999E-3</v>
      </c>
      <c r="CW107" s="251">
        <f t="shared" si="89"/>
        <v>9.4520482758620687E-3</v>
      </c>
      <c r="CX107" s="251">
        <f t="shared" si="89"/>
        <v>1.0408410000000002E-2</v>
      </c>
      <c r="CY107" s="251">
        <f t="shared" si="89"/>
        <v>8.8738549999999999E-3</v>
      </c>
      <c r="CZ107" s="251">
        <f t="shared" si="89"/>
        <v>9.9641850000000004E-3</v>
      </c>
      <c r="DA107" s="1267">
        <f t="shared" si="89"/>
        <v>9.2558999999999992E-3</v>
      </c>
      <c r="DB107" s="1212">
        <f t="shared" si="89"/>
        <v>0</v>
      </c>
      <c r="DC107" s="251">
        <f t="shared" si="89"/>
        <v>0</v>
      </c>
      <c r="DD107" s="251">
        <f t="shared" si="89"/>
        <v>0</v>
      </c>
      <c r="DE107" s="251">
        <f t="shared" si="89"/>
        <v>0</v>
      </c>
      <c r="DF107" s="251">
        <f t="shared" si="89"/>
        <v>0</v>
      </c>
      <c r="DG107" s="1267">
        <f t="shared" si="89"/>
        <v>0</v>
      </c>
      <c r="DH107" s="1212">
        <f t="shared" si="89"/>
        <v>0</v>
      </c>
      <c r="DI107" s="251">
        <f t="shared" si="89"/>
        <v>0</v>
      </c>
      <c r="DJ107" s="251">
        <f t="shared" si="89"/>
        <v>0</v>
      </c>
      <c r="DK107" s="251">
        <f t="shared" si="89"/>
        <v>0</v>
      </c>
      <c r="DL107" s="251">
        <f t="shared" si="89"/>
        <v>0</v>
      </c>
      <c r="DM107" s="251">
        <f t="shared" si="89"/>
        <v>0</v>
      </c>
      <c r="DN107" s="251">
        <f t="shared" si="89"/>
        <v>0</v>
      </c>
      <c r="DO107" s="251">
        <f t="shared" si="89"/>
        <v>0</v>
      </c>
      <c r="DP107" s="251">
        <f t="shared" si="89"/>
        <v>0</v>
      </c>
      <c r="DQ107" s="339"/>
      <c r="DR107" s="268"/>
    </row>
    <row r="108" spans="3:179" x14ac:dyDescent="0.35">
      <c r="C108" s="1" t="s">
        <v>387</v>
      </c>
      <c r="F108" s="1046">
        <f t="shared" ref="F108" si="90">SUM(F106:F107)</f>
        <v>21.074223808936168</v>
      </c>
      <c r="G108" s="269">
        <f t="shared" ref="G108:CZ108" si="91">SUM(G106:G107)</f>
        <v>20.749271941666667</v>
      </c>
      <c r="H108" s="269">
        <f t="shared" si="91"/>
        <v>20.965622800000002</v>
      </c>
      <c r="I108" s="1268">
        <f t="shared" si="91"/>
        <v>20.721040195699999</v>
      </c>
      <c r="J108" s="1213">
        <f t="shared" si="91"/>
        <v>12.263350983333334</v>
      </c>
      <c r="K108" s="269">
        <f t="shared" si="91"/>
        <v>11.813673367391305</v>
      </c>
      <c r="L108" s="269">
        <f t="shared" si="91"/>
        <v>11.821416540625002</v>
      </c>
      <c r="M108" s="269">
        <f t="shared" si="91"/>
        <v>11.615448132608694</v>
      </c>
      <c r="N108" s="269">
        <f t="shared" si="91"/>
        <v>11.563794202380953</v>
      </c>
      <c r="O108" s="1268">
        <f t="shared" si="91"/>
        <v>11.970601678260868</v>
      </c>
      <c r="P108" s="1213">
        <f t="shared" si="91"/>
        <v>11.981614191304347</v>
      </c>
      <c r="Q108" s="269">
        <f t="shared" si="91"/>
        <v>11.824685880434782</v>
      </c>
      <c r="R108" s="1268">
        <f t="shared" si="91"/>
        <v>11.813673367391305</v>
      </c>
      <c r="S108" s="1213">
        <f t="shared" si="91"/>
        <v>0</v>
      </c>
      <c r="T108" s="269">
        <f t="shared" si="91"/>
        <v>0</v>
      </c>
      <c r="U108" s="269">
        <f t="shared" si="91"/>
        <v>0</v>
      </c>
      <c r="V108" s="269">
        <f t="shared" ref="V108:AD108" si="92">SUM(V106:V107)</f>
        <v>0</v>
      </c>
      <c r="W108" s="269">
        <f t="shared" si="92"/>
        <v>0</v>
      </c>
      <c r="X108" s="1268">
        <f t="shared" si="92"/>
        <v>0</v>
      </c>
      <c r="Y108" s="1213">
        <f t="shared" si="92"/>
        <v>0</v>
      </c>
      <c r="Z108" s="269">
        <f t="shared" si="92"/>
        <v>0</v>
      </c>
      <c r="AA108" s="269">
        <f t="shared" si="92"/>
        <v>0</v>
      </c>
      <c r="AB108" s="269">
        <f t="shared" si="92"/>
        <v>0</v>
      </c>
      <c r="AC108" s="269">
        <f t="shared" si="92"/>
        <v>0</v>
      </c>
      <c r="AD108" s="269">
        <f t="shared" si="92"/>
        <v>0</v>
      </c>
      <c r="AE108" s="269">
        <f t="shared" ref="AE108:AG108" si="93">SUM(AE106:AE107)</f>
        <v>0</v>
      </c>
      <c r="AF108" s="269">
        <f t="shared" si="93"/>
        <v>0</v>
      </c>
      <c r="AG108" s="269">
        <f t="shared" si="93"/>
        <v>0</v>
      </c>
      <c r="AH108" s="340"/>
      <c r="AI108" s="269">
        <f t="shared" si="91"/>
        <v>0</v>
      </c>
      <c r="AJ108" s="269">
        <f t="shared" si="91"/>
        <v>5.7601666666666669E-2</v>
      </c>
      <c r="AK108" s="269">
        <f t="shared" si="91"/>
        <v>0</v>
      </c>
      <c r="AL108" s="1268">
        <f t="shared" si="91"/>
        <v>0</v>
      </c>
      <c r="AM108" s="1213">
        <f t="shared" si="91"/>
        <v>8.8025744680851059E-2</v>
      </c>
      <c r="AN108" s="269">
        <f t="shared" si="91"/>
        <v>5.3421204999999999E-2</v>
      </c>
      <c r="AO108" s="269">
        <f t="shared" si="91"/>
        <v>0</v>
      </c>
      <c r="AP108" s="269">
        <f t="shared" si="91"/>
        <v>0</v>
      </c>
      <c r="AQ108" s="269">
        <f t="shared" si="91"/>
        <v>0</v>
      </c>
      <c r="AR108" s="269">
        <f t="shared" si="91"/>
        <v>0</v>
      </c>
      <c r="AS108" s="269">
        <f t="shared" si="91"/>
        <v>0</v>
      </c>
      <c r="AT108" s="269">
        <f t="shared" si="91"/>
        <v>0</v>
      </c>
      <c r="AU108" s="1268">
        <f t="shared" si="91"/>
        <v>0</v>
      </c>
      <c r="AV108" s="1213">
        <f t="shared" si="91"/>
        <v>0</v>
      </c>
      <c r="AW108" s="269">
        <f t="shared" si="91"/>
        <v>0</v>
      </c>
      <c r="AX108" s="269">
        <f t="shared" ref="AX108:BG108" si="94">SUM(AX106:AX107)</f>
        <v>0</v>
      </c>
      <c r="AY108" s="269">
        <f t="shared" si="94"/>
        <v>0</v>
      </c>
      <c r="AZ108" s="269">
        <f t="shared" si="94"/>
        <v>0</v>
      </c>
      <c r="BA108" s="1268">
        <f t="shared" si="94"/>
        <v>0</v>
      </c>
      <c r="BB108" s="1213">
        <f t="shared" si="94"/>
        <v>0</v>
      </c>
      <c r="BC108" s="269">
        <f t="shared" si="94"/>
        <v>0</v>
      </c>
      <c r="BD108" s="269">
        <f t="shared" si="94"/>
        <v>0</v>
      </c>
      <c r="BE108" s="269">
        <f t="shared" si="94"/>
        <v>0</v>
      </c>
      <c r="BF108" s="269">
        <f t="shared" si="94"/>
        <v>0</v>
      </c>
      <c r="BG108" s="269">
        <f t="shared" si="94"/>
        <v>0</v>
      </c>
      <c r="BH108" s="269">
        <f t="shared" ref="BH108:BJ108" si="95">SUM(BH106:BH107)</f>
        <v>0</v>
      </c>
      <c r="BI108" s="269">
        <f t="shared" si="95"/>
        <v>0</v>
      </c>
      <c r="BJ108" s="269">
        <f t="shared" si="95"/>
        <v>0</v>
      </c>
      <c r="BK108" s="340"/>
      <c r="BL108" s="269">
        <f t="shared" si="91"/>
        <v>6.848339063829787</v>
      </c>
      <c r="BM108" s="269">
        <f t="shared" si="91"/>
        <v>6.622752777083333</v>
      </c>
      <c r="BN108" s="269">
        <f t="shared" si="91"/>
        <v>7.5987815983333329</v>
      </c>
      <c r="BO108" s="1268">
        <f t="shared" si="91"/>
        <v>7.3900081916666682</v>
      </c>
      <c r="BP108" s="1213">
        <f t="shared" si="91"/>
        <v>1.6260933333333334</v>
      </c>
      <c r="BQ108" s="269">
        <f t="shared" si="91"/>
        <v>1.7127137066666664</v>
      </c>
      <c r="BR108" s="269">
        <f t="shared" si="91"/>
        <v>1.9220438135593219</v>
      </c>
      <c r="BS108" s="269">
        <f t="shared" si="91"/>
        <v>1.983168</v>
      </c>
      <c r="BT108" s="269">
        <f t="shared" si="91"/>
        <v>2.0496757372197303</v>
      </c>
      <c r="BU108" s="269">
        <f t="shared" si="91"/>
        <v>2.1694132499999998</v>
      </c>
      <c r="BV108" s="269">
        <f t="shared" si="91"/>
        <v>2.2885652941666663</v>
      </c>
      <c r="BW108" s="269">
        <f t="shared" si="91"/>
        <v>2.2402066199999999</v>
      </c>
      <c r="BX108" s="1268">
        <f t="shared" si="91"/>
        <v>2.3136091875</v>
      </c>
      <c r="BY108" s="1213">
        <f t="shared" si="91"/>
        <v>0</v>
      </c>
      <c r="BZ108" s="269">
        <f t="shared" si="91"/>
        <v>0</v>
      </c>
      <c r="CA108" s="269">
        <f t="shared" si="91"/>
        <v>0</v>
      </c>
      <c r="CB108" s="269">
        <f t="shared" ref="CB108:CJ108" si="96">SUM(CB106:CB107)</f>
        <v>0</v>
      </c>
      <c r="CC108" s="269">
        <f t="shared" si="96"/>
        <v>0</v>
      </c>
      <c r="CD108" s="1268">
        <f t="shared" si="96"/>
        <v>0</v>
      </c>
      <c r="CE108" s="1213">
        <f t="shared" si="96"/>
        <v>0</v>
      </c>
      <c r="CF108" s="269">
        <f t="shared" si="96"/>
        <v>0</v>
      </c>
      <c r="CG108" s="269">
        <f t="shared" si="96"/>
        <v>0</v>
      </c>
      <c r="CH108" s="269">
        <f t="shared" si="96"/>
        <v>0</v>
      </c>
      <c r="CI108" s="269">
        <f t="shared" si="96"/>
        <v>0</v>
      </c>
      <c r="CJ108" s="269">
        <f t="shared" si="96"/>
        <v>0</v>
      </c>
      <c r="CK108" s="269">
        <f t="shared" ref="CK108:CM108" si="97">SUM(CK106:CK107)</f>
        <v>0</v>
      </c>
      <c r="CL108" s="269">
        <f t="shared" si="97"/>
        <v>0</v>
      </c>
      <c r="CM108" s="269">
        <f t="shared" si="97"/>
        <v>0</v>
      </c>
      <c r="CN108" s="340"/>
      <c r="CO108" s="269">
        <f t="shared" si="91"/>
        <v>0</v>
      </c>
      <c r="CP108" s="269">
        <f t="shared" si="91"/>
        <v>2.9550635833333335E-2</v>
      </c>
      <c r="CQ108" s="269">
        <f t="shared" si="91"/>
        <v>1.7696E-2</v>
      </c>
      <c r="CR108" s="1268">
        <f t="shared" si="91"/>
        <v>2.3954813333333335E-2</v>
      </c>
      <c r="CS108" s="1213">
        <f t="shared" si="91"/>
        <v>3.0808259999999997E-2</v>
      </c>
      <c r="CT108" s="269">
        <f t="shared" si="91"/>
        <v>2.5623629166666669E-2</v>
      </c>
      <c r="CU108" s="269">
        <f t="shared" si="91"/>
        <v>3.4547858823529412E-2</v>
      </c>
      <c r="CV108" s="269">
        <f t="shared" si="91"/>
        <v>2.645175E-2</v>
      </c>
      <c r="CW108" s="269">
        <f t="shared" si="91"/>
        <v>3.7495653291536049E-2</v>
      </c>
      <c r="CX108" s="269">
        <f t="shared" si="91"/>
        <v>3.6860893333333339E-2</v>
      </c>
      <c r="CY108" s="269">
        <f t="shared" si="91"/>
        <v>2.8695354999999999E-2</v>
      </c>
      <c r="CZ108" s="269">
        <f t="shared" si="91"/>
        <v>3.0501734999999999E-2</v>
      </c>
      <c r="DA108" s="1268">
        <f t="shared" ref="DA108:DD108" si="98">SUM(DA106:DA107)</f>
        <v>2.7710399999999996E-2</v>
      </c>
      <c r="DB108" s="1213">
        <f t="shared" si="98"/>
        <v>0</v>
      </c>
      <c r="DC108" s="269">
        <f t="shared" si="98"/>
        <v>0</v>
      </c>
      <c r="DD108" s="269">
        <f t="shared" si="98"/>
        <v>0</v>
      </c>
      <c r="DE108" s="269">
        <f t="shared" ref="DE108:DM108" si="99">SUM(DE106:DE107)</f>
        <v>0</v>
      </c>
      <c r="DF108" s="269">
        <f t="shared" si="99"/>
        <v>0</v>
      </c>
      <c r="DG108" s="1268">
        <f t="shared" si="99"/>
        <v>0</v>
      </c>
      <c r="DH108" s="1213">
        <f t="shared" si="99"/>
        <v>0</v>
      </c>
      <c r="DI108" s="269">
        <f t="shared" si="99"/>
        <v>0</v>
      </c>
      <c r="DJ108" s="269">
        <f t="shared" si="99"/>
        <v>0</v>
      </c>
      <c r="DK108" s="269">
        <f t="shared" si="99"/>
        <v>0</v>
      </c>
      <c r="DL108" s="269">
        <f t="shared" si="99"/>
        <v>0</v>
      </c>
      <c r="DM108" s="269">
        <f t="shared" si="99"/>
        <v>0</v>
      </c>
      <c r="DN108" s="269">
        <f t="shared" ref="DN108:DP108" si="100">SUM(DN106:DN107)</f>
        <v>0</v>
      </c>
      <c r="DO108" s="269">
        <f t="shared" si="100"/>
        <v>0</v>
      </c>
      <c r="DP108" s="269">
        <f t="shared" si="100"/>
        <v>0</v>
      </c>
      <c r="DQ108" s="339"/>
      <c r="DR108" s="268"/>
    </row>
    <row r="109" spans="3:179" ht="15" thickBot="1" x14ac:dyDescent="0.4">
      <c r="F109" s="1047"/>
      <c r="G109" s="225"/>
      <c r="H109" s="225"/>
      <c r="I109" s="1269"/>
      <c r="J109" s="1214"/>
      <c r="K109" s="225"/>
      <c r="L109" s="225"/>
      <c r="M109" s="225"/>
      <c r="N109" s="225"/>
      <c r="O109" s="1234"/>
      <c r="P109" s="1214"/>
      <c r="Q109" s="225"/>
      <c r="R109" s="1269"/>
      <c r="S109" s="1214"/>
      <c r="T109" s="225"/>
      <c r="U109" s="225"/>
      <c r="V109" s="225"/>
      <c r="W109" s="225"/>
      <c r="X109" s="1269"/>
      <c r="Y109" s="1214"/>
      <c r="Z109" s="225"/>
      <c r="AA109" s="225"/>
      <c r="AB109" s="225"/>
      <c r="AC109" s="225"/>
      <c r="AD109" s="225"/>
      <c r="AE109" s="225"/>
      <c r="AF109" s="225"/>
      <c r="AG109" s="225"/>
      <c r="AH109" s="344"/>
      <c r="AI109" s="225"/>
      <c r="AJ109" s="225"/>
      <c r="AK109" s="225"/>
      <c r="AL109" s="1269"/>
      <c r="AM109" s="1214"/>
      <c r="AN109" s="225"/>
      <c r="AO109" s="225"/>
      <c r="AP109" s="225"/>
      <c r="AQ109" s="225"/>
      <c r="AR109" s="225"/>
      <c r="AS109" s="225"/>
      <c r="AT109" s="225"/>
      <c r="AU109" s="1269"/>
      <c r="AV109" s="1214"/>
      <c r="AW109" s="225"/>
      <c r="AX109" s="225"/>
      <c r="AY109" s="225"/>
      <c r="AZ109" s="225"/>
      <c r="BA109" s="1269"/>
      <c r="BB109" s="1214"/>
      <c r="BC109" s="225"/>
      <c r="BD109" s="225"/>
      <c r="BE109" s="225"/>
      <c r="BF109" s="225"/>
      <c r="BG109" s="225"/>
      <c r="BH109" s="225"/>
      <c r="BI109" s="225"/>
      <c r="BJ109" s="225"/>
      <c r="BK109" s="344"/>
      <c r="BL109" s="225"/>
      <c r="BM109" s="225"/>
      <c r="BN109" s="225"/>
      <c r="BO109" s="1269"/>
      <c r="BP109" s="1214"/>
      <c r="BQ109" s="225"/>
      <c r="BR109" s="225"/>
      <c r="BS109" s="225"/>
      <c r="BT109" s="225"/>
      <c r="BU109" s="225"/>
      <c r="BV109" s="225"/>
      <c r="BW109" s="225"/>
      <c r="BX109" s="1269"/>
      <c r="BY109" s="1214"/>
      <c r="BZ109" s="225"/>
      <c r="CA109" s="225"/>
      <c r="CB109" s="225"/>
      <c r="CC109" s="225"/>
      <c r="CD109" s="1269"/>
      <c r="CE109" s="1214"/>
      <c r="CF109" s="225"/>
      <c r="CG109" s="225"/>
      <c r="CH109" s="225"/>
      <c r="CI109" s="225"/>
      <c r="CJ109" s="225"/>
      <c r="CK109" s="225"/>
      <c r="CL109" s="225"/>
      <c r="CM109" s="225"/>
      <c r="CN109" s="344"/>
      <c r="CO109" s="225"/>
      <c r="CP109" s="225"/>
      <c r="CQ109" s="225"/>
      <c r="CR109" s="1269"/>
      <c r="CS109" s="1214"/>
      <c r="CT109" s="225"/>
      <c r="CU109" s="225"/>
      <c r="CV109" s="225"/>
      <c r="CW109" s="225"/>
      <c r="CX109" s="225"/>
      <c r="CY109" s="225"/>
      <c r="CZ109" s="225"/>
      <c r="DA109" s="1269"/>
      <c r="DB109" s="1214"/>
      <c r="DC109" s="225"/>
      <c r="DD109" s="225"/>
      <c r="DE109" s="225"/>
      <c r="DF109" s="225"/>
      <c r="DG109" s="1269"/>
      <c r="DH109" s="1214"/>
      <c r="DI109" s="225"/>
      <c r="DJ109" s="225"/>
      <c r="DK109" s="225"/>
      <c r="DL109" s="225"/>
      <c r="DM109" s="225"/>
      <c r="DN109" s="225"/>
      <c r="DO109" s="225"/>
      <c r="DP109" s="225"/>
      <c r="DQ109" s="344"/>
      <c r="DR109" s="345"/>
      <c r="DS109" s="225"/>
      <c r="DT109" s="225"/>
      <c r="DU109" s="225"/>
      <c r="DV109" s="1269"/>
      <c r="DW109" s="1214"/>
      <c r="DX109" s="225"/>
      <c r="DY109" s="225"/>
      <c r="DZ109" s="225"/>
      <c r="EA109" s="225"/>
      <c r="EB109" s="225"/>
      <c r="EC109" s="225"/>
      <c r="ED109" s="225"/>
      <c r="EE109" s="1269"/>
      <c r="EF109" s="1214"/>
      <c r="EG109" s="225"/>
      <c r="EH109" s="225"/>
      <c r="EI109" s="225"/>
      <c r="EJ109" s="225"/>
      <c r="EK109" s="1269"/>
      <c r="EL109" s="1214"/>
      <c r="EM109" s="225"/>
      <c r="EN109" s="225"/>
      <c r="EO109" s="225"/>
      <c r="EP109" s="225"/>
      <c r="EQ109" s="225"/>
      <c r="ER109" s="225"/>
      <c r="ES109" s="225"/>
      <c r="ET109" s="225"/>
      <c r="EU109" s="344"/>
      <c r="EV109" s="225"/>
      <c r="EW109" s="225"/>
      <c r="EX109" s="225"/>
      <c r="EY109" s="1269"/>
      <c r="EZ109" s="1214"/>
      <c r="FA109" s="225"/>
      <c r="FB109" s="225"/>
      <c r="FC109" s="225"/>
      <c r="FD109" s="225"/>
      <c r="FE109" s="225"/>
      <c r="FF109" s="225"/>
      <c r="FG109" s="225"/>
      <c r="FH109" s="1269"/>
      <c r="FI109" s="1214"/>
      <c r="FJ109" s="225"/>
      <c r="FK109" s="225"/>
      <c r="FL109" s="225"/>
      <c r="FM109" s="225"/>
      <c r="FN109" s="1269"/>
      <c r="FO109" s="1214"/>
      <c r="FP109" s="225"/>
      <c r="FQ109" s="225"/>
      <c r="FR109" s="225"/>
      <c r="FS109" s="225"/>
      <c r="FT109" s="225"/>
      <c r="FU109" s="225"/>
      <c r="FV109" s="225"/>
      <c r="FW109" s="225"/>
    </row>
    <row r="110" spans="3:179" s="377" customFormat="1" ht="15" thickTop="1" x14ac:dyDescent="0.35">
      <c r="C110" s="375" t="s">
        <v>132</v>
      </c>
      <c r="D110" s="375"/>
      <c r="E110" s="375"/>
      <c r="F110" s="1048">
        <f t="shared" ref="F110:AG110" si="101">F$73*F$38/100</f>
        <v>78.574174893617013</v>
      </c>
      <c r="G110" s="376">
        <f>G$73*G$38/100</f>
        <v>77.362608333333327</v>
      </c>
      <c r="H110" s="371">
        <f t="shared" si="101"/>
        <v>78.169261538461541</v>
      </c>
      <c r="I110" s="1270">
        <f t="shared" si="101"/>
        <v>77.257347699999997</v>
      </c>
      <c r="J110" s="1215">
        <f t="shared" si="101"/>
        <v>50.277803333333331</v>
      </c>
      <c r="K110" s="376">
        <f t="shared" si="101"/>
        <v>48.434196086956518</v>
      </c>
      <c r="L110" s="376">
        <f t="shared" si="101"/>
        <v>48.465941874999999</v>
      </c>
      <c r="M110" s="376">
        <f t="shared" si="101"/>
        <v>47.621503913043483</v>
      </c>
      <c r="N110" s="376">
        <f t="shared" si="101"/>
        <v>47.409730952380954</v>
      </c>
      <c r="O110" s="1270">
        <f t="shared" si="101"/>
        <v>49.077577391304345</v>
      </c>
      <c r="P110" s="1215">
        <f t="shared" si="101"/>
        <v>49.122726956521738</v>
      </c>
      <c r="Q110" s="376">
        <f t="shared" si="101"/>
        <v>48.479345652173905</v>
      </c>
      <c r="R110" s="1270">
        <f t="shared" si="101"/>
        <v>48.434196086956518</v>
      </c>
      <c r="S110" s="1215">
        <f t="shared" si="101"/>
        <v>0</v>
      </c>
      <c r="T110" s="376">
        <f t="shared" si="101"/>
        <v>0</v>
      </c>
      <c r="U110" s="376">
        <f t="shared" si="101"/>
        <v>0</v>
      </c>
      <c r="V110" s="376">
        <f t="shared" si="101"/>
        <v>0</v>
      </c>
      <c r="W110" s="376">
        <f t="shared" si="101"/>
        <v>0</v>
      </c>
      <c r="X110" s="1270">
        <f t="shared" si="101"/>
        <v>0</v>
      </c>
      <c r="Y110" s="1215">
        <f t="shared" si="101"/>
        <v>0</v>
      </c>
      <c r="Z110" s="376">
        <f t="shared" si="101"/>
        <v>0</v>
      </c>
      <c r="AA110" s="376">
        <f t="shared" si="101"/>
        <v>0</v>
      </c>
      <c r="AB110" s="376">
        <f t="shared" si="101"/>
        <v>0</v>
      </c>
      <c r="AC110" s="376">
        <f t="shared" si="101"/>
        <v>0</v>
      </c>
      <c r="AD110" s="376">
        <f t="shared" si="101"/>
        <v>0</v>
      </c>
      <c r="AE110" s="376">
        <f t="shared" si="101"/>
        <v>0</v>
      </c>
      <c r="AF110" s="376">
        <f t="shared" si="101"/>
        <v>0</v>
      </c>
      <c r="AG110" s="376">
        <f t="shared" si="101"/>
        <v>0</v>
      </c>
      <c r="AH110" s="399"/>
      <c r="AI110" s="376">
        <f t="shared" ref="AI110:BJ110" si="102">AI$73*AI$38/100</f>
        <v>0</v>
      </c>
      <c r="AJ110" s="376">
        <f t="shared" si="102"/>
        <v>0</v>
      </c>
      <c r="AK110" s="376">
        <f t="shared" si="102"/>
        <v>0</v>
      </c>
      <c r="AL110" s="1270">
        <f t="shared" si="102"/>
        <v>0</v>
      </c>
      <c r="AM110" s="1215">
        <f t="shared" si="102"/>
        <v>0</v>
      </c>
      <c r="AN110" s="376">
        <f t="shared" si="102"/>
        <v>0</v>
      </c>
      <c r="AO110" s="376">
        <f t="shared" si="102"/>
        <v>0</v>
      </c>
      <c r="AP110" s="376">
        <f t="shared" si="102"/>
        <v>0</v>
      </c>
      <c r="AQ110" s="376">
        <f t="shared" si="102"/>
        <v>0</v>
      </c>
      <c r="AR110" s="376">
        <f t="shared" si="102"/>
        <v>0</v>
      </c>
      <c r="AS110" s="376">
        <f t="shared" si="102"/>
        <v>0</v>
      </c>
      <c r="AT110" s="376">
        <f t="shared" si="102"/>
        <v>0</v>
      </c>
      <c r="AU110" s="1270">
        <f t="shared" si="102"/>
        <v>0</v>
      </c>
      <c r="AV110" s="1215">
        <f t="shared" si="102"/>
        <v>0</v>
      </c>
      <c r="AW110" s="376">
        <f t="shared" si="102"/>
        <v>0</v>
      </c>
      <c r="AX110" s="376">
        <f t="shared" si="102"/>
        <v>0</v>
      </c>
      <c r="AY110" s="376">
        <f t="shared" si="102"/>
        <v>0</v>
      </c>
      <c r="AZ110" s="376">
        <f t="shared" si="102"/>
        <v>0</v>
      </c>
      <c r="BA110" s="1270">
        <f t="shared" si="102"/>
        <v>0</v>
      </c>
      <c r="BB110" s="1215">
        <f t="shared" si="102"/>
        <v>0</v>
      </c>
      <c r="BC110" s="376">
        <f t="shared" si="102"/>
        <v>0</v>
      </c>
      <c r="BD110" s="376">
        <f t="shared" si="102"/>
        <v>0</v>
      </c>
      <c r="BE110" s="376">
        <f t="shared" si="102"/>
        <v>0</v>
      </c>
      <c r="BF110" s="376">
        <f t="shared" si="102"/>
        <v>0</v>
      </c>
      <c r="BG110" s="376">
        <f t="shared" si="102"/>
        <v>0</v>
      </c>
      <c r="BH110" s="376">
        <f t="shared" si="102"/>
        <v>0</v>
      </c>
      <c r="BI110" s="376">
        <f t="shared" si="102"/>
        <v>0</v>
      </c>
      <c r="BJ110" s="376">
        <f t="shared" si="102"/>
        <v>0</v>
      </c>
      <c r="BK110" s="399"/>
      <c r="BL110" s="376">
        <f t="shared" ref="BL110:CM110" si="103">BL$73*BL$38/100</f>
        <v>28.179622127659574</v>
      </c>
      <c r="BM110" s="376">
        <f t="shared" si="103"/>
        <v>26.270072916666667</v>
      </c>
      <c r="BN110" s="376">
        <f t="shared" si="103"/>
        <v>30.585753333333333</v>
      </c>
      <c r="BO110" s="1270">
        <f t="shared" si="103"/>
        <v>30.821503333333336</v>
      </c>
      <c r="BP110" s="1215">
        <f t="shared" si="103"/>
        <v>5.7346666666666666</v>
      </c>
      <c r="BQ110" s="376">
        <f t="shared" si="103"/>
        <v>6.0392888888888887</v>
      </c>
      <c r="BR110" s="376">
        <f t="shared" si="103"/>
        <v>7.2844067796610181</v>
      </c>
      <c r="BS110" s="376">
        <f t="shared" si="103"/>
        <v>7.3727999999999998</v>
      </c>
      <c r="BT110" s="376">
        <f t="shared" si="103"/>
        <v>8.1353901345291462</v>
      </c>
      <c r="BU110" s="376">
        <f t="shared" si="103"/>
        <v>8.4365249999999996</v>
      </c>
      <c r="BV110" s="376">
        <f t="shared" si="103"/>
        <v>8.8307333333333329</v>
      </c>
      <c r="BW110" s="376">
        <f t="shared" si="103"/>
        <v>8.4243500000000004</v>
      </c>
      <c r="BX110" s="1270">
        <f t="shared" si="103"/>
        <v>8.8773750000000007</v>
      </c>
      <c r="BY110" s="1215">
        <f t="shared" si="103"/>
        <v>0</v>
      </c>
      <c r="BZ110" s="376">
        <f t="shared" si="103"/>
        <v>0</v>
      </c>
      <c r="CA110" s="376">
        <f t="shared" si="103"/>
        <v>0</v>
      </c>
      <c r="CB110" s="376">
        <f t="shared" si="103"/>
        <v>0</v>
      </c>
      <c r="CC110" s="376">
        <f t="shared" si="103"/>
        <v>0</v>
      </c>
      <c r="CD110" s="1270">
        <f t="shared" si="103"/>
        <v>0</v>
      </c>
      <c r="CE110" s="1215">
        <f t="shared" si="103"/>
        <v>0</v>
      </c>
      <c r="CF110" s="376">
        <f t="shared" si="103"/>
        <v>0</v>
      </c>
      <c r="CG110" s="376">
        <f t="shared" si="103"/>
        <v>0</v>
      </c>
      <c r="CH110" s="376">
        <f t="shared" si="103"/>
        <v>0</v>
      </c>
      <c r="CI110" s="376">
        <f t="shared" si="103"/>
        <v>0</v>
      </c>
      <c r="CJ110" s="376">
        <f t="shared" si="103"/>
        <v>0</v>
      </c>
      <c r="CK110" s="376">
        <f t="shared" si="103"/>
        <v>0</v>
      </c>
      <c r="CL110" s="376">
        <f t="shared" si="103"/>
        <v>0</v>
      </c>
      <c r="CM110" s="376">
        <f t="shared" si="103"/>
        <v>0</v>
      </c>
      <c r="CN110" s="354"/>
      <c r="CO110" s="376"/>
      <c r="CP110" s="376"/>
      <c r="CQ110" s="376"/>
      <c r="CR110" s="1270"/>
      <c r="CS110" s="1215"/>
      <c r="CT110" s="376"/>
      <c r="CU110" s="376"/>
      <c r="CV110" s="376"/>
      <c r="CW110" s="376"/>
      <c r="CX110" s="376"/>
      <c r="CY110" s="376"/>
      <c r="CZ110" s="376"/>
      <c r="DA110" s="1270"/>
      <c r="DB110" s="1215"/>
      <c r="DC110" s="376"/>
      <c r="DD110" s="376"/>
      <c r="DE110" s="376"/>
      <c r="DF110" s="376"/>
      <c r="DG110" s="1270"/>
      <c r="DH110" s="1215"/>
      <c r="DI110" s="376"/>
      <c r="DJ110" s="376"/>
      <c r="DK110" s="376"/>
      <c r="DL110" s="376"/>
      <c r="DM110" s="376"/>
      <c r="DN110" s="376"/>
      <c r="DO110" s="376"/>
      <c r="DP110" s="376"/>
      <c r="DQ110" s="352"/>
      <c r="DR110" s="355"/>
      <c r="DS110" s="347"/>
      <c r="DT110" s="347"/>
      <c r="DU110" s="347"/>
      <c r="DV110" s="1278"/>
      <c r="DW110" s="1222"/>
      <c r="DX110" s="347"/>
      <c r="DY110" s="347"/>
      <c r="DZ110" s="347"/>
      <c r="EA110" s="347"/>
      <c r="EB110" s="347"/>
      <c r="EC110" s="347"/>
      <c r="ED110" s="347"/>
      <c r="EE110" s="1278"/>
      <c r="EF110" s="1222"/>
      <c r="EG110" s="347"/>
      <c r="EH110" s="347"/>
      <c r="EI110" s="347"/>
      <c r="EJ110" s="347"/>
      <c r="EK110" s="1278"/>
      <c r="EL110" s="1222"/>
      <c r="EM110" s="347"/>
      <c r="EN110" s="347"/>
      <c r="EO110" s="347"/>
      <c r="EP110" s="347"/>
      <c r="EQ110" s="347"/>
      <c r="ER110" s="347"/>
      <c r="ES110" s="347"/>
      <c r="ET110" s="347"/>
      <c r="EU110" s="352"/>
      <c r="EV110" s="347"/>
      <c r="EW110" s="347"/>
      <c r="EX110" s="347"/>
      <c r="EY110" s="1278"/>
      <c r="EZ110" s="1222"/>
      <c r="FA110" s="347"/>
      <c r="FB110" s="347"/>
      <c r="FC110" s="347"/>
      <c r="FD110" s="347"/>
      <c r="FE110" s="347"/>
      <c r="FF110" s="347"/>
      <c r="FG110" s="347"/>
      <c r="FH110" s="1278"/>
      <c r="FI110" s="1222"/>
      <c r="FJ110" s="347"/>
      <c r="FK110" s="347"/>
      <c r="FL110" s="347"/>
      <c r="FM110" s="347"/>
      <c r="FN110" s="1278"/>
      <c r="FO110" s="1222"/>
      <c r="FP110" s="347"/>
      <c r="FQ110" s="347"/>
      <c r="FR110" s="347"/>
      <c r="FS110" s="347"/>
      <c r="FT110" s="347"/>
      <c r="FU110" s="347"/>
      <c r="FV110" s="347"/>
      <c r="FW110" s="347"/>
    </row>
    <row r="111" spans="3:179" s="368" customFormat="1" ht="15" thickBot="1" x14ac:dyDescent="0.4">
      <c r="C111" s="364" t="s">
        <v>133</v>
      </c>
      <c r="D111" s="364"/>
      <c r="E111" s="364"/>
      <c r="F111" s="1049">
        <f t="shared" ref="F111:AG111" si="104">F$73*F$42/100</f>
        <v>43.91522978723404</v>
      </c>
      <c r="G111" s="400">
        <f t="shared" si="104"/>
        <v>43.238083333333336</v>
      </c>
      <c r="H111" s="374">
        <f t="shared" si="104"/>
        <v>43.688923076923082</v>
      </c>
      <c r="I111" s="1271">
        <f t="shared" si="104"/>
        <v>43.179252999999996</v>
      </c>
      <c r="J111" s="1216">
        <f t="shared" si="104"/>
        <v>24.719613333333331</v>
      </c>
      <c r="K111" s="400">
        <f t="shared" si="104"/>
        <v>23.813184347826088</v>
      </c>
      <c r="L111" s="400">
        <f t="shared" si="104"/>
        <v>23.828792499999999</v>
      </c>
      <c r="M111" s="400">
        <f t="shared" si="104"/>
        <v>23.413615652173913</v>
      </c>
      <c r="N111" s="400">
        <f t="shared" si="104"/>
        <v>23.309495238095238</v>
      </c>
      <c r="O111" s="1271">
        <f t="shared" si="104"/>
        <v>24.12950956521739</v>
      </c>
      <c r="P111" s="1216">
        <f t="shared" si="104"/>
        <v>24.151707826086955</v>
      </c>
      <c r="Q111" s="400">
        <f t="shared" si="104"/>
        <v>23.83538260869565</v>
      </c>
      <c r="R111" s="1271">
        <f t="shared" si="104"/>
        <v>23.813184347826088</v>
      </c>
      <c r="S111" s="1216">
        <f t="shared" si="104"/>
        <v>0</v>
      </c>
      <c r="T111" s="400">
        <f t="shared" si="104"/>
        <v>0</v>
      </c>
      <c r="U111" s="400">
        <f t="shared" si="104"/>
        <v>0</v>
      </c>
      <c r="V111" s="400">
        <f t="shared" si="104"/>
        <v>0</v>
      </c>
      <c r="W111" s="400">
        <f t="shared" si="104"/>
        <v>0</v>
      </c>
      <c r="X111" s="1271">
        <f t="shared" si="104"/>
        <v>0</v>
      </c>
      <c r="Y111" s="1216">
        <f t="shared" si="104"/>
        <v>0</v>
      </c>
      <c r="Z111" s="400">
        <f t="shared" si="104"/>
        <v>0</v>
      </c>
      <c r="AA111" s="400">
        <f t="shared" si="104"/>
        <v>0</v>
      </c>
      <c r="AB111" s="400">
        <f t="shared" si="104"/>
        <v>0</v>
      </c>
      <c r="AC111" s="400">
        <f t="shared" si="104"/>
        <v>0</v>
      </c>
      <c r="AD111" s="400">
        <f t="shared" si="104"/>
        <v>0</v>
      </c>
      <c r="AE111" s="400">
        <f t="shared" si="104"/>
        <v>0</v>
      </c>
      <c r="AF111" s="400">
        <f t="shared" si="104"/>
        <v>0</v>
      </c>
      <c r="AG111" s="400">
        <f t="shared" si="104"/>
        <v>0</v>
      </c>
      <c r="AH111" s="401"/>
      <c r="AI111" s="400">
        <f t="shared" ref="AI111:BJ111" si="105">AI$73*AI$42/100</f>
        <v>0</v>
      </c>
      <c r="AJ111" s="400">
        <f t="shared" si="105"/>
        <v>0</v>
      </c>
      <c r="AK111" s="400">
        <f t="shared" si="105"/>
        <v>0</v>
      </c>
      <c r="AL111" s="1271">
        <f t="shared" si="105"/>
        <v>0</v>
      </c>
      <c r="AM111" s="1216">
        <f t="shared" si="105"/>
        <v>0</v>
      </c>
      <c r="AN111" s="400">
        <f t="shared" si="105"/>
        <v>0</v>
      </c>
      <c r="AO111" s="400">
        <f t="shared" si="105"/>
        <v>0</v>
      </c>
      <c r="AP111" s="400">
        <f t="shared" si="105"/>
        <v>0</v>
      </c>
      <c r="AQ111" s="400">
        <f t="shared" si="105"/>
        <v>0</v>
      </c>
      <c r="AR111" s="400">
        <f t="shared" si="105"/>
        <v>0</v>
      </c>
      <c r="AS111" s="400">
        <f t="shared" si="105"/>
        <v>0</v>
      </c>
      <c r="AT111" s="400">
        <f t="shared" si="105"/>
        <v>0</v>
      </c>
      <c r="AU111" s="1271">
        <f t="shared" si="105"/>
        <v>0</v>
      </c>
      <c r="AV111" s="1216">
        <f t="shared" si="105"/>
        <v>0</v>
      </c>
      <c r="AW111" s="400">
        <f t="shared" si="105"/>
        <v>0</v>
      </c>
      <c r="AX111" s="400">
        <f t="shared" si="105"/>
        <v>0</v>
      </c>
      <c r="AY111" s="400">
        <f t="shared" si="105"/>
        <v>0</v>
      </c>
      <c r="AZ111" s="400">
        <f t="shared" si="105"/>
        <v>0</v>
      </c>
      <c r="BA111" s="1271">
        <f t="shared" si="105"/>
        <v>0</v>
      </c>
      <c r="BB111" s="1216">
        <f t="shared" si="105"/>
        <v>0</v>
      </c>
      <c r="BC111" s="400">
        <f t="shared" si="105"/>
        <v>0</v>
      </c>
      <c r="BD111" s="400">
        <f t="shared" si="105"/>
        <v>0</v>
      </c>
      <c r="BE111" s="400">
        <f t="shared" si="105"/>
        <v>0</v>
      </c>
      <c r="BF111" s="400">
        <f t="shared" si="105"/>
        <v>0</v>
      </c>
      <c r="BG111" s="400">
        <f t="shared" si="105"/>
        <v>0</v>
      </c>
      <c r="BH111" s="400">
        <f t="shared" si="105"/>
        <v>0</v>
      </c>
      <c r="BI111" s="400">
        <f t="shared" si="105"/>
        <v>0</v>
      </c>
      <c r="BJ111" s="400">
        <f t="shared" si="105"/>
        <v>0</v>
      </c>
      <c r="BK111" s="401"/>
      <c r="BL111" s="400">
        <f t="shared" ref="BL111:CM111" si="106">BL$73*BL$42/100</f>
        <v>11.561654468085106</v>
      </c>
      <c r="BM111" s="400">
        <f t="shared" si="106"/>
        <v>11.572449999999998</v>
      </c>
      <c r="BN111" s="400">
        <f t="shared" si="106"/>
        <v>15.932525</v>
      </c>
      <c r="BO111" s="1271">
        <f t="shared" si="106"/>
        <v>15.587753333333335</v>
      </c>
      <c r="BP111" s="1216">
        <f t="shared" si="106"/>
        <v>1.9447999999999999</v>
      </c>
      <c r="BQ111" s="400">
        <f t="shared" si="106"/>
        <v>2.0894222222222223</v>
      </c>
      <c r="BR111" s="400">
        <f t="shared" si="106"/>
        <v>2.1528813559322035</v>
      </c>
      <c r="BS111" s="400">
        <f t="shared" si="106"/>
        <v>3.3695999999999997</v>
      </c>
      <c r="BT111" s="400">
        <f t="shared" si="106"/>
        <v>4.1536322869955145</v>
      </c>
      <c r="BU111" s="400">
        <f t="shared" si="106"/>
        <v>3.5607750000000005</v>
      </c>
      <c r="BV111" s="400">
        <f t="shared" si="106"/>
        <v>4.3560999999999996</v>
      </c>
      <c r="BW111" s="400">
        <f t="shared" si="106"/>
        <v>4.2049500000000002</v>
      </c>
      <c r="BX111" s="1271">
        <f t="shared" si="106"/>
        <v>3.6855000000000002</v>
      </c>
      <c r="BY111" s="1216">
        <f t="shared" si="106"/>
        <v>0</v>
      </c>
      <c r="BZ111" s="400">
        <f t="shared" si="106"/>
        <v>0</v>
      </c>
      <c r="CA111" s="400">
        <f t="shared" si="106"/>
        <v>0</v>
      </c>
      <c r="CB111" s="400">
        <f t="shared" si="106"/>
        <v>0</v>
      </c>
      <c r="CC111" s="400">
        <f t="shared" si="106"/>
        <v>0</v>
      </c>
      <c r="CD111" s="1271">
        <f t="shared" si="106"/>
        <v>0</v>
      </c>
      <c r="CE111" s="1216">
        <f t="shared" si="106"/>
        <v>0</v>
      </c>
      <c r="CF111" s="400">
        <f t="shared" si="106"/>
        <v>0</v>
      </c>
      <c r="CG111" s="400">
        <f t="shared" si="106"/>
        <v>0</v>
      </c>
      <c r="CH111" s="400">
        <f t="shared" si="106"/>
        <v>0</v>
      </c>
      <c r="CI111" s="400">
        <f t="shared" si="106"/>
        <v>0</v>
      </c>
      <c r="CJ111" s="400">
        <f t="shared" si="106"/>
        <v>0</v>
      </c>
      <c r="CK111" s="400">
        <f t="shared" si="106"/>
        <v>0</v>
      </c>
      <c r="CL111" s="400">
        <f t="shared" si="106"/>
        <v>0</v>
      </c>
      <c r="CM111" s="400">
        <f t="shared" si="106"/>
        <v>0</v>
      </c>
      <c r="CN111" s="369"/>
      <c r="CO111" s="400"/>
      <c r="CP111" s="400"/>
      <c r="CQ111" s="400"/>
      <c r="CR111" s="1271"/>
      <c r="CS111" s="1216"/>
      <c r="CT111" s="400"/>
      <c r="CU111" s="400"/>
      <c r="CV111" s="400"/>
      <c r="CW111" s="400"/>
      <c r="CX111" s="400"/>
      <c r="CY111" s="400"/>
      <c r="CZ111" s="400"/>
      <c r="DA111" s="1271"/>
      <c r="DB111" s="1216"/>
      <c r="DC111" s="400"/>
      <c r="DD111" s="400"/>
      <c r="DE111" s="400"/>
      <c r="DF111" s="400"/>
      <c r="DG111" s="1271"/>
      <c r="DH111" s="1216"/>
      <c r="DI111" s="400"/>
      <c r="DJ111" s="400"/>
      <c r="DK111" s="400"/>
      <c r="DL111" s="400"/>
      <c r="DM111" s="400"/>
      <c r="DN111" s="400"/>
      <c r="DO111" s="400"/>
      <c r="DP111" s="400"/>
      <c r="DQ111" s="366"/>
      <c r="DR111" s="367"/>
      <c r="DS111" s="365"/>
      <c r="DT111" s="365"/>
      <c r="DU111" s="365"/>
      <c r="DV111" s="1234"/>
      <c r="DW111" s="1182"/>
      <c r="DX111" s="365"/>
      <c r="DY111" s="365"/>
      <c r="DZ111" s="365"/>
      <c r="EA111" s="365"/>
      <c r="EB111" s="365"/>
      <c r="EC111" s="365"/>
      <c r="ED111" s="365"/>
      <c r="EE111" s="1234"/>
      <c r="EF111" s="1182"/>
      <c r="EG111" s="365"/>
      <c r="EH111" s="365"/>
      <c r="EI111" s="365"/>
      <c r="EJ111" s="365"/>
      <c r="EK111" s="1234"/>
      <c r="EL111" s="1182"/>
      <c r="EM111" s="365"/>
      <c r="EN111" s="365"/>
      <c r="EO111" s="365"/>
      <c r="EP111" s="365"/>
      <c r="EQ111" s="365"/>
      <c r="ER111" s="365"/>
      <c r="ES111" s="365"/>
      <c r="ET111" s="365"/>
      <c r="EU111" s="366"/>
      <c r="EV111" s="365"/>
      <c r="EW111" s="365"/>
      <c r="EX111" s="365"/>
      <c r="EY111" s="1234"/>
      <c r="EZ111" s="1182"/>
      <c r="FA111" s="365"/>
      <c r="FB111" s="365"/>
      <c r="FC111" s="365"/>
      <c r="FD111" s="365"/>
      <c r="FE111" s="365"/>
      <c r="FF111" s="365"/>
      <c r="FG111" s="365"/>
      <c r="FH111" s="1234"/>
      <c r="FI111" s="1182"/>
      <c r="FJ111" s="365"/>
      <c r="FK111" s="365"/>
      <c r="FL111" s="365"/>
      <c r="FM111" s="365"/>
      <c r="FN111" s="1234"/>
      <c r="FO111" s="1182"/>
      <c r="FP111" s="365"/>
      <c r="FQ111" s="365"/>
      <c r="FR111" s="365"/>
      <c r="FS111" s="365"/>
      <c r="FT111" s="365"/>
      <c r="FU111" s="365"/>
      <c r="FV111" s="365"/>
      <c r="FW111" s="365"/>
    </row>
    <row r="112" spans="3:179" s="377" customFormat="1" ht="15" thickTop="1" x14ac:dyDescent="0.35">
      <c r="C112" s="375"/>
      <c r="D112" s="375"/>
      <c r="E112" s="375"/>
      <c r="F112" s="1166"/>
      <c r="G112" s="370"/>
      <c r="H112" s="371"/>
      <c r="I112" s="1272"/>
      <c r="J112" s="1217"/>
      <c r="K112" s="370"/>
      <c r="L112" s="370"/>
      <c r="M112" s="370"/>
      <c r="N112" s="370"/>
      <c r="O112" s="1272"/>
      <c r="P112" s="1217"/>
      <c r="Q112" s="370"/>
      <c r="R112" s="1272"/>
      <c r="S112" s="1217"/>
      <c r="T112" s="370"/>
      <c r="U112" s="370"/>
      <c r="V112" s="370"/>
      <c r="W112" s="370"/>
      <c r="X112" s="1272"/>
      <c r="Y112" s="1217"/>
      <c r="Z112" s="370"/>
      <c r="AA112" s="370"/>
      <c r="AB112" s="370"/>
      <c r="AC112" s="370"/>
      <c r="AD112" s="370"/>
      <c r="AE112" s="370"/>
      <c r="AF112" s="370"/>
      <c r="AG112" s="370"/>
      <c r="AH112" s="354"/>
      <c r="AI112" s="370"/>
      <c r="AJ112" s="370"/>
      <c r="AK112" s="370"/>
      <c r="AL112" s="1272"/>
      <c r="AM112" s="1217"/>
      <c r="AN112" s="370"/>
      <c r="AO112" s="370"/>
      <c r="AP112" s="370"/>
      <c r="AQ112" s="370"/>
      <c r="AR112" s="370"/>
      <c r="AS112" s="370"/>
      <c r="AT112" s="370"/>
      <c r="AU112" s="1272"/>
      <c r="AV112" s="1217"/>
      <c r="AW112" s="370"/>
      <c r="AX112" s="370"/>
      <c r="AY112" s="370"/>
      <c r="AZ112" s="370"/>
      <c r="BA112" s="1272"/>
      <c r="BB112" s="1217"/>
      <c r="BC112" s="370"/>
      <c r="BD112" s="370"/>
      <c r="BE112" s="370"/>
      <c r="BF112" s="370"/>
      <c r="BG112" s="370"/>
      <c r="BH112" s="370"/>
      <c r="BI112" s="370"/>
      <c r="BJ112" s="370"/>
      <c r="BK112" s="354"/>
      <c r="BL112" s="370"/>
      <c r="BM112" s="370"/>
      <c r="BN112" s="370"/>
      <c r="BO112" s="1272"/>
      <c r="BP112" s="1217"/>
      <c r="BQ112" s="370"/>
      <c r="BR112" s="370"/>
      <c r="BS112" s="370"/>
      <c r="BT112" s="370"/>
      <c r="BU112" s="370"/>
      <c r="BV112" s="370"/>
      <c r="BW112" s="370"/>
      <c r="BX112" s="1272"/>
      <c r="BY112" s="1217"/>
      <c r="BZ112" s="370"/>
      <c r="CA112" s="370"/>
      <c r="CB112" s="370"/>
      <c r="CC112" s="370"/>
      <c r="CD112" s="1272"/>
      <c r="CE112" s="1217"/>
      <c r="CF112" s="370"/>
      <c r="CG112" s="370"/>
      <c r="CH112" s="370"/>
      <c r="CI112" s="370"/>
      <c r="CJ112" s="370"/>
      <c r="CK112" s="370"/>
      <c r="CL112" s="370"/>
      <c r="CM112" s="370"/>
      <c r="CN112" s="354"/>
      <c r="CO112" s="370"/>
      <c r="CP112" s="370"/>
      <c r="CQ112" s="370"/>
      <c r="CR112" s="1272"/>
      <c r="CS112" s="1217"/>
      <c r="CT112" s="370"/>
      <c r="CU112" s="370"/>
      <c r="CV112" s="370"/>
      <c r="CW112" s="370"/>
      <c r="CX112" s="370"/>
      <c r="CY112" s="370"/>
      <c r="CZ112" s="370"/>
      <c r="DA112" s="1272"/>
      <c r="DB112" s="1217"/>
      <c r="DC112" s="370"/>
      <c r="DD112" s="370"/>
      <c r="DE112" s="370"/>
      <c r="DF112" s="370"/>
      <c r="DG112" s="1272"/>
      <c r="DH112" s="1217"/>
      <c r="DI112" s="370"/>
      <c r="DJ112" s="370"/>
      <c r="DK112" s="370"/>
      <c r="DL112" s="370"/>
      <c r="DM112" s="370"/>
      <c r="DN112" s="370"/>
      <c r="DO112" s="370"/>
      <c r="DP112" s="370"/>
      <c r="DQ112" s="352"/>
      <c r="DR112" s="355"/>
      <c r="DS112" s="347"/>
      <c r="DT112" s="347"/>
      <c r="DU112" s="347"/>
      <c r="DV112" s="1278"/>
      <c r="DW112" s="1222"/>
      <c r="DX112" s="347"/>
      <c r="DY112" s="347"/>
      <c r="DZ112" s="347"/>
      <c r="EA112" s="347"/>
      <c r="EB112" s="347"/>
      <c r="EC112" s="347"/>
      <c r="ED112" s="347"/>
      <c r="EE112" s="1278"/>
      <c r="EF112" s="1222"/>
      <c r="EG112" s="347"/>
      <c r="EH112" s="347"/>
      <c r="EI112" s="347"/>
      <c r="EJ112" s="347"/>
      <c r="EK112" s="1278"/>
      <c r="EL112" s="1222"/>
      <c r="EM112" s="347"/>
      <c r="EN112" s="347"/>
      <c r="EO112" s="347"/>
      <c r="EP112" s="347"/>
      <c r="EQ112" s="347"/>
      <c r="ER112" s="347"/>
      <c r="ES112" s="347"/>
      <c r="ET112" s="347"/>
      <c r="EU112" s="352"/>
      <c r="EV112" s="347"/>
      <c r="EW112" s="347"/>
      <c r="EX112" s="347"/>
      <c r="EY112" s="1278"/>
      <c r="EZ112" s="1222"/>
      <c r="FA112" s="347"/>
      <c r="FB112" s="347"/>
      <c r="FC112" s="347"/>
      <c r="FD112" s="347"/>
      <c r="FE112" s="347"/>
      <c r="FF112" s="347"/>
      <c r="FG112" s="347"/>
      <c r="FH112" s="1278"/>
      <c r="FI112" s="1222"/>
      <c r="FJ112" s="347"/>
      <c r="FK112" s="347"/>
      <c r="FL112" s="347"/>
      <c r="FM112" s="347"/>
      <c r="FN112" s="1278"/>
      <c r="FO112" s="1222"/>
      <c r="FP112" s="347"/>
      <c r="FQ112" s="347"/>
      <c r="FR112" s="347"/>
      <c r="FS112" s="347"/>
      <c r="FT112" s="347"/>
      <c r="FU112" s="347"/>
      <c r="FV112" s="347"/>
      <c r="FW112" s="347"/>
    </row>
    <row r="113" spans="3:180" x14ac:dyDescent="0.35">
      <c r="C113" s="1" t="s">
        <v>134</v>
      </c>
      <c r="F113" s="604">
        <f t="shared" ref="F113:AG113" si="107">F$73*F$46/100</f>
        <v>84.355629787234022</v>
      </c>
      <c r="G113" s="251">
        <f t="shared" si="107"/>
        <v>83.054916666666657</v>
      </c>
      <c r="H113" s="249">
        <f t="shared" si="107"/>
        <v>83.920923076923089</v>
      </c>
      <c r="I113" s="1267">
        <f t="shared" si="107"/>
        <v>82.941911000000005</v>
      </c>
      <c r="J113" s="1212">
        <f t="shared" si="107"/>
        <v>49.520566666666667</v>
      </c>
      <c r="K113" s="251">
        <f t="shared" si="107"/>
        <v>47.704726086956526</v>
      </c>
      <c r="L113" s="251">
        <f t="shared" si="107"/>
        <v>47.735993749999999</v>
      </c>
      <c r="M113" s="251">
        <f t="shared" si="107"/>
        <v>46.904273913043482</v>
      </c>
      <c r="N113" s="251">
        <f t="shared" si="107"/>
        <v>46.695690476190478</v>
      </c>
      <c r="O113" s="1267">
        <f t="shared" si="107"/>
        <v>48.338417391304347</v>
      </c>
      <c r="P113" s="1212">
        <f t="shared" si="107"/>
        <v>48.38288695652173</v>
      </c>
      <c r="Q113" s="251">
        <f t="shared" si="107"/>
        <v>47.74919565217391</v>
      </c>
      <c r="R113" s="1267">
        <f t="shared" si="107"/>
        <v>47.704726086956526</v>
      </c>
      <c r="S113" s="1212">
        <f t="shared" si="107"/>
        <v>0</v>
      </c>
      <c r="T113" s="251">
        <f t="shared" si="107"/>
        <v>0</v>
      </c>
      <c r="U113" s="251">
        <f t="shared" si="107"/>
        <v>0</v>
      </c>
      <c r="V113" s="251">
        <f t="shared" si="107"/>
        <v>0</v>
      </c>
      <c r="W113" s="251">
        <f t="shared" si="107"/>
        <v>0</v>
      </c>
      <c r="X113" s="1267">
        <f t="shared" si="107"/>
        <v>0</v>
      </c>
      <c r="Y113" s="1212">
        <f t="shared" si="107"/>
        <v>0</v>
      </c>
      <c r="Z113" s="251">
        <f t="shared" si="107"/>
        <v>0</v>
      </c>
      <c r="AA113" s="251">
        <f t="shared" si="107"/>
        <v>0</v>
      </c>
      <c r="AB113" s="251">
        <f t="shared" si="107"/>
        <v>0</v>
      </c>
      <c r="AC113" s="251">
        <f t="shared" si="107"/>
        <v>0</v>
      </c>
      <c r="AD113" s="251">
        <f t="shared" si="107"/>
        <v>0</v>
      </c>
      <c r="AE113" s="251">
        <f t="shared" si="107"/>
        <v>0</v>
      </c>
      <c r="AF113" s="251">
        <f t="shared" si="107"/>
        <v>0</v>
      </c>
      <c r="AG113" s="251">
        <f t="shared" si="107"/>
        <v>0</v>
      </c>
      <c r="AH113" s="338"/>
      <c r="AI113" s="251">
        <f t="shared" ref="AI113:AW113" si="108">AI$73*AI$46/100</f>
        <v>0</v>
      </c>
      <c r="AJ113" s="251">
        <f t="shared" si="108"/>
        <v>0.27993333333333331</v>
      </c>
      <c r="AK113" s="251">
        <f t="shared" si="108"/>
        <v>0</v>
      </c>
      <c r="AL113" s="1267">
        <f t="shared" si="108"/>
        <v>0</v>
      </c>
      <c r="AM113" s="1212">
        <f t="shared" si="108"/>
        <v>0.39829787234042557</v>
      </c>
      <c r="AN113" s="251">
        <f t="shared" si="108"/>
        <v>0</v>
      </c>
      <c r="AO113" s="251">
        <f t="shared" si="108"/>
        <v>0</v>
      </c>
      <c r="AP113" s="251">
        <f t="shared" si="108"/>
        <v>0</v>
      </c>
      <c r="AQ113" s="251">
        <f t="shared" si="108"/>
        <v>0</v>
      </c>
      <c r="AR113" s="251">
        <f t="shared" si="108"/>
        <v>0</v>
      </c>
      <c r="AS113" s="251">
        <f t="shared" si="108"/>
        <v>0</v>
      </c>
      <c r="AT113" s="251">
        <f t="shared" si="108"/>
        <v>0</v>
      </c>
      <c r="AU113" s="1267">
        <f t="shared" si="108"/>
        <v>0</v>
      </c>
      <c r="AV113" s="1212">
        <f t="shared" si="108"/>
        <v>0</v>
      </c>
      <c r="AW113" s="251">
        <f t="shared" si="108"/>
        <v>0</v>
      </c>
      <c r="AX113" s="251"/>
      <c r="AY113" s="251"/>
      <c r="AZ113" s="251"/>
      <c r="BA113" s="1267"/>
      <c r="BB113" s="1212"/>
      <c r="BC113" s="251"/>
      <c r="BD113" s="251"/>
      <c r="BE113" s="251"/>
      <c r="BF113" s="251"/>
      <c r="BG113" s="251"/>
      <c r="BH113" s="251"/>
      <c r="BI113" s="251"/>
      <c r="BJ113" s="251"/>
      <c r="BK113" s="338"/>
      <c r="BL113" s="251">
        <f t="shared" ref="BL113:CM113" si="109">BL$73*BL$46/100</f>
        <v>38.53375319148936</v>
      </c>
      <c r="BM113" s="251">
        <f t="shared" si="109"/>
        <v>39.464166666666664</v>
      </c>
      <c r="BN113" s="251">
        <f t="shared" si="109"/>
        <v>42.398708333333332</v>
      </c>
      <c r="BO113" s="1267">
        <f t="shared" si="109"/>
        <v>42.07416666666667</v>
      </c>
      <c r="BP113" s="1212">
        <f t="shared" si="109"/>
        <v>10.222666666666665</v>
      </c>
      <c r="BQ113" s="251">
        <f t="shared" si="109"/>
        <v>10.304</v>
      </c>
      <c r="BR113" s="251">
        <f t="shared" si="109"/>
        <v>11.619661016949154</v>
      </c>
      <c r="BS113" s="251">
        <f t="shared" si="109"/>
        <v>11.952</v>
      </c>
      <c r="BT113" s="251">
        <f t="shared" si="109"/>
        <v>12.389282511210761</v>
      </c>
      <c r="BU113" s="251">
        <f t="shared" si="109"/>
        <v>13.0611</v>
      </c>
      <c r="BV113" s="251">
        <f t="shared" si="109"/>
        <v>13.497983333333332</v>
      </c>
      <c r="BW113" s="251">
        <f t="shared" si="109"/>
        <v>14.132099999999998</v>
      </c>
      <c r="BX113" s="1267">
        <f t="shared" si="109"/>
        <v>13.893750000000001</v>
      </c>
      <c r="BY113" s="1212">
        <f t="shared" si="109"/>
        <v>0</v>
      </c>
      <c r="BZ113" s="251">
        <f t="shared" si="109"/>
        <v>0</v>
      </c>
      <c r="CA113" s="251">
        <f t="shared" si="109"/>
        <v>0</v>
      </c>
      <c r="CB113" s="251">
        <f t="shared" si="109"/>
        <v>0</v>
      </c>
      <c r="CC113" s="251">
        <f t="shared" si="109"/>
        <v>0</v>
      </c>
      <c r="CD113" s="1267">
        <f t="shared" si="109"/>
        <v>0</v>
      </c>
      <c r="CE113" s="1212">
        <f t="shared" si="109"/>
        <v>0</v>
      </c>
      <c r="CF113" s="251">
        <f t="shared" si="109"/>
        <v>0</v>
      </c>
      <c r="CG113" s="251">
        <f t="shared" si="109"/>
        <v>0</v>
      </c>
      <c r="CH113" s="251">
        <f t="shared" si="109"/>
        <v>0</v>
      </c>
      <c r="CI113" s="251">
        <f t="shared" si="109"/>
        <v>0</v>
      </c>
      <c r="CJ113" s="251">
        <f t="shared" si="109"/>
        <v>0</v>
      </c>
      <c r="CK113" s="251">
        <f t="shared" si="109"/>
        <v>0</v>
      </c>
      <c r="CL113" s="251">
        <f t="shared" si="109"/>
        <v>0</v>
      </c>
      <c r="CM113" s="251">
        <f t="shared" si="109"/>
        <v>0</v>
      </c>
      <c r="CN113" s="338"/>
      <c r="CO113" s="251"/>
      <c r="CP113" s="251"/>
      <c r="CQ113" s="251"/>
      <c r="CR113" s="1267"/>
      <c r="CS113" s="1212"/>
      <c r="CT113" s="251"/>
      <c r="CU113" s="251"/>
      <c r="CV113" s="251"/>
      <c r="CW113" s="251"/>
      <c r="CX113" s="251"/>
      <c r="CY113" s="251"/>
      <c r="CZ113" s="251"/>
      <c r="DA113" s="1267"/>
      <c r="DB113" s="1212"/>
      <c r="DC113" s="251"/>
      <c r="DD113" s="251"/>
      <c r="DE113" s="251"/>
      <c r="DF113" s="251"/>
      <c r="DG113" s="1267"/>
      <c r="DH113" s="1212"/>
      <c r="DI113" s="251"/>
      <c r="DJ113" s="251"/>
      <c r="DK113" s="251"/>
      <c r="DL113" s="251"/>
      <c r="DM113" s="251"/>
      <c r="DN113" s="251"/>
      <c r="DO113" s="251"/>
      <c r="DP113" s="251"/>
    </row>
    <row r="114" spans="3:180" s="368" customFormat="1" ht="15" thickBot="1" x14ac:dyDescent="0.4">
      <c r="C114" s="364"/>
      <c r="D114" s="364"/>
      <c r="E114" s="364"/>
      <c r="F114" s="1027"/>
      <c r="G114" s="365"/>
      <c r="H114" s="1167"/>
      <c r="I114" s="1234"/>
      <c r="J114" s="1182"/>
      <c r="K114" s="365"/>
      <c r="L114" s="365"/>
      <c r="M114" s="365"/>
      <c r="N114" s="365"/>
      <c r="O114" s="1234"/>
      <c r="P114" s="1182"/>
      <c r="Q114" s="365"/>
      <c r="R114" s="1234"/>
      <c r="S114" s="1182"/>
      <c r="T114" s="365"/>
      <c r="U114" s="365"/>
      <c r="V114" s="365"/>
      <c r="W114" s="365"/>
      <c r="X114" s="1234"/>
      <c r="Y114" s="1182"/>
      <c r="Z114" s="365"/>
      <c r="AA114" s="365"/>
      <c r="AB114" s="365"/>
      <c r="AC114" s="365"/>
      <c r="AD114" s="365"/>
      <c r="AE114" s="365"/>
      <c r="AF114" s="365"/>
      <c r="AG114" s="365"/>
      <c r="AH114" s="366"/>
      <c r="AI114" s="365"/>
      <c r="AJ114" s="365"/>
      <c r="AK114" s="365"/>
      <c r="AL114" s="1234"/>
      <c r="AM114" s="1182"/>
      <c r="AN114" s="365"/>
      <c r="AO114" s="365"/>
      <c r="AP114" s="365"/>
      <c r="AQ114" s="365"/>
      <c r="AR114" s="365"/>
      <c r="AS114" s="365"/>
      <c r="AT114" s="365"/>
      <c r="AU114" s="1234"/>
      <c r="AV114" s="1182"/>
      <c r="AW114" s="365"/>
      <c r="AX114" s="365"/>
      <c r="AY114" s="365"/>
      <c r="AZ114" s="365"/>
      <c r="BA114" s="1234"/>
      <c r="BB114" s="1182"/>
      <c r="BC114" s="365"/>
      <c r="BD114" s="365"/>
      <c r="BE114" s="365"/>
      <c r="BF114" s="365"/>
      <c r="BG114" s="365"/>
      <c r="BH114" s="365"/>
      <c r="BI114" s="365"/>
      <c r="BJ114" s="365"/>
      <c r="BK114" s="366"/>
      <c r="BL114" s="365"/>
      <c r="BM114" s="365"/>
      <c r="BN114" s="365"/>
      <c r="BO114" s="1234"/>
      <c r="BP114" s="1182"/>
      <c r="BQ114" s="365"/>
      <c r="BR114" s="365"/>
      <c r="BS114" s="365"/>
      <c r="BT114" s="365"/>
      <c r="BU114" s="365"/>
      <c r="BV114" s="365"/>
      <c r="BW114" s="365"/>
      <c r="BX114" s="1234"/>
      <c r="BY114" s="1182"/>
      <c r="BZ114" s="365"/>
      <c r="CA114" s="365"/>
      <c r="CB114" s="365"/>
      <c r="CC114" s="365"/>
      <c r="CD114" s="1234"/>
      <c r="CE114" s="1182"/>
      <c r="CF114" s="365"/>
      <c r="CG114" s="365"/>
      <c r="CH114" s="365"/>
      <c r="CI114" s="365"/>
      <c r="CJ114" s="365"/>
      <c r="CK114" s="365"/>
      <c r="CL114" s="365"/>
      <c r="CM114" s="365"/>
      <c r="CN114" s="366"/>
      <c r="CO114" s="365"/>
      <c r="CP114" s="365"/>
      <c r="CQ114" s="365"/>
      <c r="CR114" s="1234"/>
      <c r="CS114" s="1182"/>
      <c r="CT114" s="365"/>
      <c r="CU114" s="365"/>
      <c r="CV114" s="365"/>
      <c r="CW114" s="365"/>
      <c r="CX114" s="365"/>
      <c r="CY114" s="365"/>
      <c r="CZ114" s="365"/>
      <c r="DA114" s="1234"/>
      <c r="DB114" s="1182"/>
      <c r="DC114" s="365"/>
      <c r="DD114" s="365"/>
      <c r="DE114" s="365"/>
      <c r="DF114" s="365"/>
      <c r="DG114" s="1234"/>
      <c r="DH114" s="1182"/>
      <c r="DI114" s="365"/>
      <c r="DJ114" s="365"/>
      <c r="DK114" s="365"/>
      <c r="DL114" s="365"/>
      <c r="DM114" s="365"/>
      <c r="DN114" s="365"/>
      <c r="DO114" s="365"/>
      <c r="DP114" s="365"/>
      <c r="DQ114" s="366"/>
      <c r="DR114" s="367"/>
      <c r="DS114" s="365"/>
      <c r="DT114" s="365"/>
      <c r="DU114" s="365"/>
      <c r="DV114" s="1234"/>
      <c r="DW114" s="1182"/>
      <c r="DX114" s="365"/>
      <c r="DY114" s="365"/>
      <c r="DZ114" s="365"/>
      <c r="EA114" s="365"/>
      <c r="EB114" s="365"/>
      <c r="EC114" s="365"/>
      <c r="ED114" s="365"/>
      <c r="EE114" s="1234"/>
      <c r="EF114" s="1182"/>
      <c r="EG114" s="365"/>
      <c r="EH114" s="365"/>
      <c r="EI114" s="365"/>
      <c r="EJ114" s="365"/>
      <c r="EK114" s="1234"/>
      <c r="EL114" s="1182"/>
      <c r="EM114" s="365"/>
      <c r="EN114" s="365"/>
      <c r="EO114" s="365"/>
      <c r="EP114" s="365"/>
      <c r="EQ114" s="365"/>
      <c r="ER114" s="365"/>
      <c r="ES114" s="365"/>
      <c r="ET114" s="365"/>
      <c r="EU114" s="366"/>
      <c r="EV114" s="365"/>
      <c r="EW114" s="365"/>
      <c r="EX114" s="365"/>
      <c r="EY114" s="1234"/>
      <c r="EZ114" s="1182"/>
      <c r="FA114" s="365"/>
      <c r="FB114" s="365"/>
      <c r="FC114" s="365"/>
      <c r="FD114" s="365"/>
      <c r="FE114" s="365"/>
      <c r="FF114" s="365"/>
      <c r="FG114" s="365"/>
      <c r="FH114" s="1234"/>
      <c r="FI114" s="1182"/>
      <c r="FJ114" s="365"/>
      <c r="FK114" s="365"/>
      <c r="FL114" s="365"/>
      <c r="FM114" s="365"/>
      <c r="FN114" s="1234"/>
      <c r="FO114" s="1182"/>
      <c r="FP114" s="365"/>
      <c r="FQ114" s="365"/>
      <c r="FR114" s="365"/>
      <c r="FS114" s="365"/>
      <c r="FT114" s="365"/>
      <c r="FU114" s="365"/>
      <c r="FV114" s="365"/>
      <c r="FW114" s="365"/>
    </row>
    <row r="115" spans="3:180" ht="17" thickTop="1" x14ac:dyDescent="0.45">
      <c r="C115" s="1" t="s">
        <v>147</v>
      </c>
      <c r="F115" s="1045">
        <f t="shared" ref="F115:AG115" si="110">F$73*F$55/100</f>
        <v>277.61085417700423</v>
      </c>
      <c r="G115" s="393">
        <f t="shared" si="110"/>
        <v>273.33026162674162</v>
      </c>
      <c r="H115" s="362">
        <f t="shared" si="110"/>
        <v>276.18025255064828</v>
      </c>
      <c r="I115" s="1266">
        <f t="shared" si="110"/>
        <v>272.95836469787861</v>
      </c>
      <c r="J115" s="1211">
        <f t="shared" si="110"/>
        <v>162.51852012624434</v>
      </c>
      <c r="K115" s="393">
        <f t="shared" si="110"/>
        <v>156.55922394560676</v>
      </c>
      <c r="L115" s="393">
        <f t="shared" si="110"/>
        <v>156.66183937728866</v>
      </c>
      <c r="M115" s="393">
        <f t="shared" si="110"/>
        <v>153.93226889455022</v>
      </c>
      <c r="N115" s="393">
        <f t="shared" si="110"/>
        <v>153.24773166563733</v>
      </c>
      <c r="O115" s="1266">
        <f t="shared" si="110"/>
        <v>158.63889669435989</v>
      </c>
      <c r="P115" s="1410">
        <f t="shared" si="110"/>
        <v>158.78483864164079</v>
      </c>
      <c r="Q115" s="1165">
        <f t="shared" si="110"/>
        <v>156.70516589288769</v>
      </c>
      <c r="R115" s="1417">
        <f t="shared" si="110"/>
        <v>156.55922394560676</v>
      </c>
      <c r="S115" s="1410">
        <f t="shared" si="110"/>
        <v>0</v>
      </c>
      <c r="T115" s="1165">
        <f t="shared" si="110"/>
        <v>0</v>
      </c>
      <c r="U115" s="393">
        <f t="shared" si="110"/>
        <v>0</v>
      </c>
      <c r="V115" s="393">
        <f t="shared" si="110"/>
        <v>0</v>
      </c>
      <c r="W115" s="393">
        <f t="shared" si="110"/>
        <v>0</v>
      </c>
      <c r="X115" s="1266">
        <f t="shared" si="110"/>
        <v>0</v>
      </c>
      <c r="Y115" s="1211">
        <f t="shared" si="110"/>
        <v>0</v>
      </c>
      <c r="Z115" s="393">
        <f t="shared" si="110"/>
        <v>0</v>
      </c>
      <c r="AA115" s="393">
        <f t="shared" si="110"/>
        <v>0</v>
      </c>
      <c r="AB115" s="393">
        <f t="shared" si="110"/>
        <v>0</v>
      </c>
      <c r="AC115" s="393">
        <f t="shared" si="110"/>
        <v>0</v>
      </c>
      <c r="AD115" s="393">
        <f t="shared" si="110"/>
        <v>0</v>
      </c>
      <c r="AE115" s="393">
        <f t="shared" si="110"/>
        <v>0</v>
      </c>
      <c r="AF115" s="393">
        <f t="shared" si="110"/>
        <v>0</v>
      </c>
      <c r="AG115" s="393">
        <f t="shared" si="110"/>
        <v>0</v>
      </c>
      <c r="AH115" s="396"/>
      <c r="AI115" s="393" t="e">
        <f>AI$73*AI$55/100</f>
        <v>#DIV/0!</v>
      </c>
      <c r="AJ115" s="393" t="e">
        <f t="shared" ref="AJ115:BJ115" si="111">AJ$73*AJ$55/100</f>
        <v>#DIV/0!</v>
      </c>
      <c r="AK115" s="393" t="e">
        <f>AK$73*AK$55/100</f>
        <v>#DIV/0!</v>
      </c>
      <c r="AL115" s="1266" t="e">
        <f t="shared" si="111"/>
        <v>#DIV/0!</v>
      </c>
      <c r="AM115" s="1211">
        <f t="shared" si="111"/>
        <v>1.6344890724014121</v>
      </c>
      <c r="AN115" s="393">
        <f t="shared" si="111"/>
        <v>1.2977085591543274</v>
      </c>
      <c r="AO115" s="393" t="e">
        <f t="shared" si="111"/>
        <v>#DIV/0!</v>
      </c>
      <c r="AP115" s="393" t="e">
        <f t="shared" si="111"/>
        <v>#DIV/0!</v>
      </c>
      <c r="AQ115" s="393" t="e">
        <f t="shared" si="111"/>
        <v>#DIV/0!</v>
      </c>
      <c r="AR115" s="393" t="e">
        <f t="shared" si="111"/>
        <v>#DIV/0!</v>
      </c>
      <c r="AS115" s="393" t="e">
        <f t="shared" si="111"/>
        <v>#DIV/0!</v>
      </c>
      <c r="AT115" s="393" t="e">
        <f>AT$73*AT$55/100</f>
        <v>#DIV/0!</v>
      </c>
      <c r="AU115" s="1266" t="e">
        <f t="shared" si="111"/>
        <v>#DIV/0!</v>
      </c>
      <c r="AV115" s="1211" t="e">
        <f t="shared" si="111"/>
        <v>#DIV/0!</v>
      </c>
      <c r="AW115" s="393" t="e">
        <f t="shared" si="111"/>
        <v>#DIV/0!</v>
      </c>
      <c r="AX115" s="393" t="e">
        <f t="shared" si="111"/>
        <v>#DIV/0!</v>
      </c>
      <c r="AY115" s="393" t="e">
        <f t="shared" si="111"/>
        <v>#DIV/0!</v>
      </c>
      <c r="AZ115" s="393" t="e">
        <f t="shared" si="111"/>
        <v>#DIV/0!</v>
      </c>
      <c r="BA115" s="1266" t="e">
        <f t="shared" si="111"/>
        <v>#DIV/0!</v>
      </c>
      <c r="BB115" s="1211" t="e">
        <f t="shared" si="111"/>
        <v>#DIV/0!</v>
      </c>
      <c r="BC115" s="393" t="e">
        <f t="shared" si="111"/>
        <v>#DIV/0!</v>
      </c>
      <c r="BD115" s="393" t="e">
        <f t="shared" si="111"/>
        <v>#DIV/0!</v>
      </c>
      <c r="BE115" s="393" t="e">
        <f t="shared" si="111"/>
        <v>#DIV/0!</v>
      </c>
      <c r="BF115" s="393" t="e">
        <f t="shared" si="111"/>
        <v>#DIV/0!</v>
      </c>
      <c r="BG115" s="393" t="e">
        <f t="shared" si="111"/>
        <v>#DIV/0!</v>
      </c>
      <c r="BH115" s="393" t="e">
        <f t="shared" si="111"/>
        <v>#DIV/0!</v>
      </c>
      <c r="BI115" s="393" t="e">
        <f t="shared" si="111"/>
        <v>#DIV/0!</v>
      </c>
      <c r="BJ115" s="393" t="e">
        <f t="shared" si="111"/>
        <v>#DIV/0!</v>
      </c>
      <c r="BK115" s="396"/>
      <c r="BL115" s="309">
        <f t="shared" ref="BL115:CM115" si="112">BL$73*BL$55/100</f>
        <v>265.35896922480589</v>
      </c>
      <c r="BM115" s="309">
        <f t="shared" si="112"/>
        <v>241.4504043213569</v>
      </c>
      <c r="BN115" s="309">
        <f t="shared" si="112"/>
        <v>254.41011340438672</v>
      </c>
      <c r="BO115" s="422">
        <f t="shared" si="112"/>
        <v>251.6894771332349</v>
      </c>
      <c r="BP115" s="421">
        <f t="shared" si="112"/>
        <v>128.43471102552664</v>
      </c>
      <c r="BQ115" s="309">
        <f t="shared" si="112"/>
        <v>125.25634561129566</v>
      </c>
      <c r="BR115" s="309">
        <f t="shared" si="112"/>
        <v>129.25843521782153</v>
      </c>
      <c r="BS115" s="309">
        <f t="shared" si="112"/>
        <v>126.32246845110804</v>
      </c>
      <c r="BT115" s="309">
        <f t="shared" si="112"/>
        <v>125.53618359353861</v>
      </c>
      <c r="BU115" s="309">
        <f t="shared" si="112"/>
        <v>129.55463327664552</v>
      </c>
      <c r="BV115" s="309">
        <f t="shared" si="112"/>
        <v>129.74371626502162</v>
      </c>
      <c r="BW115" s="309">
        <f t="shared" si="112"/>
        <v>126.67021873495187</v>
      </c>
      <c r="BX115" s="422">
        <f t="shared" si="112"/>
        <v>127.85647504275032</v>
      </c>
      <c r="BY115" s="421" t="e">
        <f t="shared" si="112"/>
        <v>#DIV/0!</v>
      </c>
      <c r="BZ115" s="309" t="e">
        <f t="shared" si="112"/>
        <v>#DIV/0!</v>
      </c>
      <c r="CA115" s="309" t="e">
        <f t="shared" si="112"/>
        <v>#DIV/0!</v>
      </c>
      <c r="CB115" s="309" t="e">
        <f t="shared" si="112"/>
        <v>#DIV/0!</v>
      </c>
      <c r="CC115" s="309" t="e">
        <f t="shared" si="112"/>
        <v>#DIV/0!</v>
      </c>
      <c r="CD115" s="422" t="e">
        <f t="shared" si="112"/>
        <v>#DIV/0!</v>
      </c>
      <c r="CE115" s="421" t="e">
        <f t="shared" si="112"/>
        <v>#DIV/0!</v>
      </c>
      <c r="CF115" s="309" t="e">
        <f t="shared" si="112"/>
        <v>#DIV/0!</v>
      </c>
      <c r="CG115" s="309" t="e">
        <f t="shared" si="112"/>
        <v>#DIV/0!</v>
      </c>
      <c r="CH115" s="309" t="e">
        <f t="shared" si="112"/>
        <v>#DIV/0!</v>
      </c>
      <c r="CI115" s="309" t="e">
        <f t="shared" si="112"/>
        <v>#DIV/0!</v>
      </c>
      <c r="CJ115" s="309" t="e">
        <f t="shared" si="112"/>
        <v>#DIV/0!</v>
      </c>
      <c r="CK115" s="309" t="e">
        <f t="shared" si="112"/>
        <v>#DIV/0!</v>
      </c>
      <c r="CL115" s="309" t="e">
        <f t="shared" si="112"/>
        <v>#DIV/0!</v>
      </c>
      <c r="CM115" s="309" t="e">
        <f t="shared" si="112"/>
        <v>#DIV/0!</v>
      </c>
      <c r="CN115" s="396"/>
      <c r="CO115" s="309" t="e">
        <f t="shared" ref="CO115:DP115" si="113">CO$73*CO$55/100</f>
        <v>#DIV/0!</v>
      </c>
      <c r="CP115" s="309">
        <f t="shared" si="113"/>
        <v>12.17315254543267</v>
      </c>
      <c r="CQ115" s="309">
        <f t="shared" si="113"/>
        <v>6.9054398083893123</v>
      </c>
      <c r="CR115" s="422">
        <f t="shared" si="113"/>
        <v>9.8011176618071811</v>
      </c>
      <c r="CS115" s="421">
        <f t="shared" si="113"/>
        <v>14.171786864918234</v>
      </c>
      <c r="CT115" s="309">
        <f t="shared" si="113"/>
        <v>16.063521319820953</v>
      </c>
      <c r="CU115" s="309">
        <f t="shared" si="113"/>
        <v>19.007667452576914</v>
      </c>
      <c r="CV115" s="309">
        <f t="shared" si="113"/>
        <v>14.070480897273415</v>
      </c>
      <c r="CW115" s="309">
        <f t="shared" si="113"/>
        <v>14.701314359104529</v>
      </c>
      <c r="CX115" s="309">
        <f t="shared" si="113"/>
        <v>15.743751537007499</v>
      </c>
      <c r="CY115" s="309">
        <f t="shared" si="113"/>
        <v>12.538990275139167</v>
      </c>
      <c r="CZ115" s="309">
        <f t="shared" si="113"/>
        <v>14.301927337842505</v>
      </c>
      <c r="DA115" s="422">
        <f t="shared" si="113"/>
        <v>13.006892325648334</v>
      </c>
      <c r="DB115" s="421" t="e">
        <f t="shared" si="113"/>
        <v>#DIV/0!</v>
      </c>
      <c r="DC115" s="309" t="e">
        <f t="shared" si="113"/>
        <v>#DIV/0!</v>
      </c>
      <c r="DD115" s="309" t="e">
        <f t="shared" si="113"/>
        <v>#DIV/0!</v>
      </c>
      <c r="DE115" s="309" t="e">
        <f t="shared" si="113"/>
        <v>#DIV/0!</v>
      </c>
      <c r="DF115" s="309" t="e">
        <f t="shared" si="113"/>
        <v>#DIV/0!</v>
      </c>
      <c r="DG115" s="422" t="e">
        <f t="shared" si="113"/>
        <v>#DIV/0!</v>
      </c>
      <c r="DH115" s="421" t="e">
        <f t="shared" si="113"/>
        <v>#DIV/0!</v>
      </c>
      <c r="DI115" s="309" t="e">
        <f t="shared" si="113"/>
        <v>#DIV/0!</v>
      </c>
      <c r="DJ115" s="309" t="e">
        <f t="shared" si="113"/>
        <v>#DIV/0!</v>
      </c>
      <c r="DK115" s="309" t="e">
        <f t="shared" si="113"/>
        <v>#DIV/0!</v>
      </c>
      <c r="DL115" s="309" t="e">
        <f t="shared" si="113"/>
        <v>#DIV/0!</v>
      </c>
      <c r="DM115" s="309" t="e">
        <f t="shared" si="113"/>
        <v>#DIV/0!</v>
      </c>
      <c r="DN115" s="309" t="e">
        <f t="shared" si="113"/>
        <v>#DIV/0!</v>
      </c>
      <c r="DO115" s="309" t="e">
        <f t="shared" si="113"/>
        <v>#DIV/0!</v>
      </c>
      <c r="DP115" s="309" t="e">
        <f t="shared" si="113"/>
        <v>#DIV/0!</v>
      </c>
      <c r="DQ115" s="356"/>
      <c r="DR115" s="358"/>
      <c r="DS115" s="229"/>
      <c r="DT115" s="229"/>
      <c r="DU115" s="229"/>
      <c r="DV115" s="1245"/>
      <c r="DW115" s="538"/>
      <c r="DX115" s="229"/>
      <c r="DY115" s="229"/>
      <c r="DZ115" s="229"/>
      <c r="EA115" s="229"/>
      <c r="EB115" s="229"/>
      <c r="EC115" s="229"/>
      <c r="ED115" s="229"/>
      <c r="EE115" s="1245"/>
      <c r="EF115" s="538"/>
      <c r="EG115" s="229"/>
      <c r="EH115" s="229"/>
      <c r="EI115" s="229"/>
      <c r="EJ115" s="229"/>
      <c r="EK115" s="1245"/>
      <c r="EL115" s="538"/>
      <c r="EM115" s="229"/>
      <c r="EN115" s="229"/>
      <c r="EO115" s="229"/>
      <c r="EP115" s="229"/>
      <c r="EQ115" s="229"/>
      <c r="ER115" s="229"/>
      <c r="ES115" s="229"/>
      <c r="ET115" s="229"/>
      <c r="EU115" s="356"/>
      <c r="EV115" s="229"/>
      <c r="EW115" s="229"/>
      <c r="EX115" s="229"/>
      <c r="EY115" s="1245"/>
      <c r="EZ115" s="538"/>
      <c r="FA115" s="229"/>
      <c r="FB115" s="229"/>
      <c r="FC115" s="229"/>
      <c r="FD115" s="229"/>
      <c r="FE115" s="229"/>
      <c r="FF115" s="229"/>
      <c r="FG115" s="229"/>
      <c r="FH115" s="1245"/>
      <c r="FI115" s="538"/>
      <c r="FJ115" s="229"/>
      <c r="FK115" s="229"/>
      <c r="FL115" s="229"/>
      <c r="FM115" s="229"/>
      <c r="FN115" s="1245"/>
      <c r="FO115" s="538"/>
      <c r="FP115" s="229"/>
      <c r="FQ115" s="229"/>
      <c r="FR115" s="229"/>
      <c r="FS115" s="229"/>
      <c r="FT115" s="229"/>
      <c r="FU115" s="229"/>
      <c r="FV115" s="229"/>
      <c r="FW115" s="229"/>
    </row>
    <row r="116" spans="3:180" ht="17" thickBot="1" x14ac:dyDescent="0.5">
      <c r="C116" s="1" t="s">
        <v>148</v>
      </c>
      <c r="F116" s="1050">
        <f t="shared" ref="F116:AG116" si="114">F$73*F$56/100</f>
        <v>32.254476835726308</v>
      </c>
      <c r="G116" s="392">
        <f t="shared" si="114"/>
        <v>31.757132185190425</v>
      </c>
      <c r="H116" s="311">
        <f t="shared" si="114"/>
        <v>32.088261047243371</v>
      </c>
      <c r="I116" s="1273">
        <f t="shared" si="114"/>
        <v>31.713922992549705</v>
      </c>
      <c r="J116" s="1218">
        <f t="shared" si="114"/>
        <v>18.882366319316205</v>
      </c>
      <c r="K116" s="392">
        <f t="shared" si="114"/>
        <v>18.189979916826875</v>
      </c>
      <c r="L116" s="392">
        <f t="shared" si="114"/>
        <v>18.201902386767699</v>
      </c>
      <c r="M116" s="392">
        <f t="shared" si="114"/>
        <v>17.884764686341782</v>
      </c>
      <c r="N116" s="392">
        <f t="shared" si="114"/>
        <v>17.805231087921726</v>
      </c>
      <c r="O116" s="1273">
        <f t="shared" si="114"/>
        <v>18.431608640960906</v>
      </c>
      <c r="P116" s="1411">
        <f t="shared" si="114"/>
        <v>18.448565042654522</v>
      </c>
      <c r="Q116" s="466">
        <f t="shared" si="114"/>
        <v>18.206936318520491</v>
      </c>
      <c r="R116" s="1418">
        <f t="shared" si="114"/>
        <v>18.189979916826875</v>
      </c>
      <c r="S116" s="1411">
        <f t="shared" si="114"/>
        <v>0</v>
      </c>
      <c r="T116" s="466">
        <f t="shared" si="114"/>
        <v>0</v>
      </c>
      <c r="U116" s="392">
        <f t="shared" si="114"/>
        <v>0</v>
      </c>
      <c r="V116" s="392">
        <f t="shared" si="114"/>
        <v>0</v>
      </c>
      <c r="W116" s="392">
        <f t="shared" si="114"/>
        <v>0</v>
      </c>
      <c r="X116" s="1273">
        <f t="shared" si="114"/>
        <v>0</v>
      </c>
      <c r="Y116" s="1218">
        <f t="shared" si="114"/>
        <v>0</v>
      </c>
      <c r="Z116" s="392">
        <f t="shared" si="114"/>
        <v>0</v>
      </c>
      <c r="AA116" s="392">
        <f t="shared" si="114"/>
        <v>0</v>
      </c>
      <c r="AB116" s="392">
        <f t="shared" si="114"/>
        <v>0</v>
      </c>
      <c r="AC116" s="392">
        <f t="shared" si="114"/>
        <v>0</v>
      </c>
      <c r="AD116" s="392">
        <f t="shared" si="114"/>
        <v>0</v>
      </c>
      <c r="AE116" s="392">
        <f t="shared" si="114"/>
        <v>0</v>
      </c>
      <c r="AF116" s="392">
        <f t="shared" si="114"/>
        <v>0</v>
      </c>
      <c r="AG116" s="392">
        <f t="shared" si="114"/>
        <v>0</v>
      </c>
      <c r="AH116" s="402"/>
      <c r="AI116" s="392" t="e">
        <f t="shared" ref="AI116:BJ116" si="115">AI$73*AI$56/100</f>
        <v>#DIV/0!</v>
      </c>
      <c r="AJ116" s="392" t="e">
        <f t="shared" si="115"/>
        <v>#DIV/0!</v>
      </c>
      <c r="AK116" s="392" t="e">
        <f t="shared" si="115"/>
        <v>#DIV/0!</v>
      </c>
      <c r="AL116" s="1273" t="e">
        <f t="shared" si="115"/>
        <v>#DIV/0!</v>
      </c>
      <c r="AM116" s="1218">
        <f t="shared" si="115"/>
        <v>0.19335109986349694</v>
      </c>
      <c r="AN116" s="392">
        <f t="shared" si="115"/>
        <v>0.15866720035004325</v>
      </c>
      <c r="AO116" s="392" t="e">
        <f t="shared" si="115"/>
        <v>#DIV/0!</v>
      </c>
      <c r="AP116" s="392" t="e">
        <f t="shared" si="115"/>
        <v>#DIV/0!</v>
      </c>
      <c r="AQ116" s="392" t="e">
        <f t="shared" si="115"/>
        <v>#DIV/0!</v>
      </c>
      <c r="AR116" s="392" t="e">
        <f t="shared" si="115"/>
        <v>#DIV/0!</v>
      </c>
      <c r="AS116" s="392" t="e">
        <f t="shared" si="115"/>
        <v>#DIV/0!</v>
      </c>
      <c r="AT116" s="392" t="e">
        <f t="shared" si="115"/>
        <v>#DIV/0!</v>
      </c>
      <c r="AU116" s="1273" t="e">
        <f t="shared" si="115"/>
        <v>#DIV/0!</v>
      </c>
      <c r="AV116" s="1218" t="e">
        <f t="shared" si="115"/>
        <v>#DIV/0!</v>
      </c>
      <c r="AW116" s="392" t="e">
        <f t="shared" si="115"/>
        <v>#DIV/0!</v>
      </c>
      <c r="AX116" s="392" t="e">
        <f t="shared" si="115"/>
        <v>#DIV/0!</v>
      </c>
      <c r="AY116" s="392" t="e">
        <f t="shared" si="115"/>
        <v>#DIV/0!</v>
      </c>
      <c r="AZ116" s="392" t="e">
        <f t="shared" si="115"/>
        <v>#DIV/0!</v>
      </c>
      <c r="BA116" s="1273" t="e">
        <f t="shared" si="115"/>
        <v>#DIV/0!</v>
      </c>
      <c r="BB116" s="1218" t="e">
        <f t="shared" si="115"/>
        <v>#DIV/0!</v>
      </c>
      <c r="BC116" s="392" t="e">
        <f t="shared" si="115"/>
        <v>#DIV/0!</v>
      </c>
      <c r="BD116" s="392" t="e">
        <f t="shared" si="115"/>
        <v>#DIV/0!</v>
      </c>
      <c r="BE116" s="392" t="e">
        <f t="shared" si="115"/>
        <v>#DIV/0!</v>
      </c>
      <c r="BF116" s="392" t="e">
        <f t="shared" si="115"/>
        <v>#DIV/0!</v>
      </c>
      <c r="BG116" s="392" t="e">
        <f t="shared" si="115"/>
        <v>#DIV/0!</v>
      </c>
      <c r="BH116" s="392" t="e">
        <f t="shared" si="115"/>
        <v>#DIV/0!</v>
      </c>
      <c r="BI116" s="392" t="e">
        <f t="shared" si="115"/>
        <v>#DIV/0!</v>
      </c>
      <c r="BJ116" s="392" t="e">
        <f t="shared" si="115"/>
        <v>#DIV/0!</v>
      </c>
      <c r="BK116" s="402"/>
      <c r="BL116" s="392">
        <f t="shared" ref="BL116:CM116" si="116">BL$73*BL$56/100</f>
        <v>33.563309405829116</v>
      </c>
      <c r="BM116" s="392">
        <f t="shared" si="116"/>
        <v>29.844370381072309</v>
      </c>
      <c r="BN116" s="392">
        <f t="shared" si="116"/>
        <v>31.556749706536888</v>
      </c>
      <c r="BO116" s="1273">
        <f t="shared" si="116"/>
        <v>31.200466458110178</v>
      </c>
      <c r="BP116" s="1218">
        <f t="shared" si="116"/>
        <v>16.623693114440201</v>
      </c>
      <c r="BQ116" s="392">
        <f t="shared" si="116"/>
        <v>16.158451284019126</v>
      </c>
      <c r="BR116" s="392">
        <f t="shared" si="116"/>
        <v>16.309526650970081</v>
      </c>
      <c r="BS116" s="392">
        <f t="shared" si="116"/>
        <v>15.735670810518648</v>
      </c>
      <c r="BT116" s="392">
        <f t="shared" si="116"/>
        <v>15.683247631582892</v>
      </c>
      <c r="BU116" s="392">
        <f t="shared" si="116"/>
        <v>16.071370876546801</v>
      </c>
      <c r="BV116" s="392">
        <f t="shared" si="116"/>
        <v>16.174289583756625</v>
      </c>
      <c r="BW116" s="392">
        <f t="shared" si="116"/>
        <v>15.639519533748802</v>
      </c>
      <c r="BX116" s="1273">
        <f t="shared" si="116"/>
        <v>16.115273211628477</v>
      </c>
      <c r="BY116" s="1218" t="e">
        <f t="shared" si="116"/>
        <v>#DIV/0!</v>
      </c>
      <c r="BZ116" s="392" t="e">
        <f t="shared" si="116"/>
        <v>#DIV/0!</v>
      </c>
      <c r="CA116" s="392" t="e">
        <f t="shared" si="116"/>
        <v>#DIV/0!</v>
      </c>
      <c r="CB116" s="392" t="e">
        <f t="shared" si="116"/>
        <v>#DIV/0!</v>
      </c>
      <c r="CC116" s="392" t="e">
        <f t="shared" si="116"/>
        <v>#DIV/0!</v>
      </c>
      <c r="CD116" s="1273" t="e">
        <f t="shared" si="116"/>
        <v>#DIV/0!</v>
      </c>
      <c r="CE116" s="1218" t="e">
        <f t="shared" si="116"/>
        <v>#DIV/0!</v>
      </c>
      <c r="CF116" s="392" t="e">
        <f t="shared" si="116"/>
        <v>#DIV/0!</v>
      </c>
      <c r="CG116" s="392" t="e">
        <f t="shared" si="116"/>
        <v>#DIV/0!</v>
      </c>
      <c r="CH116" s="392" t="e">
        <f t="shared" si="116"/>
        <v>#DIV/0!</v>
      </c>
      <c r="CI116" s="392" t="e">
        <f t="shared" si="116"/>
        <v>#DIV/0!</v>
      </c>
      <c r="CJ116" s="392" t="e">
        <f t="shared" si="116"/>
        <v>#DIV/0!</v>
      </c>
      <c r="CK116" s="392" t="e">
        <f t="shared" si="116"/>
        <v>#DIV/0!</v>
      </c>
      <c r="CL116" s="392" t="e">
        <f t="shared" si="116"/>
        <v>#DIV/0!</v>
      </c>
      <c r="CM116" s="392" t="e">
        <f t="shared" si="116"/>
        <v>#DIV/0!</v>
      </c>
      <c r="CN116" s="402"/>
      <c r="CO116" s="392" t="e">
        <f>CO$73*CO$56/100</f>
        <v>#DIV/0!</v>
      </c>
      <c r="CP116" s="392">
        <f t="shared" ref="CP116:DP116" si="117">CP$73*CP$56/100</f>
        <v>1.8806005206261935</v>
      </c>
      <c r="CQ116" s="392">
        <f t="shared" si="117"/>
        <v>1.077017027655069</v>
      </c>
      <c r="CR116" s="1273">
        <f t="shared" si="117"/>
        <v>1.5082994508414884</v>
      </c>
      <c r="CS116" s="1218">
        <f t="shared" si="117"/>
        <v>2.1308880123761673</v>
      </c>
      <c r="CT116" s="392">
        <f t="shared" si="117"/>
        <v>2.4943356086678503</v>
      </c>
      <c r="CU116" s="392">
        <f t="shared" si="117"/>
        <v>2.8404008943185888</v>
      </c>
      <c r="CV116" s="392">
        <f t="shared" si="117"/>
        <v>2.1532832163524955</v>
      </c>
      <c r="CW116" s="392">
        <f t="shared" si="117"/>
        <v>2.1896461634058473</v>
      </c>
      <c r="CX116" s="392">
        <f t="shared" si="117"/>
        <v>2.3863985525916713</v>
      </c>
      <c r="CY116" s="392">
        <f t="shared" si="117"/>
        <v>1.9321085644082365</v>
      </c>
      <c r="CZ116" s="392">
        <f t="shared" si="117"/>
        <v>2.1678504400982126</v>
      </c>
      <c r="DA116" s="1273">
        <f t="shared" si="117"/>
        <v>1.9657622633960381</v>
      </c>
      <c r="DB116" s="1218" t="e">
        <f t="shared" si="117"/>
        <v>#DIV/0!</v>
      </c>
      <c r="DC116" s="392" t="e">
        <f t="shared" si="117"/>
        <v>#DIV/0!</v>
      </c>
      <c r="DD116" s="392" t="e">
        <f t="shared" si="117"/>
        <v>#DIV/0!</v>
      </c>
      <c r="DE116" s="392" t="e">
        <f t="shared" si="117"/>
        <v>#DIV/0!</v>
      </c>
      <c r="DF116" s="392" t="e">
        <f t="shared" si="117"/>
        <v>#DIV/0!</v>
      </c>
      <c r="DG116" s="1273" t="e">
        <f t="shared" si="117"/>
        <v>#DIV/0!</v>
      </c>
      <c r="DH116" s="1218" t="e">
        <f t="shared" si="117"/>
        <v>#DIV/0!</v>
      </c>
      <c r="DI116" s="392" t="e">
        <f t="shared" si="117"/>
        <v>#DIV/0!</v>
      </c>
      <c r="DJ116" s="392" t="e">
        <f t="shared" si="117"/>
        <v>#DIV/0!</v>
      </c>
      <c r="DK116" s="392" t="e">
        <f t="shared" si="117"/>
        <v>#DIV/0!</v>
      </c>
      <c r="DL116" s="392" t="e">
        <f t="shared" si="117"/>
        <v>#DIV/0!</v>
      </c>
      <c r="DM116" s="392" t="e">
        <f t="shared" si="117"/>
        <v>#DIV/0!</v>
      </c>
      <c r="DN116" s="392" t="e">
        <f t="shared" si="117"/>
        <v>#DIV/0!</v>
      </c>
      <c r="DO116" s="392" t="e">
        <f t="shared" si="117"/>
        <v>#DIV/0!</v>
      </c>
      <c r="DP116" s="392" t="e">
        <f t="shared" si="117"/>
        <v>#DIV/0!</v>
      </c>
      <c r="DQ116" s="344"/>
      <c r="DR116" s="345"/>
      <c r="DS116" s="225"/>
      <c r="DT116" s="225"/>
      <c r="DU116" s="225"/>
      <c r="DV116" s="1269"/>
      <c r="DW116" s="1214"/>
      <c r="DX116" s="225"/>
      <c r="DY116" s="225"/>
      <c r="DZ116" s="225"/>
      <c r="EA116" s="225"/>
      <c r="EB116" s="225"/>
      <c r="EC116" s="225"/>
      <c r="ED116" s="225"/>
      <c r="EE116" s="1269"/>
      <c r="EF116" s="1214"/>
      <c r="EG116" s="225"/>
      <c r="EH116" s="225"/>
      <c r="EI116" s="225"/>
      <c r="EJ116" s="225"/>
      <c r="EK116" s="1269"/>
      <c r="EL116" s="1214"/>
      <c r="EM116" s="225"/>
      <c r="EN116" s="225"/>
      <c r="EO116" s="225"/>
      <c r="EP116" s="225"/>
      <c r="EQ116" s="225"/>
      <c r="ER116" s="225"/>
      <c r="ES116" s="225"/>
      <c r="ET116" s="225"/>
      <c r="EU116" s="344"/>
      <c r="EV116" s="225"/>
      <c r="EW116" s="225"/>
      <c r="EX116" s="403" t="s">
        <v>209</v>
      </c>
      <c r="EY116" s="1265"/>
      <c r="EZ116" s="892">
        <f>273.15+30</f>
        <v>303.14999999999998</v>
      </c>
      <c r="FA116" s="403" t="s">
        <v>208</v>
      </c>
      <c r="FB116" s="225"/>
      <c r="FC116" s="225"/>
      <c r="FD116" s="225"/>
      <c r="FE116" s="225"/>
      <c r="FF116" s="225"/>
      <c r="FG116" s="225"/>
      <c r="FH116" s="1269"/>
      <c r="FI116" s="1214"/>
      <c r="FJ116" s="225"/>
      <c r="FK116" s="225"/>
      <c r="FL116" s="225"/>
      <c r="FM116" s="225"/>
      <c r="FN116" s="1269"/>
      <c r="FO116" s="1214"/>
      <c r="FP116" s="225"/>
      <c r="FQ116" s="225"/>
      <c r="FR116" s="225"/>
      <c r="FS116" s="225"/>
      <c r="FT116" s="225"/>
      <c r="FU116" s="225"/>
      <c r="FV116" s="225"/>
      <c r="FW116" s="225"/>
    </row>
    <row r="117" spans="3:180" s="1151" customFormat="1" ht="15" thickTop="1" x14ac:dyDescent="0.35">
      <c r="C117" s="1152" t="s">
        <v>273</v>
      </c>
      <c r="D117" s="1152"/>
      <c r="E117" s="1152"/>
      <c r="F117" s="1153">
        <f t="shared" ref="F117:CY117" si="118">F$116/F$115</f>
        <v>0.11618593563766388</v>
      </c>
      <c r="G117" s="1153">
        <f t="shared" si="118"/>
        <v>0.11618593563766386</v>
      </c>
      <c r="H117" s="1153">
        <f t="shared" si="118"/>
        <v>0.11618593563766386</v>
      </c>
      <c r="I117" s="1274">
        <f t="shared" si="118"/>
        <v>0.11618593563766387</v>
      </c>
      <c r="J117" s="1219">
        <f>J$116/J$115</f>
        <v>0.11618593563766387</v>
      </c>
      <c r="K117" s="1153">
        <f t="shared" si="118"/>
        <v>0.1161859356376639</v>
      </c>
      <c r="L117" s="1153">
        <f t="shared" si="118"/>
        <v>0.1161859356376639</v>
      </c>
      <c r="M117" s="1153">
        <f t="shared" si="118"/>
        <v>0.11618593563766388</v>
      </c>
      <c r="N117" s="1153">
        <f t="shared" si="118"/>
        <v>0.1161859356376639</v>
      </c>
      <c r="O117" s="1274">
        <f t="shared" si="118"/>
        <v>0.11618593563766387</v>
      </c>
      <c r="P117" s="1219">
        <f>P$116/P$115</f>
        <v>0.11618593563766388</v>
      </c>
      <c r="Q117" s="1153">
        <f>Q$116/Q$115</f>
        <v>0.11618593563766388</v>
      </c>
      <c r="R117" s="1274">
        <f t="shared" si="118"/>
        <v>0.1161859356376639</v>
      </c>
      <c r="S117" s="1219" t="e">
        <f t="shared" si="118"/>
        <v>#DIV/0!</v>
      </c>
      <c r="T117" s="1153" t="e">
        <f t="shared" si="118"/>
        <v>#DIV/0!</v>
      </c>
      <c r="U117" s="1153" t="e">
        <f t="shared" si="118"/>
        <v>#DIV/0!</v>
      </c>
      <c r="V117" s="1153" t="e">
        <f t="shared" si="118"/>
        <v>#DIV/0!</v>
      </c>
      <c r="W117" s="1153" t="e">
        <f t="shared" si="118"/>
        <v>#DIV/0!</v>
      </c>
      <c r="X117" s="1274" t="e">
        <f t="shared" si="118"/>
        <v>#DIV/0!</v>
      </c>
      <c r="Y117" s="1219" t="e">
        <f t="shared" si="118"/>
        <v>#DIV/0!</v>
      </c>
      <c r="Z117" s="1153" t="e">
        <f t="shared" si="118"/>
        <v>#DIV/0!</v>
      </c>
      <c r="AA117" s="1153" t="e">
        <f t="shared" si="118"/>
        <v>#DIV/0!</v>
      </c>
      <c r="AB117" s="1153" t="e">
        <f t="shared" si="118"/>
        <v>#DIV/0!</v>
      </c>
      <c r="AC117" s="1153" t="e">
        <f t="shared" si="118"/>
        <v>#DIV/0!</v>
      </c>
      <c r="AD117" s="1153" t="e">
        <f t="shared" si="118"/>
        <v>#DIV/0!</v>
      </c>
      <c r="AE117" s="1153" t="e">
        <f t="shared" si="118"/>
        <v>#DIV/0!</v>
      </c>
      <c r="AF117" s="1153" t="e">
        <f t="shared" si="118"/>
        <v>#DIV/0!</v>
      </c>
      <c r="AG117" s="1153" t="e">
        <f t="shared" si="118"/>
        <v>#DIV/0!</v>
      </c>
      <c r="AH117" s="1154"/>
      <c r="AI117" s="1153" t="e">
        <f t="shared" si="118"/>
        <v>#DIV/0!</v>
      </c>
      <c r="AJ117" s="1153" t="e">
        <f t="shared" si="118"/>
        <v>#DIV/0!</v>
      </c>
      <c r="AK117" s="1153" t="e">
        <f t="shared" si="118"/>
        <v>#DIV/0!</v>
      </c>
      <c r="AL117" s="1274" t="e">
        <f t="shared" si="118"/>
        <v>#DIV/0!</v>
      </c>
      <c r="AM117" s="1219">
        <f t="shared" si="118"/>
        <v>0.1182945197543738</v>
      </c>
      <c r="AN117" s="1153">
        <f t="shared" si="118"/>
        <v>0.12226720647773279</v>
      </c>
      <c r="AO117" s="1153" t="e">
        <f t="shared" si="118"/>
        <v>#DIV/0!</v>
      </c>
      <c r="AP117" s="1153" t="e">
        <f t="shared" si="118"/>
        <v>#DIV/0!</v>
      </c>
      <c r="AQ117" s="1153" t="e">
        <f t="shared" si="118"/>
        <v>#DIV/0!</v>
      </c>
      <c r="AR117" s="1153" t="e">
        <f t="shared" si="118"/>
        <v>#DIV/0!</v>
      </c>
      <c r="AS117" s="1153" t="e">
        <f t="shared" si="118"/>
        <v>#DIV/0!</v>
      </c>
      <c r="AT117" s="1153" t="e">
        <f t="shared" si="118"/>
        <v>#DIV/0!</v>
      </c>
      <c r="AU117" s="1274" t="e">
        <f t="shared" si="118"/>
        <v>#DIV/0!</v>
      </c>
      <c r="AV117" s="1219" t="e">
        <f t="shared" si="118"/>
        <v>#DIV/0!</v>
      </c>
      <c r="AW117" s="1153" t="e">
        <f t="shared" si="118"/>
        <v>#DIV/0!</v>
      </c>
      <c r="AX117" s="1153" t="e">
        <f t="shared" si="118"/>
        <v>#DIV/0!</v>
      </c>
      <c r="AY117" s="1153" t="e">
        <f t="shared" si="118"/>
        <v>#DIV/0!</v>
      </c>
      <c r="AZ117" s="1153" t="e">
        <f t="shared" si="118"/>
        <v>#DIV/0!</v>
      </c>
      <c r="BA117" s="1274" t="e">
        <f t="shared" si="118"/>
        <v>#DIV/0!</v>
      </c>
      <c r="BB117" s="1219" t="e">
        <f t="shared" si="118"/>
        <v>#DIV/0!</v>
      </c>
      <c r="BC117" s="1153" t="e">
        <f t="shared" si="118"/>
        <v>#DIV/0!</v>
      </c>
      <c r="BD117" s="1153" t="e">
        <f t="shared" si="118"/>
        <v>#DIV/0!</v>
      </c>
      <c r="BE117" s="1153" t="e">
        <f t="shared" si="118"/>
        <v>#DIV/0!</v>
      </c>
      <c r="BF117" s="1153" t="e">
        <f t="shared" si="118"/>
        <v>#DIV/0!</v>
      </c>
      <c r="BG117" s="1153" t="e">
        <f t="shared" si="118"/>
        <v>#DIV/0!</v>
      </c>
      <c r="BH117" s="1153" t="e">
        <f t="shared" si="118"/>
        <v>#DIV/0!</v>
      </c>
      <c r="BI117" s="1153" t="e">
        <f t="shared" si="118"/>
        <v>#DIV/0!</v>
      </c>
      <c r="BJ117" s="1153" t="e">
        <f t="shared" si="118"/>
        <v>#DIV/0!</v>
      </c>
      <c r="BK117" s="1154"/>
      <c r="BL117" s="1153">
        <f t="shared" si="118"/>
        <v>0.12648266423357662</v>
      </c>
      <c r="BM117" s="1153">
        <f t="shared" si="118"/>
        <v>0.12360455748647715</v>
      </c>
      <c r="BN117" s="1153">
        <f t="shared" si="118"/>
        <v>0.12403889642695613</v>
      </c>
      <c r="BO117" s="1274">
        <f t="shared" si="118"/>
        <v>0.12396412759677604</v>
      </c>
      <c r="BP117" s="1219">
        <f t="shared" si="118"/>
        <v>0.12943302462163994</v>
      </c>
      <c r="BQ117" s="1153">
        <f t="shared" si="118"/>
        <v>0.12900305533552106</v>
      </c>
      <c r="BR117" s="1153">
        <f t="shared" si="118"/>
        <v>0.12617765814266491</v>
      </c>
      <c r="BS117" s="1153">
        <f t="shared" si="118"/>
        <v>0.12456747404844291</v>
      </c>
      <c r="BT117" s="1153">
        <f t="shared" si="118"/>
        <v>0.12493009730455208</v>
      </c>
      <c r="BU117" s="1153">
        <f t="shared" si="118"/>
        <v>0.12405091558731575</v>
      </c>
      <c r="BV117" s="1153">
        <f t="shared" si="118"/>
        <v>0.12466337522441653</v>
      </c>
      <c r="BW117" s="1153">
        <f t="shared" si="118"/>
        <v>0.12346642873076068</v>
      </c>
      <c r="BX117" s="1274">
        <f t="shared" si="118"/>
        <v>0.12604190132912818</v>
      </c>
      <c r="BY117" s="1219" t="e">
        <f t="shared" si="118"/>
        <v>#DIV/0!</v>
      </c>
      <c r="BZ117" s="1153" t="e">
        <f t="shared" si="118"/>
        <v>#DIV/0!</v>
      </c>
      <c r="CA117" s="1153" t="e">
        <f t="shared" si="118"/>
        <v>#DIV/0!</v>
      </c>
      <c r="CB117" s="1153" t="e">
        <f t="shared" si="118"/>
        <v>#DIV/0!</v>
      </c>
      <c r="CC117" s="1153" t="e">
        <f t="shared" si="118"/>
        <v>#DIV/0!</v>
      </c>
      <c r="CD117" s="1274" t="e">
        <f t="shared" si="118"/>
        <v>#DIV/0!</v>
      </c>
      <c r="CE117" s="1219" t="e">
        <f t="shared" si="118"/>
        <v>#DIV/0!</v>
      </c>
      <c r="CF117" s="1153" t="e">
        <f t="shared" si="118"/>
        <v>#DIV/0!</v>
      </c>
      <c r="CG117" s="1153" t="e">
        <f t="shared" si="118"/>
        <v>#DIV/0!</v>
      </c>
      <c r="CH117" s="1153" t="e">
        <f t="shared" si="118"/>
        <v>#DIV/0!</v>
      </c>
      <c r="CI117" s="1153" t="e">
        <f t="shared" si="118"/>
        <v>#DIV/0!</v>
      </c>
      <c r="CJ117" s="1153" t="e">
        <f t="shared" si="118"/>
        <v>#DIV/0!</v>
      </c>
      <c r="CK117" s="1153" t="e">
        <f t="shared" si="118"/>
        <v>#DIV/0!</v>
      </c>
      <c r="CL117" s="1153" t="e">
        <f t="shared" si="118"/>
        <v>#DIV/0!</v>
      </c>
      <c r="CM117" s="1153" t="e">
        <f t="shared" si="118"/>
        <v>#DIV/0!</v>
      </c>
      <c r="CN117" s="1154"/>
      <c r="CO117" s="1153" t="e">
        <f>CO$116/CO$115</f>
        <v>#DIV/0!</v>
      </c>
      <c r="CP117" s="1153">
        <f t="shared" si="118"/>
        <v>0.15448755066589462</v>
      </c>
      <c r="CQ117" s="1153">
        <f t="shared" si="118"/>
        <v>0.15596646376478696</v>
      </c>
      <c r="CR117" s="1274">
        <f t="shared" si="118"/>
        <v>0.15389055645347496</v>
      </c>
      <c r="CS117" s="1219">
        <f t="shared" si="118"/>
        <v>0.15036127996329854</v>
      </c>
      <c r="CT117" s="1153">
        <f t="shared" si="118"/>
        <v>0.15527950310559008</v>
      </c>
      <c r="CU117" s="1153">
        <f t="shared" si="118"/>
        <v>0.14943447960699191</v>
      </c>
      <c r="CV117" s="1153">
        <f t="shared" si="118"/>
        <v>0.1530355097365407</v>
      </c>
      <c r="CW117" s="1153">
        <f t="shared" si="118"/>
        <v>0.14894220407237252</v>
      </c>
      <c r="CX117" s="1153">
        <f t="shared" si="118"/>
        <v>0.15157750342935525</v>
      </c>
      <c r="CY117" s="1153">
        <f t="shared" si="118"/>
        <v>0.15408805031446543</v>
      </c>
      <c r="CZ117" s="1153">
        <f t="shared" ref="CZ117:DP117" si="119">CZ$116/CZ$115</f>
        <v>0.1515775034293553</v>
      </c>
      <c r="DA117" s="1274">
        <f t="shared" si="119"/>
        <v>0.15113235461477181</v>
      </c>
      <c r="DB117" s="1219" t="e">
        <f t="shared" si="119"/>
        <v>#DIV/0!</v>
      </c>
      <c r="DC117" s="1153" t="e">
        <f t="shared" si="119"/>
        <v>#DIV/0!</v>
      </c>
      <c r="DD117" s="1153" t="e">
        <f t="shared" si="119"/>
        <v>#DIV/0!</v>
      </c>
      <c r="DE117" s="1153" t="e">
        <f t="shared" si="119"/>
        <v>#DIV/0!</v>
      </c>
      <c r="DF117" s="1153" t="e">
        <f t="shared" si="119"/>
        <v>#DIV/0!</v>
      </c>
      <c r="DG117" s="1274" t="e">
        <f t="shared" si="119"/>
        <v>#DIV/0!</v>
      </c>
      <c r="DH117" s="1219" t="e">
        <f t="shared" si="119"/>
        <v>#DIV/0!</v>
      </c>
      <c r="DI117" s="1153" t="e">
        <f t="shared" si="119"/>
        <v>#DIV/0!</v>
      </c>
      <c r="DJ117" s="1153" t="e">
        <f t="shared" si="119"/>
        <v>#DIV/0!</v>
      </c>
      <c r="DK117" s="1153" t="e">
        <f t="shared" si="119"/>
        <v>#DIV/0!</v>
      </c>
      <c r="DL117" s="1153" t="e">
        <f t="shared" si="119"/>
        <v>#DIV/0!</v>
      </c>
      <c r="DM117" s="1153" t="e">
        <f t="shared" si="119"/>
        <v>#DIV/0!</v>
      </c>
      <c r="DN117" s="1153" t="e">
        <f t="shared" si="119"/>
        <v>#DIV/0!</v>
      </c>
      <c r="DO117" s="1153" t="e">
        <f t="shared" si="119"/>
        <v>#DIV/0!</v>
      </c>
      <c r="DP117" s="1153" t="e">
        <f t="shared" si="119"/>
        <v>#DIV/0!</v>
      </c>
      <c r="DQ117" s="1155"/>
      <c r="DR117" s="1156"/>
      <c r="DV117" s="1573"/>
      <c r="DW117" s="1567"/>
      <c r="EE117" s="1573"/>
      <c r="EF117" s="1567"/>
      <c r="EK117" s="1573"/>
      <c r="EL117" s="1567"/>
      <c r="EU117" s="1155"/>
      <c r="EX117" s="1152"/>
      <c r="EY117" s="1555"/>
      <c r="EZ117" s="1538"/>
      <c r="FA117" s="1152"/>
      <c r="FH117" s="1573"/>
      <c r="FI117" s="1567"/>
      <c r="FN117" s="1573"/>
      <c r="FO117" s="1567"/>
    </row>
    <row r="118" spans="3:180" s="1157" customFormat="1" ht="15" thickBot="1" x14ac:dyDescent="0.4">
      <c r="C118" s="1158" t="s">
        <v>274</v>
      </c>
      <c r="D118" s="1158"/>
      <c r="E118" s="1158"/>
      <c r="F118" s="1159">
        <v>0.113</v>
      </c>
      <c r="G118" s="1159">
        <v>0.113</v>
      </c>
      <c r="H118" s="1159">
        <v>0.113</v>
      </c>
      <c r="I118" s="1275">
        <v>0.113</v>
      </c>
      <c r="J118" s="1220">
        <v>0.113</v>
      </c>
      <c r="K118" s="1160">
        <v>0.113</v>
      </c>
      <c r="L118" s="1160">
        <v>0.113</v>
      </c>
      <c r="M118" s="1160">
        <v>0.113</v>
      </c>
      <c r="N118" s="1160">
        <v>0.113</v>
      </c>
      <c r="O118" s="1275">
        <v>0.113</v>
      </c>
      <c r="P118" s="1220">
        <v>0.11600000000000001</v>
      </c>
      <c r="Q118" s="1160">
        <v>0.11600000000000001</v>
      </c>
      <c r="R118" s="1275">
        <v>0.11600000000000001</v>
      </c>
      <c r="S118" s="1220">
        <v>0.11600000000000001</v>
      </c>
      <c r="T118" s="1160">
        <v>0.11600000000000001</v>
      </c>
      <c r="U118" s="1160">
        <v>0.11600000000000001</v>
      </c>
      <c r="V118" s="1160"/>
      <c r="W118" s="1160"/>
      <c r="X118" s="1275"/>
      <c r="Y118" s="1220"/>
      <c r="Z118" s="1160"/>
      <c r="AA118" s="1160"/>
      <c r="AB118" s="1160"/>
      <c r="AC118" s="1160"/>
      <c r="AD118" s="1160"/>
      <c r="AE118" s="1160"/>
      <c r="AF118" s="1160"/>
      <c r="AG118" s="1160"/>
      <c r="AH118" s="1161"/>
      <c r="AI118" s="1159"/>
      <c r="AJ118" s="1159"/>
      <c r="AK118" s="1159"/>
      <c r="AL118" s="1481"/>
      <c r="AM118" s="1469"/>
      <c r="AN118" s="1159"/>
      <c r="AO118" s="1159"/>
      <c r="AP118" s="1159"/>
      <c r="AQ118" s="1159"/>
      <c r="AR118" s="1159"/>
      <c r="AS118" s="1159"/>
      <c r="AT118" s="1159"/>
      <c r="AU118" s="1481"/>
      <c r="AV118" s="1469"/>
      <c r="AW118" s="1159"/>
      <c r="AX118" s="1159"/>
      <c r="AY118" s="1159"/>
      <c r="AZ118" s="1159"/>
      <c r="BA118" s="1481"/>
      <c r="BB118" s="1469"/>
      <c r="BC118" s="1159"/>
      <c r="BD118" s="1159"/>
      <c r="BE118" s="1159"/>
      <c r="BF118" s="1159"/>
      <c r="BG118" s="1159"/>
      <c r="BH118" s="1159"/>
      <c r="BI118" s="1159"/>
      <c r="BJ118" s="1159"/>
      <c r="BK118" s="1161"/>
      <c r="BL118" s="1159">
        <v>0.125</v>
      </c>
      <c r="BM118" s="1159">
        <v>0.123</v>
      </c>
      <c r="BN118" s="1159">
        <v>0.122</v>
      </c>
      <c r="BO118" s="1481">
        <v>0.121</v>
      </c>
      <c r="BP118" s="1469">
        <v>0.1275</v>
      </c>
      <c r="BQ118" s="1159">
        <v>0.122</v>
      </c>
      <c r="BR118" s="1159">
        <v>0.128</v>
      </c>
      <c r="BS118" s="1159">
        <v>0.125</v>
      </c>
      <c r="BT118" s="1159">
        <v>0.127</v>
      </c>
      <c r="BU118" s="1159">
        <v>0.123</v>
      </c>
      <c r="BV118" s="1159">
        <v>0.121</v>
      </c>
      <c r="BW118" s="1159">
        <v>0.123</v>
      </c>
      <c r="BX118" s="1481">
        <v>0.126</v>
      </c>
      <c r="BY118" s="1469">
        <v>0.123</v>
      </c>
      <c r="BZ118" s="1159">
        <v>0.124</v>
      </c>
      <c r="CA118" s="1159">
        <v>0.123</v>
      </c>
      <c r="CB118" s="1159"/>
      <c r="CC118" s="1159"/>
      <c r="CD118" s="1481"/>
      <c r="CE118" s="1469"/>
      <c r="CF118" s="1159"/>
      <c r="CG118" s="1159"/>
      <c r="CH118" s="1159"/>
      <c r="CI118" s="1159"/>
      <c r="CJ118" s="1159"/>
      <c r="CK118" s="1159"/>
      <c r="CL118" s="1159"/>
      <c r="CM118" s="1159"/>
      <c r="CN118" s="1161"/>
      <c r="CO118" s="1159">
        <v>0.155</v>
      </c>
      <c r="CP118" s="1159">
        <v>0.155</v>
      </c>
      <c r="CQ118" s="1159">
        <v>0.156</v>
      </c>
      <c r="CR118" s="1481">
        <v>0.157</v>
      </c>
      <c r="CS118" s="1469">
        <v>0.156</v>
      </c>
      <c r="CT118" s="1159">
        <v>0.157</v>
      </c>
      <c r="CU118" s="1159">
        <v>0.1565</v>
      </c>
      <c r="CV118" s="1159">
        <v>0.156</v>
      </c>
      <c r="CW118" s="1159">
        <v>0.155</v>
      </c>
      <c r="CX118" s="1159">
        <v>0.159</v>
      </c>
      <c r="CY118" s="1159">
        <v>0.156</v>
      </c>
      <c r="CZ118" s="1159">
        <v>0.1555</v>
      </c>
      <c r="DA118" s="1481">
        <v>0.158</v>
      </c>
      <c r="DB118" s="1469">
        <v>0.158</v>
      </c>
      <c r="DC118" s="1159">
        <v>0.156</v>
      </c>
      <c r="DD118" s="1159">
        <v>0.157</v>
      </c>
      <c r="DG118" s="1514"/>
      <c r="DH118" s="1508"/>
      <c r="DQ118" s="1162"/>
      <c r="DR118" s="1163"/>
      <c r="DV118" s="1514"/>
      <c r="DW118" s="1508"/>
      <c r="EE118" s="1514"/>
      <c r="EF118" s="1508"/>
      <c r="EK118" s="1514"/>
      <c r="EL118" s="1508"/>
      <c r="EU118" s="1162"/>
      <c r="EX118" s="1164"/>
      <c r="EY118" s="1556"/>
      <c r="EZ118" s="1539"/>
      <c r="FA118" s="1164"/>
      <c r="FH118" s="1514"/>
      <c r="FI118" s="1508"/>
      <c r="FN118" s="1514"/>
      <c r="FO118" s="1508"/>
    </row>
    <row r="119" spans="3:180" ht="15" thickTop="1" x14ac:dyDescent="0.35">
      <c r="F119" s="1051"/>
      <c r="G119" s="229"/>
      <c r="H119" s="229"/>
      <c r="I119" s="1245"/>
      <c r="J119" s="538"/>
      <c r="K119" s="229"/>
      <c r="L119" s="229"/>
      <c r="M119" s="229"/>
      <c r="N119" s="229"/>
      <c r="O119" s="2258"/>
      <c r="P119" s="538"/>
      <c r="Q119" s="229"/>
      <c r="R119" s="1245"/>
      <c r="S119" s="538"/>
      <c r="T119" s="229"/>
      <c r="U119" s="229"/>
      <c r="V119" s="229"/>
      <c r="W119" s="229"/>
      <c r="X119" s="1245"/>
      <c r="Y119" s="538"/>
      <c r="Z119" s="229"/>
      <c r="AA119" s="229"/>
      <c r="AB119" s="229"/>
      <c r="AC119" s="229"/>
      <c r="AD119" s="229"/>
      <c r="AE119" s="229"/>
      <c r="AF119" s="229"/>
      <c r="AG119" s="229"/>
      <c r="AH119" s="356"/>
      <c r="AI119" s="229"/>
      <c r="AJ119" s="229"/>
      <c r="AK119" s="229"/>
      <c r="AL119" s="1245"/>
      <c r="AM119" s="538"/>
      <c r="AN119" s="229"/>
      <c r="AO119" s="229"/>
      <c r="AP119" s="229"/>
      <c r="AQ119" s="229"/>
      <c r="AR119" s="229"/>
      <c r="AS119" s="229"/>
      <c r="AT119" s="229"/>
      <c r="AU119" s="1245"/>
      <c r="AV119" s="538"/>
      <c r="AW119" s="229"/>
      <c r="AX119" s="229"/>
      <c r="AY119" s="229"/>
      <c r="AZ119" s="229"/>
      <c r="BA119" s="1245"/>
      <c r="BB119" s="538"/>
      <c r="BC119" s="229"/>
      <c r="BD119" s="229"/>
      <c r="BE119" s="229"/>
      <c r="BF119" s="229"/>
      <c r="BG119" s="229"/>
      <c r="BH119" s="229"/>
      <c r="BI119" s="229"/>
      <c r="BJ119" s="229"/>
      <c r="BK119" s="356"/>
      <c r="BL119" s="229"/>
      <c r="BM119" s="229"/>
      <c r="BN119" s="229"/>
      <c r="BO119" s="1245"/>
      <c r="BP119" s="538"/>
      <c r="BQ119" s="229"/>
      <c r="BR119" s="229"/>
      <c r="BS119" s="229"/>
      <c r="BT119" s="229"/>
      <c r="BU119" s="229"/>
      <c r="BV119" s="229"/>
      <c r="BW119" s="229"/>
      <c r="BX119" s="1245"/>
      <c r="BY119" s="538"/>
      <c r="BZ119" s="229"/>
      <c r="CA119" s="229"/>
      <c r="CB119" s="229"/>
      <c r="CC119" s="229"/>
      <c r="CD119" s="1245"/>
      <c r="CE119" s="538"/>
      <c r="CF119" s="229"/>
      <c r="CG119" s="229"/>
      <c r="CH119" s="229"/>
      <c r="CI119" s="229"/>
      <c r="CJ119" s="229"/>
      <c r="CK119" s="229"/>
      <c r="CL119" s="229"/>
      <c r="CM119" s="229"/>
      <c r="CN119" s="356"/>
      <c r="CO119" s="229"/>
      <c r="CP119" s="229"/>
      <c r="CQ119" s="229"/>
      <c r="CR119" s="1245"/>
      <c r="CS119" s="538"/>
      <c r="CT119" s="229"/>
      <c r="CU119" s="229"/>
      <c r="CV119" s="229"/>
      <c r="CW119" s="229"/>
      <c r="CX119" s="229"/>
      <c r="CY119" s="229"/>
      <c r="CZ119" s="229"/>
      <c r="DA119" s="1245"/>
      <c r="DB119" s="538"/>
      <c r="DC119" s="229"/>
      <c r="DD119" s="229"/>
      <c r="DE119" s="229"/>
      <c r="DF119" s="229"/>
      <c r="DG119" s="1245"/>
      <c r="DH119" s="538"/>
      <c r="DI119" s="229"/>
      <c r="DJ119" s="229"/>
      <c r="DK119" s="229"/>
      <c r="DL119" s="229"/>
      <c r="DM119" s="229"/>
      <c r="DN119" s="229"/>
      <c r="DO119" s="229"/>
      <c r="DP119" s="229"/>
      <c r="DQ119" s="356"/>
      <c r="DR119" s="358"/>
      <c r="DS119" s="229"/>
      <c r="DT119" s="229"/>
      <c r="DU119" s="229"/>
      <c r="DV119" s="1245"/>
      <c r="DW119" s="1547" t="s">
        <v>224</v>
      </c>
      <c r="DX119" s="229"/>
      <c r="DY119" s="229"/>
      <c r="DZ119" s="229"/>
      <c r="EA119" s="229"/>
      <c r="EB119" s="229"/>
      <c r="EC119" s="229"/>
      <c r="ED119" s="229"/>
      <c r="EE119" s="1245"/>
      <c r="EF119" s="538"/>
      <c r="EG119" s="229"/>
      <c r="EH119" s="229"/>
      <c r="EI119" s="229"/>
      <c r="EJ119" s="229"/>
      <c r="EK119" s="1245"/>
      <c r="EL119" s="538"/>
      <c r="EM119" s="229"/>
      <c r="EN119" s="229"/>
      <c r="EO119" s="229"/>
      <c r="EP119" s="229"/>
      <c r="EQ119" s="229"/>
      <c r="ER119" s="229"/>
      <c r="ES119" s="229"/>
      <c r="ET119" s="229"/>
      <c r="EU119" s="356"/>
      <c r="EV119" s="2714" t="s">
        <v>225</v>
      </c>
      <c r="EW119" s="2714"/>
      <c r="EX119" s="2714"/>
      <c r="EY119" s="2714"/>
      <c r="EZ119" s="2714"/>
      <c r="FA119" s="2714"/>
      <c r="FB119" s="2714"/>
      <c r="FC119" s="2714"/>
      <c r="FD119" s="2714"/>
      <c r="FE119" s="2714"/>
      <c r="FF119" s="297"/>
      <c r="FG119" s="297"/>
      <c r="FH119" s="1475"/>
      <c r="FI119" s="538"/>
      <c r="FJ119" s="229"/>
      <c r="FK119" s="229"/>
      <c r="FL119" s="229"/>
      <c r="FM119" s="229"/>
      <c r="FN119" s="1245"/>
      <c r="FO119" s="538"/>
      <c r="FP119" s="229"/>
      <c r="FQ119" s="229"/>
      <c r="FR119" s="229"/>
      <c r="FS119" s="229"/>
      <c r="FT119" s="229"/>
      <c r="FU119" s="229"/>
      <c r="FV119" s="229"/>
      <c r="FW119" s="229"/>
    </row>
    <row r="120" spans="3:180" x14ac:dyDescent="0.35">
      <c r="C120" s="1" t="s">
        <v>384</v>
      </c>
      <c r="O120" s="1236"/>
      <c r="P120" s="643"/>
      <c r="CY120" s="241"/>
      <c r="CZ120" s="241"/>
      <c r="DA120" s="1496"/>
      <c r="DB120" s="1487"/>
      <c r="DC120" s="241"/>
      <c r="DD120" s="241"/>
      <c r="DR120" s="241"/>
      <c r="DS120" s="270"/>
      <c r="DT120" s="270"/>
      <c r="DU120" s="270"/>
      <c r="DV120" s="1283"/>
      <c r="DW120" s="1224"/>
      <c r="DX120" s="270"/>
      <c r="DY120" s="270"/>
      <c r="DZ120" s="270"/>
      <c r="EA120" s="270"/>
      <c r="EB120" s="270"/>
      <c r="EC120" s="270"/>
      <c r="ED120" s="270"/>
      <c r="EE120" s="1283"/>
      <c r="EF120" s="1224"/>
      <c r="EG120" s="270"/>
      <c r="EH120" s="270"/>
      <c r="EI120" s="270"/>
      <c r="EJ120" s="270"/>
      <c r="EK120" s="1283"/>
      <c r="EL120" s="1224"/>
      <c r="EM120" s="270"/>
      <c r="EN120" s="270"/>
      <c r="EO120" s="270"/>
      <c r="EP120" s="270"/>
      <c r="EQ120" s="270"/>
      <c r="ER120" s="270"/>
      <c r="ES120" s="270"/>
      <c r="ET120" s="270"/>
      <c r="EV120" s="244"/>
      <c r="EW120" s="251"/>
      <c r="EX120" s="244"/>
      <c r="EY120" s="1237"/>
      <c r="EZ120" s="606"/>
      <c r="FA120" s="244"/>
      <c r="FB120" s="244"/>
      <c r="FC120" s="244"/>
      <c r="FD120" s="244"/>
      <c r="FE120" s="244"/>
      <c r="FF120" s="244"/>
      <c r="FG120" s="244"/>
      <c r="FH120" s="1237"/>
      <c r="FX120" s="1"/>
    </row>
    <row r="121" spans="3:180" x14ac:dyDescent="0.35">
      <c r="C121" s="1" t="s">
        <v>178</v>
      </c>
      <c r="F121" s="1052" t="s">
        <v>186</v>
      </c>
      <c r="G121" s="271">
        <v>12</v>
      </c>
      <c r="H121" s="247" t="s">
        <v>192</v>
      </c>
      <c r="I121" s="1276">
        <v>4</v>
      </c>
      <c r="J121" s="1195" t="s">
        <v>199</v>
      </c>
      <c r="K121" s="271">
        <f>G121+I121</f>
        <v>16</v>
      </c>
      <c r="O121" s="1236"/>
      <c r="P121" s="643"/>
      <c r="CY121" s="241"/>
      <c r="CZ121" s="241"/>
      <c r="DA121" s="1496"/>
      <c r="DB121" s="1487"/>
      <c r="DC121" s="241"/>
      <c r="DD121" s="241"/>
      <c r="DR121" s="241" t="s">
        <v>199</v>
      </c>
      <c r="DS121" s="251">
        <f t="shared" ref="DS121:EH121" si="120">DS$73*DS$9/100</f>
        <v>3.27555</v>
      </c>
      <c r="DT121" s="251">
        <f t="shared" si="120"/>
        <v>3.7628866666666672</v>
      </c>
      <c r="DU121" s="251">
        <f t="shared" si="120"/>
        <v>1.3193408333333332</v>
      </c>
      <c r="DV121" s="1267">
        <f t="shared" si="120"/>
        <v>1.3812187500000002</v>
      </c>
      <c r="DW121" s="1212">
        <f t="shared" si="120"/>
        <v>2.0396965217391303</v>
      </c>
      <c r="DX121" s="251">
        <f t="shared" si="120"/>
        <v>2.0883666666666669</v>
      </c>
      <c r="DY121" s="251">
        <f t="shared" si="120"/>
        <v>2.0756178260869564</v>
      </c>
      <c r="DZ121" s="251">
        <f t="shared" si="120"/>
        <v>2.1016633333333332</v>
      </c>
      <c r="EA121" s="251">
        <f t="shared" si="120"/>
        <v>2.0166483333333334</v>
      </c>
      <c r="EB121" s="251">
        <f t="shared" si="120"/>
        <v>2.008386666666667</v>
      </c>
      <c r="EC121" s="251">
        <f t="shared" si="120"/>
        <v>2.14812</v>
      </c>
      <c r="ED121" s="251">
        <f t="shared" si="120"/>
        <v>2.1119700000000003</v>
      </c>
      <c r="EE121" s="1267">
        <f t="shared" si="120"/>
        <v>2.1320625</v>
      </c>
      <c r="EF121" s="1212">
        <f t="shared" si="120"/>
        <v>0</v>
      </c>
      <c r="EG121" s="251">
        <f t="shared" si="120"/>
        <v>0</v>
      </c>
      <c r="EH121" s="251">
        <f t="shared" si="120"/>
        <v>0</v>
      </c>
      <c r="EI121" s="270"/>
      <c r="EJ121" s="270"/>
      <c r="EK121" s="1283"/>
      <c r="EL121" s="1224"/>
      <c r="EM121" s="270"/>
      <c r="EN121" s="270"/>
      <c r="EO121" s="270"/>
      <c r="EP121" s="270"/>
      <c r="EQ121" s="270"/>
      <c r="ER121" s="270"/>
      <c r="ES121" s="270"/>
      <c r="ET121" s="270"/>
      <c r="EU121" s="341"/>
      <c r="EV121" s="270">
        <f>EV$73*EV$9/100</f>
        <v>8.1030000000000019E-2</v>
      </c>
      <c r="EW121" s="270">
        <f t="shared" ref="EW121:FW121" si="121">EW$73*EW$9/100</f>
        <v>3.2164999999999992E-2</v>
      </c>
      <c r="EX121" s="270">
        <f t="shared" si="121"/>
        <v>5.7500000000000008E-3</v>
      </c>
      <c r="EY121" s="1283">
        <f t="shared" si="121"/>
        <v>2.7812500000000003E-3</v>
      </c>
      <c r="EZ121" s="1224">
        <f t="shared" si="121"/>
        <v>6.4233043478260865E-2</v>
      </c>
      <c r="FA121" s="270">
        <f t="shared" si="121"/>
        <v>0.18239583333333337</v>
      </c>
      <c r="FB121" s="270">
        <f t="shared" si="121"/>
        <v>0.19129764705882352</v>
      </c>
      <c r="FC121" s="270">
        <f t="shared" si="121"/>
        <v>5.8643750000000008E-2</v>
      </c>
      <c r="FD121" s="270">
        <f t="shared" si="121"/>
        <v>0.11516166666666669</v>
      </c>
      <c r="FE121" s="270">
        <f t="shared" si="121"/>
        <v>9.0476666666666677E-2</v>
      </c>
      <c r="FF121" s="270">
        <f t="shared" si="121"/>
        <v>2.9874999999999999E-2</v>
      </c>
      <c r="FG121" s="270">
        <f t="shared" si="121"/>
        <v>4.2563333333333342E-2</v>
      </c>
      <c r="FH121" s="1283">
        <f t="shared" si="121"/>
        <v>0.12062750000000003</v>
      </c>
      <c r="FI121" s="1224">
        <f t="shared" si="121"/>
        <v>0</v>
      </c>
      <c r="FJ121" s="270">
        <f t="shared" si="121"/>
        <v>0</v>
      </c>
      <c r="FK121" s="270">
        <f t="shared" si="121"/>
        <v>0</v>
      </c>
      <c r="FL121" s="270">
        <f t="shared" si="121"/>
        <v>0</v>
      </c>
      <c r="FM121" s="270">
        <f t="shared" si="121"/>
        <v>0</v>
      </c>
      <c r="FN121" s="1283">
        <f t="shared" si="121"/>
        <v>0</v>
      </c>
      <c r="FO121" s="1224">
        <f t="shared" si="121"/>
        <v>0</v>
      </c>
      <c r="FP121" s="270">
        <f t="shared" si="121"/>
        <v>0</v>
      </c>
      <c r="FQ121" s="270">
        <f t="shared" si="121"/>
        <v>0</v>
      </c>
      <c r="FR121" s="270">
        <f t="shared" si="121"/>
        <v>0</v>
      </c>
      <c r="FS121" s="270">
        <f t="shared" si="121"/>
        <v>0</v>
      </c>
      <c r="FT121" s="270">
        <f t="shared" si="121"/>
        <v>0</v>
      </c>
      <c r="FU121" s="270">
        <f t="shared" si="121"/>
        <v>0</v>
      </c>
      <c r="FV121" s="270">
        <f t="shared" si="121"/>
        <v>0</v>
      </c>
      <c r="FW121" s="270">
        <f t="shared" si="121"/>
        <v>0</v>
      </c>
      <c r="FX121" s="1" t="s">
        <v>178</v>
      </c>
    </row>
    <row r="122" spans="3:180" x14ac:dyDescent="0.35">
      <c r="C122" s="1" t="s">
        <v>179</v>
      </c>
      <c r="F122" s="1052" t="s">
        <v>187</v>
      </c>
      <c r="G122" s="271">
        <v>24</v>
      </c>
      <c r="H122" s="247" t="s">
        <v>195</v>
      </c>
      <c r="I122" s="1276">
        <v>6</v>
      </c>
      <c r="J122" s="1195" t="s">
        <v>200</v>
      </c>
      <c r="K122" s="271">
        <f t="shared" ref="K122:K128" si="122">G122+I122</f>
        <v>30</v>
      </c>
      <c r="O122" s="1236"/>
      <c r="P122" s="643"/>
      <c r="CY122" s="241"/>
      <c r="CZ122" s="241"/>
      <c r="DA122" s="1496"/>
      <c r="DB122" s="1487"/>
      <c r="DC122" s="241"/>
      <c r="DD122" s="241"/>
      <c r="DR122" s="241" t="s">
        <v>200</v>
      </c>
      <c r="DS122" s="251">
        <f t="shared" ref="DS122:EH122" si="123">DS$73*DS$10/100</f>
        <v>2.6856999999999998</v>
      </c>
      <c r="DT122" s="251">
        <f t="shared" si="123"/>
        <v>2.8960266666666667</v>
      </c>
      <c r="DU122" s="251">
        <f t="shared" si="123"/>
        <v>1.0848366666666667</v>
      </c>
      <c r="DV122" s="1267">
        <f t="shared" si="123"/>
        <v>1.1397612500000003</v>
      </c>
      <c r="DW122" s="1212">
        <f t="shared" si="123"/>
        <v>1.6224234782608695</v>
      </c>
      <c r="DX122" s="251">
        <f t="shared" si="123"/>
        <v>1.6626666666666667</v>
      </c>
      <c r="DY122" s="251">
        <f t="shared" si="123"/>
        <v>1.6281430434782607</v>
      </c>
      <c r="DZ122" s="251">
        <f t="shared" si="123"/>
        <v>1.6731541666666667</v>
      </c>
      <c r="EA122" s="251">
        <f t="shared" si="123"/>
        <v>1.6054729166666666</v>
      </c>
      <c r="EB122" s="251">
        <f t="shared" si="123"/>
        <v>1.6362399999999999</v>
      </c>
      <c r="EC122" s="251">
        <f t="shared" si="123"/>
        <v>1.7128800000000002</v>
      </c>
      <c r="ED122" s="251">
        <f t="shared" si="123"/>
        <v>1.6789850000000002</v>
      </c>
      <c r="EE122" s="1267">
        <f t="shared" si="123"/>
        <v>1.6745249999999998</v>
      </c>
      <c r="EF122" s="1212">
        <f t="shared" si="123"/>
        <v>0</v>
      </c>
      <c r="EG122" s="251">
        <f t="shared" si="123"/>
        <v>0</v>
      </c>
      <c r="EH122" s="251">
        <f t="shared" si="123"/>
        <v>0</v>
      </c>
      <c r="EI122" s="270"/>
      <c r="EJ122" s="270"/>
      <c r="EK122" s="1283"/>
      <c r="EL122" s="1224"/>
      <c r="EM122" s="270"/>
      <c r="EN122" s="270"/>
      <c r="EO122" s="270"/>
      <c r="EP122" s="270"/>
      <c r="EQ122" s="270"/>
      <c r="ER122" s="270"/>
      <c r="ES122" s="270"/>
      <c r="ET122" s="270"/>
      <c r="EU122" s="341"/>
      <c r="EV122" s="270">
        <f t="shared" ref="EV122:FW122" si="124">EV$73*EV$10/100</f>
        <v>5.9130000000000009E-2</v>
      </c>
      <c r="EW122" s="270">
        <f t="shared" si="124"/>
        <v>5.8969166666666656E-2</v>
      </c>
      <c r="EX122" s="270">
        <f t="shared" si="124"/>
        <v>1.0541666666666666E-2</v>
      </c>
      <c r="EY122" s="1283">
        <f t="shared" si="124"/>
        <v>4.635416666666667E-3</v>
      </c>
      <c r="EZ122" s="1224">
        <f t="shared" si="124"/>
        <v>0.11240782608695653</v>
      </c>
      <c r="FA122" s="270">
        <f t="shared" si="124"/>
        <v>0.28968750000000004</v>
      </c>
      <c r="FB122" s="270">
        <f t="shared" si="124"/>
        <v>0.31882941176470586</v>
      </c>
      <c r="FC122" s="270">
        <f t="shared" si="124"/>
        <v>0.11728750000000002</v>
      </c>
      <c r="FD122" s="270">
        <f t="shared" si="124"/>
        <v>0.18508125</v>
      </c>
      <c r="FE122" s="270">
        <f t="shared" si="124"/>
        <v>0.15833416666666669</v>
      </c>
      <c r="FF122" s="270">
        <f t="shared" si="124"/>
        <v>4.9791666666666672E-2</v>
      </c>
      <c r="FG122" s="270">
        <f t="shared" si="124"/>
        <v>6.3844999999999999E-2</v>
      </c>
      <c r="FH122" s="1283">
        <f t="shared" si="124"/>
        <v>0.22402250000000001</v>
      </c>
      <c r="FI122" s="1224">
        <f t="shared" si="124"/>
        <v>0</v>
      </c>
      <c r="FJ122" s="270">
        <f t="shared" si="124"/>
        <v>0</v>
      </c>
      <c r="FK122" s="270">
        <f t="shared" si="124"/>
        <v>0</v>
      </c>
      <c r="FL122" s="270">
        <f t="shared" si="124"/>
        <v>0</v>
      </c>
      <c r="FM122" s="270">
        <f t="shared" si="124"/>
        <v>0</v>
      </c>
      <c r="FN122" s="1283">
        <f t="shared" si="124"/>
        <v>0</v>
      </c>
      <c r="FO122" s="1224">
        <f t="shared" si="124"/>
        <v>0</v>
      </c>
      <c r="FP122" s="270">
        <f t="shared" si="124"/>
        <v>0</v>
      </c>
      <c r="FQ122" s="270">
        <f t="shared" si="124"/>
        <v>0</v>
      </c>
      <c r="FR122" s="270">
        <f t="shared" si="124"/>
        <v>0</v>
      </c>
      <c r="FS122" s="270">
        <f t="shared" si="124"/>
        <v>0</v>
      </c>
      <c r="FT122" s="270">
        <f t="shared" si="124"/>
        <v>0</v>
      </c>
      <c r="FU122" s="270">
        <f t="shared" si="124"/>
        <v>0</v>
      </c>
      <c r="FV122" s="270">
        <f t="shared" si="124"/>
        <v>0</v>
      </c>
      <c r="FW122" s="270">
        <f t="shared" si="124"/>
        <v>0</v>
      </c>
      <c r="FX122" s="1" t="s">
        <v>179</v>
      </c>
    </row>
    <row r="123" spans="3:180" x14ac:dyDescent="0.35">
      <c r="C123" s="1" t="s">
        <v>180</v>
      </c>
      <c r="F123" s="1052" t="s">
        <v>99</v>
      </c>
      <c r="G123" s="271">
        <v>36</v>
      </c>
      <c r="H123" s="247" t="s">
        <v>194</v>
      </c>
      <c r="I123" s="1276">
        <v>8</v>
      </c>
      <c r="J123" s="1195" t="s">
        <v>201</v>
      </c>
      <c r="K123" s="271">
        <f t="shared" si="122"/>
        <v>44</v>
      </c>
      <c r="O123" s="1236"/>
      <c r="P123" s="643"/>
      <c r="CY123" s="241"/>
      <c r="CZ123" s="241"/>
      <c r="DA123" s="1496"/>
      <c r="DB123" s="1487"/>
      <c r="DC123" s="241"/>
      <c r="DD123" s="241"/>
      <c r="DR123" s="241" t="s">
        <v>201</v>
      </c>
      <c r="DS123" s="251">
        <f t="shared" ref="DS123:EH123" si="125">DS$73*DS$11/100</f>
        <v>3.0433749999999997</v>
      </c>
      <c r="DT123" s="251">
        <f t="shared" si="125"/>
        <v>3.0745933333333335</v>
      </c>
      <c r="DU123" s="251">
        <f t="shared" si="125"/>
        <v>1.0991108333333333</v>
      </c>
      <c r="DV123" s="1267">
        <f t="shared" si="125"/>
        <v>1.1499925000000002</v>
      </c>
      <c r="DW123" s="1212">
        <f t="shared" si="125"/>
        <v>1.5441847826086956</v>
      </c>
      <c r="DX123" s="251">
        <f t="shared" si="125"/>
        <v>1.5967333333333336</v>
      </c>
      <c r="DY123" s="251">
        <f t="shared" si="125"/>
        <v>1.6296547826086953</v>
      </c>
      <c r="DZ123" s="251">
        <f t="shared" si="125"/>
        <v>1.6534699999999998</v>
      </c>
      <c r="EA123" s="251">
        <f t="shared" si="125"/>
        <v>1.5865850000000001</v>
      </c>
      <c r="EB123" s="251">
        <f t="shared" si="125"/>
        <v>1.7160933333333335</v>
      </c>
      <c r="EC123" s="251">
        <f t="shared" si="125"/>
        <v>1.7050799999999997</v>
      </c>
      <c r="ED123" s="251">
        <f t="shared" si="125"/>
        <v>1.6789850000000002</v>
      </c>
      <c r="EE123" s="1267">
        <f t="shared" si="125"/>
        <v>1.6714125000000002</v>
      </c>
      <c r="EF123" s="1212">
        <f t="shared" si="125"/>
        <v>0</v>
      </c>
      <c r="EG123" s="251">
        <f t="shared" si="125"/>
        <v>0</v>
      </c>
      <c r="EH123" s="251">
        <f t="shared" si="125"/>
        <v>0</v>
      </c>
      <c r="EI123" s="270"/>
      <c r="EJ123" s="270"/>
      <c r="EK123" s="1283"/>
      <c r="EL123" s="1224"/>
      <c r="EM123" s="270"/>
      <c r="EN123" s="270"/>
      <c r="EO123" s="270"/>
      <c r="EP123" s="270"/>
      <c r="EQ123" s="270"/>
      <c r="ER123" s="270"/>
      <c r="ES123" s="270"/>
      <c r="ET123" s="270"/>
      <c r="EU123" s="341"/>
      <c r="EV123" s="270">
        <f t="shared" ref="EV123:FW123" si="126">EV$73*EV$11/100</f>
        <v>0.12921000000000002</v>
      </c>
      <c r="EW123" s="270">
        <f t="shared" si="126"/>
        <v>8.5773333333333313E-2</v>
      </c>
      <c r="EX123" s="270">
        <f t="shared" si="126"/>
        <v>1.5333333333333334E-2</v>
      </c>
      <c r="EY123" s="1283">
        <f t="shared" si="126"/>
        <v>7.4166666666666669E-3</v>
      </c>
      <c r="EZ123" s="1224">
        <f t="shared" si="126"/>
        <v>0.1926991304347826</v>
      </c>
      <c r="FA123" s="270">
        <f t="shared" si="126"/>
        <v>0.43989583333333337</v>
      </c>
      <c r="FB123" s="270">
        <f t="shared" si="126"/>
        <v>0.47824411764705888</v>
      </c>
      <c r="FC123" s="270">
        <f t="shared" si="126"/>
        <v>0.28149000000000002</v>
      </c>
      <c r="FD123" s="270">
        <f t="shared" si="126"/>
        <v>0.3125816666666667</v>
      </c>
      <c r="FE123" s="270">
        <f t="shared" si="126"/>
        <v>0.31666833333333338</v>
      </c>
      <c r="FF123" s="270">
        <f t="shared" si="126"/>
        <v>8.9624999999999982E-2</v>
      </c>
      <c r="FG123" s="270">
        <f t="shared" si="126"/>
        <v>0.15961250000000002</v>
      </c>
      <c r="FH123" s="1283">
        <f t="shared" si="126"/>
        <v>0.40496375000000001</v>
      </c>
      <c r="FI123" s="1224">
        <f t="shared" si="126"/>
        <v>0</v>
      </c>
      <c r="FJ123" s="270">
        <f t="shared" si="126"/>
        <v>0</v>
      </c>
      <c r="FK123" s="270">
        <f t="shared" si="126"/>
        <v>0</v>
      </c>
      <c r="FL123" s="270">
        <f t="shared" si="126"/>
        <v>0</v>
      </c>
      <c r="FM123" s="270">
        <f t="shared" si="126"/>
        <v>0</v>
      </c>
      <c r="FN123" s="1283">
        <f t="shared" si="126"/>
        <v>0</v>
      </c>
      <c r="FO123" s="1224">
        <f t="shared" si="126"/>
        <v>0</v>
      </c>
      <c r="FP123" s="270">
        <f t="shared" si="126"/>
        <v>0</v>
      </c>
      <c r="FQ123" s="270">
        <f t="shared" si="126"/>
        <v>0</v>
      </c>
      <c r="FR123" s="270">
        <f t="shared" si="126"/>
        <v>0</v>
      </c>
      <c r="FS123" s="270">
        <f t="shared" si="126"/>
        <v>0</v>
      </c>
      <c r="FT123" s="270">
        <f t="shared" si="126"/>
        <v>0</v>
      </c>
      <c r="FU123" s="270">
        <f t="shared" si="126"/>
        <v>0</v>
      </c>
      <c r="FV123" s="270">
        <f t="shared" si="126"/>
        <v>0</v>
      </c>
      <c r="FW123" s="270">
        <f t="shared" si="126"/>
        <v>0</v>
      </c>
      <c r="FX123" s="1" t="s">
        <v>180</v>
      </c>
    </row>
    <row r="124" spans="3:180" x14ac:dyDescent="0.35">
      <c r="C124" s="1" t="s">
        <v>385</v>
      </c>
      <c r="F124" s="1052" t="s">
        <v>188</v>
      </c>
      <c r="G124" s="271">
        <v>48</v>
      </c>
      <c r="H124" s="247" t="s">
        <v>196</v>
      </c>
      <c r="I124" s="1276">
        <v>10</v>
      </c>
      <c r="J124" s="1195" t="s">
        <v>202</v>
      </c>
      <c r="K124" s="271">
        <f t="shared" si="122"/>
        <v>58</v>
      </c>
      <c r="O124" s="1236"/>
      <c r="P124" s="643"/>
      <c r="CY124" s="241"/>
      <c r="CZ124" s="241"/>
      <c r="DA124" s="1496"/>
      <c r="DB124" s="1487"/>
      <c r="DC124" s="241"/>
      <c r="DD124" s="241"/>
      <c r="DR124" s="241" t="s">
        <v>376</v>
      </c>
      <c r="DS124" s="251">
        <f t="shared" ref="DS124:EH124" si="127">DS$73*DS$12/100</f>
        <v>3.6708749999999997</v>
      </c>
      <c r="DT124" s="251">
        <f t="shared" si="127"/>
        <v>3.3862733333333335</v>
      </c>
      <c r="DU124" s="251">
        <f t="shared" si="127"/>
        <v>0.87072416666666652</v>
      </c>
      <c r="DV124" s="1267">
        <f t="shared" si="127"/>
        <v>0.90239625000000023</v>
      </c>
      <c r="DW124" s="1212">
        <f t="shared" si="127"/>
        <v>0.97729739130434778</v>
      </c>
      <c r="DX124" s="251">
        <f t="shared" si="127"/>
        <v>1.0534999999999999</v>
      </c>
      <c r="DY124" s="251">
        <f t="shared" si="127"/>
        <v>1.1141517391304347</v>
      </c>
      <c r="DZ124" s="251">
        <f t="shared" si="127"/>
        <v>1.0917141666666665</v>
      </c>
      <c r="EA124" s="251">
        <f t="shared" si="127"/>
        <v>1.0475529166666666</v>
      </c>
      <c r="EB124" s="251">
        <f t="shared" si="127"/>
        <v>1.1978000000000002</v>
      </c>
      <c r="EC124" s="251">
        <f t="shared" si="127"/>
        <v>1.13256</v>
      </c>
      <c r="ED124" s="251">
        <f t="shared" si="127"/>
        <v>1.1276300000000001</v>
      </c>
      <c r="EE124" s="1267">
        <f t="shared" si="127"/>
        <v>1.11271875</v>
      </c>
      <c r="EF124" s="1212">
        <f t="shared" si="127"/>
        <v>0</v>
      </c>
      <c r="EG124" s="251">
        <f t="shared" si="127"/>
        <v>0</v>
      </c>
      <c r="EH124" s="251">
        <f t="shared" si="127"/>
        <v>0</v>
      </c>
      <c r="EI124" s="270"/>
      <c r="EJ124" s="270"/>
      <c r="EK124" s="1283"/>
      <c r="EL124" s="1224"/>
      <c r="EM124" s="270"/>
      <c r="EN124" s="270"/>
      <c r="EO124" s="270"/>
      <c r="EP124" s="270"/>
      <c r="EQ124" s="270"/>
      <c r="ER124" s="270"/>
      <c r="ES124" s="270"/>
      <c r="ET124" s="270"/>
      <c r="EU124" s="341"/>
      <c r="EV124" s="270">
        <f t="shared" ref="EV124:FW124" si="128">EV$73*EV$12/100</f>
        <v>0.16096500000000002</v>
      </c>
      <c r="EW124" s="270">
        <f t="shared" si="128"/>
        <v>9.1134166666666655E-2</v>
      </c>
      <c r="EX124" s="270">
        <f t="shared" si="128"/>
        <v>1.629166666666667E-2</v>
      </c>
      <c r="EY124" s="1283">
        <f t="shared" si="128"/>
        <v>1.0197916666666666E-2</v>
      </c>
      <c r="EZ124" s="1224">
        <f t="shared" si="128"/>
        <v>0.32919434782608692</v>
      </c>
      <c r="FA124" s="270">
        <f t="shared" si="128"/>
        <v>0.49354166666666671</v>
      </c>
      <c r="FB124" s="270">
        <f t="shared" si="128"/>
        <v>0.53138235294117653</v>
      </c>
      <c r="FC124" s="270">
        <f t="shared" si="128"/>
        <v>0.59816625000000001</v>
      </c>
      <c r="FD124" s="270">
        <f t="shared" si="128"/>
        <v>0.44830791666666664</v>
      </c>
      <c r="FE124" s="270">
        <f t="shared" si="128"/>
        <v>0.54286000000000001</v>
      </c>
      <c r="FF124" s="270">
        <f t="shared" si="128"/>
        <v>0.19916666666666669</v>
      </c>
      <c r="FG124" s="270">
        <f t="shared" si="128"/>
        <v>0.32986583333333336</v>
      </c>
      <c r="FH124" s="1283">
        <f t="shared" si="128"/>
        <v>0.58590500000000012</v>
      </c>
      <c r="FI124" s="1224">
        <f t="shared" si="128"/>
        <v>0</v>
      </c>
      <c r="FJ124" s="270">
        <f t="shared" si="128"/>
        <v>0</v>
      </c>
      <c r="FK124" s="270">
        <f t="shared" si="128"/>
        <v>0</v>
      </c>
      <c r="FL124" s="270">
        <f t="shared" si="128"/>
        <v>0</v>
      </c>
      <c r="FM124" s="270">
        <f t="shared" si="128"/>
        <v>0</v>
      </c>
      <c r="FN124" s="1283">
        <f t="shared" si="128"/>
        <v>0</v>
      </c>
      <c r="FO124" s="1224">
        <f t="shared" si="128"/>
        <v>0</v>
      </c>
      <c r="FP124" s="270">
        <f t="shared" si="128"/>
        <v>0</v>
      </c>
      <c r="FQ124" s="270">
        <f t="shared" si="128"/>
        <v>0</v>
      </c>
      <c r="FR124" s="270">
        <f t="shared" si="128"/>
        <v>0</v>
      </c>
      <c r="FS124" s="270">
        <f t="shared" si="128"/>
        <v>0</v>
      </c>
      <c r="FT124" s="270">
        <f t="shared" si="128"/>
        <v>0</v>
      </c>
      <c r="FU124" s="270">
        <f t="shared" si="128"/>
        <v>0</v>
      </c>
      <c r="FV124" s="270">
        <f t="shared" si="128"/>
        <v>0</v>
      </c>
      <c r="FW124" s="270">
        <f t="shared" si="128"/>
        <v>0</v>
      </c>
      <c r="FX124" s="1" t="s">
        <v>181</v>
      </c>
    </row>
    <row r="125" spans="3:180" x14ac:dyDescent="0.35">
      <c r="C125" s="1" t="s">
        <v>182</v>
      </c>
      <c r="F125" s="1052" t="s">
        <v>189</v>
      </c>
      <c r="G125" s="271">
        <v>60</v>
      </c>
      <c r="H125" s="247" t="s">
        <v>197</v>
      </c>
      <c r="I125" s="1276">
        <v>12</v>
      </c>
      <c r="J125" s="1195" t="s">
        <v>203</v>
      </c>
      <c r="K125" s="271">
        <f t="shared" si="122"/>
        <v>72</v>
      </c>
      <c r="O125" s="1236"/>
      <c r="P125" s="643"/>
      <c r="CY125" s="241"/>
      <c r="CZ125" s="241"/>
      <c r="DA125" s="1496"/>
      <c r="DB125" s="1487"/>
      <c r="DC125" s="241"/>
      <c r="DD125" s="241"/>
      <c r="DR125" s="241" t="s">
        <v>203</v>
      </c>
      <c r="DS125" s="251">
        <f t="shared" ref="DS125:EH125" si="129">DS$73*DS$13/100</f>
        <v>1.951525</v>
      </c>
      <c r="DT125" s="251">
        <f t="shared" si="129"/>
        <v>1.4187933333333334</v>
      </c>
      <c r="DU125" s="251">
        <f t="shared" si="129"/>
        <v>0.62398500000000001</v>
      </c>
      <c r="DV125" s="1267">
        <f t="shared" si="129"/>
        <v>0.62819875000000003</v>
      </c>
      <c r="DW125" s="1212">
        <f t="shared" si="129"/>
        <v>0.41864565217391303</v>
      </c>
      <c r="DX125" s="251">
        <f t="shared" si="129"/>
        <v>0.50596666666666668</v>
      </c>
      <c r="DY125" s="251">
        <f t="shared" si="129"/>
        <v>0.55178478260869557</v>
      </c>
      <c r="DZ125" s="251">
        <f t="shared" si="129"/>
        <v>0.54207166666666662</v>
      </c>
      <c r="EA125" s="251">
        <f t="shared" si="129"/>
        <v>0.52014416666666674</v>
      </c>
      <c r="EB125" s="251">
        <f t="shared" si="129"/>
        <v>0.57102666666666668</v>
      </c>
      <c r="EC125" s="251">
        <f t="shared" si="129"/>
        <v>0.59123999999999999</v>
      </c>
      <c r="ED125" s="251">
        <f t="shared" si="129"/>
        <v>0.5902925</v>
      </c>
      <c r="EE125" s="1267">
        <f t="shared" si="129"/>
        <v>0.57736874999999999</v>
      </c>
      <c r="EF125" s="1212">
        <f t="shared" si="129"/>
        <v>0</v>
      </c>
      <c r="EG125" s="251">
        <f t="shared" si="129"/>
        <v>0</v>
      </c>
      <c r="EH125" s="251">
        <f t="shared" si="129"/>
        <v>0</v>
      </c>
      <c r="EI125" s="270"/>
      <c r="EJ125" s="270"/>
      <c r="EK125" s="1283"/>
      <c r="EL125" s="1224"/>
      <c r="EM125" s="270"/>
      <c r="EN125" s="270"/>
      <c r="EO125" s="270"/>
      <c r="EP125" s="270"/>
      <c r="EQ125" s="270"/>
      <c r="ER125" s="270"/>
      <c r="ES125" s="270"/>
      <c r="ET125" s="270"/>
      <c r="EU125" s="341"/>
      <c r="EV125" s="270">
        <f t="shared" ref="EV125:FW125" si="130">EV$73*EV$13/100</f>
        <v>0.10293000000000001</v>
      </c>
      <c r="EW125" s="270">
        <f t="shared" si="130"/>
        <v>5.8969166666666656E-2</v>
      </c>
      <c r="EX125" s="270">
        <f t="shared" si="130"/>
        <v>1.0541666666666666E-2</v>
      </c>
      <c r="EY125" s="1283">
        <f t="shared" si="130"/>
        <v>1.1125000000000001E-2</v>
      </c>
      <c r="EZ125" s="1224">
        <f t="shared" si="130"/>
        <v>0.39342739130434778</v>
      </c>
      <c r="FA125" s="270">
        <f t="shared" si="130"/>
        <v>0.41843750000000002</v>
      </c>
      <c r="FB125" s="270">
        <f t="shared" si="130"/>
        <v>0.40385058823529413</v>
      </c>
      <c r="FC125" s="270">
        <f t="shared" si="130"/>
        <v>0.80928375000000008</v>
      </c>
      <c r="FD125" s="270">
        <f t="shared" si="130"/>
        <v>0.48121124999999998</v>
      </c>
      <c r="FE125" s="270">
        <f t="shared" si="130"/>
        <v>0.56547916666666675</v>
      </c>
      <c r="FF125" s="270">
        <f t="shared" si="130"/>
        <v>0.39833333333333337</v>
      </c>
      <c r="FG125" s="270">
        <f t="shared" si="130"/>
        <v>0.51075999999999999</v>
      </c>
      <c r="FH125" s="1283">
        <f t="shared" si="130"/>
        <v>0.59452125</v>
      </c>
      <c r="FI125" s="1224">
        <f t="shared" si="130"/>
        <v>0</v>
      </c>
      <c r="FJ125" s="270">
        <f t="shared" si="130"/>
        <v>0</v>
      </c>
      <c r="FK125" s="270">
        <f t="shared" si="130"/>
        <v>0</v>
      </c>
      <c r="FL125" s="270">
        <f t="shared" si="130"/>
        <v>0</v>
      </c>
      <c r="FM125" s="270">
        <f t="shared" si="130"/>
        <v>0</v>
      </c>
      <c r="FN125" s="1283">
        <f t="shared" si="130"/>
        <v>0</v>
      </c>
      <c r="FO125" s="1224">
        <f t="shared" si="130"/>
        <v>0</v>
      </c>
      <c r="FP125" s="270">
        <f t="shared" si="130"/>
        <v>0</v>
      </c>
      <c r="FQ125" s="270">
        <f t="shared" si="130"/>
        <v>0</v>
      </c>
      <c r="FR125" s="270">
        <f t="shared" si="130"/>
        <v>0</v>
      </c>
      <c r="FS125" s="270">
        <f t="shared" si="130"/>
        <v>0</v>
      </c>
      <c r="FT125" s="270">
        <f t="shared" si="130"/>
        <v>0</v>
      </c>
      <c r="FU125" s="270">
        <f t="shared" si="130"/>
        <v>0</v>
      </c>
      <c r="FV125" s="270">
        <f t="shared" si="130"/>
        <v>0</v>
      </c>
      <c r="FW125" s="270">
        <f t="shared" si="130"/>
        <v>0</v>
      </c>
      <c r="FX125" s="1" t="s">
        <v>182</v>
      </c>
    </row>
    <row r="126" spans="3:180" ht="15" thickBot="1" x14ac:dyDescent="0.4">
      <c r="C126" s="1" t="s">
        <v>351</v>
      </c>
      <c r="F126" s="1052" t="s">
        <v>190</v>
      </c>
      <c r="G126" s="271">
        <v>72</v>
      </c>
      <c r="H126" s="247" t="s">
        <v>198</v>
      </c>
      <c r="I126" s="1276">
        <v>14</v>
      </c>
      <c r="J126" s="1195" t="s">
        <v>204</v>
      </c>
      <c r="K126" s="271">
        <f t="shared" si="122"/>
        <v>86</v>
      </c>
      <c r="O126" s="1236"/>
      <c r="P126" s="643"/>
      <c r="CY126" s="241"/>
      <c r="CZ126" s="241"/>
      <c r="DA126" s="1496"/>
      <c r="DB126" s="1487"/>
      <c r="DC126" s="241"/>
      <c r="DD126" s="241"/>
      <c r="DR126" s="241" t="s">
        <v>403</v>
      </c>
      <c r="DS126" s="251">
        <f t="shared" ref="DS126:EH126" si="131">DS$73*DS$14/100</f>
        <v>1.4871749999999999</v>
      </c>
      <c r="DT126" s="251">
        <f t="shared" si="131"/>
        <v>2.7304466666666669</v>
      </c>
      <c r="DU126" s="251">
        <f t="shared" si="131"/>
        <v>0.60767166666666661</v>
      </c>
      <c r="DV126" s="1267">
        <f t="shared" si="131"/>
        <v>0.29056750000000003</v>
      </c>
      <c r="DW126" s="1212">
        <f t="shared" si="131"/>
        <v>0.27040391304347827</v>
      </c>
      <c r="DX126" s="251">
        <f t="shared" si="131"/>
        <v>0.24510000000000001</v>
      </c>
      <c r="DY126" s="251">
        <f t="shared" si="131"/>
        <v>0.26606608695652167</v>
      </c>
      <c r="DZ126" s="251">
        <f t="shared" si="131"/>
        <v>0.17261499999999999</v>
      </c>
      <c r="EA126" s="251">
        <f t="shared" si="131"/>
        <v>0.16563249999999999</v>
      </c>
      <c r="EB126" s="251">
        <f t="shared" si="131"/>
        <v>0.42186666666666667</v>
      </c>
      <c r="EC126" s="251">
        <f t="shared" si="131"/>
        <v>0.45396000000000003</v>
      </c>
      <c r="ED126" s="251">
        <f t="shared" si="131"/>
        <v>0.507745</v>
      </c>
      <c r="EE126" s="1267">
        <f t="shared" si="131"/>
        <v>0.45753749999999999</v>
      </c>
      <c r="EF126" s="1212">
        <f t="shared" si="131"/>
        <v>0</v>
      </c>
      <c r="EG126" s="251">
        <f t="shared" si="131"/>
        <v>0</v>
      </c>
      <c r="EH126" s="251">
        <f t="shared" si="131"/>
        <v>0</v>
      </c>
      <c r="EI126" s="270"/>
      <c r="EJ126" s="270"/>
      <c r="EK126" s="1283"/>
      <c r="EL126" s="1224"/>
      <c r="EM126" s="270"/>
      <c r="EN126" s="270"/>
      <c r="EO126" s="270"/>
      <c r="EP126" s="270"/>
      <c r="EQ126" s="270"/>
      <c r="ER126" s="270"/>
      <c r="ES126" s="270"/>
      <c r="ET126" s="270"/>
      <c r="EU126" s="341"/>
      <c r="EV126" s="270">
        <f t="shared" ref="EV126:FW126" si="132">EV$73*EV$14/100</f>
        <v>4.5990000000000003E-2</v>
      </c>
      <c r="EW126" s="270">
        <f t="shared" si="132"/>
        <v>6.4329999999999984E-2</v>
      </c>
      <c r="EX126" s="270">
        <f t="shared" si="132"/>
        <v>1.1500000000000002E-2</v>
      </c>
      <c r="EY126" s="1283">
        <f t="shared" si="132"/>
        <v>3.89375E-2</v>
      </c>
      <c r="EZ126" s="1224">
        <f t="shared" si="132"/>
        <v>0.73868</v>
      </c>
      <c r="FA126" s="270">
        <f t="shared" si="132"/>
        <v>0.75104166666666672</v>
      </c>
      <c r="FB126" s="270">
        <f t="shared" si="132"/>
        <v>0.66954176470588234</v>
      </c>
      <c r="FC126" s="270">
        <f t="shared" si="132"/>
        <v>0.52779375000000006</v>
      </c>
      <c r="FD126" s="270">
        <f t="shared" si="132"/>
        <v>0.43185625000000011</v>
      </c>
      <c r="FE126" s="270">
        <f t="shared" si="132"/>
        <v>0.59940791666666682</v>
      </c>
      <c r="FF126" s="270">
        <f t="shared" si="132"/>
        <v>0.47799999999999998</v>
      </c>
      <c r="FG126" s="270">
        <f t="shared" si="132"/>
        <v>0.87254833333333337</v>
      </c>
      <c r="FH126" s="1283">
        <f t="shared" si="132"/>
        <v>0.80131125000000014</v>
      </c>
      <c r="FI126" s="1224">
        <f t="shared" si="132"/>
        <v>0</v>
      </c>
      <c r="FJ126" s="270">
        <f t="shared" si="132"/>
        <v>0</v>
      </c>
      <c r="FK126" s="270">
        <f t="shared" si="132"/>
        <v>0</v>
      </c>
      <c r="FL126" s="270">
        <f t="shared" si="132"/>
        <v>0</v>
      </c>
      <c r="FM126" s="270">
        <f t="shared" si="132"/>
        <v>0</v>
      </c>
      <c r="FN126" s="1283">
        <f t="shared" si="132"/>
        <v>0</v>
      </c>
      <c r="FO126" s="1224">
        <f t="shared" si="132"/>
        <v>0</v>
      </c>
      <c r="FP126" s="270">
        <f t="shared" si="132"/>
        <v>0</v>
      </c>
      <c r="FQ126" s="270">
        <f t="shared" si="132"/>
        <v>0</v>
      </c>
      <c r="FR126" s="270">
        <f t="shared" si="132"/>
        <v>0</v>
      </c>
      <c r="FS126" s="270">
        <f t="shared" si="132"/>
        <v>0</v>
      </c>
      <c r="FT126" s="270">
        <f t="shared" si="132"/>
        <v>0</v>
      </c>
      <c r="FU126" s="270">
        <f t="shared" si="132"/>
        <v>0</v>
      </c>
      <c r="FV126" s="270">
        <f t="shared" si="132"/>
        <v>0</v>
      </c>
      <c r="FW126" s="270">
        <f t="shared" si="132"/>
        <v>0</v>
      </c>
      <c r="FX126" s="1" t="s">
        <v>405</v>
      </c>
    </row>
    <row r="127" spans="3:180" s="377" customFormat="1" ht="15" thickTop="1" x14ac:dyDescent="0.35">
      <c r="C127" s="375" t="s">
        <v>183</v>
      </c>
      <c r="D127" s="375"/>
      <c r="E127" s="375"/>
      <c r="F127" s="1052" t="s">
        <v>157</v>
      </c>
      <c r="G127" s="271">
        <v>32</v>
      </c>
      <c r="H127" s="247" t="s">
        <v>191</v>
      </c>
      <c r="I127" s="1276">
        <v>2</v>
      </c>
      <c r="J127" s="1195" t="s">
        <v>135</v>
      </c>
      <c r="K127" s="271">
        <f t="shared" si="122"/>
        <v>34</v>
      </c>
      <c r="L127" s="232"/>
      <c r="M127" s="232"/>
      <c r="N127" s="232"/>
      <c r="O127" s="1236"/>
      <c r="P127" s="643"/>
      <c r="Q127" s="232"/>
      <c r="R127" s="1236"/>
      <c r="S127" s="643"/>
      <c r="T127" s="232"/>
      <c r="U127" s="232"/>
      <c r="V127" s="232"/>
      <c r="W127" s="232"/>
      <c r="X127" s="1236"/>
      <c r="Y127" s="643"/>
      <c r="Z127" s="232"/>
      <c r="AA127" s="232"/>
      <c r="AB127" s="232"/>
      <c r="AC127" s="232"/>
      <c r="AD127" s="232"/>
      <c r="AE127" s="232"/>
      <c r="AF127" s="232"/>
      <c r="AG127" s="232"/>
      <c r="AH127" s="323"/>
      <c r="AI127" s="232"/>
      <c r="AJ127" s="232"/>
      <c r="AK127" s="232"/>
      <c r="AL127" s="1236"/>
      <c r="AM127" s="643"/>
      <c r="AN127" s="232"/>
      <c r="AO127" s="232"/>
      <c r="AP127" s="232"/>
      <c r="AQ127" s="232"/>
      <c r="AR127" s="232"/>
      <c r="AS127" s="232"/>
      <c r="AT127" s="232"/>
      <c r="AU127" s="1236"/>
      <c r="AV127" s="643"/>
      <c r="AW127" s="232"/>
      <c r="AX127" s="232"/>
      <c r="AY127" s="232"/>
      <c r="AZ127" s="232"/>
      <c r="BA127" s="1236"/>
      <c r="BB127" s="643"/>
      <c r="BC127" s="232"/>
      <c r="BD127" s="232"/>
      <c r="BE127" s="232"/>
      <c r="BF127" s="232"/>
      <c r="BG127" s="232"/>
      <c r="BH127" s="232"/>
      <c r="BI127" s="232"/>
      <c r="BJ127" s="232"/>
      <c r="BK127" s="323"/>
      <c r="BL127" s="232"/>
      <c r="BM127" s="232"/>
      <c r="BN127" s="232"/>
      <c r="BO127" s="1236"/>
      <c r="BP127" s="643"/>
      <c r="BQ127" s="232"/>
      <c r="BR127" s="232"/>
      <c r="BS127" s="232"/>
      <c r="BT127" s="232"/>
      <c r="BU127" s="232"/>
      <c r="BV127" s="232"/>
      <c r="BW127" s="232"/>
      <c r="BX127" s="1236"/>
      <c r="BY127" s="643"/>
      <c r="BZ127" s="232"/>
      <c r="CA127" s="232"/>
      <c r="CB127" s="232"/>
      <c r="CC127" s="232"/>
      <c r="CD127" s="1236"/>
      <c r="CE127" s="643"/>
      <c r="CF127" s="232"/>
      <c r="CG127" s="232"/>
      <c r="CH127" s="232"/>
      <c r="CI127" s="232"/>
      <c r="CJ127" s="232"/>
      <c r="CK127" s="232"/>
      <c r="CL127" s="232"/>
      <c r="CM127" s="232"/>
      <c r="CN127" s="323"/>
      <c r="CO127" s="232"/>
      <c r="CP127" s="232"/>
      <c r="CQ127" s="232"/>
      <c r="CR127" s="1236"/>
      <c r="CS127" s="643"/>
      <c r="CT127" s="232"/>
      <c r="CU127" s="232"/>
      <c r="CV127" s="232"/>
      <c r="CW127" s="232"/>
      <c r="CX127" s="232"/>
      <c r="CY127" s="241"/>
      <c r="CZ127" s="241"/>
      <c r="DA127" s="1496"/>
      <c r="DB127" s="1487"/>
      <c r="DC127" s="241"/>
      <c r="DD127" s="241"/>
      <c r="DE127" s="232"/>
      <c r="DF127" s="232"/>
      <c r="DG127" s="1236"/>
      <c r="DH127" s="643"/>
      <c r="DI127" s="232"/>
      <c r="DJ127" s="232"/>
      <c r="DK127" s="232"/>
      <c r="DL127" s="232"/>
      <c r="DM127" s="232"/>
      <c r="DN127" s="232"/>
      <c r="DO127" s="232"/>
      <c r="DP127" s="232"/>
      <c r="DQ127" s="323"/>
      <c r="DR127" s="238"/>
      <c r="DS127" s="232"/>
      <c r="DT127" s="232"/>
      <c r="DU127" s="232"/>
      <c r="DV127" s="1236"/>
      <c r="DW127" s="643"/>
      <c r="DX127" s="232"/>
      <c r="DY127" s="232"/>
      <c r="DZ127" s="232"/>
      <c r="EA127" s="232"/>
      <c r="EB127" s="232"/>
      <c r="EC127" s="232"/>
      <c r="ED127" s="232"/>
      <c r="EE127" s="1236"/>
      <c r="EF127" s="643"/>
      <c r="EG127" s="232"/>
      <c r="EH127" s="232"/>
      <c r="EI127" s="232"/>
      <c r="EJ127" s="232"/>
      <c r="EK127" s="1236"/>
      <c r="EL127" s="643"/>
      <c r="EM127" s="232"/>
      <c r="EN127" s="232"/>
      <c r="EO127" s="232"/>
      <c r="EP127" s="232"/>
      <c r="EQ127" s="232"/>
      <c r="ER127" s="232"/>
      <c r="ES127" s="232"/>
      <c r="ET127" s="232"/>
      <c r="EU127" s="323"/>
      <c r="EV127" s="232"/>
      <c r="EW127" s="232"/>
      <c r="EX127" s="232"/>
      <c r="EY127" s="1236"/>
      <c r="EZ127" s="643"/>
      <c r="FA127" s="232"/>
      <c r="FB127" s="232"/>
      <c r="FC127" s="232"/>
      <c r="FD127" s="232"/>
      <c r="FE127" s="232"/>
      <c r="FF127" s="232"/>
      <c r="FG127" s="232"/>
      <c r="FH127" s="1236"/>
      <c r="FI127" s="643"/>
      <c r="FJ127" s="232"/>
      <c r="FK127" s="232"/>
      <c r="FL127" s="232"/>
      <c r="FM127" s="232"/>
      <c r="FN127" s="1236"/>
      <c r="FO127" s="643"/>
      <c r="FP127" s="232"/>
      <c r="FQ127" s="232"/>
      <c r="FR127" s="232"/>
      <c r="FS127" s="232"/>
      <c r="FT127" s="232"/>
      <c r="FU127" s="232"/>
      <c r="FV127" s="232"/>
      <c r="FW127" s="232"/>
    </row>
    <row r="128" spans="3:180" s="368" customFormat="1" ht="15" thickBot="1" x14ac:dyDescent="0.4">
      <c r="C128" s="364" t="s">
        <v>184</v>
      </c>
      <c r="D128" s="364"/>
      <c r="E128" s="364"/>
      <c r="F128" s="1052" t="s">
        <v>156</v>
      </c>
      <c r="G128" s="271">
        <v>14</v>
      </c>
      <c r="H128" s="247" t="s">
        <v>193</v>
      </c>
      <c r="I128" s="1276">
        <v>3</v>
      </c>
      <c r="J128" s="1195" t="s">
        <v>136</v>
      </c>
      <c r="K128" s="271">
        <f t="shared" si="122"/>
        <v>17</v>
      </c>
      <c r="L128" s="232"/>
      <c r="M128" s="232"/>
      <c r="N128" s="232"/>
      <c r="O128" s="1236"/>
      <c r="P128" s="643"/>
      <c r="Q128" s="232"/>
      <c r="R128" s="1236"/>
      <c r="S128" s="643"/>
      <c r="T128" s="232"/>
      <c r="U128" s="232"/>
      <c r="V128" s="232"/>
      <c r="W128" s="232"/>
      <c r="X128" s="1236"/>
      <c r="Y128" s="643"/>
      <c r="Z128" s="232"/>
      <c r="AA128" s="232"/>
      <c r="AB128" s="232"/>
      <c r="AC128" s="232"/>
      <c r="AD128" s="232"/>
      <c r="AE128" s="232"/>
      <c r="AF128" s="232"/>
      <c r="AG128" s="232"/>
      <c r="AH128" s="323"/>
      <c r="AI128" s="232"/>
      <c r="AJ128" s="232"/>
      <c r="AK128" s="232"/>
      <c r="AL128" s="1236"/>
      <c r="AM128" s="643"/>
      <c r="AN128" s="232"/>
      <c r="AO128" s="232"/>
      <c r="AP128" s="232"/>
      <c r="AQ128" s="232"/>
      <c r="AR128" s="232"/>
      <c r="AS128" s="232"/>
      <c r="AT128" s="232"/>
      <c r="AU128" s="1236"/>
      <c r="AV128" s="643"/>
      <c r="AW128" s="232"/>
      <c r="AX128" s="232"/>
      <c r="AY128" s="232"/>
      <c r="AZ128" s="232"/>
      <c r="BA128" s="1236"/>
      <c r="BB128" s="643"/>
      <c r="BC128" s="232"/>
      <c r="BD128" s="232"/>
      <c r="BE128" s="232"/>
      <c r="BF128" s="232"/>
      <c r="BG128" s="232"/>
      <c r="BH128" s="232"/>
      <c r="BI128" s="232"/>
      <c r="BJ128" s="232"/>
      <c r="BK128" s="323"/>
      <c r="BL128" s="232"/>
      <c r="BM128" s="232"/>
      <c r="BN128" s="232"/>
      <c r="BO128" s="1236"/>
      <c r="BP128" s="643"/>
      <c r="BQ128" s="232"/>
      <c r="BR128" s="232"/>
      <c r="BS128" s="232"/>
      <c r="BT128" s="232"/>
      <c r="BU128" s="232"/>
      <c r="BV128" s="232"/>
      <c r="BW128" s="232"/>
      <c r="BX128" s="1236"/>
      <c r="BY128" s="643"/>
      <c r="BZ128" s="232"/>
      <c r="CA128" s="232"/>
      <c r="CB128" s="232"/>
      <c r="CC128" s="232"/>
      <c r="CD128" s="1236"/>
      <c r="CE128" s="643"/>
      <c r="CF128" s="232"/>
      <c r="CG128" s="232"/>
      <c r="CH128" s="232"/>
      <c r="CI128" s="232"/>
      <c r="CJ128" s="232"/>
      <c r="CK128" s="232"/>
      <c r="CL128" s="232"/>
      <c r="CM128" s="232"/>
      <c r="CN128" s="323"/>
      <c r="CO128" s="232"/>
      <c r="CP128" s="232"/>
      <c r="CQ128" s="232"/>
      <c r="CR128" s="1236"/>
      <c r="CS128" s="643"/>
      <c r="CT128" s="232"/>
      <c r="CU128" s="232"/>
      <c r="CV128" s="232"/>
      <c r="CW128" s="232"/>
      <c r="CX128" s="232"/>
      <c r="CY128" s="238"/>
      <c r="CZ128" s="238"/>
      <c r="DA128" s="1497"/>
      <c r="DB128" s="1488"/>
      <c r="DC128" s="238"/>
      <c r="DD128" s="238"/>
      <c r="DE128" s="232"/>
      <c r="DF128" s="232"/>
      <c r="DG128" s="1236"/>
      <c r="DH128" s="643"/>
      <c r="DI128" s="232"/>
      <c r="DJ128" s="232"/>
      <c r="DK128" s="232"/>
      <c r="DL128" s="232"/>
      <c r="DM128" s="232"/>
      <c r="DN128" s="232"/>
      <c r="DO128" s="232"/>
      <c r="DP128" s="232"/>
      <c r="DQ128" s="323"/>
      <c r="DR128" s="238"/>
      <c r="DS128" s="232"/>
      <c r="DT128" s="232"/>
      <c r="DU128" s="232"/>
      <c r="DV128" s="1236"/>
      <c r="DW128" s="643"/>
      <c r="DX128" s="232"/>
      <c r="DY128" s="232"/>
      <c r="DZ128" s="232"/>
      <c r="EA128" s="232"/>
      <c r="EB128" s="232"/>
      <c r="EC128" s="232"/>
      <c r="ED128" s="232"/>
      <c r="EE128" s="1236"/>
      <c r="EF128" s="643"/>
      <c r="EG128" s="232"/>
      <c r="EH128" s="232"/>
      <c r="EI128" s="232"/>
      <c r="EJ128" s="232"/>
      <c r="EK128" s="1236"/>
      <c r="EL128" s="643"/>
      <c r="EM128" s="232"/>
      <c r="EN128" s="232"/>
      <c r="EO128" s="232"/>
      <c r="EP128" s="232"/>
      <c r="EQ128" s="232"/>
      <c r="ER128" s="232"/>
      <c r="ES128" s="232"/>
      <c r="ET128" s="232"/>
      <c r="EU128" s="323"/>
      <c r="EV128" s="232"/>
      <c r="EW128" s="232"/>
      <c r="EX128" s="232"/>
      <c r="EY128" s="1236"/>
      <c r="EZ128" s="643"/>
      <c r="FA128" s="232"/>
      <c r="FB128" s="232"/>
      <c r="FC128" s="232"/>
      <c r="FD128" s="232"/>
      <c r="FE128" s="232"/>
      <c r="FF128" s="232"/>
      <c r="FG128" s="232"/>
      <c r="FH128" s="1236"/>
      <c r="FI128" s="643"/>
      <c r="FJ128" s="232"/>
      <c r="FK128" s="232"/>
      <c r="FL128" s="232"/>
      <c r="FM128" s="232"/>
      <c r="FN128" s="1236"/>
      <c r="FO128" s="643"/>
      <c r="FP128" s="232"/>
      <c r="FQ128" s="232"/>
      <c r="FR128" s="232"/>
      <c r="FS128" s="232"/>
      <c r="FT128" s="232"/>
      <c r="FU128" s="232"/>
      <c r="FV128" s="232"/>
      <c r="FW128" s="232"/>
    </row>
    <row r="129" spans="3:180" s="228" customFormat="1" ht="15" thickTop="1" x14ac:dyDescent="0.35">
      <c r="C129" s="227"/>
      <c r="D129" s="227"/>
      <c r="E129" s="227"/>
      <c r="F129" s="1029"/>
      <c r="G129" s="232"/>
      <c r="H129" s="232"/>
      <c r="I129" s="1236"/>
      <c r="J129" s="643"/>
      <c r="K129" s="232"/>
      <c r="L129" s="239"/>
      <c r="M129" s="239"/>
      <c r="N129" s="239"/>
      <c r="O129" s="1277"/>
      <c r="P129" s="1221"/>
      <c r="Q129" s="239"/>
      <c r="R129" s="1277"/>
      <c r="S129" s="1221"/>
      <c r="T129" s="239"/>
      <c r="U129" s="239"/>
      <c r="V129" s="232"/>
      <c r="W129" s="232"/>
      <c r="X129" s="1236"/>
      <c r="Y129" s="643"/>
      <c r="Z129" s="232"/>
      <c r="AA129" s="232"/>
      <c r="AB129" s="232"/>
      <c r="AC129" s="232"/>
      <c r="AD129" s="232"/>
      <c r="AE129" s="232"/>
      <c r="AF129" s="232"/>
      <c r="AG129" s="232"/>
      <c r="AH129" s="323"/>
      <c r="AI129" s="232"/>
      <c r="AJ129" s="232"/>
      <c r="AK129" s="232"/>
      <c r="AL129" s="1236"/>
      <c r="AM129" s="643"/>
      <c r="AN129" s="232"/>
      <c r="AO129" s="232"/>
      <c r="AP129" s="232"/>
      <c r="AQ129" s="232"/>
      <c r="AR129" s="232"/>
      <c r="AS129" s="232"/>
      <c r="AT129" s="232"/>
      <c r="AU129" s="1236"/>
      <c r="AV129" s="643"/>
      <c r="AW129" s="232"/>
      <c r="AX129" s="232"/>
      <c r="AY129" s="232"/>
      <c r="AZ129" s="232"/>
      <c r="BA129" s="1236"/>
      <c r="BB129" s="643"/>
      <c r="BC129" s="232"/>
      <c r="BD129" s="232"/>
      <c r="BE129" s="232"/>
      <c r="BF129" s="232"/>
      <c r="BG129" s="232"/>
      <c r="BH129" s="232"/>
      <c r="BI129" s="232"/>
      <c r="BJ129" s="232"/>
      <c r="BK129" s="323"/>
      <c r="BL129" s="232"/>
      <c r="BM129" s="232"/>
      <c r="BN129" s="232"/>
      <c r="BO129" s="1236"/>
      <c r="BP129" s="643"/>
      <c r="BQ129" s="232"/>
      <c r="BR129" s="232"/>
      <c r="BS129" s="232"/>
      <c r="BT129" s="232"/>
      <c r="BU129" s="232"/>
      <c r="BV129" s="232"/>
      <c r="BW129" s="232"/>
      <c r="BX129" s="1236"/>
      <c r="BY129" s="643"/>
      <c r="BZ129" s="232"/>
      <c r="CA129" s="232"/>
      <c r="CB129" s="232"/>
      <c r="CC129" s="232"/>
      <c r="CD129" s="1236"/>
      <c r="CE129" s="643"/>
      <c r="CF129" s="232"/>
      <c r="CG129" s="232"/>
      <c r="CH129" s="232"/>
      <c r="CI129" s="232"/>
      <c r="CJ129" s="232"/>
      <c r="CK129" s="232"/>
      <c r="CL129" s="232"/>
      <c r="CM129" s="232"/>
      <c r="CN129" s="323"/>
      <c r="CO129" s="232"/>
      <c r="CP129" s="232"/>
      <c r="CQ129" s="232"/>
      <c r="CR129" s="1236"/>
      <c r="CS129" s="643"/>
      <c r="CT129" s="232"/>
      <c r="CU129" s="232"/>
      <c r="CV129" s="232"/>
      <c r="CW129" s="232"/>
      <c r="CX129" s="232"/>
      <c r="CY129" s="232"/>
      <c r="CZ129" s="241"/>
      <c r="DA129" s="1496"/>
      <c r="DB129" s="1487"/>
      <c r="DC129" s="241"/>
      <c r="DD129" s="241"/>
      <c r="DE129" s="232"/>
      <c r="DF129" s="232"/>
      <c r="DG129" s="1236"/>
      <c r="DH129" s="643"/>
      <c r="DI129" s="232"/>
      <c r="DJ129" s="232"/>
      <c r="DK129" s="232"/>
      <c r="DL129" s="232"/>
      <c r="DM129" s="232"/>
      <c r="DN129" s="232"/>
      <c r="DO129" s="232"/>
      <c r="DP129" s="232"/>
      <c r="DQ129" s="323"/>
      <c r="DR129" s="238"/>
      <c r="DS129" s="2713" t="s">
        <v>409</v>
      </c>
      <c r="DT129" s="2713"/>
      <c r="DU129" s="2713"/>
      <c r="DV129" s="2713"/>
      <c r="DW129" s="2713" t="s">
        <v>409</v>
      </c>
      <c r="DX129" s="2713"/>
      <c r="DY129" s="2713"/>
      <c r="DZ129" s="2713"/>
      <c r="EA129" s="2713"/>
      <c r="EB129" s="2713"/>
      <c r="EC129" s="2713" t="s">
        <v>409</v>
      </c>
      <c r="ED129" s="2713"/>
      <c r="EE129" s="2713"/>
      <c r="EF129" s="2713"/>
      <c r="EG129" s="2713"/>
      <c r="EH129" s="2713"/>
      <c r="EI129" s="1063"/>
      <c r="EJ129" s="1063"/>
      <c r="EK129" s="1577"/>
      <c r="EL129" s="1575"/>
      <c r="EM129" s="1063"/>
      <c r="EN129" s="1063"/>
      <c r="EO129" s="1063"/>
      <c r="EP129" s="1063"/>
      <c r="EQ129" s="1063"/>
      <c r="ER129" s="1063"/>
      <c r="ES129" s="1063"/>
      <c r="ET129" s="1063"/>
      <c r="EU129" s="338"/>
      <c r="EV129" s="2713" t="s">
        <v>410</v>
      </c>
      <c r="EW129" s="2713"/>
      <c r="EX129" s="2713"/>
      <c r="EY129" s="2713"/>
      <c r="EZ129" s="2713" t="s">
        <v>408</v>
      </c>
      <c r="FA129" s="2713"/>
      <c r="FB129" s="2713"/>
      <c r="FC129" s="2713"/>
      <c r="FD129" s="2713"/>
      <c r="FE129" s="2713"/>
      <c r="FF129" s="2713" t="s">
        <v>408</v>
      </c>
      <c r="FG129" s="2713"/>
      <c r="FH129" s="2713"/>
      <c r="FI129" s="2713"/>
      <c r="FJ129" s="2713"/>
      <c r="FK129" s="1063"/>
      <c r="FL129" s="1063"/>
      <c r="FM129" s="1063"/>
      <c r="FN129" s="1577"/>
      <c r="FO129" s="1575"/>
      <c r="FP129" s="1063"/>
      <c r="FQ129" s="1063"/>
      <c r="FR129" s="1063"/>
      <c r="FS129" s="1063"/>
      <c r="FT129" s="1063"/>
      <c r="FU129" s="1063"/>
      <c r="FV129" s="1063"/>
      <c r="FW129" s="1063"/>
    </row>
    <row r="130" spans="3:180" x14ac:dyDescent="0.35">
      <c r="F130" s="1053"/>
      <c r="G130" s="239"/>
      <c r="H130" s="239"/>
      <c r="I130" s="1277"/>
      <c r="J130" s="1221"/>
      <c r="K130" s="239"/>
      <c r="L130" s="239"/>
      <c r="M130" s="239"/>
      <c r="N130" s="239"/>
      <c r="O130" s="1277"/>
      <c r="P130" s="1221"/>
      <c r="Q130" s="239"/>
      <c r="R130" s="1277"/>
      <c r="S130" s="1221"/>
      <c r="T130" s="239"/>
      <c r="U130" s="239"/>
      <c r="CZ130" s="241"/>
      <c r="DA130" s="1496"/>
      <c r="DB130" s="1487"/>
      <c r="DC130" s="241"/>
      <c r="DD130" s="241"/>
      <c r="DR130" s="241" t="s">
        <v>219</v>
      </c>
      <c r="DS130" s="272"/>
      <c r="DT130" s="272"/>
      <c r="DU130" s="272"/>
      <c r="DV130" s="1557"/>
      <c r="DW130" s="1540"/>
      <c r="DX130" s="272"/>
      <c r="DY130" s="272"/>
      <c r="DZ130" s="272"/>
      <c r="EA130" s="272"/>
      <c r="EB130" s="272"/>
      <c r="EC130" s="272"/>
      <c r="ED130" s="272"/>
      <c r="EE130" s="1557"/>
      <c r="EF130" s="1540"/>
      <c r="EG130" s="272"/>
      <c r="EH130" s="272"/>
      <c r="EI130" s="272"/>
      <c r="EJ130" s="272"/>
      <c r="EK130" s="1557"/>
      <c r="EL130" s="1540"/>
      <c r="EM130" s="272"/>
      <c r="EN130" s="272"/>
      <c r="EO130" s="272"/>
      <c r="EP130" s="272"/>
      <c r="EQ130" s="272"/>
      <c r="ER130" s="272"/>
      <c r="ES130" s="272"/>
      <c r="ET130" s="272"/>
      <c r="EU130" s="342"/>
      <c r="EV130" s="272"/>
      <c r="EW130" s="272"/>
      <c r="EX130" s="272"/>
      <c r="EY130" s="1557"/>
      <c r="EZ130" s="1540"/>
      <c r="FA130" s="272"/>
      <c r="FB130" s="272"/>
      <c r="FC130" s="272"/>
      <c r="FD130" s="272"/>
      <c r="FE130" s="272"/>
      <c r="FF130" s="272"/>
      <c r="FG130" s="272"/>
      <c r="FH130" s="1557"/>
      <c r="FI130" s="1540"/>
      <c r="FJ130" s="272"/>
      <c r="FK130" s="272"/>
      <c r="FL130" s="272"/>
      <c r="FM130" s="272"/>
      <c r="FN130" s="1557"/>
      <c r="FO130" s="1540"/>
      <c r="FP130" s="272"/>
      <c r="FQ130" s="272"/>
      <c r="FR130" s="272"/>
      <c r="FS130" s="272"/>
      <c r="FT130" s="272"/>
      <c r="FU130" s="272"/>
      <c r="FV130" s="272"/>
      <c r="FW130" s="272"/>
      <c r="FX130" s="1" t="s">
        <v>220</v>
      </c>
    </row>
    <row r="131" spans="3:180" x14ac:dyDescent="0.35">
      <c r="O131" s="1236"/>
      <c r="P131" s="643"/>
      <c r="CZ131" s="241"/>
      <c r="DA131" s="1496"/>
      <c r="DB131" s="1487"/>
      <c r="DC131" s="241"/>
      <c r="DD131" s="241"/>
      <c r="DR131" s="241" t="s">
        <v>137</v>
      </c>
      <c r="DS131" s="273">
        <f>($G$122/$K$122)*DS$121</f>
        <v>2.6204400000000003</v>
      </c>
      <c r="DT131" s="273">
        <f t="shared" ref="DT131:FW131" si="133">($G$122/$K$122)*DT$121</f>
        <v>3.0103093333333337</v>
      </c>
      <c r="DU131" s="273">
        <f t="shared" si="133"/>
        <v>1.0554726666666665</v>
      </c>
      <c r="DV131" s="1323">
        <f t="shared" si="133"/>
        <v>1.1049750000000003</v>
      </c>
      <c r="DW131" s="1324">
        <f t="shared" si="133"/>
        <v>1.6317572173913044</v>
      </c>
      <c r="DX131" s="273">
        <f t="shared" si="133"/>
        <v>1.6706933333333336</v>
      </c>
      <c r="DY131" s="273">
        <f t="shared" si="133"/>
        <v>1.6604942608695652</v>
      </c>
      <c r="DZ131" s="273">
        <f t="shared" si="133"/>
        <v>1.6813306666666668</v>
      </c>
      <c r="EA131" s="273">
        <f t="shared" si="133"/>
        <v>1.6133186666666668</v>
      </c>
      <c r="EB131" s="273">
        <f t="shared" si="133"/>
        <v>1.6067093333333338</v>
      </c>
      <c r="EC131" s="273">
        <f t="shared" si="133"/>
        <v>1.718496</v>
      </c>
      <c r="ED131" s="273">
        <f t="shared" si="133"/>
        <v>1.6895760000000004</v>
      </c>
      <c r="EE131" s="1323">
        <f t="shared" si="133"/>
        <v>1.7056500000000001</v>
      </c>
      <c r="EF131" s="1324">
        <f t="shared" si="133"/>
        <v>0</v>
      </c>
      <c r="EG131" s="273">
        <f t="shared" si="133"/>
        <v>0</v>
      </c>
      <c r="EH131" s="273">
        <f t="shared" si="133"/>
        <v>0</v>
      </c>
      <c r="EI131" s="272"/>
      <c r="EJ131" s="272"/>
      <c r="EK131" s="1557"/>
      <c r="EL131" s="1540"/>
      <c r="EM131" s="272"/>
      <c r="EN131" s="272"/>
      <c r="EO131" s="272"/>
      <c r="EP131" s="272"/>
      <c r="EQ131" s="272"/>
      <c r="ER131" s="272"/>
      <c r="ES131" s="272"/>
      <c r="ET131" s="272"/>
      <c r="EU131" s="342"/>
      <c r="EV131" s="272">
        <f>($G$122/$K$122)*EV$121</f>
        <v>6.482400000000002E-2</v>
      </c>
      <c r="EW131" s="272">
        <f t="shared" si="133"/>
        <v>2.5731999999999994E-2</v>
      </c>
      <c r="EX131" s="272">
        <f t="shared" si="133"/>
        <v>4.6000000000000008E-3</v>
      </c>
      <c r="EY131" s="1557">
        <f>($G$122/$K$122)*EY$121</f>
        <v>2.2250000000000004E-3</v>
      </c>
      <c r="EZ131" s="1540">
        <f t="shared" si="133"/>
        <v>5.1386434782608695E-2</v>
      </c>
      <c r="FA131" s="272">
        <f t="shared" si="133"/>
        <v>0.14591666666666669</v>
      </c>
      <c r="FB131" s="272">
        <f t="shared" si="133"/>
        <v>0.15303811764705882</v>
      </c>
      <c r="FC131" s="272">
        <f t="shared" si="133"/>
        <v>4.6915000000000012E-2</v>
      </c>
      <c r="FD131" s="272">
        <f t="shared" si="133"/>
        <v>9.2129333333333355E-2</v>
      </c>
      <c r="FE131" s="272">
        <f t="shared" si="133"/>
        <v>7.2381333333333339E-2</v>
      </c>
      <c r="FF131" s="272">
        <f t="shared" si="133"/>
        <v>2.3900000000000001E-2</v>
      </c>
      <c r="FG131" s="272">
        <f t="shared" si="133"/>
        <v>3.4050666666666674E-2</v>
      </c>
      <c r="FH131" s="1557">
        <f t="shared" si="133"/>
        <v>9.6502000000000032E-2</v>
      </c>
      <c r="FI131" s="1540">
        <f t="shared" si="133"/>
        <v>0</v>
      </c>
      <c r="FJ131" s="272">
        <f t="shared" si="133"/>
        <v>0</v>
      </c>
      <c r="FK131" s="272">
        <f t="shared" si="133"/>
        <v>0</v>
      </c>
      <c r="FL131" s="272">
        <f t="shared" si="133"/>
        <v>0</v>
      </c>
      <c r="FM131" s="272">
        <f t="shared" si="133"/>
        <v>0</v>
      </c>
      <c r="FN131" s="1557">
        <f t="shared" si="133"/>
        <v>0</v>
      </c>
      <c r="FO131" s="1540">
        <f t="shared" si="133"/>
        <v>0</v>
      </c>
      <c r="FP131" s="272">
        <f t="shared" si="133"/>
        <v>0</v>
      </c>
      <c r="FQ131" s="272">
        <f t="shared" si="133"/>
        <v>0</v>
      </c>
      <c r="FR131" s="272">
        <f t="shared" si="133"/>
        <v>0</v>
      </c>
      <c r="FS131" s="272">
        <f t="shared" si="133"/>
        <v>0</v>
      </c>
      <c r="FT131" s="272">
        <f t="shared" si="133"/>
        <v>0</v>
      </c>
      <c r="FU131" s="272">
        <f t="shared" si="133"/>
        <v>0</v>
      </c>
      <c r="FV131" s="272">
        <f t="shared" si="133"/>
        <v>0</v>
      </c>
      <c r="FW131" s="272">
        <f t="shared" si="133"/>
        <v>0</v>
      </c>
      <c r="FX131" s="1" t="s">
        <v>137</v>
      </c>
    </row>
    <row r="132" spans="3:180" x14ac:dyDescent="0.35">
      <c r="O132" s="1236"/>
      <c r="P132" s="643"/>
      <c r="CZ132" s="241"/>
      <c r="DA132" s="1496"/>
      <c r="DB132" s="1487"/>
      <c r="DC132" s="241"/>
      <c r="DD132" s="241"/>
      <c r="DR132" s="241" t="s">
        <v>138</v>
      </c>
      <c r="DS132" s="273">
        <f>($G$123/$K$123)*DS$122</f>
        <v>2.1973909090909092</v>
      </c>
      <c r="DT132" s="273">
        <f t="shared" ref="DT132:FW132" si="134">($G$123/$K$123)*DT$122</f>
        <v>2.3694763636363638</v>
      </c>
      <c r="DU132" s="273">
        <f t="shared" si="134"/>
        <v>0.88759363636363642</v>
      </c>
      <c r="DV132" s="1323">
        <f t="shared" si="134"/>
        <v>0.93253193181818206</v>
      </c>
      <c r="DW132" s="1324">
        <f t="shared" si="134"/>
        <v>1.3274373913043478</v>
      </c>
      <c r="DX132" s="273">
        <f t="shared" si="134"/>
        <v>1.3603636363636364</v>
      </c>
      <c r="DY132" s="273">
        <f t="shared" si="134"/>
        <v>1.3321170355731224</v>
      </c>
      <c r="DZ132" s="273">
        <f t="shared" si="134"/>
        <v>1.3689443181818184</v>
      </c>
      <c r="EA132" s="273">
        <f t="shared" si="134"/>
        <v>1.31356875</v>
      </c>
      <c r="EB132" s="273">
        <f t="shared" si="134"/>
        <v>1.3387418181818183</v>
      </c>
      <c r="EC132" s="273">
        <f t="shared" si="134"/>
        <v>1.4014472727272729</v>
      </c>
      <c r="ED132" s="273">
        <f t="shared" si="134"/>
        <v>1.3737150000000002</v>
      </c>
      <c r="EE132" s="1323">
        <f t="shared" si="134"/>
        <v>1.3700659090909091</v>
      </c>
      <c r="EF132" s="1324">
        <f t="shared" si="134"/>
        <v>0</v>
      </c>
      <c r="EG132" s="273">
        <f t="shared" si="134"/>
        <v>0</v>
      </c>
      <c r="EH132" s="273">
        <f t="shared" si="134"/>
        <v>0</v>
      </c>
      <c r="EI132" s="272"/>
      <c r="EJ132" s="272"/>
      <c r="EK132" s="1557"/>
      <c r="EL132" s="1540"/>
      <c r="EM132" s="272"/>
      <c r="EN132" s="272"/>
      <c r="EO132" s="272"/>
      <c r="EP132" s="272"/>
      <c r="EQ132" s="272"/>
      <c r="ER132" s="272"/>
      <c r="ES132" s="272"/>
      <c r="ET132" s="272"/>
      <c r="EU132" s="342"/>
      <c r="EV132" s="272">
        <f t="shared" si="134"/>
        <v>4.837909090909092E-2</v>
      </c>
      <c r="EW132" s="272">
        <f t="shared" si="134"/>
        <v>4.8247499999999992E-2</v>
      </c>
      <c r="EX132" s="272">
        <f t="shared" si="134"/>
        <v>8.6250000000000007E-3</v>
      </c>
      <c r="EY132" s="1557">
        <f t="shared" si="134"/>
        <v>3.7926136363636369E-3</v>
      </c>
      <c r="EZ132" s="1540">
        <f t="shared" si="134"/>
        <v>9.1970039525691716E-2</v>
      </c>
      <c r="FA132" s="272">
        <f t="shared" si="134"/>
        <v>0.23701704545454549</v>
      </c>
      <c r="FB132" s="272">
        <f t="shared" si="134"/>
        <v>0.26086042780748664</v>
      </c>
      <c r="FC132" s="272">
        <f t="shared" si="134"/>
        <v>9.596250000000002E-2</v>
      </c>
      <c r="FD132" s="272">
        <f t="shared" si="134"/>
        <v>0.15143011363636366</v>
      </c>
      <c r="FE132" s="272">
        <f t="shared" si="134"/>
        <v>0.1295461363636364</v>
      </c>
      <c r="FF132" s="272">
        <f t="shared" si="134"/>
        <v>4.0738636363636373E-2</v>
      </c>
      <c r="FG132" s="272">
        <f t="shared" si="134"/>
        <v>5.2236818181818183E-2</v>
      </c>
      <c r="FH132" s="1557">
        <f t="shared" si="134"/>
        <v>0.18329113636363639</v>
      </c>
      <c r="FI132" s="1540">
        <f t="shared" si="134"/>
        <v>0</v>
      </c>
      <c r="FJ132" s="272">
        <f t="shared" si="134"/>
        <v>0</v>
      </c>
      <c r="FK132" s="272">
        <f t="shared" si="134"/>
        <v>0</v>
      </c>
      <c r="FL132" s="272">
        <f t="shared" si="134"/>
        <v>0</v>
      </c>
      <c r="FM132" s="272">
        <f t="shared" si="134"/>
        <v>0</v>
      </c>
      <c r="FN132" s="1557">
        <f t="shared" si="134"/>
        <v>0</v>
      </c>
      <c r="FO132" s="1540">
        <f t="shared" si="134"/>
        <v>0</v>
      </c>
      <c r="FP132" s="272">
        <f t="shared" si="134"/>
        <v>0</v>
      </c>
      <c r="FQ132" s="272">
        <f t="shared" si="134"/>
        <v>0</v>
      </c>
      <c r="FR132" s="272">
        <f t="shared" si="134"/>
        <v>0</v>
      </c>
      <c r="FS132" s="272">
        <f t="shared" si="134"/>
        <v>0</v>
      </c>
      <c r="FT132" s="272">
        <f t="shared" si="134"/>
        <v>0</v>
      </c>
      <c r="FU132" s="272">
        <f t="shared" si="134"/>
        <v>0</v>
      </c>
      <c r="FV132" s="272">
        <f t="shared" si="134"/>
        <v>0</v>
      </c>
      <c r="FW132" s="272">
        <f t="shared" si="134"/>
        <v>0</v>
      </c>
      <c r="FX132" s="1" t="s">
        <v>138</v>
      </c>
    </row>
    <row r="133" spans="3:180" x14ac:dyDescent="0.35">
      <c r="O133" s="1236"/>
      <c r="P133" s="643"/>
      <c r="CZ133" s="241"/>
      <c r="DA133" s="1496"/>
      <c r="DB133" s="1487"/>
      <c r="DC133" s="241"/>
      <c r="DD133" s="241"/>
      <c r="DR133" s="241" t="s">
        <v>139</v>
      </c>
      <c r="DS133" s="273">
        <f>($G$124/$K$124)*DS$123</f>
        <v>2.5186551724137929</v>
      </c>
      <c r="DT133" s="273">
        <f t="shared" ref="DT133:FW133" si="135">($G$124/$K$124)*DT$123</f>
        <v>2.5444910344827587</v>
      </c>
      <c r="DU133" s="273">
        <f t="shared" si="135"/>
        <v>0.90960896551724135</v>
      </c>
      <c r="DV133" s="1323">
        <f t="shared" si="135"/>
        <v>0.95171793103448288</v>
      </c>
      <c r="DW133" s="1324">
        <f t="shared" si="135"/>
        <v>1.2779460269865066</v>
      </c>
      <c r="DX133" s="273">
        <f t="shared" si="135"/>
        <v>1.3214344827586209</v>
      </c>
      <c r="DY133" s="273">
        <f t="shared" si="135"/>
        <v>1.3486798200899548</v>
      </c>
      <c r="DZ133" s="273">
        <f t="shared" si="135"/>
        <v>1.3683889655172412</v>
      </c>
      <c r="EA133" s="273">
        <f t="shared" si="135"/>
        <v>1.3130358620689657</v>
      </c>
      <c r="EB133" s="273">
        <f t="shared" si="135"/>
        <v>1.4202151724137932</v>
      </c>
      <c r="EC133" s="273">
        <f t="shared" si="135"/>
        <v>1.4111006896551721</v>
      </c>
      <c r="ED133" s="273">
        <f t="shared" si="135"/>
        <v>1.389504827586207</v>
      </c>
      <c r="EE133" s="1323">
        <f t="shared" si="135"/>
        <v>1.3832379310344829</v>
      </c>
      <c r="EF133" s="1324">
        <f t="shared" si="135"/>
        <v>0</v>
      </c>
      <c r="EG133" s="273">
        <f t="shared" si="135"/>
        <v>0</v>
      </c>
      <c r="EH133" s="273">
        <f t="shared" si="135"/>
        <v>0</v>
      </c>
      <c r="EI133" s="272"/>
      <c r="EJ133" s="272"/>
      <c r="EK133" s="1557"/>
      <c r="EL133" s="1540"/>
      <c r="EM133" s="272"/>
      <c r="EN133" s="272"/>
      <c r="EO133" s="272"/>
      <c r="EP133" s="272"/>
      <c r="EQ133" s="272"/>
      <c r="ER133" s="272"/>
      <c r="ES133" s="272"/>
      <c r="ET133" s="272"/>
      <c r="EU133" s="342"/>
      <c r="EV133" s="272">
        <f t="shared" si="135"/>
        <v>0.10693241379310346</v>
      </c>
      <c r="EW133" s="272">
        <f t="shared" si="135"/>
        <v>7.0984827586206875E-2</v>
      </c>
      <c r="EX133" s="272">
        <f t="shared" si="135"/>
        <v>1.2689655172413794E-2</v>
      </c>
      <c r="EY133" s="1557">
        <f t="shared" si="135"/>
        <v>6.1379310344827588E-3</v>
      </c>
      <c r="EZ133" s="1540">
        <f t="shared" si="135"/>
        <v>0.1594751424287856</v>
      </c>
      <c r="FA133" s="272">
        <f t="shared" si="135"/>
        <v>0.36405172413793108</v>
      </c>
      <c r="FB133" s="272">
        <f t="shared" si="135"/>
        <v>0.39578823529411766</v>
      </c>
      <c r="FC133" s="272">
        <f t="shared" si="135"/>
        <v>0.23295724137931037</v>
      </c>
      <c r="FD133" s="272">
        <f t="shared" si="135"/>
        <v>0.25868827586206899</v>
      </c>
      <c r="FE133" s="272">
        <f t="shared" si="135"/>
        <v>0.26207034482758623</v>
      </c>
      <c r="FF133" s="272">
        <f t="shared" si="135"/>
        <v>7.4172413793103437E-2</v>
      </c>
      <c r="FG133" s="272">
        <f t="shared" si="135"/>
        <v>0.13209310344827588</v>
      </c>
      <c r="FH133" s="1557">
        <f t="shared" si="135"/>
        <v>0.33514241379310344</v>
      </c>
      <c r="FI133" s="1540">
        <f t="shared" si="135"/>
        <v>0</v>
      </c>
      <c r="FJ133" s="272">
        <f t="shared" si="135"/>
        <v>0</v>
      </c>
      <c r="FK133" s="272">
        <f t="shared" si="135"/>
        <v>0</v>
      </c>
      <c r="FL133" s="272">
        <f t="shared" si="135"/>
        <v>0</v>
      </c>
      <c r="FM133" s="272">
        <f t="shared" si="135"/>
        <v>0</v>
      </c>
      <c r="FN133" s="1557">
        <f t="shared" si="135"/>
        <v>0</v>
      </c>
      <c r="FO133" s="1540">
        <f t="shared" si="135"/>
        <v>0</v>
      </c>
      <c r="FP133" s="272">
        <f t="shared" si="135"/>
        <v>0</v>
      </c>
      <c r="FQ133" s="272">
        <f t="shared" si="135"/>
        <v>0</v>
      </c>
      <c r="FR133" s="272">
        <f t="shared" si="135"/>
        <v>0</v>
      </c>
      <c r="FS133" s="272">
        <f t="shared" si="135"/>
        <v>0</v>
      </c>
      <c r="FT133" s="272">
        <f t="shared" si="135"/>
        <v>0</v>
      </c>
      <c r="FU133" s="272">
        <f t="shared" si="135"/>
        <v>0</v>
      </c>
      <c r="FV133" s="272">
        <f t="shared" si="135"/>
        <v>0</v>
      </c>
      <c r="FW133" s="272">
        <f t="shared" si="135"/>
        <v>0</v>
      </c>
      <c r="FX133" s="1" t="s">
        <v>139</v>
      </c>
    </row>
    <row r="134" spans="3:180" x14ac:dyDescent="0.35">
      <c r="O134" s="1236"/>
      <c r="P134" s="643"/>
      <c r="CZ134" s="241"/>
      <c r="DA134" s="1496"/>
      <c r="DB134" s="1487"/>
      <c r="DC134" s="241"/>
      <c r="DD134" s="241"/>
      <c r="DR134" s="241" t="s">
        <v>140</v>
      </c>
      <c r="DS134" s="273">
        <f>($G$125/$K$125)*DS$124</f>
        <v>3.0590625</v>
      </c>
      <c r="DT134" s="273">
        <f t="shared" ref="DT134:FW134" si="136">($G$125/$K$125)*DT$124</f>
        <v>2.8218944444444447</v>
      </c>
      <c r="DU134" s="273">
        <f t="shared" si="136"/>
        <v>0.7256034722222221</v>
      </c>
      <c r="DV134" s="1323">
        <f t="shared" si="136"/>
        <v>0.75199687500000023</v>
      </c>
      <c r="DW134" s="1324">
        <f t="shared" si="136"/>
        <v>0.81441449275362321</v>
      </c>
      <c r="DX134" s="273">
        <f t="shared" si="136"/>
        <v>0.87791666666666657</v>
      </c>
      <c r="DY134" s="273">
        <f t="shared" si="136"/>
        <v>0.92845978260869566</v>
      </c>
      <c r="DZ134" s="273">
        <f t="shared" si="136"/>
        <v>0.90976180555555552</v>
      </c>
      <c r="EA134" s="273">
        <f t="shared" si="136"/>
        <v>0.87296076388888888</v>
      </c>
      <c r="EB134" s="273">
        <f t="shared" si="136"/>
        <v>0.99816666666666687</v>
      </c>
      <c r="EC134" s="273">
        <f t="shared" si="136"/>
        <v>0.94380000000000008</v>
      </c>
      <c r="ED134" s="273">
        <f t="shared" si="136"/>
        <v>0.93969166666666681</v>
      </c>
      <c r="EE134" s="1323">
        <f t="shared" si="136"/>
        <v>0.92726562499999998</v>
      </c>
      <c r="EF134" s="1324">
        <f t="shared" si="136"/>
        <v>0</v>
      </c>
      <c r="EG134" s="273">
        <f t="shared" si="136"/>
        <v>0</v>
      </c>
      <c r="EH134" s="273">
        <f t="shared" si="136"/>
        <v>0</v>
      </c>
      <c r="EI134" s="272"/>
      <c r="EJ134" s="272"/>
      <c r="EK134" s="1557"/>
      <c r="EL134" s="1540"/>
      <c r="EM134" s="272"/>
      <c r="EN134" s="272"/>
      <c r="EO134" s="272"/>
      <c r="EP134" s="272"/>
      <c r="EQ134" s="272"/>
      <c r="ER134" s="272"/>
      <c r="ES134" s="272"/>
      <c r="ET134" s="272"/>
      <c r="EU134" s="342"/>
      <c r="EV134" s="272">
        <f t="shared" si="136"/>
        <v>0.13413750000000002</v>
      </c>
      <c r="EW134" s="272">
        <f t="shared" si="136"/>
        <v>7.5945138888888888E-2</v>
      </c>
      <c r="EX134" s="272">
        <f t="shared" si="136"/>
        <v>1.3576388888888891E-2</v>
      </c>
      <c r="EY134" s="1557">
        <f t="shared" si="136"/>
        <v>8.4982638888888885E-3</v>
      </c>
      <c r="EZ134" s="1540">
        <f t="shared" si="136"/>
        <v>0.27432862318840578</v>
      </c>
      <c r="FA134" s="272">
        <f t="shared" si="136"/>
        <v>0.41128472222222229</v>
      </c>
      <c r="FB134" s="272">
        <f t="shared" si="136"/>
        <v>0.44281862745098044</v>
      </c>
      <c r="FC134" s="272">
        <f t="shared" si="136"/>
        <v>0.49847187500000001</v>
      </c>
      <c r="FD134" s="272">
        <f t="shared" si="136"/>
        <v>0.37358993055555556</v>
      </c>
      <c r="FE134" s="272">
        <f t="shared" si="136"/>
        <v>0.45238333333333336</v>
      </c>
      <c r="FF134" s="272">
        <f t="shared" si="136"/>
        <v>0.16597222222222224</v>
      </c>
      <c r="FG134" s="272">
        <f t="shared" si="136"/>
        <v>0.27488819444444446</v>
      </c>
      <c r="FH134" s="1557">
        <f t="shared" si="136"/>
        <v>0.48825416666666677</v>
      </c>
      <c r="FI134" s="1540">
        <f t="shared" si="136"/>
        <v>0</v>
      </c>
      <c r="FJ134" s="272">
        <f t="shared" si="136"/>
        <v>0</v>
      </c>
      <c r="FK134" s="272">
        <f t="shared" si="136"/>
        <v>0</v>
      </c>
      <c r="FL134" s="272">
        <f t="shared" si="136"/>
        <v>0</v>
      </c>
      <c r="FM134" s="272">
        <f t="shared" si="136"/>
        <v>0</v>
      </c>
      <c r="FN134" s="1557">
        <f t="shared" si="136"/>
        <v>0</v>
      </c>
      <c r="FO134" s="1540">
        <f t="shared" si="136"/>
        <v>0</v>
      </c>
      <c r="FP134" s="272">
        <f t="shared" si="136"/>
        <v>0</v>
      </c>
      <c r="FQ134" s="272">
        <f t="shared" si="136"/>
        <v>0</v>
      </c>
      <c r="FR134" s="272">
        <f t="shared" si="136"/>
        <v>0</v>
      </c>
      <c r="FS134" s="272">
        <f t="shared" si="136"/>
        <v>0</v>
      </c>
      <c r="FT134" s="272">
        <f t="shared" si="136"/>
        <v>0</v>
      </c>
      <c r="FU134" s="272">
        <f t="shared" si="136"/>
        <v>0</v>
      </c>
      <c r="FV134" s="272">
        <f t="shared" si="136"/>
        <v>0</v>
      </c>
      <c r="FW134" s="272">
        <f t="shared" si="136"/>
        <v>0</v>
      </c>
      <c r="FX134" s="1" t="s">
        <v>140</v>
      </c>
    </row>
    <row r="135" spans="3:180" x14ac:dyDescent="0.35">
      <c r="O135" s="1236"/>
      <c r="P135" s="643"/>
      <c r="BP135" s="1470"/>
      <c r="CP135" s="240"/>
      <c r="CQ135" s="240"/>
      <c r="CR135" s="1482"/>
      <c r="CS135" s="1470"/>
      <c r="CZ135" s="241"/>
      <c r="DA135" s="1496"/>
      <c r="DB135" s="1487"/>
      <c r="DC135" s="241"/>
      <c r="DD135" s="241"/>
      <c r="DR135" s="241" t="s">
        <v>141</v>
      </c>
      <c r="DS135" s="273">
        <f>($G$126/$K$126)*DS$125</f>
        <v>1.6338348837209302</v>
      </c>
      <c r="DT135" s="273">
        <f t="shared" ref="DT135:FW135" si="137">($G$126/$K$126)*DT$125</f>
        <v>1.187826976744186</v>
      </c>
      <c r="DU135" s="273">
        <f t="shared" si="137"/>
        <v>0.52240604651162792</v>
      </c>
      <c r="DV135" s="1323">
        <f t="shared" si="137"/>
        <v>0.52593383720930242</v>
      </c>
      <c r="DW135" s="1324">
        <f t="shared" si="137"/>
        <v>0.35049403437815979</v>
      </c>
      <c r="DX135" s="273">
        <f t="shared" si="137"/>
        <v>0.42360000000000003</v>
      </c>
      <c r="DY135" s="273">
        <f t="shared" si="137"/>
        <v>0.46195935288169865</v>
      </c>
      <c r="DZ135" s="273">
        <f t="shared" si="137"/>
        <v>0.45382744186046509</v>
      </c>
      <c r="EA135" s="273">
        <f t="shared" si="137"/>
        <v>0.43546953488372103</v>
      </c>
      <c r="EB135" s="273">
        <f t="shared" si="137"/>
        <v>0.47806883720930238</v>
      </c>
      <c r="EC135" s="273">
        <f t="shared" si="137"/>
        <v>0.49499162790697676</v>
      </c>
      <c r="ED135" s="273">
        <f t="shared" si="137"/>
        <v>0.49419837209302325</v>
      </c>
      <c r="EE135" s="1323">
        <f t="shared" si="137"/>
        <v>0.48337848837209302</v>
      </c>
      <c r="EF135" s="1324">
        <f t="shared" si="137"/>
        <v>0</v>
      </c>
      <c r="EG135" s="273">
        <f t="shared" si="137"/>
        <v>0</v>
      </c>
      <c r="EH135" s="273">
        <f t="shared" si="137"/>
        <v>0</v>
      </c>
      <c r="EI135" s="272"/>
      <c r="EJ135" s="272"/>
      <c r="EK135" s="1557"/>
      <c r="EL135" s="1540"/>
      <c r="EM135" s="272"/>
      <c r="EN135" s="272"/>
      <c r="EO135" s="272"/>
      <c r="EP135" s="272"/>
      <c r="EQ135" s="272"/>
      <c r="ER135" s="272"/>
      <c r="ES135" s="272"/>
      <c r="ET135" s="272"/>
      <c r="EU135" s="342"/>
      <c r="EV135" s="272">
        <f t="shared" si="137"/>
        <v>8.6173953488372104E-2</v>
      </c>
      <c r="EW135" s="272">
        <f t="shared" si="137"/>
        <v>4.9369534883720922E-2</v>
      </c>
      <c r="EX135" s="272">
        <f t="shared" si="137"/>
        <v>8.8255813953488377E-3</v>
      </c>
      <c r="EY135" s="1557">
        <f t="shared" si="137"/>
        <v>9.3139534883720943E-3</v>
      </c>
      <c r="EZ135" s="1540">
        <f t="shared" si="137"/>
        <v>0.32938107178968651</v>
      </c>
      <c r="FA135" s="272">
        <f t="shared" si="137"/>
        <v>0.3503197674418605</v>
      </c>
      <c r="FB135" s="272">
        <f t="shared" si="137"/>
        <v>0.33810746922024626</v>
      </c>
      <c r="FC135" s="272">
        <f t="shared" si="137"/>
        <v>0.67753988372093032</v>
      </c>
      <c r="FD135" s="272">
        <f t="shared" si="137"/>
        <v>0.40287453488372094</v>
      </c>
      <c r="FE135" s="272">
        <f t="shared" si="137"/>
        <v>0.47342441860465129</v>
      </c>
      <c r="FF135" s="272">
        <f t="shared" si="137"/>
        <v>0.33348837209302329</v>
      </c>
      <c r="FG135" s="272">
        <f t="shared" si="137"/>
        <v>0.42761302325581396</v>
      </c>
      <c r="FH135" s="1557">
        <f t="shared" si="137"/>
        <v>0.49773872093023258</v>
      </c>
      <c r="FI135" s="1540">
        <f t="shared" si="137"/>
        <v>0</v>
      </c>
      <c r="FJ135" s="272">
        <f t="shared" si="137"/>
        <v>0</v>
      </c>
      <c r="FK135" s="272">
        <f t="shared" si="137"/>
        <v>0</v>
      </c>
      <c r="FL135" s="272">
        <f t="shared" si="137"/>
        <v>0</v>
      </c>
      <c r="FM135" s="272">
        <f t="shared" si="137"/>
        <v>0</v>
      </c>
      <c r="FN135" s="1557">
        <f t="shared" si="137"/>
        <v>0</v>
      </c>
      <c r="FO135" s="1540">
        <f t="shared" si="137"/>
        <v>0</v>
      </c>
      <c r="FP135" s="272">
        <f t="shared" si="137"/>
        <v>0</v>
      </c>
      <c r="FQ135" s="272">
        <f t="shared" si="137"/>
        <v>0</v>
      </c>
      <c r="FR135" s="272">
        <f t="shared" si="137"/>
        <v>0</v>
      </c>
      <c r="FS135" s="272">
        <f t="shared" si="137"/>
        <v>0</v>
      </c>
      <c r="FT135" s="272">
        <f t="shared" si="137"/>
        <v>0</v>
      </c>
      <c r="FU135" s="272">
        <f t="shared" si="137"/>
        <v>0</v>
      </c>
      <c r="FV135" s="272">
        <f t="shared" si="137"/>
        <v>0</v>
      </c>
      <c r="FW135" s="272">
        <f t="shared" si="137"/>
        <v>0</v>
      </c>
      <c r="FX135" s="1" t="s">
        <v>141</v>
      </c>
    </row>
    <row r="136" spans="3:180" x14ac:dyDescent="0.35">
      <c r="O136" s="1236"/>
      <c r="P136" s="643"/>
      <c r="BL136" s="273"/>
      <c r="BM136" s="273"/>
      <c r="BN136" s="273"/>
      <c r="BO136" s="1323"/>
      <c r="BP136" s="1324"/>
      <c r="BQ136" s="273"/>
      <c r="BR136" s="273"/>
      <c r="BS136" s="273"/>
      <c r="BT136" s="273"/>
      <c r="BU136" s="273"/>
      <c r="BV136" s="273"/>
      <c r="BW136" s="273"/>
      <c r="BX136" s="1323"/>
      <c r="BY136" s="1324"/>
      <c r="BZ136" s="273"/>
      <c r="CA136" s="273"/>
      <c r="CB136" s="273"/>
      <c r="CC136" s="273"/>
      <c r="CD136" s="1323"/>
      <c r="CE136" s="1324"/>
      <c r="CF136" s="273"/>
      <c r="CG136" s="273"/>
      <c r="CH136" s="273"/>
      <c r="CI136" s="273"/>
      <c r="CJ136" s="273"/>
      <c r="CK136" s="273"/>
      <c r="CL136" s="273"/>
      <c r="CM136" s="273"/>
      <c r="CO136" s="251"/>
      <c r="CP136" s="251"/>
      <c r="CQ136" s="251"/>
      <c r="CR136" s="1267"/>
      <c r="CS136" s="1212"/>
      <c r="CT136" s="251"/>
      <c r="CU136" s="251"/>
      <c r="CV136" s="251"/>
      <c r="CW136" s="251"/>
      <c r="CX136" s="251"/>
      <c r="CY136" s="251"/>
      <c r="CZ136" s="251"/>
      <c r="DA136" s="1267"/>
      <c r="DB136" s="1212"/>
      <c r="DC136" s="251"/>
      <c r="DD136" s="251"/>
      <c r="DR136" s="241" t="s">
        <v>407</v>
      </c>
      <c r="DS136" s="467">
        <f>($G$126/$K$126)*DS$126</f>
        <v>1.2450767441860464</v>
      </c>
      <c r="DT136" s="467">
        <f t="shared" ref="DT136:FW136" si="138">($G$126/$K$126)*DT$126</f>
        <v>2.2859553488372097</v>
      </c>
      <c r="DU136" s="467">
        <f t="shared" si="138"/>
        <v>0.50874837209302326</v>
      </c>
      <c r="DV136" s="1582">
        <f t="shared" si="138"/>
        <v>0.24326581395348842</v>
      </c>
      <c r="DW136" s="659">
        <f t="shared" si="138"/>
        <v>0.22638467138523763</v>
      </c>
      <c r="DX136" s="467">
        <f t="shared" si="138"/>
        <v>0.20520000000000002</v>
      </c>
      <c r="DY136" s="467">
        <f t="shared" si="138"/>
        <v>0.22275300303336701</v>
      </c>
      <c r="DZ136" s="467">
        <f t="shared" si="138"/>
        <v>0.14451488372093024</v>
      </c>
      <c r="EA136" s="467">
        <f t="shared" si="138"/>
        <v>0.13866906976744187</v>
      </c>
      <c r="EB136" s="467">
        <f t="shared" si="138"/>
        <v>0.35319069767441863</v>
      </c>
      <c r="EC136" s="467">
        <f t="shared" si="138"/>
        <v>0.38005953488372096</v>
      </c>
      <c r="ED136" s="467">
        <f t="shared" si="138"/>
        <v>0.42508883720930235</v>
      </c>
      <c r="EE136" s="1582">
        <f t="shared" si="138"/>
        <v>0.38305465116279069</v>
      </c>
      <c r="EF136" s="659">
        <f t="shared" si="138"/>
        <v>0</v>
      </c>
      <c r="EG136" s="467">
        <f t="shared" si="138"/>
        <v>0</v>
      </c>
      <c r="EH136" s="467">
        <f t="shared" si="138"/>
        <v>0</v>
      </c>
      <c r="EI136" s="274"/>
      <c r="EJ136" s="274"/>
      <c r="EK136" s="1558"/>
      <c r="EL136" s="1541"/>
      <c r="EM136" s="274"/>
      <c r="EN136" s="274"/>
      <c r="EO136" s="274"/>
      <c r="EP136" s="274"/>
      <c r="EQ136" s="274"/>
      <c r="ER136" s="274"/>
      <c r="ES136" s="274"/>
      <c r="ET136" s="274"/>
      <c r="EU136" s="343"/>
      <c r="EV136" s="274">
        <f t="shared" si="138"/>
        <v>3.8503255813953495E-2</v>
      </c>
      <c r="EW136" s="274">
        <f t="shared" si="138"/>
        <v>5.3857674418604638E-2</v>
      </c>
      <c r="EX136" s="274">
        <f t="shared" si="138"/>
        <v>9.6279069767441876E-3</v>
      </c>
      <c r="EY136" s="1558">
        <f t="shared" si="138"/>
        <v>3.2598837209302324E-2</v>
      </c>
      <c r="EZ136" s="1541">
        <f t="shared" si="138"/>
        <v>0.61842976744186051</v>
      </c>
      <c r="FA136" s="274">
        <f t="shared" si="138"/>
        <v>0.62877906976744191</v>
      </c>
      <c r="FB136" s="274">
        <f t="shared" si="138"/>
        <v>0.56054659370725035</v>
      </c>
      <c r="FC136" s="274">
        <f t="shared" si="138"/>
        <v>0.4418738372093024</v>
      </c>
      <c r="FD136" s="274">
        <f t="shared" si="138"/>
        <v>0.36155406976744198</v>
      </c>
      <c r="FE136" s="274">
        <f t="shared" si="138"/>
        <v>0.5018298837209304</v>
      </c>
      <c r="FF136" s="274">
        <f t="shared" si="138"/>
        <v>0.40018604651162792</v>
      </c>
      <c r="FG136" s="274">
        <f t="shared" si="138"/>
        <v>0.73050558139534894</v>
      </c>
      <c r="FH136" s="1558">
        <f t="shared" si="138"/>
        <v>0.67086523255813968</v>
      </c>
      <c r="FI136" s="1541">
        <f t="shared" si="138"/>
        <v>0</v>
      </c>
      <c r="FJ136" s="274">
        <f t="shared" si="138"/>
        <v>0</v>
      </c>
      <c r="FK136" s="274">
        <f t="shared" si="138"/>
        <v>0</v>
      </c>
      <c r="FL136" s="274">
        <f t="shared" si="138"/>
        <v>0</v>
      </c>
      <c r="FM136" s="274">
        <f t="shared" si="138"/>
        <v>0</v>
      </c>
      <c r="FN136" s="1558">
        <f t="shared" si="138"/>
        <v>0</v>
      </c>
      <c r="FO136" s="1541">
        <f t="shared" si="138"/>
        <v>0</v>
      </c>
      <c r="FP136" s="274">
        <f t="shared" si="138"/>
        <v>0</v>
      </c>
      <c r="FQ136" s="274">
        <f t="shared" si="138"/>
        <v>0</v>
      </c>
      <c r="FR136" s="274">
        <f t="shared" si="138"/>
        <v>0</v>
      </c>
      <c r="FS136" s="274">
        <f t="shared" si="138"/>
        <v>0</v>
      </c>
      <c r="FT136" s="274">
        <f t="shared" si="138"/>
        <v>0</v>
      </c>
      <c r="FU136" s="274">
        <f t="shared" si="138"/>
        <v>0</v>
      </c>
      <c r="FV136" s="274">
        <f t="shared" si="138"/>
        <v>0</v>
      </c>
      <c r="FW136" s="274">
        <f t="shared" si="138"/>
        <v>0</v>
      </c>
      <c r="FX136" s="1" t="s">
        <v>347</v>
      </c>
    </row>
    <row r="137" spans="3:180" x14ac:dyDescent="0.35">
      <c r="O137" s="1236"/>
      <c r="P137" s="643"/>
      <c r="BL137" s="273"/>
      <c r="BM137" s="273"/>
      <c r="BN137" s="273"/>
      <c r="BO137" s="1323"/>
      <c r="BP137" s="1324"/>
      <c r="BQ137" s="273"/>
      <c r="BR137" s="273"/>
      <c r="BS137" s="273"/>
      <c r="BT137" s="273"/>
      <c r="BU137" s="273"/>
      <c r="BV137" s="273"/>
      <c r="BW137" s="273"/>
      <c r="BX137" s="1323"/>
      <c r="BY137" s="1324"/>
      <c r="BZ137" s="273"/>
      <c r="CA137" s="273"/>
      <c r="CB137" s="273"/>
      <c r="CC137" s="273"/>
      <c r="CD137" s="1323"/>
      <c r="CE137" s="1324"/>
      <c r="CF137" s="273"/>
      <c r="CG137" s="273"/>
      <c r="CH137" s="273"/>
      <c r="CI137" s="273"/>
      <c r="CJ137" s="273"/>
      <c r="CK137" s="273"/>
      <c r="CL137" s="273"/>
      <c r="CM137" s="273"/>
      <c r="CO137" s="251"/>
      <c r="CP137" s="251"/>
      <c r="CQ137" s="251"/>
      <c r="CR137" s="1267"/>
      <c r="CS137" s="1212"/>
      <c r="CT137" s="251"/>
      <c r="CU137" s="251"/>
      <c r="CV137" s="251"/>
      <c r="CW137" s="251"/>
      <c r="CX137" s="251"/>
      <c r="CY137" s="251"/>
      <c r="CZ137" s="251"/>
      <c r="DA137" s="1267"/>
      <c r="DB137" s="1212"/>
      <c r="DC137" s="251"/>
      <c r="DD137" s="251"/>
      <c r="DR137" s="241"/>
      <c r="DS137" s="274"/>
      <c r="DT137" s="274"/>
      <c r="DU137" s="274"/>
      <c r="DV137" s="1558"/>
      <c r="DW137" s="1541"/>
      <c r="DX137" s="274"/>
      <c r="DY137" s="274"/>
      <c r="DZ137" s="274"/>
      <c r="EA137" s="274"/>
      <c r="EB137" s="274"/>
      <c r="EC137" s="274"/>
      <c r="ED137" s="274"/>
      <c r="EE137" s="1558"/>
      <c r="EF137" s="1541"/>
      <c r="EG137" s="274"/>
      <c r="EH137" s="274"/>
      <c r="EI137" s="274"/>
      <c r="EJ137" s="274"/>
      <c r="EK137" s="1558"/>
      <c r="EL137" s="1541"/>
      <c r="EM137" s="274"/>
      <c r="EN137" s="274"/>
      <c r="EO137" s="274"/>
      <c r="EP137" s="274"/>
      <c r="EQ137" s="274"/>
      <c r="ER137" s="274"/>
      <c r="ES137" s="274"/>
      <c r="ET137" s="274"/>
      <c r="EU137" s="343"/>
      <c r="EV137" s="274"/>
      <c r="EW137" s="274"/>
      <c r="EX137" s="274"/>
      <c r="EY137" s="1558"/>
      <c r="EZ137" s="1541"/>
      <c r="FA137" s="274"/>
      <c r="FB137" s="274"/>
      <c r="FC137" s="274"/>
      <c r="FD137" s="274"/>
      <c r="FE137" s="274"/>
      <c r="FF137" s="274"/>
      <c r="FG137" s="274"/>
      <c r="FH137" s="1558"/>
      <c r="FI137" s="1541"/>
      <c r="FJ137" s="274"/>
      <c r="FK137" s="274"/>
      <c r="FL137" s="274"/>
      <c r="FM137" s="274"/>
      <c r="FN137" s="1558"/>
      <c r="FO137" s="1541"/>
      <c r="FP137" s="274"/>
      <c r="FQ137" s="274"/>
      <c r="FR137" s="274"/>
      <c r="FS137" s="274"/>
      <c r="FT137" s="274"/>
      <c r="FU137" s="274"/>
      <c r="FV137" s="274"/>
      <c r="FW137" s="274"/>
    </row>
    <row r="138" spans="3:180" x14ac:dyDescent="0.35">
      <c r="O138" s="1236"/>
      <c r="P138" s="643"/>
      <c r="CZ138" s="241"/>
      <c r="DA138" s="1496"/>
      <c r="DB138" s="1487"/>
      <c r="DC138" s="241"/>
      <c r="DD138" s="241"/>
      <c r="DR138" s="241" t="s">
        <v>369</v>
      </c>
      <c r="DS138" s="251">
        <f>DS$121-DS$131</f>
        <v>0.65510999999999964</v>
      </c>
      <c r="DT138" s="251">
        <f t="shared" ref="DT138:FW138" si="139">DT$121-DT$131</f>
        <v>0.75257733333333343</v>
      </c>
      <c r="DU138" s="251">
        <f t="shared" si="139"/>
        <v>0.26386816666666668</v>
      </c>
      <c r="DV138" s="1267">
        <f t="shared" si="139"/>
        <v>0.2762437499999999</v>
      </c>
      <c r="DW138" s="1212">
        <f t="shared" si="139"/>
        <v>0.40793930434782588</v>
      </c>
      <c r="DX138" s="251">
        <f t="shared" si="139"/>
        <v>0.41767333333333334</v>
      </c>
      <c r="DY138" s="251">
        <f t="shared" si="139"/>
        <v>0.41512356521739124</v>
      </c>
      <c r="DZ138" s="251">
        <f t="shared" si="139"/>
        <v>0.42033266666666647</v>
      </c>
      <c r="EA138" s="251">
        <f t="shared" si="139"/>
        <v>0.40332966666666659</v>
      </c>
      <c r="EB138" s="251">
        <f t="shared" si="139"/>
        <v>0.40167733333333322</v>
      </c>
      <c r="EC138" s="251">
        <f t="shared" si="139"/>
        <v>0.42962400000000001</v>
      </c>
      <c r="ED138" s="251">
        <f t="shared" si="139"/>
        <v>0.42239399999999994</v>
      </c>
      <c r="EE138" s="1267">
        <f t="shared" si="139"/>
        <v>0.42641249999999986</v>
      </c>
      <c r="EF138" s="1212">
        <f t="shared" si="139"/>
        <v>0</v>
      </c>
      <c r="EG138" s="251">
        <f t="shared" si="139"/>
        <v>0</v>
      </c>
      <c r="EH138" s="251">
        <f t="shared" si="139"/>
        <v>0</v>
      </c>
      <c r="EI138" s="270"/>
      <c r="EJ138" s="270"/>
      <c r="EK138" s="1283"/>
      <c r="EL138" s="1224"/>
      <c r="EM138" s="270"/>
      <c r="EN138" s="270"/>
      <c r="EO138" s="270"/>
      <c r="EP138" s="270"/>
      <c r="EQ138" s="270"/>
      <c r="ER138" s="270"/>
      <c r="ES138" s="270"/>
      <c r="ET138" s="270"/>
      <c r="EU138" s="341"/>
      <c r="EV138" s="270">
        <f>EV$121-EV$131</f>
        <v>1.6205999999999998E-2</v>
      </c>
      <c r="EW138" s="270">
        <f t="shared" si="139"/>
        <v>6.4329999999999977E-3</v>
      </c>
      <c r="EX138" s="270">
        <f t="shared" si="139"/>
        <v>1.15E-3</v>
      </c>
      <c r="EY138" s="1283">
        <f t="shared" si="139"/>
        <v>5.5624999999999989E-4</v>
      </c>
      <c r="EZ138" s="1224">
        <f t="shared" si="139"/>
        <v>1.284660869565217E-2</v>
      </c>
      <c r="FA138" s="270">
        <f t="shared" si="139"/>
        <v>3.6479166666666674E-2</v>
      </c>
      <c r="FB138" s="270">
        <f t="shared" si="139"/>
        <v>3.8259529411764692E-2</v>
      </c>
      <c r="FC138" s="270">
        <f t="shared" si="139"/>
        <v>1.1728749999999996E-2</v>
      </c>
      <c r="FD138" s="270">
        <f t="shared" si="139"/>
        <v>2.3032333333333335E-2</v>
      </c>
      <c r="FE138" s="270">
        <f t="shared" si="139"/>
        <v>1.8095333333333338E-2</v>
      </c>
      <c r="FF138" s="270">
        <f t="shared" si="139"/>
        <v>5.9749999999999977E-3</v>
      </c>
      <c r="FG138" s="270">
        <f t="shared" si="139"/>
        <v>8.5126666666666684E-3</v>
      </c>
      <c r="FH138" s="1283">
        <f t="shared" si="139"/>
        <v>2.4125499999999994E-2</v>
      </c>
      <c r="FI138" s="1224">
        <f t="shared" si="139"/>
        <v>0</v>
      </c>
      <c r="FJ138" s="270">
        <f t="shared" si="139"/>
        <v>0</v>
      </c>
      <c r="FK138" s="270">
        <f t="shared" si="139"/>
        <v>0</v>
      </c>
      <c r="FL138" s="270">
        <f t="shared" si="139"/>
        <v>0</v>
      </c>
      <c r="FM138" s="270">
        <f t="shared" si="139"/>
        <v>0</v>
      </c>
      <c r="FN138" s="1283">
        <f t="shared" si="139"/>
        <v>0</v>
      </c>
      <c r="FO138" s="1224">
        <f>FO$121-FO$131</f>
        <v>0</v>
      </c>
      <c r="FP138" s="270">
        <f t="shared" si="139"/>
        <v>0</v>
      </c>
      <c r="FQ138" s="270">
        <f t="shared" si="139"/>
        <v>0</v>
      </c>
      <c r="FR138" s="270">
        <f t="shared" si="139"/>
        <v>0</v>
      </c>
      <c r="FS138" s="270">
        <f t="shared" si="139"/>
        <v>0</v>
      </c>
      <c r="FT138" s="270">
        <f t="shared" si="139"/>
        <v>0</v>
      </c>
      <c r="FU138" s="270">
        <f t="shared" si="139"/>
        <v>0</v>
      </c>
      <c r="FV138" s="270">
        <f t="shared" si="139"/>
        <v>0</v>
      </c>
      <c r="FW138" s="270">
        <f t="shared" si="139"/>
        <v>0</v>
      </c>
      <c r="FX138" s="1" t="s">
        <v>369</v>
      </c>
    </row>
    <row r="139" spans="3:180" x14ac:dyDescent="0.35">
      <c r="O139" s="1236"/>
      <c r="P139" s="643"/>
      <c r="Q139" s="232">
        <v>3</v>
      </c>
      <c r="CZ139" s="241"/>
      <c r="DA139" s="1496"/>
      <c r="DB139" s="1487"/>
      <c r="DC139" s="241"/>
      <c r="DD139" s="241"/>
      <c r="DR139" s="241" t="s">
        <v>370</v>
      </c>
      <c r="DS139" s="251">
        <f>DS$122-DS$132</f>
        <v>0.48830909090909058</v>
      </c>
      <c r="DT139" s="251">
        <f t="shared" ref="DT139:FW139" si="140">DT$122-DT$132</f>
        <v>0.52655030303030292</v>
      </c>
      <c r="DU139" s="251">
        <f t="shared" si="140"/>
        <v>0.19724303030303025</v>
      </c>
      <c r="DV139" s="1267">
        <f t="shared" si="140"/>
        <v>0.20722931818181822</v>
      </c>
      <c r="DW139" s="1212">
        <f t="shared" si="140"/>
        <v>0.29498608695652173</v>
      </c>
      <c r="DX139" s="251">
        <f t="shared" si="140"/>
        <v>0.3023030303030303</v>
      </c>
      <c r="DY139" s="251">
        <f t="shared" si="140"/>
        <v>0.29602600790513822</v>
      </c>
      <c r="DZ139" s="251">
        <f t="shared" si="140"/>
        <v>0.30420984848484833</v>
      </c>
      <c r="EA139" s="251">
        <f t="shared" si="140"/>
        <v>0.29190416666666663</v>
      </c>
      <c r="EB139" s="251">
        <f t="shared" si="140"/>
        <v>0.29749818181818166</v>
      </c>
      <c r="EC139" s="251">
        <f t="shared" si="140"/>
        <v>0.31143272727272731</v>
      </c>
      <c r="ED139" s="251">
        <f t="shared" si="140"/>
        <v>0.30526999999999993</v>
      </c>
      <c r="EE139" s="1267">
        <f t="shared" si="140"/>
        <v>0.30445909090909073</v>
      </c>
      <c r="EF139" s="1212">
        <f t="shared" si="140"/>
        <v>0</v>
      </c>
      <c r="EG139" s="251">
        <f t="shared" si="140"/>
        <v>0</v>
      </c>
      <c r="EH139" s="251">
        <f t="shared" si="140"/>
        <v>0</v>
      </c>
      <c r="EI139" s="270"/>
      <c r="EJ139" s="270"/>
      <c r="EK139" s="1283"/>
      <c r="EL139" s="1224"/>
      <c r="EM139" s="270"/>
      <c r="EN139" s="270"/>
      <c r="EO139" s="270"/>
      <c r="EP139" s="270"/>
      <c r="EQ139" s="270"/>
      <c r="ER139" s="270"/>
      <c r="ES139" s="270"/>
      <c r="ET139" s="270"/>
      <c r="EU139" s="341"/>
      <c r="EV139" s="270">
        <f t="shared" si="140"/>
        <v>1.0750909090909089E-2</v>
      </c>
      <c r="EW139" s="270">
        <f t="shared" si="140"/>
        <v>1.0721666666666664E-2</v>
      </c>
      <c r="EX139" s="270">
        <f t="shared" si="140"/>
        <v>1.9166666666666655E-3</v>
      </c>
      <c r="EY139" s="1283">
        <f t="shared" si="140"/>
        <v>8.4280303030303009E-4</v>
      </c>
      <c r="EZ139" s="1224">
        <f t="shared" si="140"/>
        <v>2.0437786561264812E-2</v>
      </c>
      <c r="FA139" s="270">
        <f t="shared" si="140"/>
        <v>5.2670454545454548E-2</v>
      </c>
      <c r="FB139" s="270">
        <f t="shared" si="140"/>
        <v>5.7968983957219222E-2</v>
      </c>
      <c r="FC139" s="270">
        <f t="shared" si="140"/>
        <v>2.1324999999999997E-2</v>
      </c>
      <c r="FD139" s="270">
        <f t="shared" si="140"/>
        <v>3.3651136363636341E-2</v>
      </c>
      <c r="FE139" s="270">
        <f t="shared" si="140"/>
        <v>2.8788030303030288E-2</v>
      </c>
      <c r="FF139" s="270">
        <f t="shared" si="140"/>
        <v>9.0530303030302989E-3</v>
      </c>
      <c r="FG139" s="270">
        <f t="shared" si="140"/>
        <v>1.1608181818181816E-2</v>
      </c>
      <c r="FH139" s="1283">
        <f t="shared" si="140"/>
        <v>4.0731363636363621E-2</v>
      </c>
      <c r="FI139" s="1224">
        <f t="shared" si="140"/>
        <v>0</v>
      </c>
      <c r="FJ139" s="270">
        <f t="shared" si="140"/>
        <v>0</v>
      </c>
      <c r="FK139" s="270">
        <f t="shared" si="140"/>
        <v>0</v>
      </c>
      <c r="FL139" s="270">
        <f t="shared" si="140"/>
        <v>0</v>
      </c>
      <c r="FM139" s="270">
        <f t="shared" si="140"/>
        <v>0</v>
      </c>
      <c r="FN139" s="1283">
        <f t="shared" si="140"/>
        <v>0</v>
      </c>
      <c r="FO139" s="1224">
        <f t="shared" si="140"/>
        <v>0</v>
      </c>
      <c r="FP139" s="270">
        <f t="shared" si="140"/>
        <v>0</v>
      </c>
      <c r="FQ139" s="270">
        <f t="shared" si="140"/>
        <v>0</v>
      </c>
      <c r="FR139" s="270">
        <f t="shared" si="140"/>
        <v>0</v>
      </c>
      <c r="FS139" s="270">
        <f t="shared" si="140"/>
        <v>0</v>
      </c>
      <c r="FT139" s="270">
        <f t="shared" si="140"/>
        <v>0</v>
      </c>
      <c r="FU139" s="270">
        <f t="shared" si="140"/>
        <v>0</v>
      </c>
      <c r="FV139" s="270">
        <f t="shared" si="140"/>
        <v>0</v>
      </c>
      <c r="FW139" s="270">
        <f t="shared" si="140"/>
        <v>0</v>
      </c>
      <c r="FX139" s="1" t="s">
        <v>370</v>
      </c>
    </row>
    <row r="140" spans="3:180" x14ac:dyDescent="0.35">
      <c r="O140" s="1285"/>
      <c r="P140" s="643"/>
      <c r="Q140" s="267">
        <f>P156-Q156</f>
        <v>-0.12362050873217356</v>
      </c>
      <c r="BL140" s="267"/>
      <c r="CZ140" s="241"/>
      <c r="DA140" s="1496"/>
      <c r="DB140" s="1487"/>
      <c r="DC140" s="241"/>
      <c r="DD140" s="241"/>
      <c r="DR140" s="241" t="s">
        <v>371</v>
      </c>
      <c r="DS140" s="251">
        <f>DS$123-DS$133</f>
        <v>0.52471982758620683</v>
      </c>
      <c r="DT140" s="251">
        <f t="shared" ref="DT140:FW140" si="141">DT$123-DT$133</f>
        <v>0.5301022988505748</v>
      </c>
      <c r="DU140" s="251">
        <f t="shared" si="141"/>
        <v>0.18950186781609191</v>
      </c>
      <c r="DV140" s="1267">
        <f t="shared" si="141"/>
        <v>0.19827456896551732</v>
      </c>
      <c r="DW140" s="1212">
        <f t="shared" si="141"/>
        <v>0.26623875562218902</v>
      </c>
      <c r="DX140" s="251">
        <f t="shared" si="141"/>
        <v>0.27529885057471271</v>
      </c>
      <c r="DY140" s="251">
        <f t="shared" si="141"/>
        <v>0.28097496251874055</v>
      </c>
      <c r="DZ140" s="251">
        <f t="shared" si="141"/>
        <v>0.28508103448275857</v>
      </c>
      <c r="EA140" s="251">
        <f t="shared" si="141"/>
        <v>0.27354913793103441</v>
      </c>
      <c r="EB140" s="251">
        <f t="shared" si="141"/>
        <v>0.29587816091954022</v>
      </c>
      <c r="EC140" s="251">
        <f t="shared" si="141"/>
        <v>0.2939793103448276</v>
      </c>
      <c r="ED140" s="251">
        <f t="shared" si="141"/>
        <v>0.2894801724137932</v>
      </c>
      <c r="EE140" s="1267">
        <f t="shared" si="141"/>
        <v>0.2881745689655173</v>
      </c>
      <c r="EF140" s="1212">
        <f t="shared" si="141"/>
        <v>0</v>
      </c>
      <c r="EG140" s="251">
        <f t="shared" si="141"/>
        <v>0</v>
      </c>
      <c r="EH140" s="251">
        <f t="shared" si="141"/>
        <v>0</v>
      </c>
      <c r="EI140" s="270"/>
      <c r="EJ140" s="270"/>
      <c r="EK140" s="1283"/>
      <c r="EL140" s="1224"/>
      <c r="EM140" s="270"/>
      <c r="EN140" s="270"/>
      <c r="EO140" s="270"/>
      <c r="EP140" s="270"/>
      <c r="EQ140" s="270"/>
      <c r="ER140" s="270"/>
      <c r="ES140" s="270"/>
      <c r="ET140" s="270"/>
      <c r="EU140" s="341"/>
      <c r="EV140" s="270">
        <f t="shared" si="141"/>
        <v>2.2277586206896557E-2</v>
      </c>
      <c r="EW140" s="270">
        <f t="shared" si="141"/>
        <v>1.4788505747126438E-2</v>
      </c>
      <c r="EX140" s="270">
        <f t="shared" si="141"/>
        <v>2.6436781609195398E-3</v>
      </c>
      <c r="EY140" s="1283">
        <f t="shared" si="141"/>
        <v>1.2787356321839081E-3</v>
      </c>
      <c r="EZ140" s="1224">
        <f t="shared" si="141"/>
        <v>3.3223988005996991E-2</v>
      </c>
      <c r="FA140" s="270">
        <f t="shared" si="141"/>
        <v>7.5844109195402298E-2</v>
      </c>
      <c r="FB140" s="270">
        <f t="shared" si="141"/>
        <v>8.2455882352941212E-2</v>
      </c>
      <c r="FC140" s="270">
        <f t="shared" si="141"/>
        <v>4.8532758620689648E-2</v>
      </c>
      <c r="FD140" s="270">
        <f t="shared" si="141"/>
        <v>5.3893390804597707E-2</v>
      </c>
      <c r="FE140" s="270">
        <f t="shared" si="141"/>
        <v>5.4597988505747153E-2</v>
      </c>
      <c r="FF140" s="270">
        <f t="shared" si="141"/>
        <v>1.5452586206896546E-2</v>
      </c>
      <c r="FG140" s="270">
        <f t="shared" si="141"/>
        <v>2.751939655172414E-2</v>
      </c>
      <c r="FH140" s="1283">
        <f t="shared" si="141"/>
        <v>6.9821336206896567E-2</v>
      </c>
      <c r="FI140" s="1224">
        <f t="shared" si="141"/>
        <v>0</v>
      </c>
      <c r="FJ140" s="270">
        <f t="shared" si="141"/>
        <v>0</v>
      </c>
      <c r="FK140" s="270">
        <f t="shared" si="141"/>
        <v>0</v>
      </c>
      <c r="FL140" s="270">
        <f t="shared" si="141"/>
        <v>0</v>
      </c>
      <c r="FM140" s="270">
        <f t="shared" si="141"/>
        <v>0</v>
      </c>
      <c r="FN140" s="1283">
        <f t="shared" si="141"/>
        <v>0</v>
      </c>
      <c r="FO140" s="1224">
        <f t="shared" si="141"/>
        <v>0</v>
      </c>
      <c r="FP140" s="270">
        <f t="shared" si="141"/>
        <v>0</v>
      </c>
      <c r="FQ140" s="270">
        <f t="shared" si="141"/>
        <v>0</v>
      </c>
      <c r="FR140" s="270">
        <f t="shared" si="141"/>
        <v>0</v>
      </c>
      <c r="FS140" s="270">
        <f t="shared" si="141"/>
        <v>0</v>
      </c>
      <c r="FT140" s="270">
        <f t="shared" si="141"/>
        <v>0</v>
      </c>
      <c r="FU140" s="270">
        <f t="shared" si="141"/>
        <v>0</v>
      </c>
      <c r="FV140" s="270">
        <f t="shared" si="141"/>
        <v>0</v>
      </c>
      <c r="FW140" s="270">
        <f t="shared" si="141"/>
        <v>0</v>
      </c>
      <c r="FX140" s="1" t="s">
        <v>371</v>
      </c>
    </row>
    <row r="141" spans="3:180" x14ac:dyDescent="0.35">
      <c r="O141" s="1236"/>
      <c r="P141" s="643"/>
      <c r="Q141" s="267">
        <f>O156-Q156</f>
        <v>-0.6559627807373829</v>
      </c>
      <c r="BL141" s="267"/>
      <c r="BM141" s="267"/>
      <c r="CZ141" s="241"/>
      <c r="DA141" s="1496"/>
      <c r="DB141" s="1487"/>
      <c r="DC141" s="241"/>
      <c r="DD141" s="241"/>
      <c r="DR141" s="241" t="s">
        <v>372</v>
      </c>
      <c r="DS141" s="251">
        <f>DS$124-DS$134</f>
        <v>0.61181249999999965</v>
      </c>
      <c r="DT141" s="251">
        <f t="shared" ref="DT141:FW141" si="142">DT$124-DT$134</f>
        <v>0.56437888888888876</v>
      </c>
      <c r="DU141" s="251">
        <f t="shared" si="142"/>
        <v>0.14512069444444442</v>
      </c>
      <c r="DV141" s="1267">
        <f t="shared" si="142"/>
        <v>0.150399375</v>
      </c>
      <c r="DW141" s="1212">
        <f t="shared" si="142"/>
        <v>0.16288289855072458</v>
      </c>
      <c r="DX141" s="251">
        <f t="shared" si="142"/>
        <v>0.17558333333333331</v>
      </c>
      <c r="DY141" s="251">
        <f t="shared" si="142"/>
        <v>0.18569195652173909</v>
      </c>
      <c r="DZ141" s="251">
        <f t="shared" si="142"/>
        <v>0.18195236111111102</v>
      </c>
      <c r="EA141" s="251">
        <f t="shared" si="142"/>
        <v>0.17459215277777773</v>
      </c>
      <c r="EB141" s="251">
        <f t="shared" si="142"/>
        <v>0.19963333333333333</v>
      </c>
      <c r="EC141" s="251">
        <f t="shared" si="142"/>
        <v>0.18875999999999993</v>
      </c>
      <c r="ED141" s="251">
        <f t="shared" si="142"/>
        <v>0.18793833333333332</v>
      </c>
      <c r="EE141" s="1267">
        <f t="shared" si="142"/>
        <v>0.185453125</v>
      </c>
      <c r="EF141" s="1212">
        <f t="shared" si="142"/>
        <v>0</v>
      </c>
      <c r="EG141" s="251">
        <f t="shared" si="142"/>
        <v>0</v>
      </c>
      <c r="EH141" s="251">
        <f t="shared" si="142"/>
        <v>0</v>
      </c>
      <c r="EI141" s="270"/>
      <c r="EJ141" s="270"/>
      <c r="EK141" s="1283"/>
      <c r="EL141" s="1224"/>
      <c r="EM141" s="270"/>
      <c r="EN141" s="270"/>
      <c r="EO141" s="270"/>
      <c r="EP141" s="270"/>
      <c r="EQ141" s="270"/>
      <c r="ER141" s="270"/>
      <c r="ES141" s="270"/>
      <c r="ET141" s="270"/>
      <c r="EU141" s="341"/>
      <c r="EV141" s="270">
        <f t="shared" si="142"/>
        <v>2.6827500000000004E-2</v>
      </c>
      <c r="EW141" s="270">
        <f t="shared" si="142"/>
        <v>1.5189027777777767E-2</v>
      </c>
      <c r="EX141" s="270">
        <f t="shared" si="142"/>
        <v>2.7152777777777783E-3</v>
      </c>
      <c r="EY141" s="1283">
        <f t="shared" si="142"/>
        <v>1.6996527777777774E-3</v>
      </c>
      <c r="EZ141" s="1224">
        <f t="shared" si="142"/>
        <v>5.4865724637681135E-2</v>
      </c>
      <c r="FA141" s="270">
        <f t="shared" si="142"/>
        <v>8.2256944444444424E-2</v>
      </c>
      <c r="FB141" s="270">
        <f t="shared" si="142"/>
        <v>8.8563725490196088E-2</v>
      </c>
      <c r="FC141" s="270">
        <f t="shared" si="142"/>
        <v>9.9694375000000002E-2</v>
      </c>
      <c r="FD141" s="270">
        <f t="shared" si="142"/>
        <v>7.4717986111111079E-2</v>
      </c>
      <c r="FE141" s="270">
        <f t="shared" si="142"/>
        <v>9.047666666666665E-2</v>
      </c>
      <c r="FF141" s="270">
        <f t="shared" si="142"/>
        <v>3.3194444444444443E-2</v>
      </c>
      <c r="FG141" s="270">
        <f t="shared" si="142"/>
        <v>5.4977638888888902E-2</v>
      </c>
      <c r="FH141" s="1283">
        <f t="shared" si="142"/>
        <v>9.7650833333333353E-2</v>
      </c>
      <c r="FI141" s="1224">
        <f t="shared" si="142"/>
        <v>0</v>
      </c>
      <c r="FJ141" s="270">
        <f t="shared" si="142"/>
        <v>0</v>
      </c>
      <c r="FK141" s="270">
        <f t="shared" si="142"/>
        <v>0</v>
      </c>
      <c r="FL141" s="270">
        <f t="shared" si="142"/>
        <v>0</v>
      </c>
      <c r="FM141" s="270">
        <f t="shared" si="142"/>
        <v>0</v>
      </c>
      <c r="FN141" s="1283">
        <f t="shared" si="142"/>
        <v>0</v>
      </c>
      <c r="FO141" s="1224">
        <f t="shared" si="142"/>
        <v>0</v>
      </c>
      <c r="FP141" s="270">
        <f t="shared" si="142"/>
        <v>0</v>
      </c>
      <c r="FQ141" s="270">
        <f t="shared" si="142"/>
        <v>0</v>
      </c>
      <c r="FR141" s="270">
        <f t="shared" si="142"/>
        <v>0</v>
      </c>
      <c r="FS141" s="270">
        <f t="shared" si="142"/>
        <v>0</v>
      </c>
      <c r="FT141" s="270">
        <f t="shared" si="142"/>
        <v>0</v>
      </c>
      <c r="FU141" s="270">
        <f t="shared" si="142"/>
        <v>0</v>
      </c>
      <c r="FV141" s="270">
        <f t="shared" si="142"/>
        <v>0</v>
      </c>
      <c r="FW141" s="270">
        <f t="shared" si="142"/>
        <v>0</v>
      </c>
      <c r="FX141" s="1" t="s">
        <v>372</v>
      </c>
    </row>
    <row r="142" spans="3:180" x14ac:dyDescent="0.35">
      <c r="O142" s="1236"/>
      <c r="P142" s="643"/>
      <c r="Q142" s="267">
        <f>P157-Q157</f>
        <v>0.33532176564189342</v>
      </c>
      <c r="CZ142" s="241"/>
      <c r="DA142" s="1496"/>
      <c r="DB142" s="1487"/>
      <c r="DC142" s="241"/>
      <c r="DD142" s="241"/>
      <c r="DR142" s="241" t="s">
        <v>373</v>
      </c>
      <c r="DS142" s="251">
        <f>DS$125-DS$135</f>
        <v>0.31769011627906973</v>
      </c>
      <c r="DT142" s="251">
        <f t="shared" ref="DT142:FW142" si="143">DT$125-DT$135</f>
        <v>0.23096635658914733</v>
      </c>
      <c r="DU142" s="251">
        <f t="shared" si="143"/>
        <v>0.10157895348837209</v>
      </c>
      <c r="DV142" s="1267">
        <f t="shared" si="143"/>
        <v>0.1022649127906976</v>
      </c>
      <c r="DW142" s="1212">
        <f t="shared" si="143"/>
        <v>6.8151617795753239E-2</v>
      </c>
      <c r="DX142" s="251">
        <f t="shared" si="143"/>
        <v>8.2366666666666644E-2</v>
      </c>
      <c r="DY142" s="251">
        <f t="shared" si="143"/>
        <v>8.9825429726996919E-2</v>
      </c>
      <c r="DZ142" s="251">
        <f t="shared" si="143"/>
        <v>8.8244224806201532E-2</v>
      </c>
      <c r="EA142" s="251">
        <f t="shared" si="143"/>
        <v>8.4674631782945708E-2</v>
      </c>
      <c r="EB142" s="251">
        <f t="shared" si="143"/>
        <v>9.2957829457364305E-2</v>
      </c>
      <c r="EC142" s="251">
        <f t="shared" si="143"/>
        <v>9.6248372093023227E-2</v>
      </c>
      <c r="ED142" s="251">
        <f t="shared" si="143"/>
        <v>9.6094127906976745E-2</v>
      </c>
      <c r="EE142" s="1267">
        <f t="shared" si="143"/>
        <v>9.3990261627906968E-2</v>
      </c>
      <c r="EF142" s="1212">
        <f t="shared" si="143"/>
        <v>0</v>
      </c>
      <c r="EG142" s="251">
        <f t="shared" si="143"/>
        <v>0</v>
      </c>
      <c r="EH142" s="251">
        <f t="shared" si="143"/>
        <v>0</v>
      </c>
      <c r="EI142" s="270"/>
      <c r="EJ142" s="270"/>
      <c r="EK142" s="1283"/>
      <c r="EL142" s="1224"/>
      <c r="EM142" s="270"/>
      <c r="EN142" s="270"/>
      <c r="EO142" s="270"/>
      <c r="EP142" s="270"/>
      <c r="EQ142" s="270"/>
      <c r="ER142" s="270"/>
      <c r="ES142" s="270"/>
      <c r="ET142" s="270"/>
      <c r="EU142" s="341"/>
      <c r="EV142" s="270">
        <f t="shared" si="143"/>
        <v>1.6756046511627903E-2</v>
      </c>
      <c r="EW142" s="270">
        <f t="shared" si="143"/>
        <v>9.5996317829457334E-3</v>
      </c>
      <c r="EX142" s="270">
        <f t="shared" si="143"/>
        <v>1.7160852713178285E-3</v>
      </c>
      <c r="EY142" s="1283">
        <f t="shared" si="143"/>
        <v>1.8110465116279069E-3</v>
      </c>
      <c r="EZ142" s="1224">
        <f t="shared" si="143"/>
        <v>6.4046319514661276E-2</v>
      </c>
      <c r="FA142" s="270">
        <f t="shared" si="143"/>
        <v>6.8117732558139521E-2</v>
      </c>
      <c r="FB142" s="270">
        <f t="shared" si="143"/>
        <v>6.5743119015047868E-2</v>
      </c>
      <c r="FC142" s="270">
        <f t="shared" si="143"/>
        <v>0.13174386627906975</v>
      </c>
      <c r="FD142" s="270">
        <f t="shared" si="143"/>
        <v>7.8336715116279043E-2</v>
      </c>
      <c r="FE142" s="270">
        <f t="shared" si="143"/>
        <v>9.2054748062015468E-2</v>
      </c>
      <c r="FF142" s="270">
        <f t="shared" si="143"/>
        <v>6.4844961240310084E-2</v>
      </c>
      <c r="FG142" s="270">
        <f t="shared" si="143"/>
        <v>8.314697674418603E-2</v>
      </c>
      <c r="FH142" s="1283">
        <f t="shared" si="143"/>
        <v>9.678252906976742E-2</v>
      </c>
      <c r="FI142" s="1224">
        <f t="shared" si="143"/>
        <v>0</v>
      </c>
      <c r="FJ142" s="270">
        <f t="shared" si="143"/>
        <v>0</v>
      </c>
      <c r="FK142" s="270">
        <f t="shared" si="143"/>
        <v>0</v>
      </c>
      <c r="FL142" s="270">
        <f t="shared" si="143"/>
        <v>0</v>
      </c>
      <c r="FM142" s="270">
        <f t="shared" si="143"/>
        <v>0</v>
      </c>
      <c r="FN142" s="1283">
        <f t="shared" si="143"/>
        <v>0</v>
      </c>
      <c r="FO142" s="1224">
        <f t="shared" si="143"/>
        <v>0</v>
      </c>
      <c r="FP142" s="270">
        <f t="shared" si="143"/>
        <v>0</v>
      </c>
      <c r="FQ142" s="270">
        <f t="shared" si="143"/>
        <v>0</v>
      </c>
      <c r="FR142" s="270">
        <f t="shared" si="143"/>
        <v>0</v>
      </c>
      <c r="FS142" s="270">
        <f t="shared" si="143"/>
        <v>0</v>
      </c>
      <c r="FT142" s="270">
        <f t="shared" si="143"/>
        <v>0</v>
      </c>
      <c r="FU142" s="270">
        <f t="shared" si="143"/>
        <v>0</v>
      </c>
      <c r="FV142" s="270">
        <f t="shared" si="143"/>
        <v>0</v>
      </c>
      <c r="FW142" s="270">
        <f t="shared" si="143"/>
        <v>0</v>
      </c>
      <c r="FX142" s="1" t="s">
        <v>373</v>
      </c>
    </row>
    <row r="143" spans="3:180" x14ac:dyDescent="0.35">
      <c r="O143" s="1236"/>
      <c r="P143" s="643"/>
      <c r="CZ143" s="241"/>
      <c r="DA143" s="1496"/>
      <c r="DB143" s="1487"/>
      <c r="DC143" s="241"/>
      <c r="DD143" s="241"/>
      <c r="DR143" s="241" t="s">
        <v>406</v>
      </c>
      <c r="DS143" s="251">
        <f>DS$126-DS$136</f>
        <v>0.2420982558139535</v>
      </c>
      <c r="DT143" s="251">
        <f t="shared" ref="DT143:FW143" si="144">DT$126-DT$136</f>
        <v>0.44449131782945717</v>
      </c>
      <c r="DU143" s="251">
        <f t="shared" si="144"/>
        <v>9.892329457364335E-2</v>
      </c>
      <c r="DV143" s="1267">
        <f t="shared" si="144"/>
        <v>4.730168604651161E-2</v>
      </c>
      <c r="DW143" s="1212">
        <f t="shared" si="144"/>
        <v>4.4019241658240643E-2</v>
      </c>
      <c r="DX143" s="251">
        <f t="shared" si="144"/>
        <v>3.9899999999999991E-2</v>
      </c>
      <c r="DY143" s="251">
        <f t="shared" si="144"/>
        <v>4.3313083923154666E-2</v>
      </c>
      <c r="DZ143" s="251">
        <f t="shared" si="144"/>
        <v>2.8100116279069748E-2</v>
      </c>
      <c r="EA143" s="251">
        <f t="shared" si="144"/>
        <v>2.6963430232558122E-2</v>
      </c>
      <c r="EB143" s="251">
        <f t="shared" si="144"/>
        <v>6.8675968992248038E-2</v>
      </c>
      <c r="EC143" s="251">
        <f t="shared" si="144"/>
        <v>7.3900465116279068E-2</v>
      </c>
      <c r="ED143" s="251">
        <f t="shared" si="144"/>
        <v>8.2656162790697651E-2</v>
      </c>
      <c r="EE143" s="1267">
        <f t="shared" si="144"/>
        <v>7.4482848837209292E-2</v>
      </c>
      <c r="EF143" s="1212">
        <f t="shared" si="144"/>
        <v>0</v>
      </c>
      <c r="EG143" s="251">
        <f t="shared" si="144"/>
        <v>0</v>
      </c>
      <c r="EH143" s="251">
        <f t="shared" si="144"/>
        <v>0</v>
      </c>
      <c r="EI143" s="270"/>
      <c r="EJ143" s="270"/>
      <c r="EK143" s="1283"/>
      <c r="EL143" s="1224"/>
      <c r="EM143" s="270"/>
      <c r="EN143" s="270"/>
      <c r="EO143" s="270"/>
      <c r="EP143" s="270"/>
      <c r="EQ143" s="270"/>
      <c r="ER143" s="270"/>
      <c r="ES143" s="270"/>
      <c r="ET143" s="270"/>
      <c r="EU143" s="341"/>
      <c r="EV143" s="270">
        <f t="shared" si="144"/>
        <v>7.4867441860465081E-3</v>
      </c>
      <c r="EW143" s="270">
        <f t="shared" si="144"/>
        <v>1.0472325581395346E-2</v>
      </c>
      <c r="EX143" s="270">
        <f t="shared" si="144"/>
        <v>1.872093023255814E-3</v>
      </c>
      <c r="EY143" s="1283">
        <f t="shared" si="144"/>
        <v>6.3386627906976759E-3</v>
      </c>
      <c r="EZ143" s="1224">
        <f t="shared" si="144"/>
        <v>0.12025023255813949</v>
      </c>
      <c r="FA143" s="270">
        <f t="shared" si="144"/>
        <v>0.12226259689922481</v>
      </c>
      <c r="FB143" s="270">
        <f t="shared" si="144"/>
        <v>0.10899517099863198</v>
      </c>
      <c r="FC143" s="270">
        <f t="shared" si="144"/>
        <v>8.5919912790697661E-2</v>
      </c>
      <c r="FD143" s="270">
        <f t="shared" si="144"/>
        <v>7.0302180232558131E-2</v>
      </c>
      <c r="FE143" s="270">
        <f t="shared" si="144"/>
        <v>9.7578032945736415E-2</v>
      </c>
      <c r="FF143" s="270">
        <f t="shared" si="144"/>
        <v>7.7813953488372056E-2</v>
      </c>
      <c r="FG143" s="270">
        <f t="shared" si="144"/>
        <v>0.14204275193798443</v>
      </c>
      <c r="FH143" s="1283">
        <f t="shared" si="144"/>
        <v>0.13044601744186046</v>
      </c>
      <c r="FI143" s="1224">
        <f t="shared" si="144"/>
        <v>0</v>
      </c>
      <c r="FJ143" s="270">
        <f t="shared" si="144"/>
        <v>0</v>
      </c>
      <c r="FK143" s="270">
        <f t="shared" si="144"/>
        <v>0</v>
      </c>
      <c r="FL143" s="270">
        <f t="shared" si="144"/>
        <v>0</v>
      </c>
      <c r="FM143" s="270">
        <f t="shared" si="144"/>
        <v>0</v>
      </c>
      <c r="FN143" s="1283">
        <f t="shared" si="144"/>
        <v>0</v>
      </c>
      <c r="FO143" s="1224">
        <f t="shared" si="144"/>
        <v>0</v>
      </c>
      <c r="FP143" s="270">
        <f t="shared" si="144"/>
        <v>0</v>
      </c>
      <c r="FQ143" s="270">
        <f t="shared" si="144"/>
        <v>0</v>
      </c>
      <c r="FR143" s="270">
        <f t="shared" si="144"/>
        <v>0</v>
      </c>
      <c r="FS143" s="270">
        <f t="shared" si="144"/>
        <v>0</v>
      </c>
      <c r="FT143" s="270">
        <f t="shared" si="144"/>
        <v>0</v>
      </c>
      <c r="FU143" s="270">
        <f t="shared" si="144"/>
        <v>0</v>
      </c>
      <c r="FV143" s="270">
        <f t="shared" si="144"/>
        <v>0</v>
      </c>
      <c r="FW143" s="270">
        <f t="shared" si="144"/>
        <v>0</v>
      </c>
      <c r="FX143" s="1" t="s">
        <v>406</v>
      </c>
    </row>
    <row r="144" spans="3:180" ht="15" thickBot="1" x14ac:dyDescent="0.4">
      <c r="C144"/>
      <c r="D144"/>
      <c r="E144"/>
      <c r="F144" s="1047"/>
      <c r="G144" s="225"/>
      <c r="H144" s="225"/>
      <c r="I144" s="1269"/>
      <c r="J144" s="1214"/>
      <c r="K144" s="225"/>
      <c r="L144" s="225"/>
      <c r="M144" s="225"/>
      <c r="N144" s="225"/>
      <c r="O144" s="1234"/>
      <c r="P144" s="1214"/>
      <c r="Q144" s="225"/>
      <c r="R144" s="1269"/>
      <c r="S144" s="1214"/>
      <c r="T144" s="225"/>
      <c r="U144" s="225"/>
      <c r="V144" s="225"/>
      <c r="W144" s="225"/>
      <c r="X144" s="1269"/>
      <c r="Y144" s="1214"/>
      <c r="Z144" s="225"/>
      <c r="AA144" s="225"/>
      <c r="AB144" s="225"/>
      <c r="AC144" s="225"/>
      <c r="AD144" s="225"/>
      <c r="AE144" s="225"/>
      <c r="AF144" s="225"/>
      <c r="AG144" s="225"/>
      <c r="AH144" s="344"/>
      <c r="AI144" s="225"/>
      <c r="AJ144" s="225"/>
      <c r="AK144" s="225"/>
      <c r="AL144" s="1269"/>
      <c r="AM144" s="1214"/>
      <c r="AN144" s="225"/>
      <c r="AO144" s="225"/>
      <c r="AP144" s="225"/>
      <c r="AQ144" s="225"/>
      <c r="AR144" s="225"/>
      <c r="AS144" s="225"/>
      <c r="AT144" s="225"/>
      <c r="AU144" s="1269"/>
      <c r="AV144" s="1214"/>
      <c r="AW144" s="225"/>
      <c r="AX144" s="225"/>
      <c r="AY144" s="225"/>
      <c r="AZ144" s="225"/>
      <c r="BA144" s="1269"/>
      <c r="BB144" s="1214"/>
      <c r="BC144" s="225"/>
      <c r="BD144" s="225"/>
      <c r="BE144" s="225"/>
      <c r="BF144" s="225"/>
      <c r="BG144" s="225"/>
      <c r="BH144" s="225"/>
      <c r="BI144" s="225"/>
      <c r="BJ144" s="225"/>
      <c r="BK144" s="344"/>
      <c r="BL144" s="225"/>
      <c r="BM144" s="225"/>
      <c r="BN144" s="225"/>
      <c r="BO144" s="1269"/>
      <c r="BP144" s="1214"/>
      <c r="BQ144" s="225"/>
      <c r="BR144" s="225"/>
      <c r="BS144" s="225"/>
      <c r="BT144" s="225"/>
      <c r="BU144" s="225"/>
      <c r="BV144" s="225"/>
      <c r="BW144" s="225"/>
      <c r="BX144" s="1269"/>
      <c r="BY144" s="1214"/>
      <c r="BZ144" s="225"/>
      <c r="CA144" s="225"/>
      <c r="CB144" s="225"/>
      <c r="CC144" s="225"/>
      <c r="CD144" s="1269"/>
      <c r="CE144" s="1214"/>
      <c r="CF144" s="225"/>
      <c r="CG144" s="225"/>
      <c r="CH144" s="225"/>
      <c r="CI144" s="225"/>
      <c r="CJ144" s="225"/>
      <c r="CK144" s="225"/>
      <c r="CL144" s="225"/>
      <c r="CM144" s="225"/>
      <c r="CN144" s="344"/>
      <c r="CO144" s="225"/>
      <c r="CP144" s="225"/>
      <c r="CQ144" s="225"/>
      <c r="CR144" s="1269"/>
      <c r="CS144" s="1214"/>
      <c r="CT144" s="225"/>
      <c r="CU144" s="225"/>
      <c r="CV144" s="225"/>
      <c r="CW144" s="225"/>
      <c r="CX144" s="225"/>
      <c r="CY144" s="351"/>
      <c r="CZ144" s="351"/>
      <c r="DA144" s="1498"/>
      <c r="DB144" s="1489"/>
      <c r="DC144" s="351"/>
      <c r="DD144" s="351"/>
      <c r="DE144" s="225"/>
      <c r="DF144" s="225"/>
      <c r="DG144" s="1269"/>
      <c r="DH144" s="1214"/>
      <c r="DI144" s="225"/>
      <c r="DJ144" s="225"/>
      <c r="DK144" s="225"/>
      <c r="DL144" s="225"/>
      <c r="DM144" s="225"/>
      <c r="DN144" s="225"/>
      <c r="DO144" s="225"/>
      <c r="DP144" s="225"/>
      <c r="DQ144" s="344"/>
      <c r="DR144" s="345"/>
      <c r="DS144" s="405"/>
      <c r="DT144" s="405"/>
      <c r="DU144" s="405"/>
      <c r="DV144" s="1559"/>
      <c r="DW144" s="897"/>
      <c r="DX144" s="405"/>
      <c r="DY144" s="405"/>
      <c r="DZ144" s="405"/>
      <c r="EA144" s="405"/>
      <c r="EB144" s="405"/>
      <c r="EC144" s="405"/>
      <c r="ED144" s="405"/>
      <c r="EE144" s="1559"/>
      <c r="EF144" s="897"/>
      <c r="EG144" s="405"/>
      <c r="EH144" s="405"/>
      <c r="EI144" s="405"/>
      <c r="EJ144" s="405"/>
      <c r="EK144" s="1559"/>
      <c r="EL144" s="897"/>
      <c r="EM144" s="405"/>
      <c r="EN144" s="405"/>
      <c r="EO144" s="405"/>
      <c r="EP144" s="405"/>
      <c r="EQ144" s="405"/>
      <c r="ER144" s="405"/>
      <c r="ES144" s="405"/>
      <c r="ET144" s="405"/>
      <c r="EU144" s="344"/>
      <c r="EV144" s="405"/>
      <c r="EW144" s="405"/>
      <c r="EX144" s="405"/>
      <c r="EY144" s="1559"/>
      <c r="EZ144" s="897"/>
      <c r="FA144" s="405"/>
      <c r="FB144" s="405"/>
      <c r="FC144" s="405"/>
      <c r="FD144" s="405"/>
      <c r="FE144" s="405"/>
      <c r="FF144" s="405"/>
      <c r="FG144" s="405"/>
      <c r="FH144" s="1559"/>
      <c r="FI144" s="1214"/>
      <c r="FJ144" s="403"/>
      <c r="FK144" s="225"/>
      <c r="FL144" s="225"/>
      <c r="FM144" s="225"/>
      <c r="FN144" s="1269"/>
      <c r="FO144" s="1214"/>
      <c r="FP144" s="225"/>
      <c r="FQ144" s="225"/>
      <c r="FR144" s="225"/>
      <c r="FS144" s="225"/>
      <c r="FT144" s="225"/>
      <c r="FU144" s="225"/>
      <c r="FV144" s="225"/>
      <c r="FW144" s="225"/>
    </row>
    <row r="145" spans="3:179" s="377" customFormat="1" ht="15" thickTop="1" x14ac:dyDescent="0.35">
      <c r="F145" s="2525" t="s">
        <v>1014</v>
      </c>
      <c r="G145" s="347"/>
      <c r="H145" s="347"/>
      <c r="I145" s="1278"/>
      <c r="J145" s="1222"/>
      <c r="K145" s="347"/>
      <c r="L145" s="347"/>
      <c r="M145" s="347"/>
      <c r="N145" s="347"/>
      <c r="O145" s="1278"/>
      <c r="P145" s="1222"/>
      <c r="Q145" s="347"/>
      <c r="R145" s="1278"/>
      <c r="S145" s="1222"/>
      <c r="T145" s="347"/>
      <c r="U145" s="347"/>
      <c r="V145" s="347"/>
      <c r="W145" s="347"/>
      <c r="X145" s="1278"/>
      <c r="Y145" s="1222"/>
      <c r="Z145" s="347"/>
      <c r="AA145" s="347"/>
      <c r="AB145" s="347"/>
      <c r="AC145" s="347"/>
      <c r="AD145" s="347"/>
      <c r="AE145" s="347"/>
      <c r="AF145" s="347"/>
      <c r="AG145" s="347"/>
      <c r="AH145" s="352"/>
      <c r="AI145" s="347"/>
      <c r="AJ145" s="347"/>
      <c r="AK145" s="347"/>
      <c r="AL145" s="1278"/>
      <c r="AM145" s="1222"/>
      <c r="AN145" s="347"/>
      <c r="AO145" s="347"/>
      <c r="AP145" s="347"/>
      <c r="AQ145" s="347"/>
      <c r="AR145" s="347"/>
      <c r="AS145" s="347"/>
      <c r="AT145" s="347"/>
      <c r="AU145" s="1278"/>
      <c r="AV145" s="1222"/>
      <c r="AW145" s="347"/>
      <c r="AX145" s="347"/>
      <c r="AY145" s="347"/>
      <c r="AZ145" s="347"/>
      <c r="BA145" s="1278"/>
      <c r="BB145" s="1222"/>
      <c r="BC145" s="347"/>
      <c r="BD145" s="347"/>
      <c r="BE145" s="347"/>
      <c r="BF145" s="347"/>
      <c r="BG145" s="347"/>
      <c r="BH145" s="347"/>
      <c r="BI145" s="347"/>
      <c r="BJ145" s="347"/>
      <c r="BK145" s="352"/>
      <c r="BL145" s="346" t="s">
        <v>1015</v>
      </c>
      <c r="BM145" s="347"/>
      <c r="BN145" s="347"/>
      <c r="BO145" s="1278"/>
      <c r="BP145" s="1222"/>
      <c r="BQ145" s="347"/>
      <c r="BR145" s="347"/>
      <c r="BS145" s="347"/>
      <c r="BT145" s="347"/>
      <c r="BU145" s="347"/>
      <c r="BV145" s="347"/>
      <c r="BW145" s="347"/>
      <c r="BX145" s="1278"/>
      <c r="BY145" s="1222"/>
      <c r="BZ145" s="347"/>
      <c r="CA145" s="347"/>
      <c r="CB145" s="347"/>
      <c r="CC145" s="347"/>
      <c r="CD145" s="1278"/>
      <c r="CE145" s="1222"/>
      <c r="CF145" s="347"/>
      <c r="CG145" s="347"/>
      <c r="CH145" s="347"/>
      <c r="CI145" s="347"/>
      <c r="CJ145" s="347"/>
      <c r="CK145" s="347"/>
      <c r="CL145" s="347"/>
      <c r="CM145" s="347"/>
      <c r="CN145" s="352"/>
      <c r="CO145" s="347" t="s">
        <v>1016</v>
      </c>
      <c r="CP145" s="347"/>
      <c r="CQ145" s="347"/>
      <c r="CR145" s="1278"/>
      <c r="CS145" s="1222"/>
      <c r="CT145" s="347"/>
      <c r="CU145" s="347"/>
      <c r="CV145" s="347"/>
      <c r="CW145" s="347"/>
      <c r="CX145" s="347"/>
      <c r="CY145" s="348"/>
      <c r="CZ145" s="348"/>
      <c r="DA145" s="1499"/>
      <c r="DB145" s="1490"/>
      <c r="DC145" s="348"/>
      <c r="DD145" s="348"/>
      <c r="DE145" s="347"/>
      <c r="DF145" s="347"/>
      <c r="DG145" s="1278"/>
      <c r="DH145" s="1222"/>
      <c r="DI145" s="347"/>
      <c r="DJ145" s="347"/>
      <c r="DK145" s="347"/>
      <c r="DL145" s="347"/>
      <c r="DM145" s="347"/>
      <c r="DN145" s="347"/>
      <c r="DO145" s="347"/>
      <c r="DP145" s="347"/>
      <c r="DQ145" s="352"/>
      <c r="DR145" s="348" t="s">
        <v>1017</v>
      </c>
      <c r="DS145" s="406"/>
      <c r="DT145" s="406"/>
      <c r="DU145" s="406"/>
      <c r="DV145" s="1560"/>
      <c r="DW145" s="1542"/>
      <c r="DX145" s="406"/>
      <c r="DY145" s="406"/>
      <c r="DZ145" s="406"/>
      <c r="EA145" s="406"/>
      <c r="EB145" s="406"/>
      <c r="EC145" s="406"/>
      <c r="ED145" s="406"/>
      <c r="EE145" s="1560"/>
      <c r="EF145" s="1542"/>
      <c r="EG145" s="406"/>
      <c r="EH145" s="406"/>
      <c r="EI145" s="406"/>
      <c r="EJ145" s="406"/>
      <c r="EK145" s="1560"/>
      <c r="EL145" s="1542"/>
      <c r="EM145" s="406"/>
      <c r="EN145" s="406"/>
      <c r="EO145" s="406"/>
      <c r="EP145" s="406"/>
      <c r="EQ145" s="406"/>
      <c r="ER145" s="406"/>
      <c r="ES145" s="406"/>
      <c r="ET145" s="406"/>
      <c r="EU145" s="352"/>
      <c r="EV145" s="2526" t="s">
        <v>1018</v>
      </c>
      <c r="EW145" s="406"/>
      <c r="EX145" s="406"/>
      <c r="EY145" s="1560"/>
      <c r="EZ145" s="1542"/>
      <c r="FA145" s="406"/>
      <c r="FB145" s="406"/>
      <c r="FC145" s="406"/>
      <c r="FD145" s="406"/>
      <c r="FE145" s="406"/>
      <c r="FF145" s="406"/>
      <c r="FG145" s="406"/>
      <c r="FH145" s="1560"/>
      <c r="FI145" s="1222"/>
      <c r="FJ145" s="346"/>
      <c r="FK145" s="347"/>
      <c r="FL145" s="347"/>
      <c r="FM145" s="347"/>
      <c r="FN145" s="1278"/>
      <c r="FO145" s="1222"/>
      <c r="FP145" s="347"/>
      <c r="FQ145" s="347"/>
      <c r="FR145" s="347"/>
      <c r="FS145" s="347"/>
      <c r="FT145" s="347"/>
      <c r="FU145" s="347"/>
      <c r="FV145" s="347"/>
      <c r="FW145" s="347"/>
    </row>
    <row r="146" spans="3:179" x14ac:dyDescent="0.35">
      <c r="C146" s="444" t="s">
        <v>388</v>
      </c>
      <c r="D146" s="444"/>
      <c r="E146" s="444"/>
      <c r="F146" s="1056">
        <f>F$73</f>
        <v>330.93617021276594</v>
      </c>
      <c r="G146" s="445">
        <f t="shared" ref="G146:T146" si="145">G$73</f>
        <v>325.83333333333331</v>
      </c>
      <c r="H146" s="479">
        <f t="shared" si="145"/>
        <v>329.23076923076928</v>
      </c>
      <c r="I146" s="1279">
        <f>I$73</f>
        <v>325.39</v>
      </c>
      <c r="J146" s="645">
        <f t="shared" si="145"/>
        <v>193.66666666666666</v>
      </c>
      <c r="K146" s="945">
        <f t="shared" si="145"/>
        <v>186.56521739130434</v>
      </c>
      <c r="L146" s="945">
        <f t="shared" si="145"/>
        <v>186.6875</v>
      </c>
      <c r="M146" s="267">
        <f t="shared" si="145"/>
        <v>183.43478260869566</v>
      </c>
      <c r="N146" s="945">
        <f t="shared" si="145"/>
        <v>182.61904761904762</v>
      </c>
      <c r="O146" s="1285">
        <f t="shared" si="145"/>
        <v>189.04347826086956</v>
      </c>
      <c r="P146" s="645">
        <f t="shared" si="145"/>
        <v>189.21739130434781</v>
      </c>
      <c r="Q146" s="945">
        <f>Q73</f>
        <v>186.7391304347826</v>
      </c>
      <c r="R146" s="1285">
        <f t="shared" si="145"/>
        <v>186.56521739130434</v>
      </c>
      <c r="S146" s="645">
        <f t="shared" si="145"/>
        <v>0</v>
      </c>
      <c r="T146" s="945">
        <f t="shared" si="145"/>
        <v>0</v>
      </c>
      <c r="U146" s="267">
        <f>U$73</f>
        <v>0</v>
      </c>
      <c r="V146" s="267">
        <f>V$73</f>
        <v>0</v>
      </c>
      <c r="W146" s="267">
        <f t="shared" ref="W146:AG146" si="146">W$73</f>
        <v>0</v>
      </c>
      <c r="X146" s="1285">
        <f t="shared" si="146"/>
        <v>0</v>
      </c>
      <c r="Y146" s="645">
        <f t="shared" si="146"/>
        <v>0</v>
      </c>
      <c r="Z146" s="267">
        <f t="shared" si="146"/>
        <v>0</v>
      </c>
      <c r="AA146" s="267">
        <f t="shared" si="146"/>
        <v>0</v>
      </c>
      <c r="AB146" s="267">
        <f t="shared" si="146"/>
        <v>0</v>
      </c>
      <c r="AC146" s="267">
        <f t="shared" si="146"/>
        <v>0</v>
      </c>
      <c r="AD146" s="267">
        <f t="shared" si="146"/>
        <v>0</v>
      </c>
      <c r="AE146" s="267">
        <f t="shared" si="146"/>
        <v>0</v>
      </c>
      <c r="AF146" s="267">
        <f t="shared" si="146"/>
        <v>0</v>
      </c>
      <c r="AG146" s="267">
        <f t="shared" si="146"/>
        <v>0</v>
      </c>
      <c r="AH146" s="339"/>
      <c r="AI146" s="459">
        <f t="shared" ref="AI146:DE146" si="147">AI$73</f>
        <v>0</v>
      </c>
      <c r="AJ146" s="459">
        <f t="shared" si="147"/>
        <v>1.5833333333333333</v>
      </c>
      <c r="AK146" s="459">
        <f t="shared" si="147"/>
        <v>0</v>
      </c>
      <c r="AL146" s="1483">
        <f t="shared" si="147"/>
        <v>0</v>
      </c>
      <c r="AM146" s="1471">
        <f t="shared" si="147"/>
        <v>1.9148936170212767</v>
      </c>
      <c r="AN146" s="459">
        <f t="shared" si="147"/>
        <v>1.5095000000000001</v>
      </c>
      <c r="AO146" s="459">
        <f t="shared" si="147"/>
        <v>0</v>
      </c>
      <c r="AP146" s="459">
        <f t="shared" si="147"/>
        <v>0</v>
      </c>
      <c r="AQ146" s="459">
        <f t="shared" si="147"/>
        <v>0</v>
      </c>
      <c r="AR146" s="459">
        <f t="shared" si="147"/>
        <v>0</v>
      </c>
      <c r="AS146" s="459">
        <f t="shared" si="147"/>
        <v>1.1295833333333334</v>
      </c>
      <c r="AT146" s="459">
        <f t="shared" si="147"/>
        <v>0</v>
      </c>
      <c r="AU146" s="1483">
        <f t="shared" si="147"/>
        <v>0</v>
      </c>
      <c r="AV146" s="1471">
        <f t="shared" si="147"/>
        <v>0</v>
      </c>
      <c r="AW146" s="459">
        <f t="shared" si="147"/>
        <v>0</v>
      </c>
      <c r="AX146" s="459">
        <f t="shared" si="147"/>
        <v>0</v>
      </c>
      <c r="AY146" s="459">
        <f t="shared" si="147"/>
        <v>0</v>
      </c>
      <c r="AZ146" s="459">
        <f t="shared" si="147"/>
        <v>0</v>
      </c>
      <c r="BA146" s="1483">
        <f t="shared" si="147"/>
        <v>0</v>
      </c>
      <c r="BB146" s="1471">
        <f t="shared" si="147"/>
        <v>0</v>
      </c>
      <c r="BC146" s="459">
        <f t="shared" si="147"/>
        <v>0</v>
      </c>
      <c r="BD146" s="459">
        <f t="shared" si="147"/>
        <v>0</v>
      </c>
      <c r="BE146" s="459">
        <f t="shared" si="147"/>
        <v>0</v>
      </c>
      <c r="BF146" s="459">
        <f t="shared" si="147"/>
        <v>0</v>
      </c>
      <c r="BG146" s="459">
        <f t="shared" si="147"/>
        <v>0</v>
      </c>
      <c r="BH146" s="459">
        <f t="shared" si="147"/>
        <v>0</v>
      </c>
      <c r="BI146" s="459">
        <f t="shared" si="147"/>
        <v>0</v>
      </c>
      <c r="BJ146" s="459">
        <f t="shared" si="147"/>
        <v>0</v>
      </c>
      <c r="BK146" s="339"/>
      <c r="BL146" s="479">
        <f t="shared" si="147"/>
        <v>305.70212765957444</v>
      </c>
      <c r="BM146" s="479">
        <f t="shared" si="147"/>
        <v>277.91666666666669</v>
      </c>
      <c r="BN146" s="479">
        <f t="shared" si="147"/>
        <v>293.41666666666669</v>
      </c>
      <c r="BO146" s="1597">
        <f t="shared" si="147"/>
        <v>290.16666666666669</v>
      </c>
      <c r="BP146" s="1471">
        <f t="shared" si="147"/>
        <v>146.66666666666666</v>
      </c>
      <c r="BQ146" s="459">
        <f t="shared" si="147"/>
        <v>143.11111111111111</v>
      </c>
      <c r="BR146" s="459">
        <f t="shared" si="147"/>
        <v>147.45762711864407</v>
      </c>
      <c r="BS146" s="459">
        <f t="shared" si="147"/>
        <v>144</v>
      </c>
      <c r="BT146" s="459">
        <f t="shared" si="147"/>
        <v>143.22869955156949</v>
      </c>
      <c r="BU146" s="459">
        <f t="shared" si="147"/>
        <v>147.75</v>
      </c>
      <c r="BV146" s="459">
        <f t="shared" si="147"/>
        <v>148.16666666666666</v>
      </c>
      <c r="BW146" s="459">
        <f t="shared" si="147"/>
        <v>144.5</v>
      </c>
      <c r="BX146" s="1483">
        <f t="shared" si="147"/>
        <v>146.25</v>
      </c>
      <c r="BY146" s="1471">
        <f t="shared" si="147"/>
        <v>143.5</v>
      </c>
      <c r="BZ146" s="459">
        <f t="shared" si="147"/>
        <v>0</v>
      </c>
      <c r="CA146" s="459">
        <f t="shared" si="147"/>
        <v>0</v>
      </c>
      <c r="CB146" s="459">
        <f t="shared" si="147"/>
        <v>0</v>
      </c>
      <c r="CC146" s="459">
        <f t="shared" si="147"/>
        <v>0</v>
      </c>
      <c r="CD146" s="1483">
        <f t="shared" si="147"/>
        <v>0</v>
      </c>
      <c r="CE146" s="1471">
        <f t="shared" si="147"/>
        <v>0</v>
      </c>
      <c r="CF146" s="459">
        <f t="shared" si="147"/>
        <v>0</v>
      </c>
      <c r="CG146" s="459">
        <f t="shared" si="147"/>
        <v>0</v>
      </c>
      <c r="CH146" s="459">
        <f t="shared" si="147"/>
        <v>0</v>
      </c>
      <c r="CI146" s="459">
        <f t="shared" si="147"/>
        <v>0</v>
      </c>
      <c r="CJ146" s="459">
        <f t="shared" si="147"/>
        <v>0</v>
      </c>
      <c r="CK146" s="459">
        <f t="shared" si="147"/>
        <v>0</v>
      </c>
      <c r="CL146" s="459">
        <f t="shared" si="147"/>
        <v>0</v>
      </c>
      <c r="CM146" s="459">
        <f t="shared" si="147"/>
        <v>0</v>
      </c>
      <c r="CN146" s="339"/>
      <c r="CO146" s="459">
        <f t="shared" si="147"/>
        <v>0</v>
      </c>
      <c r="CP146" s="459">
        <f t="shared" si="147"/>
        <v>14.083333333333334</v>
      </c>
      <c r="CQ146" s="459">
        <f t="shared" si="147"/>
        <v>8</v>
      </c>
      <c r="CR146" s="1483">
        <f t="shared" si="147"/>
        <v>11.333333333333334</v>
      </c>
      <c r="CS146" s="1471">
        <f t="shared" si="147"/>
        <v>16.333333333333332</v>
      </c>
      <c r="CT146" s="459">
        <f t="shared" si="147"/>
        <v>18.583333333333332</v>
      </c>
      <c r="CU146" s="459">
        <f t="shared" si="147"/>
        <v>21.882352941176471</v>
      </c>
      <c r="CV146" s="459">
        <f t="shared" si="147"/>
        <v>16.25</v>
      </c>
      <c r="CW146" s="459">
        <f t="shared" si="147"/>
        <v>16.927899686520377</v>
      </c>
      <c r="CX146" s="459">
        <f t="shared" si="147"/>
        <v>18.166666666666668</v>
      </c>
      <c r="CY146" s="459">
        <f t="shared" si="147"/>
        <v>14.5</v>
      </c>
      <c r="CZ146" s="459">
        <f t="shared" si="147"/>
        <v>16.5</v>
      </c>
      <c r="DA146" s="1483">
        <f t="shared" si="147"/>
        <v>15</v>
      </c>
      <c r="DB146" s="1471">
        <f t="shared" si="147"/>
        <v>0</v>
      </c>
      <c r="DC146" s="459">
        <f t="shared" si="147"/>
        <v>0</v>
      </c>
      <c r="DD146" s="459">
        <f t="shared" si="147"/>
        <v>0</v>
      </c>
      <c r="DE146" s="459">
        <f t="shared" si="147"/>
        <v>0</v>
      </c>
      <c r="DF146" s="459">
        <f t="shared" ref="DF146:DP146" si="148">DF$73</f>
        <v>0</v>
      </c>
      <c r="DG146" s="1483">
        <f t="shared" si="148"/>
        <v>0</v>
      </c>
      <c r="DH146" s="1471">
        <f t="shared" si="148"/>
        <v>0</v>
      </c>
      <c r="DI146" s="459">
        <f t="shared" si="148"/>
        <v>0</v>
      </c>
      <c r="DJ146" s="459">
        <f t="shared" si="148"/>
        <v>0</v>
      </c>
      <c r="DK146" s="459">
        <f t="shared" si="148"/>
        <v>0</v>
      </c>
      <c r="DL146" s="459">
        <f t="shared" si="148"/>
        <v>0</v>
      </c>
      <c r="DM146" s="459">
        <f t="shared" si="148"/>
        <v>0</v>
      </c>
      <c r="DN146" s="459">
        <f t="shared" si="148"/>
        <v>0</v>
      </c>
      <c r="DO146" s="459">
        <f t="shared" si="148"/>
        <v>0</v>
      </c>
      <c r="DP146" s="459">
        <f t="shared" si="148"/>
        <v>0</v>
      </c>
      <c r="DQ146" s="339"/>
      <c r="DR146" s="459"/>
      <c r="DS146" s="459">
        <f>SUM(DS$121:DS$126)</f>
        <v>16.1142</v>
      </c>
      <c r="DT146" s="459">
        <f t="shared" ref="DT146:EH146" si="149">SUM(DT$121:DT$126)</f>
        <v>17.269020000000001</v>
      </c>
      <c r="DU146" s="459">
        <f>SUM(DU$121:DU$126)</f>
        <v>5.605669166666666</v>
      </c>
      <c r="DV146" s="1483">
        <f t="shared" si="149"/>
        <v>5.4921350000000011</v>
      </c>
      <c r="DW146" s="1471">
        <f t="shared" si="149"/>
        <v>6.8726517391304345</v>
      </c>
      <c r="DX146" s="459">
        <f t="shared" si="149"/>
        <v>7.1523333333333339</v>
      </c>
      <c r="DY146" s="459">
        <f t="shared" si="149"/>
        <v>7.2654182608695645</v>
      </c>
      <c r="DZ146" s="459">
        <f t="shared" si="149"/>
        <v>7.2346883333333336</v>
      </c>
      <c r="EA146" s="459">
        <f t="shared" si="149"/>
        <v>6.9420358333333336</v>
      </c>
      <c r="EB146" s="459">
        <f t="shared" si="149"/>
        <v>7.5514133333333335</v>
      </c>
      <c r="EC146" s="459">
        <f t="shared" si="149"/>
        <v>7.7438399999999996</v>
      </c>
      <c r="ED146" s="459">
        <f t="shared" si="149"/>
        <v>7.6956075000000004</v>
      </c>
      <c r="EE146" s="1483">
        <f t="shared" si="149"/>
        <v>7.6256249999999994</v>
      </c>
      <c r="EF146" s="1471">
        <f t="shared" si="149"/>
        <v>0</v>
      </c>
      <c r="EG146" s="459">
        <f t="shared" si="149"/>
        <v>0</v>
      </c>
      <c r="EH146" s="459">
        <f t="shared" si="149"/>
        <v>0</v>
      </c>
      <c r="EI146" s="459"/>
      <c r="EJ146" s="459"/>
      <c r="EK146" s="1483"/>
      <c r="EL146" s="1471"/>
      <c r="EM146" s="459"/>
      <c r="EN146" s="459"/>
      <c r="EO146" s="459"/>
      <c r="EP146" s="459"/>
      <c r="EQ146" s="459"/>
      <c r="ER146" s="459"/>
      <c r="ES146" s="459"/>
      <c r="ET146" s="459"/>
      <c r="EU146" s="339"/>
      <c r="EV146" s="459">
        <f>SUM(EV$121:EV$126)</f>
        <v>0.57925500000000008</v>
      </c>
      <c r="EW146" s="459">
        <f t="shared" ref="EW146:FW146" si="150">SUM(EW$121:EW$126)</f>
        <v>0.39134083333333325</v>
      </c>
      <c r="EX146" s="459">
        <f t="shared" si="150"/>
        <v>6.9958333333333331E-2</v>
      </c>
      <c r="EY146" s="1483">
        <f t="shared" si="150"/>
        <v>7.5093750000000001E-2</v>
      </c>
      <c r="EZ146" s="1471">
        <f t="shared" si="150"/>
        <v>1.8306417391304346</v>
      </c>
      <c r="FA146" s="459">
        <f t="shared" si="150"/>
        <v>2.5750000000000002</v>
      </c>
      <c r="FB146" s="459">
        <f t="shared" si="150"/>
        <v>2.5931458823529412</v>
      </c>
      <c r="FC146" s="459">
        <f t="shared" si="150"/>
        <v>2.392665</v>
      </c>
      <c r="FD146" s="459">
        <f t="shared" si="150"/>
        <v>1.9742000000000002</v>
      </c>
      <c r="FE146" s="459">
        <f t="shared" si="150"/>
        <v>2.2732262500000004</v>
      </c>
      <c r="FF146" s="459">
        <f t="shared" si="150"/>
        <v>1.2447916666666667</v>
      </c>
      <c r="FG146" s="459">
        <f t="shared" si="150"/>
        <v>1.9791950000000003</v>
      </c>
      <c r="FH146" s="1483">
        <f t="shared" si="150"/>
        <v>2.7313512500000003</v>
      </c>
      <c r="FI146" s="1471">
        <f t="shared" si="150"/>
        <v>0</v>
      </c>
      <c r="FJ146" s="459">
        <f t="shared" si="150"/>
        <v>0</v>
      </c>
      <c r="FK146" s="459">
        <f t="shared" si="150"/>
        <v>0</v>
      </c>
      <c r="FL146" s="459">
        <f t="shared" si="150"/>
        <v>0</v>
      </c>
      <c r="FM146" s="459">
        <f t="shared" si="150"/>
        <v>0</v>
      </c>
      <c r="FN146" s="1483">
        <f t="shared" si="150"/>
        <v>0</v>
      </c>
      <c r="FO146" s="1471">
        <f t="shared" si="150"/>
        <v>0</v>
      </c>
      <c r="FP146" s="459">
        <f t="shared" si="150"/>
        <v>0</v>
      </c>
      <c r="FQ146" s="459">
        <f t="shared" si="150"/>
        <v>0</v>
      </c>
      <c r="FR146" s="459">
        <f t="shared" si="150"/>
        <v>0</v>
      </c>
      <c r="FS146" s="459">
        <f t="shared" si="150"/>
        <v>0</v>
      </c>
      <c r="FT146" s="459">
        <f t="shared" si="150"/>
        <v>0</v>
      </c>
      <c r="FU146" s="459">
        <f t="shared" si="150"/>
        <v>0</v>
      </c>
      <c r="FV146" s="459">
        <f t="shared" si="150"/>
        <v>0</v>
      </c>
      <c r="FW146" s="459">
        <f t="shared" si="150"/>
        <v>0</v>
      </c>
    </row>
    <row r="147" spans="3:179" hidden="1" x14ac:dyDescent="0.35">
      <c r="C147" s="444" t="s">
        <v>294</v>
      </c>
      <c r="D147" s="444"/>
      <c r="E147" s="444"/>
      <c r="F147" s="1044">
        <f t="shared" ref="F147:U147" si="151">(F$224+F$227+BL$73+CO$73+SUM(DS$121:DS$126)+SUM(EV$121:EV$126))/F$73</f>
        <v>1.0200677482312313</v>
      </c>
      <c r="G147" s="469">
        <f t="shared" si="151"/>
        <v>0.99635715818852766</v>
      </c>
      <c r="H147" s="469">
        <f t="shared" si="151"/>
        <v>0.97601336758013435</v>
      </c>
      <c r="I147" s="1257">
        <f t="shared" si="151"/>
        <v>0.9873267963179132</v>
      </c>
      <c r="J147" s="1202">
        <f t="shared" si="151"/>
        <v>0.94462169599829071</v>
      </c>
      <c r="K147" s="254">
        <f t="shared" si="151"/>
        <v>0.97621424992292039</v>
      </c>
      <c r="L147" s="254">
        <f t="shared" si="151"/>
        <v>1.0163133293273947</v>
      </c>
      <c r="M147" s="254">
        <f t="shared" si="151"/>
        <v>0.98203150674132889</v>
      </c>
      <c r="N147" s="254">
        <f t="shared" si="151"/>
        <v>0.98125360113809545</v>
      </c>
      <c r="O147" s="1257">
        <f t="shared" si="151"/>
        <v>0.98481722858053922</v>
      </c>
      <c r="P147" s="1202">
        <f t="shared" si="151"/>
        <v>0.96172970205537678</v>
      </c>
      <c r="Q147" s="254">
        <f t="shared" si="151"/>
        <v>0.96863512902588145</v>
      </c>
      <c r="R147" s="1257">
        <f t="shared" si="151"/>
        <v>0.9740569491491744</v>
      </c>
      <c r="S147" s="1202" t="e">
        <f t="shared" si="151"/>
        <v>#DIV/0!</v>
      </c>
      <c r="T147" s="254" t="e">
        <f t="shared" si="151"/>
        <v>#DIV/0!</v>
      </c>
      <c r="U147" s="254" t="e">
        <f t="shared" si="151"/>
        <v>#DIV/0!</v>
      </c>
      <c r="AI147" s="468"/>
      <c r="AJ147" s="468"/>
      <c r="AK147" s="468"/>
      <c r="AL147" s="1264"/>
      <c r="AM147" s="1210"/>
      <c r="AN147" s="468"/>
      <c r="AO147" s="468"/>
      <c r="AP147" s="468"/>
      <c r="AQ147" s="468"/>
      <c r="AR147" s="468"/>
      <c r="AS147" s="468"/>
      <c r="AT147" s="468"/>
      <c r="AU147" s="1264"/>
      <c r="AV147" s="1210"/>
      <c r="AW147" s="468"/>
      <c r="AX147" s="468"/>
      <c r="AY147" s="468"/>
      <c r="AZ147" s="468"/>
      <c r="BA147" s="1264"/>
      <c r="BB147" s="1210"/>
      <c r="BC147" s="468"/>
      <c r="BD147" s="468"/>
      <c r="BE147" s="468"/>
      <c r="BF147" s="468"/>
      <c r="BG147" s="468"/>
      <c r="BH147" s="468"/>
      <c r="BI147" s="468"/>
      <c r="BJ147" s="468"/>
      <c r="BL147" s="468"/>
      <c r="BM147" s="468"/>
      <c r="BN147" s="468"/>
      <c r="BO147" s="1264"/>
      <c r="BP147" s="1210"/>
      <c r="BQ147" s="468"/>
      <c r="BR147" s="468"/>
      <c r="BS147" s="468"/>
      <c r="BT147" s="468"/>
      <c r="BU147" s="468"/>
      <c r="BV147" s="468"/>
      <c r="BW147" s="468"/>
      <c r="BX147" s="1264"/>
      <c r="BY147" s="1210"/>
      <c r="BZ147" s="468"/>
      <c r="CA147" s="468"/>
      <c r="CB147" s="468"/>
      <c r="CC147" s="468"/>
      <c r="CD147" s="1264"/>
      <c r="CE147" s="1210"/>
      <c r="CF147" s="468"/>
      <c r="CG147" s="468"/>
      <c r="CH147" s="468"/>
      <c r="CI147" s="468"/>
      <c r="CJ147" s="468"/>
      <c r="CK147" s="468"/>
      <c r="CL147" s="468"/>
      <c r="CM147" s="468"/>
      <c r="CO147" s="468"/>
      <c r="CP147" s="468"/>
      <c r="CQ147" s="468"/>
      <c r="CR147" s="1264"/>
      <c r="CS147" s="1210"/>
      <c r="CT147" s="468"/>
      <c r="CU147" s="468"/>
      <c r="CV147" s="468"/>
      <c r="CW147" s="468"/>
      <c r="CX147" s="468"/>
      <c r="CY147" s="470"/>
      <c r="CZ147" s="470"/>
      <c r="DA147" s="1500"/>
      <c r="DB147" s="1491"/>
      <c r="DC147" s="470"/>
      <c r="DD147" s="470"/>
      <c r="DE147" s="468"/>
      <c r="DF147" s="468"/>
      <c r="DG147" s="1264"/>
      <c r="DH147" s="1210"/>
      <c r="DI147" s="468"/>
      <c r="DJ147" s="468"/>
      <c r="DK147" s="468"/>
      <c r="DL147" s="468"/>
      <c r="DM147" s="468"/>
      <c r="DN147" s="468"/>
      <c r="DO147" s="468"/>
      <c r="DP147" s="468"/>
      <c r="DR147" s="471"/>
      <c r="DS147" s="472"/>
      <c r="DT147" s="472"/>
      <c r="DU147" s="472"/>
      <c r="DV147" s="1561"/>
      <c r="DW147" s="1543"/>
      <c r="DX147" s="472"/>
      <c r="DY147" s="472"/>
      <c r="DZ147" s="472"/>
      <c r="EA147" s="472"/>
      <c r="EB147" s="472"/>
      <c r="EC147" s="472"/>
      <c r="ED147" s="472"/>
      <c r="EE147" s="1561"/>
      <c r="EF147" s="1543"/>
      <c r="EG147" s="472"/>
      <c r="EH147" s="472"/>
      <c r="EI147" s="472"/>
      <c r="EJ147" s="472"/>
      <c r="EK147" s="1561"/>
      <c r="EL147" s="1543"/>
      <c r="EM147" s="472"/>
      <c r="EN147" s="472"/>
      <c r="EO147" s="472"/>
      <c r="EP147" s="472"/>
      <c r="EQ147" s="472"/>
      <c r="ER147" s="472"/>
      <c r="ES147" s="472"/>
      <c r="ET147" s="472"/>
      <c r="EV147" s="472"/>
      <c r="EW147" s="472"/>
      <c r="EX147" s="472"/>
      <c r="EY147" s="1561"/>
      <c r="EZ147" s="1543"/>
      <c r="FA147" s="472"/>
      <c r="FB147" s="472"/>
      <c r="FC147" s="472"/>
      <c r="FD147" s="472"/>
      <c r="FE147" s="472"/>
      <c r="FF147" s="472"/>
      <c r="FG147" s="472"/>
      <c r="FH147" s="1561"/>
      <c r="FI147" s="1210"/>
      <c r="FJ147" s="473"/>
      <c r="FK147" s="468"/>
      <c r="FL147" s="468"/>
      <c r="FM147" s="468"/>
      <c r="FN147" s="1264"/>
      <c r="FO147" s="1210"/>
      <c r="FP147" s="468"/>
      <c r="FQ147" s="468"/>
      <c r="FR147" s="468"/>
      <c r="FS147" s="468"/>
      <c r="FT147" s="468"/>
      <c r="FU147" s="468"/>
      <c r="FV147" s="468"/>
      <c r="FW147" s="468"/>
    </row>
    <row r="148" spans="3:179" x14ac:dyDescent="0.35">
      <c r="C148" s="444"/>
      <c r="D148" s="444"/>
      <c r="E148" s="444"/>
      <c r="F148" s="1044"/>
      <c r="G148" s="468"/>
      <c r="H148" s="468"/>
      <c r="O148" s="1236"/>
      <c r="P148" s="643"/>
      <c r="AI148" s="468"/>
      <c r="AJ148" s="468"/>
      <c r="AK148" s="468"/>
      <c r="AL148" s="1264"/>
      <c r="AM148" s="1210"/>
      <c r="AN148" s="468"/>
      <c r="AO148" s="468"/>
      <c r="AP148" s="468"/>
      <c r="AQ148" s="468"/>
      <c r="AR148" s="468"/>
      <c r="AS148" s="468"/>
      <c r="AT148" s="468"/>
      <c r="AU148" s="1264"/>
      <c r="AV148" s="1210"/>
      <c r="AW148" s="468"/>
      <c r="AX148" s="468"/>
      <c r="AY148" s="468"/>
      <c r="AZ148" s="468"/>
      <c r="BA148" s="1264"/>
      <c r="BB148" s="1210"/>
      <c r="BC148" s="468"/>
      <c r="BD148" s="468"/>
      <c r="BE148" s="468"/>
      <c r="BF148" s="468"/>
      <c r="BG148" s="468"/>
      <c r="BH148" s="468"/>
      <c r="BI148" s="468"/>
      <c r="BJ148" s="468"/>
      <c r="BL148" s="468"/>
      <c r="BM148" s="468"/>
      <c r="BN148" s="468"/>
      <c r="BO148" s="1264"/>
      <c r="BP148" s="1210"/>
      <c r="BQ148" s="468"/>
      <c r="BR148" s="468"/>
      <c r="BS148" s="468"/>
      <c r="BT148" s="468"/>
      <c r="BU148" s="468"/>
      <c r="BV148" s="468"/>
      <c r="BW148" s="468"/>
      <c r="BX148" s="1264"/>
      <c r="BY148" s="1210"/>
      <c r="BZ148" s="468"/>
      <c r="CA148" s="468"/>
      <c r="CB148" s="468"/>
      <c r="CC148" s="468"/>
      <c r="CD148" s="1264"/>
      <c r="CE148" s="1210"/>
      <c r="CF148" s="468"/>
      <c r="CG148" s="468"/>
      <c r="CH148" s="468"/>
      <c r="CI148" s="468"/>
      <c r="CJ148" s="468"/>
      <c r="CK148" s="468"/>
      <c r="CL148" s="468"/>
      <c r="CM148" s="468"/>
      <c r="CO148" s="468"/>
      <c r="CP148" s="468"/>
      <c r="CQ148" s="468"/>
      <c r="CR148" s="1264"/>
      <c r="CS148" s="1210"/>
      <c r="CT148" s="468"/>
      <c r="CU148" s="468"/>
      <c r="CV148" s="468"/>
      <c r="CW148" s="468"/>
      <c r="CX148" s="468"/>
      <c r="CY148" s="470"/>
      <c r="CZ148" s="470"/>
      <c r="DA148" s="1500"/>
      <c r="DB148" s="1491"/>
      <c r="DC148" s="470"/>
      <c r="DD148" s="470"/>
      <c r="DE148" s="468"/>
      <c r="DF148" s="468"/>
      <c r="DG148" s="1264"/>
      <c r="DH148" s="1210"/>
      <c r="DI148" s="468"/>
      <c r="DJ148" s="468"/>
      <c r="DK148" s="468"/>
      <c r="DL148" s="468"/>
      <c r="DM148" s="468"/>
      <c r="DN148" s="468"/>
      <c r="DO148" s="468"/>
      <c r="DP148" s="468"/>
      <c r="DR148" s="471"/>
      <c r="DS148" s="472"/>
      <c r="DT148" s="472"/>
      <c r="DU148" s="472"/>
      <c r="DV148" s="1561"/>
      <c r="DW148" s="1543"/>
      <c r="DX148" s="472"/>
      <c r="DY148" s="472"/>
      <c r="DZ148" s="472"/>
      <c r="EA148" s="472"/>
      <c r="EB148" s="472"/>
      <c r="EC148" s="472"/>
      <c r="ED148" s="472"/>
      <c r="EE148" s="1561"/>
      <c r="EF148" s="1543"/>
      <c r="EG148" s="472"/>
      <c r="EH148" s="472"/>
      <c r="EI148" s="472"/>
      <c r="EJ148" s="472"/>
      <c r="EK148" s="1561"/>
      <c r="EL148" s="1543"/>
      <c r="EM148" s="472"/>
      <c r="EN148" s="472"/>
      <c r="EO148" s="472"/>
      <c r="EP148" s="472"/>
      <c r="EQ148" s="472"/>
      <c r="ER148" s="472"/>
      <c r="ES148" s="472"/>
      <c r="ET148" s="472"/>
      <c r="EV148" s="472"/>
      <c r="EW148" s="472"/>
      <c r="EX148" s="472"/>
      <c r="EY148" s="1561"/>
      <c r="EZ148" s="1543"/>
      <c r="FA148" s="472"/>
      <c r="FB148" s="472"/>
      <c r="FC148" s="472"/>
      <c r="FD148" s="472"/>
      <c r="FE148" s="472"/>
      <c r="FF148" s="472"/>
      <c r="FG148" s="472"/>
      <c r="FH148" s="1561"/>
      <c r="FI148" s="1210"/>
      <c r="FJ148" s="473"/>
      <c r="FK148" s="468"/>
      <c r="FL148" s="468"/>
      <c r="FM148" s="468"/>
      <c r="FN148" s="1264"/>
      <c r="FO148" s="1210"/>
      <c r="FP148" s="468"/>
      <c r="FQ148" s="468"/>
      <c r="FR148" s="468"/>
      <c r="FS148" s="468"/>
      <c r="FT148" s="468"/>
      <c r="FU148" s="468"/>
      <c r="FV148" s="468"/>
      <c r="FW148" s="468"/>
    </row>
    <row r="149" spans="3:179" x14ac:dyDescent="0.35">
      <c r="C149" s="444" t="s">
        <v>435</v>
      </c>
      <c r="D149" s="444"/>
      <c r="E149" s="444"/>
      <c r="F149" s="492">
        <f t="shared" ref="F149:U149" si="152">(AI$146+BL$146+CO$146+DS$146+EV$146+F$224+F$227)/F$146</f>
        <v>1.0200677482312313</v>
      </c>
      <c r="G149" s="446">
        <f t="shared" si="152"/>
        <v>1.0012164932268908</v>
      </c>
      <c r="H149" s="446">
        <f t="shared" si="152"/>
        <v>0.97601336758013435</v>
      </c>
      <c r="I149" s="1242">
        <f t="shared" si="152"/>
        <v>0.9873267963179132</v>
      </c>
      <c r="J149" s="419">
        <f t="shared" si="152"/>
        <v>0.9545092706128584</v>
      </c>
      <c r="K149" s="249">
        <f t="shared" si="152"/>
        <v>0.98430525435079252</v>
      </c>
      <c r="L149" s="249">
        <f t="shared" si="152"/>
        <v>1.0163133293273947</v>
      </c>
      <c r="M149" s="249">
        <f t="shared" si="152"/>
        <v>0.98203150674132889</v>
      </c>
      <c r="N149" s="249">
        <f t="shared" si="152"/>
        <v>0.98125360113809545</v>
      </c>
      <c r="O149" s="1242">
        <f t="shared" si="152"/>
        <v>0.98481722858053899</v>
      </c>
      <c r="P149" s="419">
        <f t="shared" si="152"/>
        <v>0.96769946691444553</v>
      </c>
      <c r="Q149" s="249">
        <f t="shared" si="152"/>
        <v>0.96863512902588145</v>
      </c>
      <c r="R149" s="1242">
        <f t="shared" si="152"/>
        <v>0.9740569491491744</v>
      </c>
      <c r="S149" s="419" t="e">
        <f t="shared" si="152"/>
        <v>#DIV/0!</v>
      </c>
      <c r="T149" s="249" t="e">
        <f t="shared" si="152"/>
        <v>#DIV/0!</v>
      </c>
      <c r="U149" s="249" t="e">
        <f t="shared" si="152"/>
        <v>#DIV/0!</v>
      </c>
      <c r="V149" s="249" t="e">
        <f>(AY$146+CB$146+DE$146+EI$146+FL$146+V$223+V$226)/V$146</f>
        <v>#DIV/0!</v>
      </c>
      <c r="W149" s="249" t="e">
        <f t="shared" ref="W149:AD149" si="153">(AZ$146+CN$146+DQ$146+EU$146+FX$146+W$223+W$226)/W$146</f>
        <v>#DIV/0!</v>
      </c>
      <c r="X149" s="1242" t="e">
        <f t="shared" si="153"/>
        <v>#DIV/0!</v>
      </c>
      <c r="Y149" s="419" t="e">
        <f t="shared" si="153"/>
        <v>#DIV/0!</v>
      </c>
      <c r="Z149" s="249" t="e">
        <f t="shared" si="153"/>
        <v>#DIV/0!</v>
      </c>
      <c r="AA149" s="249" t="e">
        <f t="shared" si="153"/>
        <v>#DIV/0!</v>
      </c>
      <c r="AB149" s="249" t="e">
        <f t="shared" si="153"/>
        <v>#DIV/0!</v>
      </c>
      <c r="AC149" s="249" t="e">
        <f t="shared" si="153"/>
        <v>#DIV/0!</v>
      </c>
      <c r="AD149" s="249" t="e">
        <f t="shared" si="153"/>
        <v>#DIV/0!</v>
      </c>
      <c r="AE149" s="249" t="e">
        <f>(BK$146+CV$146+DY$146+FC$146+GF$146+AE$223+AE$226)/AE$146</f>
        <v>#DIV/0!</v>
      </c>
      <c r="AF149" s="249" t="e">
        <f>(BL$146+CW$146+DZ$146+FD$146+GG$146+AF$223+AF$226)/AF$146</f>
        <v>#DIV/0!</v>
      </c>
      <c r="AG149" s="249" t="e">
        <f>(BM$146+CX$146+EA$146+FE$146+GH$146+AG$223+AG$226)/AG$146</f>
        <v>#DIV/0!</v>
      </c>
      <c r="AI149" s="468"/>
      <c r="AJ149" s="468"/>
      <c r="AK149" s="468"/>
      <c r="AL149" s="1264"/>
      <c r="AM149" s="1210"/>
      <c r="AN149" s="468"/>
      <c r="AO149" s="468"/>
      <c r="AP149" s="468"/>
      <c r="AQ149" s="468"/>
      <c r="AR149" s="468"/>
      <c r="AS149" s="468"/>
      <c r="AT149" s="468"/>
      <c r="AU149" s="1264"/>
      <c r="AV149" s="1210"/>
      <c r="AW149" s="468"/>
      <c r="AX149" s="468"/>
      <c r="AY149" s="468"/>
      <c r="AZ149" s="468"/>
      <c r="BA149" s="1264"/>
      <c r="BB149" s="1210"/>
      <c r="BC149" s="468"/>
      <c r="BD149" s="468"/>
      <c r="BE149" s="468"/>
      <c r="BF149" s="468"/>
      <c r="BG149" s="468"/>
      <c r="BH149" s="468"/>
      <c r="BI149" s="468"/>
      <c r="BJ149" s="468"/>
      <c r="BL149" s="468"/>
      <c r="BM149" s="468"/>
      <c r="BN149" s="468"/>
      <c r="BO149" s="1264"/>
      <c r="BP149" s="1210"/>
      <c r="BQ149" s="468"/>
      <c r="BR149" s="468"/>
      <c r="BS149" s="468"/>
      <c r="BT149" s="468"/>
      <c r="BU149" s="468"/>
      <c r="BV149" s="468"/>
      <c r="BW149" s="468"/>
      <c r="BX149" s="1264"/>
      <c r="BY149" s="1210"/>
      <c r="BZ149" s="468"/>
      <c r="CA149" s="468"/>
      <c r="CB149" s="468"/>
      <c r="CC149" s="468"/>
      <c r="CD149" s="1264"/>
      <c r="CE149" s="1210"/>
      <c r="CF149" s="468"/>
      <c r="CG149" s="468"/>
      <c r="CH149" s="468"/>
      <c r="CI149" s="468"/>
      <c r="CJ149" s="468"/>
      <c r="CK149" s="468"/>
      <c r="CL149" s="468"/>
      <c r="CM149" s="468"/>
      <c r="CO149" s="468"/>
      <c r="CP149" s="468"/>
      <c r="CQ149" s="468"/>
      <c r="CR149" s="1264"/>
      <c r="CS149" s="1210"/>
      <c r="CT149" s="468"/>
      <c r="CU149" s="468"/>
      <c r="CV149" s="468"/>
      <c r="CW149" s="468"/>
      <c r="CX149" s="468"/>
      <c r="CY149" s="470"/>
      <c r="CZ149" s="470"/>
      <c r="DA149" s="1500"/>
      <c r="DB149" s="1491"/>
      <c r="DC149" s="470"/>
      <c r="DD149" s="470"/>
      <c r="DE149" s="468"/>
      <c r="DF149" s="468"/>
      <c r="DG149" s="1264"/>
      <c r="DH149" s="1210"/>
      <c r="DI149" s="468"/>
      <c r="DJ149" s="468"/>
      <c r="DK149" s="468"/>
      <c r="DL149" s="468"/>
      <c r="DM149" s="468"/>
      <c r="DN149" s="468"/>
      <c r="DO149" s="468"/>
      <c r="DP149" s="468"/>
      <c r="DR149" s="471"/>
      <c r="DS149" s="472"/>
      <c r="DT149" s="472"/>
      <c r="DU149" s="472"/>
      <c r="DV149" s="1561"/>
      <c r="DW149" s="1543"/>
      <c r="DX149" s="472"/>
      <c r="DY149" s="472"/>
      <c r="DZ149" s="472"/>
      <c r="EA149" s="472"/>
      <c r="EB149" s="472"/>
      <c r="EC149" s="472"/>
      <c r="ED149" s="472"/>
      <c r="EE149" s="1561"/>
      <c r="EF149" s="1543"/>
      <c r="EG149" s="472"/>
      <c r="EH149" s="472"/>
      <c r="EI149" s="472"/>
      <c r="EJ149" s="472"/>
      <c r="EK149" s="1561"/>
      <c r="EL149" s="1543"/>
      <c r="EM149" s="472"/>
      <c r="EN149" s="472"/>
      <c r="EO149" s="472"/>
      <c r="EP149" s="472"/>
      <c r="EQ149" s="472"/>
      <c r="ER149" s="472"/>
      <c r="ES149" s="472"/>
      <c r="ET149" s="472"/>
      <c r="EV149" s="472"/>
      <c r="EW149" s="472"/>
      <c r="EX149" s="472"/>
      <c r="EY149" s="1561"/>
      <c r="EZ149" s="1543"/>
      <c r="FA149" s="472"/>
      <c r="FB149" s="472"/>
      <c r="FC149" s="472"/>
      <c r="FD149" s="472"/>
      <c r="FE149" s="472"/>
      <c r="FF149" s="472"/>
      <c r="FG149" s="472"/>
      <c r="FH149" s="1561"/>
      <c r="FI149" s="1210"/>
      <c r="FJ149" s="473"/>
      <c r="FK149" s="468"/>
      <c r="FL149" s="468"/>
      <c r="FM149" s="468"/>
      <c r="FN149" s="1264"/>
      <c r="FO149" s="1210"/>
      <c r="FP149" s="468"/>
      <c r="FQ149" s="468"/>
      <c r="FR149" s="468"/>
      <c r="FS149" s="468"/>
      <c r="FT149" s="468"/>
      <c r="FU149" s="468"/>
      <c r="FV149" s="468"/>
      <c r="FW149" s="468"/>
    </row>
    <row r="150" spans="3:179" x14ac:dyDescent="0.35">
      <c r="C150" s="444"/>
      <c r="D150" s="444"/>
      <c r="E150" s="444"/>
      <c r="F150" s="492"/>
      <c r="G150" s="494"/>
      <c r="H150" s="446"/>
      <c r="I150" s="1242"/>
      <c r="J150" s="419"/>
      <c r="K150" s="249"/>
      <c r="L150" s="249"/>
      <c r="M150" s="249"/>
      <c r="N150" s="249"/>
      <c r="O150" s="1242"/>
      <c r="P150" s="419"/>
      <c r="Q150" s="249"/>
      <c r="R150" s="1242"/>
      <c r="S150" s="419"/>
      <c r="T150" s="249"/>
      <c r="U150" s="249"/>
      <c r="V150" s="249"/>
      <c r="W150" s="249"/>
      <c r="X150" s="1242"/>
      <c r="Y150" s="419"/>
      <c r="Z150" s="249"/>
      <c r="AA150" s="249"/>
      <c r="AB150" s="249"/>
      <c r="AC150" s="249"/>
      <c r="AD150" s="249"/>
      <c r="AE150" s="249"/>
      <c r="AF150" s="249"/>
      <c r="AG150" s="249"/>
      <c r="AI150" s="468"/>
      <c r="AJ150" s="468"/>
      <c r="AK150" s="468"/>
      <c r="AL150" s="1264"/>
      <c r="AM150" s="1210"/>
      <c r="AN150" s="468"/>
      <c r="AO150" s="468"/>
      <c r="AP150" s="468"/>
      <c r="AQ150" s="468"/>
      <c r="AR150" s="468"/>
      <c r="AS150" s="468"/>
      <c r="AT150" s="468"/>
      <c r="AU150" s="1264"/>
      <c r="AV150" s="1210"/>
      <c r="AW150" s="468"/>
      <c r="AX150" s="468"/>
      <c r="AY150" s="468"/>
      <c r="AZ150" s="468"/>
      <c r="BA150" s="1264"/>
      <c r="BB150" s="1210"/>
      <c r="BC150" s="468"/>
      <c r="BD150" s="468"/>
      <c r="BE150" s="468"/>
      <c r="BF150" s="468"/>
      <c r="BG150" s="468"/>
      <c r="BH150" s="468"/>
      <c r="BI150" s="468"/>
      <c r="BJ150" s="468"/>
      <c r="BL150" s="468"/>
      <c r="BM150" s="468"/>
      <c r="BN150" s="468"/>
      <c r="BO150" s="1264"/>
      <c r="BP150" s="1210"/>
      <c r="BQ150" s="468"/>
      <c r="BR150" s="468"/>
      <c r="BS150" s="468"/>
      <c r="BT150" s="468"/>
      <c r="BU150" s="468"/>
      <c r="BV150" s="468"/>
      <c r="BW150" s="468"/>
      <c r="BX150" s="1264"/>
      <c r="BY150" s="1210"/>
      <c r="BZ150" s="468"/>
      <c r="CA150" s="468"/>
      <c r="CB150" s="468"/>
      <c r="CC150" s="468"/>
      <c r="CD150" s="1264"/>
      <c r="CE150" s="1210"/>
      <c r="CF150" s="468"/>
      <c r="CG150" s="468"/>
      <c r="CH150" s="468"/>
      <c r="CI150" s="468"/>
      <c r="CJ150" s="468"/>
      <c r="CK150" s="468"/>
      <c r="CL150" s="468"/>
      <c r="CM150" s="468"/>
      <c r="CO150" s="468"/>
      <c r="CP150" s="468"/>
      <c r="CQ150" s="468"/>
      <c r="CR150" s="1264"/>
      <c r="CS150" s="1210"/>
      <c r="CT150" s="468"/>
      <c r="CU150" s="468"/>
      <c r="CV150" s="468"/>
      <c r="CW150" s="468"/>
      <c r="CX150" s="468"/>
      <c r="CY150" s="470"/>
      <c r="CZ150" s="470"/>
      <c r="DA150" s="1500"/>
      <c r="DB150" s="1491"/>
      <c r="DC150" s="470"/>
      <c r="DD150" s="470"/>
      <c r="DE150" s="468"/>
      <c r="DF150" s="468"/>
      <c r="DG150" s="1264"/>
      <c r="DH150" s="1210"/>
      <c r="DI150" s="468"/>
      <c r="DJ150" s="468"/>
      <c r="DK150" s="468"/>
      <c r="DL150" s="468"/>
      <c r="DM150" s="468"/>
      <c r="DN150" s="468"/>
      <c r="DO150" s="468"/>
      <c r="DP150" s="468"/>
      <c r="DR150" s="471"/>
      <c r="DS150" s="472"/>
      <c r="DT150" s="472"/>
      <c r="DU150" s="472"/>
      <c r="DV150" s="1561"/>
      <c r="DW150" s="1543"/>
      <c r="DX150" s="472"/>
      <c r="DY150" s="472"/>
      <c r="DZ150" s="472"/>
      <c r="EA150" s="472"/>
      <c r="EB150" s="472"/>
      <c r="EC150" s="472"/>
      <c r="ED150" s="472"/>
      <c r="EE150" s="1561"/>
      <c r="EF150" s="1543"/>
      <c r="EG150" s="472"/>
      <c r="EH150" s="472"/>
      <c r="EI150" s="472"/>
      <c r="EJ150" s="472"/>
      <c r="EK150" s="1561"/>
      <c r="EL150" s="1543"/>
      <c r="EM150" s="472"/>
      <c r="EN150" s="472"/>
      <c r="EO150" s="472"/>
      <c r="EP150" s="472"/>
      <c r="EQ150" s="472"/>
      <c r="ER150" s="472"/>
      <c r="ES150" s="472"/>
      <c r="ET150" s="472"/>
      <c r="EV150" s="472"/>
      <c r="EW150" s="472"/>
      <c r="EX150" s="472"/>
      <c r="EY150" s="1561"/>
      <c r="EZ150" s="1543"/>
      <c r="FA150" s="472"/>
      <c r="FB150" s="472"/>
      <c r="FC150" s="472"/>
      <c r="FD150" s="472"/>
      <c r="FE150" s="472"/>
      <c r="FF150" s="472"/>
      <c r="FG150" s="472"/>
      <c r="FH150" s="1561"/>
      <c r="FI150" s="1210"/>
      <c r="FJ150" s="473"/>
      <c r="FK150" s="468"/>
      <c r="FL150" s="468"/>
      <c r="FM150" s="468"/>
      <c r="FN150" s="1264"/>
      <c r="FO150" s="1210"/>
      <c r="FP150" s="468"/>
      <c r="FQ150" s="468"/>
      <c r="FR150" s="468"/>
      <c r="FS150" s="468"/>
      <c r="FT150" s="468"/>
      <c r="FU150" s="468"/>
      <c r="FV150" s="468"/>
      <c r="FW150" s="468"/>
    </row>
    <row r="151" spans="3:179" x14ac:dyDescent="0.35">
      <c r="C151" s="444" t="s">
        <v>436</v>
      </c>
      <c r="D151" s="444"/>
      <c r="E151" s="444"/>
      <c r="F151" s="492">
        <f>(IFERROR(SUM(DS$131:DS$136),0)+IFERROR(SUM(EV131:EV136),0)+IFERROR(BL$115,0)+IFERROR(CO$115,0)+IFERROR(AI$115,0))/F$115</f>
        <v>1.005408741944436</v>
      </c>
      <c r="G151" s="446">
        <f>(IFERROR(SUM(DT$131:DT$136),0)+IFERROR(SUM(EW131:EW136),0)+IFERROR(BM$115,0)+IFERROR(CP$115,0)+IFERROR(AJ$115,0))/G$115</f>
        <v>0.98111217341259349</v>
      </c>
      <c r="H151" s="446">
        <f>(IFERROR(SUM(DU$131:DU$136),0)+IFERROR(SUM(EX131:EX136),0)+IFERROR(BN$115,0)+IFERROR(CQ$115,0)+IFERROR(AK$115,0))/H$115</f>
        <v>0.96307729625167759</v>
      </c>
      <c r="I151" s="2632">
        <f>(IFERROR(SUM(DV$131:DV$136),0)+IFERROR(SUM(EY131:EY136),0)+IFERROR(BO$115,0)+IFERROR(CR$115,0)+IFERROR(AL$115,0))/I$115</f>
        <v>0.97474053626385437</v>
      </c>
      <c r="J151" s="492">
        <f t="shared" ref="J151:AA151" si="154">(IFERROR(SUM(DW$131:DW$136),0)+IFERROR(SUM(EZ131:EZ136),0)+IFERROR(BP$115,0)+IFERROR(CS$115,0)+IFERROR(AM$115,0))/J$115</f>
        <v>0.93155162721515905</v>
      </c>
      <c r="K151" s="446">
        <f>(IFERROR(SUM(DX$131:DX$136),0)+IFERROR(SUM(FA131:FA136),0)+IFERROR(BQ$115,0)+IFERROR(CT$115,0)+IFERROR(AN$115,0))/K$115</f>
        <v>0.96202669385619599</v>
      </c>
      <c r="L151" s="446">
        <f t="shared" si="154"/>
        <v>0.99814815157373471</v>
      </c>
      <c r="M151" s="446">
        <f t="shared" si="154"/>
        <v>0.96349802957035824</v>
      </c>
      <c r="N151" s="446">
        <f t="shared" si="154"/>
        <v>0.96291661386493255</v>
      </c>
      <c r="O151" s="2632">
        <f t="shared" si="154"/>
        <v>0.96688212024591791</v>
      </c>
      <c r="P151" s="492">
        <f t="shared" si="154"/>
        <v>0.94260296283140721</v>
      </c>
      <c r="Q151" s="446">
        <f t="shared" si="154"/>
        <v>0.95041734785912124</v>
      </c>
      <c r="R151" s="2632">
        <f t="shared" si="154"/>
        <v>0.95419362640218741</v>
      </c>
      <c r="S151" s="492" t="e">
        <f t="shared" si="154"/>
        <v>#DIV/0!</v>
      </c>
      <c r="T151" s="446" t="e">
        <f t="shared" si="154"/>
        <v>#DIV/0!</v>
      </c>
      <c r="U151" s="446" t="e">
        <f t="shared" si="154"/>
        <v>#DIV/0!</v>
      </c>
      <c r="V151" s="446" t="e">
        <f t="shared" si="154"/>
        <v>#DIV/0!</v>
      </c>
      <c r="W151" s="446" t="e">
        <f t="shared" si="154"/>
        <v>#DIV/0!</v>
      </c>
      <c r="X151" s="2632" t="e">
        <f t="shared" si="154"/>
        <v>#DIV/0!</v>
      </c>
      <c r="Y151" s="492" t="e">
        <f t="shared" si="154"/>
        <v>#DIV/0!</v>
      </c>
      <c r="Z151" s="492" t="e">
        <f t="shared" si="154"/>
        <v>#DIV/0!</v>
      </c>
      <c r="AA151" s="492" t="e">
        <f t="shared" si="154"/>
        <v>#DIV/0!</v>
      </c>
      <c r="AB151" s="249" t="e">
        <f t="shared" ref="AB151:AG151" si="155">((SUM(EZ$131:EZ$136)+SUM(GC131:GC136)+CS$115+DV$115)/AB$115)</f>
        <v>#DIV/0!</v>
      </c>
      <c r="AC151" s="249" t="e">
        <f t="shared" si="155"/>
        <v>#DIV/0!</v>
      </c>
      <c r="AD151" s="249" t="e">
        <f t="shared" si="155"/>
        <v>#DIV/0!</v>
      </c>
      <c r="AE151" s="249" t="e">
        <f t="shared" si="155"/>
        <v>#DIV/0!</v>
      </c>
      <c r="AF151" s="249" t="e">
        <f t="shared" si="155"/>
        <v>#DIV/0!</v>
      </c>
      <c r="AG151" s="249" t="e">
        <f t="shared" si="155"/>
        <v>#DIV/0!</v>
      </c>
      <c r="AI151" s="468"/>
      <c r="AJ151" s="468"/>
      <c r="AK151" s="468"/>
      <c r="AL151" s="1264"/>
      <c r="AM151" s="1210"/>
      <c r="AN151" s="468"/>
      <c r="AO151" s="468"/>
      <c r="AP151" s="468"/>
      <c r="AQ151" s="468"/>
      <c r="AR151" s="468"/>
      <c r="AS151" s="468"/>
      <c r="AT151" s="468"/>
      <c r="AU151" s="1264"/>
      <c r="AV151" s="1210"/>
      <c r="AW151" s="468"/>
      <c r="AX151" s="468"/>
      <c r="AY151" s="468"/>
      <c r="AZ151" s="468"/>
      <c r="BA151" s="1264"/>
      <c r="BB151" s="1210"/>
      <c r="BC151" s="468"/>
      <c r="BD151" s="468"/>
      <c r="BE151" s="468"/>
      <c r="BF151" s="468"/>
      <c r="BG151" s="468"/>
      <c r="BH151" s="468"/>
      <c r="BI151" s="468"/>
      <c r="BJ151" s="468"/>
      <c r="BL151" s="468"/>
      <c r="BM151" s="468"/>
      <c r="BN151" s="468"/>
      <c r="BO151" s="1264"/>
      <c r="BP151" s="1210"/>
      <c r="BQ151" s="468"/>
      <c r="BR151" s="468"/>
      <c r="BS151" s="468"/>
      <c r="BT151" s="468"/>
      <c r="BU151" s="468"/>
      <c r="BV151" s="468"/>
      <c r="BW151" s="468"/>
      <c r="BX151" s="1264"/>
      <c r="BY151" s="1210"/>
      <c r="BZ151" s="468"/>
      <c r="CA151" s="468"/>
      <c r="CB151" s="468"/>
      <c r="CC151" s="468"/>
      <c r="CD151" s="1264"/>
      <c r="CE151" s="1210"/>
      <c r="CF151" s="468"/>
      <c r="CG151" s="468"/>
      <c r="CH151" s="468"/>
      <c r="CI151" s="468"/>
      <c r="CJ151" s="468"/>
      <c r="CK151" s="468"/>
      <c r="CL151" s="468"/>
      <c r="CM151" s="468"/>
      <c r="CO151" s="468"/>
      <c r="CP151" s="468"/>
      <c r="CQ151" s="468"/>
      <c r="CR151" s="1264"/>
      <c r="CS151" s="1210"/>
      <c r="CT151" s="468"/>
      <c r="CU151" s="468"/>
      <c r="CV151" s="468"/>
      <c r="CW151" s="468"/>
      <c r="CX151" s="468"/>
      <c r="CY151" s="470"/>
      <c r="CZ151" s="470"/>
      <c r="DA151" s="1500"/>
      <c r="DB151" s="1491"/>
      <c r="DC151" s="470"/>
      <c r="DD151" s="470"/>
      <c r="DE151" s="468"/>
      <c r="DF151" s="468"/>
      <c r="DG151" s="1264"/>
      <c r="DH151" s="1210"/>
      <c r="DI151" s="468"/>
      <c r="DJ151" s="468"/>
      <c r="DK151" s="468"/>
      <c r="DL151" s="468"/>
      <c r="DM151" s="468"/>
      <c r="DN151" s="468"/>
      <c r="DO151" s="468"/>
      <c r="DP151" s="468"/>
      <c r="DR151" s="471"/>
      <c r="DS151" s="472"/>
      <c r="DT151" s="472"/>
      <c r="DU151" s="472"/>
      <c r="DV151" s="1561"/>
      <c r="DW151" s="1543"/>
      <c r="DX151" s="472"/>
      <c r="DY151" s="472"/>
      <c r="DZ151" s="472"/>
      <c r="EA151" s="472"/>
      <c r="EB151" s="472"/>
      <c r="EC151" s="472"/>
      <c r="ED151" s="472"/>
      <c r="EE151" s="1561"/>
      <c r="EF151" s="1543"/>
      <c r="EG151" s="472"/>
      <c r="EH151" s="472"/>
      <c r="EI151" s="472"/>
      <c r="EJ151" s="472"/>
      <c r="EK151" s="1561"/>
      <c r="EL151" s="1543"/>
      <c r="EM151" s="472"/>
      <c r="EN151" s="472"/>
      <c r="EO151" s="472"/>
      <c r="EP151" s="472"/>
      <c r="EQ151" s="472"/>
      <c r="ER151" s="472"/>
      <c r="ES151" s="472"/>
      <c r="ET151" s="472"/>
      <c r="EV151" s="472"/>
      <c r="EW151" s="472"/>
      <c r="EX151" s="472"/>
      <c r="EY151" s="1561"/>
      <c r="EZ151" s="1543"/>
      <c r="FA151" s="472"/>
      <c r="FB151" s="472"/>
      <c r="FC151" s="472"/>
      <c r="FD151" s="472"/>
      <c r="FE151" s="472"/>
      <c r="FF151" s="472"/>
      <c r="FG151" s="472"/>
      <c r="FH151" s="1561"/>
      <c r="FI151" s="1210"/>
      <c r="FJ151" s="473"/>
      <c r="FK151" s="468"/>
      <c r="FL151" s="468"/>
      <c r="FM151" s="468"/>
      <c r="FN151" s="1264"/>
      <c r="FO151" s="1210"/>
      <c r="FP151" s="468"/>
      <c r="FQ151" s="468"/>
      <c r="FR151" s="468"/>
      <c r="FS151" s="468"/>
      <c r="FT151" s="468"/>
      <c r="FU151" s="468"/>
      <c r="FV151" s="468"/>
      <c r="FW151" s="468"/>
    </row>
    <row r="152" spans="3:179" s="368" customFormat="1" ht="15" thickBot="1" x14ac:dyDescent="0.4">
      <c r="C152" s="364"/>
      <c r="D152" s="364"/>
      <c r="E152" s="364"/>
      <c r="F152" s="1027"/>
      <c r="G152" s="365"/>
      <c r="H152" s="365"/>
      <c r="I152" s="1234"/>
      <c r="J152" s="1182"/>
      <c r="K152" s="365"/>
      <c r="L152" s="365"/>
      <c r="M152" s="365"/>
      <c r="N152" s="365"/>
      <c r="O152" s="1234"/>
      <c r="P152" s="1182"/>
      <c r="Q152" s="365"/>
      <c r="R152" s="1234"/>
      <c r="S152" s="1182"/>
      <c r="T152" s="365"/>
      <c r="U152" s="365"/>
      <c r="V152" s="365"/>
      <c r="W152" s="365"/>
      <c r="X152" s="1234"/>
      <c r="Y152" s="1182"/>
      <c r="Z152" s="365"/>
      <c r="AA152" s="365"/>
      <c r="AB152" s="365"/>
      <c r="AC152" s="365"/>
      <c r="AD152" s="365"/>
      <c r="AE152" s="365"/>
      <c r="AF152" s="365"/>
      <c r="AG152" s="365"/>
      <c r="AH152" s="366"/>
      <c r="AI152" s="365"/>
      <c r="AJ152" s="365"/>
      <c r="AK152" s="365"/>
      <c r="AL152" s="1234"/>
      <c r="AM152" s="1182"/>
      <c r="AN152" s="365"/>
      <c r="AO152" s="365"/>
      <c r="AP152" s="365"/>
      <c r="AQ152" s="365"/>
      <c r="AR152" s="365"/>
      <c r="AS152" s="365"/>
      <c r="AT152" s="365"/>
      <c r="AU152" s="1234"/>
      <c r="AV152" s="1182"/>
      <c r="AW152" s="365"/>
      <c r="AX152" s="365"/>
      <c r="AY152" s="365"/>
      <c r="AZ152" s="365"/>
      <c r="BA152" s="1234"/>
      <c r="BB152" s="1182"/>
      <c r="BC152" s="365"/>
      <c r="BD152" s="365"/>
      <c r="BE152" s="365"/>
      <c r="BF152" s="365"/>
      <c r="BG152" s="365"/>
      <c r="BH152" s="365"/>
      <c r="BI152" s="365"/>
      <c r="BJ152" s="365"/>
      <c r="BK152" s="366"/>
      <c r="BL152" s="365"/>
      <c r="BM152" s="365"/>
      <c r="BN152" s="365"/>
      <c r="BO152" s="1234"/>
      <c r="BP152" s="1182"/>
      <c r="BQ152" s="365"/>
      <c r="BR152" s="365"/>
      <c r="BS152" s="365"/>
      <c r="BT152" s="365"/>
      <c r="BU152" s="365"/>
      <c r="BV152" s="365"/>
      <c r="BW152" s="365"/>
      <c r="BX152" s="1234"/>
      <c r="BY152" s="1182"/>
      <c r="BZ152" s="365"/>
      <c r="CA152" s="365"/>
      <c r="CB152" s="365"/>
      <c r="CC152" s="365"/>
      <c r="CD152" s="1234"/>
      <c r="CE152" s="1182"/>
      <c r="CF152" s="365"/>
      <c r="CG152" s="365"/>
      <c r="CH152" s="365"/>
      <c r="CI152" s="365"/>
      <c r="CJ152" s="365"/>
      <c r="CK152" s="365"/>
      <c r="CL152" s="365"/>
      <c r="CM152" s="365"/>
      <c r="CN152" s="366"/>
      <c r="CO152" s="365"/>
      <c r="CP152" s="365"/>
      <c r="CQ152" s="365"/>
      <c r="CR152" s="1234"/>
      <c r="CS152" s="1182"/>
      <c r="CT152" s="365"/>
      <c r="CU152" s="365"/>
      <c r="CV152" s="365"/>
      <c r="CW152" s="365"/>
      <c r="CX152" s="365"/>
      <c r="CY152" s="409"/>
      <c r="CZ152" s="409"/>
      <c r="DA152" s="1501"/>
      <c r="DB152" s="1492"/>
      <c r="DC152" s="409"/>
      <c r="DD152" s="409"/>
      <c r="DE152" s="365"/>
      <c r="DF152" s="365"/>
      <c r="DG152" s="1234"/>
      <c r="DH152" s="1182"/>
      <c r="DI152" s="365"/>
      <c r="DJ152" s="365"/>
      <c r="DK152" s="365"/>
      <c r="DL152" s="365"/>
      <c r="DM152" s="365"/>
      <c r="DN152" s="365"/>
      <c r="DO152" s="365"/>
      <c r="DP152" s="365"/>
      <c r="DQ152" s="366"/>
      <c r="DR152" s="367"/>
      <c r="DS152" s="410"/>
      <c r="DT152" s="410"/>
      <c r="DU152" s="410"/>
      <c r="DV152" s="1562"/>
      <c r="DW152" s="1544"/>
      <c r="DX152" s="410"/>
      <c r="DY152" s="410"/>
      <c r="DZ152" s="410"/>
      <c r="EA152" s="410"/>
      <c r="EB152" s="410"/>
      <c r="EC152" s="410"/>
      <c r="ED152" s="410"/>
      <c r="EE152" s="1562"/>
      <c r="EF152" s="1544"/>
      <c r="EG152" s="410"/>
      <c r="EH152" s="410"/>
      <c r="EI152" s="410"/>
      <c r="EJ152" s="410"/>
      <c r="EK152" s="1562"/>
      <c r="EL152" s="1544"/>
      <c r="EM152" s="410"/>
      <c r="EN152" s="410"/>
      <c r="EO152" s="410"/>
      <c r="EP152" s="410"/>
      <c r="EQ152" s="410"/>
      <c r="ER152" s="410"/>
      <c r="ES152" s="410"/>
      <c r="ET152" s="410"/>
      <c r="EU152" s="366"/>
      <c r="EV152" s="410"/>
      <c r="EW152" s="410"/>
      <c r="EX152" s="410"/>
      <c r="EY152" s="1562"/>
      <c r="EZ152" s="1544"/>
      <c r="FA152" s="410"/>
      <c r="FB152" s="410"/>
      <c r="FC152" s="410"/>
      <c r="FD152" s="410"/>
      <c r="FE152" s="410"/>
      <c r="FF152" s="410"/>
      <c r="FG152" s="410"/>
      <c r="FH152" s="1562"/>
      <c r="FI152" s="1182"/>
      <c r="FJ152" s="404"/>
      <c r="FK152" s="365"/>
      <c r="FL152" s="365"/>
      <c r="FM152" s="365"/>
      <c r="FN152" s="1234"/>
      <c r="FO152" s="1182"/>
      <c r="FP152" s="365"/>
      <c r="FQ152" s="365"/>
      <c r="FR152" s="365"/>
      <c r="FS152" s="365"/>
      <c r="FT152" s="365"/>
      <c r="FU152" s="365"/>
      <c r="FV152" s="365"/>
      <c r="FW152" s="365"/>
    </row>
    <row r="153" spans="3:179" ht="15" hidden="1" thickTop="1" x14ac:dyDescent="0.35">
      <c r="F153" s="1051"/>
      <c r="G153" s="229"/>
      <c r="H153" s="229"/>
      <c r="I153" s="1245"/>
      <c r="J153" s="538"/>
      <c r="K153" s="229"/>
      <c r="L153" s="229"/>
      <c r="M153" s="229"/>
      <c r="N153" s="229"/>
      <c r="O153" s="1245"/>
      <c r="P153" s="538"/>
      <c r="Q153" s="229"/>
      <c r="R153" s="1245"/>
      <c r="S153" s="538"/>
      <c r="T153" s="229"/>
      <c r="U153" s="229"/>
      <c r="V153" s="229"/>
      <c r="W153" s="229"/>
      <c r="X153" s="1245"/>
      <c r="Y153" s="538"/>
      <c r="Z153" s="229"/>
      <c r="AA153" s="229"/>
      <c r="AB153" s="229"/>
      <c r="AC153" s="229"/>
      <c r="AD153" s="229"/>
      <c r="AE153" s="229"/>
      <c r="AF153" s="229"/>
      <c r="AG153" s="229"/>
      <c r="AH153" s="356"/>
      <c r="AI153" s="229"/>
      <c r="AJ153" s="229"/>
      <c r="AK153" s="229"/>
      <c r="AL153" s="1245"/>
      <c r="AM153" s="538"/>
      <c r="AN153" s="229"/>
      <c r="AO153" s="229"/>
      <c r="AP153" s="229"/>
      <c r="AQ153" s="229"/>
      <c r="AR153" s="229"/>
      <c r="AS153" s="229"/>
      <c r="AT153" s="229"/>
      <c r="AU153" s="1245"/>
      <c r="AV153" s="538"/>
      <c r="AW153" s="229"/>
      <c r="AX153" s="229"/>
      <c r="AY153" s="229"/>
      <c r="AZ153" s="229"/>
      <c r="BA153" s="1245"/>
      <c r="BB153" s="538"/>
      <c r="BC153" s="229"/>
      <c r="BD153" s="229"/>
      <c r="BE153" s="229"/>
      <c r="BF153" s="229"/>
      <c r="BG153" s="229"/>
      <c r="BH153" s="229"/>
      <c r="BI153" s="229"/>
      <c r="BJ153" s="229"/>
      <c r="BK153" s="356"/>
      <c r="BL153" s="229"/>
      <c r="BM153" s="229"/>
      <c r="BN153" s="229"/>
      <c r="BO153" s="1245"/>
      <c r="BP153" s="538"/>
      <c r="BQ153" s="229"/>
      <c r="BR153" s="229"/>
      <c r="BS153" s="229"/>
      <c r="BT153" s="229"/>
      <c r="BU153" s="229"/>
      <c r="BV153" s="229"/>
      <c r="BW153" s="229"/>
      <c r="BX153" s="1245"/>
      <c r="BY153" s="538"/>
      <c r="BZ153" s="229"/>
      <c r="CA153" s="229"/>
      <c r="CB153" s="229"/>
      <c r="CC153" s="229"/>
      <c r="CD153" s="1245"/>
      <c r="CE153" s="538"/>
      <c r="CF153" s="229"/>
      <c r="CG153" s="229"/>
      <c r="CH153" s="229"/>
      <c r="CI153" s="229"/>
      <c r="CJ153" s="229"/>
      <c r="CK153" s="229"/>
      <c r="CL153" s="229"/>
      <c r="CM153" s="229"/>
      <c r="CN153" s="356"/>
      <c r="CO153" s="229"/>
      <c r="CP153" s="229"/>
      <c r="CQ153" s="229"/>
      <c r="CR153" s="1245"/>
      <c r="CS153" s="538"/>
      <c r="CT153" s="229"/>
      <c r="CU153" s="229"/>
      <c r="CV153" s="229"/>
      <c r="CW153" s="229"/>
      <c r="CX153" s="229"/>
      <c r="CY153" s="349"/>
      <c r="CZ153" s="349"/>
      <c r="DA153" s="1502"/>
      <c r="DB153" s="1493"/>
      <c r="DC153" s="349"/>
      <c r="DD153" s="349"/>
      <c r="DE153" s="229"/>
      <c r="DF153" s="229"/>
      <c r="DG153" s="1245"/>
      <c r="DH153" s="538"/>
      <c r="DI153" s="229"/>
      <c r="DJ153" s="229"/>
      <c r="DK153" s="229"/>
      <c r="DL153" s="229"/>
      <c r="DM153" s="229"/>
      <c r="DN153" s="229"/>
      <c r="DO153" s="229"/>
      <c r="DP153" s="229"/>
      <c r="DQ153" s="356"/>
      <c r="DR153" s="358"/>
      <c r="DS153" s="408"/>
      <c r="DT153" s="408"/>
      <c r="DU153" s="408"/>
      <c r="DV153" s="1563"/>
      <c r="DW153" s="1545"/>
      <c r="DX153" s="408"/>
      <c r="DY153" s="408"/>
      <c r="DZ153" s="408"/>
      <c r="EA153" s="408"/>
      <c r="EB153" s="408"/>
      <c r="EC153" s="408"/>
      <c r="ED153" s="408"/>
      <c r="EE153" s="1563"/>
      <c r="EF153" s="1545"/>
      <c r="EG153" s="408"/>
      <c r="EH153" s="408"/>
      <c r="EI153" s="408"/>
      <c r="EJ153" s="408"/>
      <c r="EK153" s="1563"/>
      <c r="EL153" s="1545"/>
      <c r="EM153" s="408"/>
      <c r="EN153" s="408"/>
      <c r="EO153" s="408"/>
      <c r="EP153" s="408"/>
      <c r="EQ153" s="408"/>
      <c r="ER153" s="408"/>
      <c r="ES153" s="408"/>
      <c r="ET153" s="408"/>
      <c r="EU153" s="356"/>
      <c r="EV153" s="408"/>
      <c r="EW153" s="408"/>
      <c r="EX153" s="408"/>
      <c r="EY153" s="1563"/>
      <c r="EZ153" s="1545"/>
      <c r="FA153" s="408"/>
      <c r="FB153" s="408"/>
      <c r="FC153" s="408"/>
      <c r="FD153" s="408"/>
      <c r="FE153" s="408"/>
      <c r="FF153" s="408"/>
      <c r="FG153" s="408"/>
      <c r="FH153" s="1563"/>
      <c r="FI153" s="538"/>
      <c r="FJ153" s="298"/>
      <c r="FK153" s="229"/>
      <c r="FL153" s="229"/>
      <c r="FM153" s="229"/>
      <c r="FN153" s="1245"/>
      <c r="FO153" s="538"/>
      <c r="FP153" s="229"/>
      <c r="FQ153" s="229"/>
      <c r="FR153" s="229"/>
      <c r="FS153" s="229"/>
      <c r="FT153" s="229"/>
      <c r="FU153" s="229"/>
      <c r="FV153" s="229"/>
      <c r="FW153" s="229"/>
    </row>
    <row r="154" spans="3:179" ht="15.5" hidden="1" thickTop="1" thickBot="1" x14ac:dyDescent="0.4">
      <c r="J154" s="2266"/>
      <c r="K154" s="2266"/>
      <c r="L154" s="2266"/>
      <c r="M154" s="2266"/>
      <c r="N154" s="2266"/>
      <c r="O154" s="2280"/>
      <c r="P154" s="2281"/>
      <c r="Q154" s="2282"/>
      <c r="R154" s="2283"/>
      <c r="CY154" s="241"/>
      <c r="CZ154" s="241"/>
      <c r="DA154" s="1496"/>
      <c r="DB154" s="1487"/>
      <c r="DC154" s="241"/>
      <c r="DD154" s="241"/>
      <c r="DS154" s="270"/>
      <c r="DT154" s="270"/>
      <c r="DU154" s="270"/>
      <c r="DV154" s="1283"/>
      <c r="DW154" s="1224"/>
      <c r="DX154" s="270"/>
      <c r="DY154" s="270"/>
      <c r="DZ154" s="270"/>
      <c r="EA154" s="270"/>
      <c r="EB154" s="270"/>
      <c r="EC154" s="270"/>
      <c r="ED154" s="270"/>
      <c r="EE154" s="1283"/>
      <c r="EF154" s="1224"/>
      <c r="EG154" s="270"/>
      <c r="EH154" s="270"/>
      <c r="EI154" s="270"/>
      <c r="EJ154" s="270"/>
      <c r="EK154" s="1283"/>
      <c r="EL154" s="1224"/>
      <c r="EM154" s="270"/>
      <c r="EN154" s="270"/>
      <c r="EO154" s="270"/>
      <c r="EP154" s="270"/>
      <c r="EQ154" s="270"/>
      <c r="ER154" s="270"/>
      <c r="ES154" s="270"/>
      <c r="ET154" s="270"/>
      <c r="EV154" s="270"/>
      <c r="EW154" s="270"/>
      <c r="EX154" s="270"/>
      <c r="EY154" s="1283"/>
      <c r="EZ154" s="1224"/>
      <c r="FA154" s="270"/>
      <c r="FB154" s="270"/>
      <c r="FC154" s="270"/>
      <c r="FD154" s="270"/>
      <c r="FE154" s="270"/>
      <c r="FF154" s="270"/>
      <c r="FG154" s="270"/>
      <c r="FH154" s="1283"/>
      <c r="FJ154" s="240"/>
    </row>
    <row r="155" spans="3:179" ht="19" thickTop="1" x14ac:dyDescent="0.45">
      <c r="C155" s="407" t="s">
        <v>211</v>
      </c>
      <c r="D155" s="407"/>
      <c r="E155" s="407"/>
      <c r="F155" s="1052" t="s">
        <v>922</v>
      </c>
      <c r="G155" s="247" t="s">
        <v>923</v>
      </c>
      <c r="H155" s="247" t="s">
        <v>924</v>
      </c>
      <c r="I155" s="2245" t="s">
        <v>925</v>
      </c>
      <c r="J155" s="2246" t="s">
        <v>926</v>
      </c>
      <c r="K155" s="247" t="s">
        <v>921</v>
      </c>
      <c r="L155" s="247" t="s">
        <v>927</v>
      </c>
      <c r="M155" s="247" t="s">
        <v>928</v>
      </c>
      <c r="N155" s="247" t="s">
        <v>929</v>
      </c>
      <c r="O155" s="2245" t="s">
        <v>930</v>
      </c>
      <c r="P155" s="2246" t="s">
        <v>931</v>
      </c>
      <c r="Q155" s="247" t="s">
        <v>932</v>
      </c>
      <c r="R155" s="2245" t="s">
        <v>933</v>
      </c>
      <c r="S155" s="2246" t="s">
        <v>934</v>
      </c>
      <c r="T155" s="247" t="s">
        <v>935</v>
      </c>
      <c r="U155" s="247" t="s">
        <v>936</v>
      </c>
      <c r="V155" s="247" t="s">
        <v>937</v>
      </c>
      <c r="W155" s="247" t="s">
        <v>938</v>
      </c>
      <c r="X155" s="2245" t="s">
        <v>939</v>
      </c>
      <c r="Y155" s="2246" t="s">
        <v>940</v>
      </c>
      <c r="Z155" s="247" t="s">
        <v>941</v>
      </c>
      <c r="AA155" s="247" t="s">
        <v>942</v>
      </c>
      <c r="AB155" s="247" t="s">
        <v>943</v>
      </c>
      <c r="AC155" s="247" t="s">
        <v>944</v>
      </c>
      <c r="AD155" s="247" t="s">
        <v>945</v>
      </c>
      <c r="AE155" s="247" t="s">
        <v>946</v>
      </c>
      <c r="AF155" s="247" t="s">
        <v>947</v>
      </c>
      <c r="AG155" s="247" t="s">
        <v>948</v>
      </c>
      <c r="AN155" s="947" t="s">
        <v>872</v>
      </c>
      <c r="AO155" s="947" t="s">
        <v>832</v>
      </c>
      <c r="AP155" s="947" t="s">
        <v>833</v>
      </c>
      <c r="CY155" s="241"/>
      <c r="CZ155" s="241"/>
      <c r="DA155" s="1496"/>
      <c r="DB155" s="1487"/>
      <c r="DC155" s="241"/>
      <c r="DD155" s="241"/>
      <c r="DS155" s="270"/>
      <c r="DT155" s="270"/>
      <c r="DU155" s="270"/>
      <c r="DV155" s="1283"/>
      <c r="DW155" s="1224"/>
      <c r="DX155" s="270"/>
      <c r="DY155" s="270"/>
      <c r="DZ155" s="270"/>
      <c r="EA155" s="270"/>
      <c r="EB155" s="270"/>
      <c r="EC155" s="270"/>
      <c r="ED155" s="270"/>
      <c r="EE155" s="1283"/>
      <c r="EF155" s="1224"/>
      <c r="EG155" s="270"/>
      <c r="EH155" s="270"/>
      <c r="EI155" s="270"/>
      <c r="EJ155" s="270"/>
      <c r="EK155" s="1283"/>
      <c r="EL155" s="1224"/>
      <c r="EM155" s="270"/>
      <c r="EN155" s="270"/>
      <c r="EO155" s="270"/>
      <c r="EP155" s="270"/>
      <c r="EQ155" s="270"/>
      <c r="ER155" s="270"/>
      <c r="ES155" s="270"/>
      <c r="ET155" s="270"/>
      <c r="EV155" s="270"/>
      <c r="EW155" s="270"/>
      <c r="EX155" s="270"/>
      <c r="EY155" s="1283"/>
      <c r="EZ155" s="1224"/>
      <c r="FA155" s="270"/>
      <c r="FB155" s="270"/>
      <c r="FC155" s="270"/>
      <c r="FD155" s="270"/>
      <c r="FE155" s="270"/>
      <c r="FF155" s="270"/>
      <c r="FG155" s="270"/>
      <c r="FH155" s="1283"/>
      <c r="FJ155" s="240"/>
    </row>
    <row r="156" spans="3:179" x14ac:dyDescent="0.35">
      <c r="C156" s="523" t="s">
        <v>275</v>
      </c>
      <c r="D156" s="523"/>
      <c r="E156" s="1697"/>
      <c r="F156" s="1698">
        <f t="shared" ref="F156:O156" si="156">((F$94-BL$94)/F$94)*100</f>
        <v>42.185727696615224</v>
      </c>
      <c r="G156" s="2158">
        <f t="shared" si="156"/>
        <v>43.348591507915046</v>
      </c>
      <c r="H156" s="2158">
        <f t="shared" si="156"/>
        <v>40.23733372864649</v>
      </c>
      <c r="I156" s="2228">
        <f t="shared" si="156"/>
        <v>42.439858919770643</v>
      </c>
      <c r="J156" s="2207">
        <f>((J$94-BP$94)/J$94)*100</f>
        <v>75.495532663000404</v>
      </c>
      <c r="K156" s="2158">
        <f t="shared" si="156"/>
        <v>78.204495724447966</v>
      </c>
      <c r="L156" s="2158">
        <f t="shared" si="156"/>
        <v>76.489027330311615</v>
      </c>
      <c r="M156" s="2158">
        <f t="shared" si="156"/>
        <v>75.221581231638794</v>
      </c>
      <c r="N156" s="2158">
        <f t="shared" si="156"/>
        <v>73.55200533003125</v>
      </c>
      <c r="O156" s="2228">
        <f t="shared" si="156"/>
        <v>74.035778185959884</v>
      </c>
      <c r="P156" s="2228">
        <f t="shared" ref="P156" si="157">((P$94-BV$94)/P$94)*100</f>
        <v>74.568120457965094</v>
      </c>
      <c r="Q156" s="2228">
        <f t="shared" ref="Q156" si="158">((Q$94-BW$94)/Q$94)*100</f>
        <v>74.691740966697267</v>
      </c>
      <c r="R156" s="2228">
        <f t="shared" ref="R156" si="159">((R$94-BX$94)/R$94)*100</f>
        <v>75.062589607832905</v>
      </c>
      <c r="S156" s="2228" t="e">
        <f t="shared" ref="S156" si="160">((S$94-BY$94)/S$94)*100</f>
        <v>#DIV/0!</v>
      </c>
      <c r="T156" s="2228" t="e">
        <f t="shared" ref="T156" si="161">((T$94-BZ$94)/T$94)*100</f>
        <v>#DIV/0!</v>
      </c>
      <c r="U156" s="2228" t="e">
        <f t="shared" ref="U156" si="162">((U$94-CA$94)/U$94)*100</f>
        <v>#DIV/0!</v>
      </c>
      <c r="V156" s="2228" t="e">
        <f t="shared" ref="V156" si="163">((V$94-CB$94)/V$94)*100</f>
        <v>#DIV/0!</v>
      </c>
      <c r="W156" s="2228" t="e">
        <f t="shared" ref="W156" si="164">((W$94-CC$94)/W$94)*100</f>
        <v>#DIV/0!</v>
      </c>
      <c r="X156" s="2228" t="e">
        <f t="shared" ref="X156" si="165">((X$94-CD$94)/X$94)*100</f>
        <v>#DIV/0!</v>
      </c>
      <c r="Y156" s="2228" t="e">
        <f t="shared" ref="Y156" si="166">((Y$94-CE$94)/Y$94)*100</f>
        <v>#DIV/0!</v>
      </c>
      <c r="Z156" s="2228" t="e">
        <f t="shared" ref="Z156" si="167">((Z$94-CF$94)/Z$94)*100</f>
        <v>#DIV/0!</v>
      </c>
      <c r="AA156" s="2228" t="e">
        <f t="shared" ref="AA156" si="168">((AA$94-CG$94)/AA$94)*100</f>
        <v>#DIV/0!</v>
      </c>
      <c r="AB156" s="250"/>
      <c r="AC156" s="250"/>
      <c r="AD156" s="250"/>
      <c r="AE156" s="250"/>
      <c r="AF156" s="250"/>
      <c r="AG156" s="250"/>
      <c r="AI156" s="240" t="s">
        <v>870</v>
      </c>
      <c r="AJ156" s="2667">
        <f>AVERAGE(N156:P156)</f>
        <v>74.051967991318747</v>
      </c>
      <c r="AK156" s="267" t="e">
        <f>AVERAGE(Q156:T156)</f>
        <v>#DIV/0!</v>
      </c>
      <c r="AL156" s="1236" t="s">
        <v>295</v>
      </c>
      <c r="AN156" s="916">
        <f>AVERAGE(H156:I156)</f>
        <v>41.338596324208567</v>
      </c>
      <c r="AO156" s="916">
        <f>AVERAGE(M156:O156)</f>
        <v>74.269788249209981</v>
      </c>
      <c r="AP156" s="916" t="e">
        <f>AVERAGE(R156:T156)</f>
        <v>#DIV/0!</v>
      </c>
      <c r="CY156" s="241"/>
      <c r="CZ156" s="241"/>
      <c r="DA156" s="1496"/>
      <c r="DB156" s="1487"/>
      <c r="DC156" s="241"/>
      <c r="DD156" s="241"/>
      <c r="DS156" s="270"/>
      <c r="DT156" s="270"/>
      <c r="DU156" s="270"/>
      <c r="DV156" s="1283"/>
      <c r="DW156" s="1224"/>
      <c r="DX156" s="270"/>
      <c r="DY156" s="270"/>
      <c r="DZ156" s="270"/>
      <c r="EA156" s="270"/>
      <c r="EB156" s="270"/>
      <c r="EC156" s="270"/>
      <c r="ED156" s="270"/>
      <c r="EE156" s="1283"/>
      <c r="EF156" s="1224"/>
      <c r="EG156" s="270"/>
      <c r="EH156" s="270"/>
      <c r="EI156" s="270"/>
      <c r="EJ156" s="270"/>
      <c r="EK156" s="1283"/>
      <c r="EL156" s="1224"/>
      <c r="EM156" s="270"/>
      <c r="EN156" s="270"/>
      <c r="EO156" s="270"/>
      <c r="EP156" s="270"/>
      <c r="EQ156" s="270"/>
      <c r="ER156" s="270"/>
      <c r="ES156" s="270"/>
      <c r="ET156" s="270"/>
      <c r="EV156" s="270"/>
      <c r="EW156" s="270"/>
      <c r="EX156" s="270"/>
      <c r="EY156" s="1283"/>
      <c r="EZ156" s="1224"/>
      <c r="FA156" s="270"/>
      <c r="FB156" s="270"/>
      <c r="FC156" s="270"/>
      <c r="FD156" s="270"/>
      <c r="FE156" s="270"/>
      <c r="FF156" s="270"/>
      <c r="FG156" s="270"/>
      <c r="FH156" s="1283"/>
      <c r="FJ156" s="240"/>
    </row>
    <row r="157" spans="3:179" x14ac:dyDescent="0.35">
      <c r="C157" s="560" t="s">
        <v>394</v>
      </c>
      <c r="D157" s="560"/>
      <c r="E157" s="560"/>
      <c r="F157" s="2229">
        <f t="shared" ref="F157:AG157" si="169">100*(1-EXP(F$78/F$79*LN(1-F$156/100)))</f>
        <v>42.905980049336613</v>
      </c>
      <c r="G157" s="2230">
        <f t="shared" si="169"/>
        <v>43.576920914908101</v>
      </c>
      <c r="H157" s="2230">
        <f t="shared" si="169"/>
        <v>40.776599276298576</v>
      </c>
      <c r="I157" s="2231">
        <f t="shared" si="169"/>
        <v>42.62195605243997</v>
      </c>
      <c r="J157" s="2267">
        <f t="shared" si="169"/>
        <v>75.414853793212757</v>
      </c>
      <c r="K157" s="2268">
        <f t="shared" si="169"/>
        <v>77.90742304232478</v>
      </c>
      <c r="L157" s="2268">
        <f t="shared" si="169"/>
        <v>76.206998776078905</v>
      </c>
      <c r="M157" s="2268">
        <f t="shared" si="169"/>
        <v>74.323566705052585</v>
      </c>
      <c r="N157" s="2268">
        <f t="shared" si="169"/>
        <v>72.480893447165059</v>
      </c>
      <c r="O157" s="2269">
        <f t="shared" si="169"/>
        <v>74.185171259651256</v>
      </c>
      <c r="P157" s="2284">
        <f t="shared" si="169"/>
        <v>74.748654487601456</v>
      </c>
      <c r="Q157" s="2268">
        <f t="shared" si="169"/>
        <v>74.413332721959563</v>
      </c>
      <c r="R157" s="2268">
        <f t="shared" si="169"/>
        <v>74.752923352810711</v>
      </c>
      <c r="S157" s="2287" t="e">
        <f t="shared" si="169"/>
        <v>#DIV/0!</v>
      </c>
      <c r="T157" s="2268" t="e">
        <f t="shared" si="169"/>
        <v>#DIV/0!</v>
      </c>
      <c r="U157" s="2268" t="e">
        <f t="shared" si="169"/>
        <v>#DIV/0!</v>
      </c>
      <c r="V157" s="2268" t="e">
        <f t="shared" si="169"/>
        <v>#DIV/0!</v>
      </c>
      <c r="W157" s="2268" t="e">
        <f t="shared" si="169"/>
        <v>#DIV/0!</v>
      </c>
      <c r="X157" s="2269" t="e">
        <f t="shared" si="169"/>
        <v>#DIV/0!</v>
      </c>
      <c r="Y157" s="2267" t="e">
        <f t="shared" si="169"/>
        <v>#DIV/0!</v>
      </c>
      <c r="Z157" s="2268" t="e">
        <f t="shared" si="169"/>
        <v>#DIV/0!</v>
      </c>
      <c r="AA157" s="2268" t="e">
        <f t="shared" si="169"/>
        <v>#DIV/0!</v>
      </c>
      <c r="AB157" s="2268" t="e">
        <f t="shared" si="169"/>
        <v>#DIV/0!</v>
      </c>
      <c r="AC157" s="2268" t="e">
        <f t="shared" si="169"/>
        <v>#DIV/0!</v>
      </c>
      <c r="AD157" s="2268" t="e">
        <f t="shared" si="169"/>
        <v>#DIV/0!</v>
      </c>
      <c r="AE157" s="2268" t="e">
        <f t="shared" si="169"/>
        <v>#DIV/0!</v>
      </c>
      <c r="AF157" s="2268" t="e">
        <f t="shared" si="169"/>
        <v>#DIV/0!</v>
      </c>
      <c r="AG157" s="2268" t="e">
        <f t="shared" si="169"/>
        <v>#DIV/0!</v>
      </c>
      <c r="AN157" s="459">
        <f>AVERAGE(H158:I158)</f>
        <v>40.200000000000003</v>
      </c>
      <c r="AO157" s="459">
        <f>AVERAGE(M158:O158)</f>
        <v>68.133333333333326</v>
      </c>
      <c r="AP157" s="459">
        <f>AVERAGE(R158:T158)</f>
        <v>67.600000000000009</v>
      </c>
      <c r="CY157" s="241"/>
      <c r="CZ157" s="241"/>
      <c r="DA157" s="1496"/>
      <c r="DB157" s="1487"/>
      <c r="DC157" s="241"/>
      <c r="DD157" s="241"/>
      <c r="DS157" s="270"/>
      <c r="DT157" s="270"/>
      <c r="DU157" s="270"/>
      <c r="DV157" s="1283"/>
      <c r="DW157" s="1224"/>
      <c r="DX157" s="270"/>
      <c r="DY157" s="270"/>
      <c r="DZ157" s="270"/>
      <c r="EA157" s="270"/>
      <c r="EB157" s="270"/>
      <c r="EC157" s="270"/>
      <c r="ED157" s="270"/>
      <c r="EE157" s="1283"/>
      <c r="EF157" s="1224"/>
      <c r="EG157" s="270"/>
      <c r="EH157" s="270"/>
      <c r="EI157" s="270"/>
      <c r="EJ157" s="270"/>
      <c r="EK157" s="1283"/>
      <c r="EL157" s="1224"/>
      <c r="EM157" s="270"/>
      <c r="EN157" s="270"/>
      <c r="EO157" s="270"/>
      <c r="EP157" s="270"/>
      <c r="EQ157" s="270"/>
      <c r="ER157" s="270"/>
      <c r="ES157" s="270"/>
      <c r="ET157" s="270"/>
      <c r="EV157" s="270"/>
      <c r="EW157" s="270"/>
      <c r="EX157" s="270"/>
      <c r="EY157" s="1283"/>
      <c r="EZ157" s="1224"/>
      <c r="FA157" s="270"/>
      <c r="FB157" s="270"/>
      <c r="FC157" s="270"/>
      <c r="FD157" s="270"/>
      <c r="FE157" s="270"/>
      <c r="FF157" s="270"/>
      <c r="FG157" s="270"/>
      <c r="FH157" s="1283"/>
      <c r="FJ157" s="240"/>
    </row>
    <row r="158" spans="3:179" x14ac:dyDescent="0.35">
      <c r="C158" s="444" t="s">
        <v>966</v>
      </c>
      <c r="D158" s="444"/>
      <c r="E158" s="444"/>
      <c r="F158" s="1056">
        <v>44</v>
      </c>
      <c r="G158" s="445">
        <v>41.5</v>
      </c>
      <c r="H158" s="445">
        <v>40.5</v>
      </c>
      <c r="I158" s="1280">
        <v>39.9</v>
      </c>
      <c r="J158" s="1223">
        <v>68</v>
      </c>
      <c r="K158" s="250">
        <v>67.5</v>
      </c>
      <c r="L158" s="250">
        <v>67.8</v>
      </c>
      <c r="M158" s="250">
        <v>68.2</v>
      </c>
      <c r="N158" s="250">
        <v>68</v>
      </c>
      <c r="O158" s="1280">
        <v>68.2</v>
      </c>
      <c r="P158" s="1223">
        <v>66.5</v>
      </c>
      <c r="Q158" s="250">
        <v>65.8</v>
      </c>
      <c r="R158" s="1280">
        <v>66.2</v>
      </c>
      <c r="S158" s="1223">
        <v>68.2</v>
      </c>
      <c r="T158" s="250">
        <v>68.400000000000006</v>
      </c>
      <c r="U158" s="250">
        <v>68</v>
      </c>
      <c r="AI158" s="232" t="s">
        <v>870</v>
      </c>
      <c r="AJ158" s="267">
        <f>AVERAGE(K158:N158)</f>
        <v>67.875</v>
      </c>
      <c r="AK158" s="267">
        <f>AVERAGE(Q158:T158)</f>
        <v>67.150000000000006</v>
      </c>
      <c r="AL158" s="1236" t="s">
        <v>608</v>
      </c>
      <c r="CY158" s="241"/>
      <c r="CZ158" s="241"/>
      <c r="DA158" s="1496"/>
      <c r="DB158" s="1487"/>
      <c r="DC158" s="241"/>
      <c r="DD158" s="241"/>
      <c r="DS158" s="270"/>
      <c r="DT158" s="270"/>
      <c r="DU158" s="270"/>
      <c r="DV158" s="1283"/>
      <c r="DW158" s="1224"/>
      <c r="DX158" s="270"/>
      <c r="DY158" s="270"/>
      <c r="DZ158" s="270"/>
      <c r="EA158" s="270"/>
      <c r="EB158" s="270"/>
      <c r="EC158" s="270"/>
      <c r="ED158" s="270"/>
      <c r="EE158" s="1283"/>
      <c r="EF158" s="1224"/>
      <c r="EG158" s="270"/>
      <c r="EH158" s="270"/>
      <c r="EI158" s="270"/>
      <c r="EJ158" s="270"/>
      <c r="EK158" s="1283"/>
      <c r="EL158" s="1224"/>
      <c r="EM158" s="270"/>
      <c r="EN158" s="270"/>
      <c r="EO158" s="270"/>
      <c r="EP158" s="270"/>
      <c r="EQ158" s="270"/>
      <c r="ER158" s="270"/>
      <c r="ES158" s="270"/>
      <c r="ET158" s="270"/>
      <c r="EV158" s="270"/>
      <c r="EW158" s="270"/>
      <c r="EX158" s="270"/>
      <c r="EY158" s="1283"/>
      <c r="EZ158" s="1224"/>
      <c r="FA158" s="270"/>
      <c r="FB158" s="270"/>
      <c r="FC158" s="270"/>
      <c r="FD158" s="270"/>
      <c r="FE158" s="270"/>
      <c r="FF158" s="270"/>
      <c r="FG158" s="270"/>
      <c r="FH158" s="1283"/>
      <c r="FJ158" s="240"/>
    </row>
    <row r="159" spans="3:179" s="2325" customFormat="1" x14ac:dyDescent="0.35">
      <c r="C159" s="2326" t="s">
        <v>967</v>
      </c>
      <c r="D159" s="2326"/>
      <c r="E159" s="2326"/>
      <c r="F159" s="2327"/>
      <c r="G159" s="2328"/>
      <c r="H159" s="2328"/>
      <c r="I159" s="2329"/>
      <c r="J159" s="2330"/>
      <c r="K159" s="2328">
        <v>76.5</v>
      </c>
      <c r="L159" s="2328">
        <v>72.709999999999994</v>
      </c>
      <c r="M159" s="2328">
        <v>74.63</v>
      </c>
      <c r="N159" s="2328">
        <v>73.63</v>
      </c>
      <c r="O159" s="2329">
        <v>71.959999999999994</v>
      </c>
      <c r="P159" s="2330">
        <v>73.09</v>
      </c>
      <c r="Q159" s="2328">
        <f>AVERAGE(N159:P159)</f>
        <v>72.893333333333331</v>
      </c>
      <c r="R159" s="2329"/>
      <c r="S159" s="2330"/>
      <c r="T159" s="2328"/>
      <c r="U159" s="2328"/>
      <c r="V159" s="2331"/>
      <c r="W159" s="2331"/>
      <c r="X159" s="2332"/>
      <c r="Y159" s="2333"/>
      <c r="Z159" s="2331"/>
      <c r="AA159" s="2331"/>
      <c r="AB159" s="2331"/>
      <c r="AC159" s="2331"/>
      <c r="AD159" s="2331"/>
      <c r="AE159" s="2331"/>
      <c r="AF159" s="2331"/>
      <c r="AG159" s="2331"/>
      <c r="AH159" s="323"/>
      <c r="AI159" s="2342" t="s">
        <v>1120</v>
      </c>
      <c r="AJ159" s="2669">
        <f>AVERAGE(O159:Q159)</f>
        <v>72.647777777777776</v>
      </c>
      <c r="AK159" s="2334"/>
      <c r="AL159" s="2332"/>
      <c r="AM159" s="2333"/>
      <c r="AN159" s="2331"/>
      <c r="AO159" s="2331"/>
      <c r="AP159" s="2331"/>
      <c r="AQ159" s="2331"/>
      <c r="AR159" s="2331"/>
      <c r="AS159" s="2331"/>
      <c r="AT159" s="2331"/>
      <c r="AU159" s="2332"/>
      <c r="AV159" s="2333"/>
      <c r="AW159" s="2331"/>
      <c r="AX159" s="2331"/>
      <c r="AY159" s="2331"/>
      <c r="AZ159" s="2331"/>
      <c r="BA159" s="2332"/>
      <c r="BB159" s="2333"/>
      <c r="BC159" s="2331"/>
      <c r="BD159" s="2331"/>
      <c r="BE159" s="2331"/>
      <c r="BF159" s="2331"/>
      <c r="BG159" s="2331"/>
      <c r="BH159" s="2331"/>
      <c r="BI159" s="2331"/>
      <c r="BJ159" s="2331"/>
      <c r="BK159" s="323"/>
      <c r="BL159" s="2331"/>
      <c r="BM159" s="2331"/>
      <c r="BN159" s="2331"/>
      <c r="BO159" s="2332"/>
      <c r="BP159" s="2333"/>
      <c r="BQ159" s="2331"/>
      <c r="BR159" s="2331"/>
      <c r="BS159" s="2331"/>
      <c r="BT159" s="2331"/>
      <c r="BU159" s="2331"/>
      <c r="BV159" s="2331"/>
      <c r="BW159" s="2331"/>
      <c r="BX159" s="2332"/>
      <c r="BY159" s="2333"/>
      <c r="BZ159" s="2331"/>
      <c r="CA159" s="2331"/>
      <c r="CB159" s="2331"/>
      <c r="CC159" s="2331"/>
      <c r="CD159" s="2332"/>
      <c r="CE159" s="2333"/>
      <c r="CF159" s="2331"/>
      <c r="CG159" s="2331"/>
      <c r="CH159" s="2331"/>
      <c r="CI159" s="2331"/>
      <c r="CJ159" s="2331"/>
      <c r="CK159" s="2331"/>
      <c r="CL159" s="2331"/>
      <c r="CM159" s="2331"/>
      <c r="CN159" s="323"/>
      <c r="CO159" s="2331"/>
      <c r="CP159" s="2331"/>
      <c r="CQ159" s="2331"/>
      <c r="CR159" s="2332"/>
      <c r="CS159" s="2333"/>
      <c r="CT159" s="2331"/>
      <c r="CU159" s="2331"/>
      <c r="CV159" s="2331"/>
      <c r="CW159" s="2331"/>
      <c r="CX159" s="2331"/>
      <c r="CY159" s="2335"/>
      <c r="CZ159" s="2335"/>
      <c r="DA159" s="2336"/>
      <c r="DB159" s="2337"/>
      <c r="DC159" s="2335"/>
      <c r="DD159" s="2335"/>
      <c r="DE159" s="2331"/>
      <c r="DF159" s="2331"/>
      <c r="DG159" s="2332"/>
      <c r="DH159" s="2333"/>
      <c r="DI159" s="2331"/>
      <c r="DJ159" s="2331"/>
      <c r="DK159" s="2331"/>
      <c r="DL159" s="2331"/>
      <c r="DM159" s="2331"/>
      <c r="DN159" s="2331"/>
      <c r="DO159" s="2331"/>
      <c r="DP159" s="2331"/>
      <c r="DQ159" s="323"/>
      <c r="DR159" s="2338"/>
      <c r="DS159" s="2339"/>
      <c r="DT159" s="2339"/>
      <c r="DU159" s="2339"/>
      <c r="DV159" s="2340"/>
      <c r="DW159" s="2341"/>
      <c r="DX159" s="2339"/>
      <c r="DY159" s="2339"/>
      <c r="DZ159" s="2339"/>
      <c r="EA159" s="2339"/>
      <c r="EB159" s="2339"/>
      <c r="EC159" s="2339"/>
      <c r="ED159" s="2339"/>
      <c r="EE159" s="2340"/>
      <c r="EF159" s="2341"/>
      <c r="EG159" s="2339"/>
      <c r="EH159" s="2339"/>
      <c r="EI159" s="2339"/>
      <c r="EJ159" s="2339"/>
      <c r="EK159" s="2340"/>
      <c r="EL159" s="2341"/>
      <c r="EM159" s="2339"/>
      <c r="EN159" s="2339"/>
      <c r="EO159" s="2339"/>
      <c r="EP159" s="2339"/>
      <c r="EQ159" s="2339"/>
      <c r="ER159" s="2339"/>
      <c r="ES159" s="2339"/>
      <c r="ET159" s="2339"/>
      <c r="EU159" s="323"/>
      <c r="EV159" s="2339"/>
      <c r="EW159" s="2339"/>
      <c r="EX159" s="2339"/>
      <c r="EY159" s="2340"/>
      <c r="EZ159" s="2341"/>
      <c r="FA159" s="2339"/>
      <c r="FB159" s="2339"/>
      <c r="FC159" s="2339"/>
      <c r="FD159" s="2339"/>
      <c r="FE159" s="2339"/>
      <c r="FF159" s="2339"/>
      <c r="FG159" s="2339"/>
      <c r="FH159" s="2340"/>
      <c r="FI159" s="2333"/>
      <c r="FJ159" s="2342"/>
      <c r="FK159" s="2331"/>
      <c r="FL159" s="2331"/>
      <c r="FM159" s="2331"/>
      <c r="FN159" s="2332"/>
      <c r="FO159" s="2333"/>
      <c r="FP159" s="2331"/>
      <c r="FQ159" s="2331"/>
      <c r="FR159" s="2331"/>
      <c r="FS159" s="2331"/>
      <c r="FT159" s="2331"/>
      <c r="FU159" s="2331"/>
      <c r="FV159" s="2331"/>
      <c r="FW159" s="2331"/>
    </row>
    <row r="160" spans="3:179" s="2315" customFormat="1" x14ac:dyDescent="0.35">
      <c r="C160" s="2297" t="s">
        <v>962</v>
      </c>
      <c r="D160" s="2298"/>
      <c r="E160" s="2298"/>
      <c r="F160" s="2299">
        <v>42.4</v>
      </c>
      <c r="G160" s="2300">
        <v>42</v>
      </c>
      <c r="H160" s="2300">
        <v>42.1</v>
      </c>
      <c r="I160" s="2301">
        <v>42.8</v>
      </c>
      <c r="J160" s="2302">
        <v>78.8</v>
      </c>
      <c r="K160" s="2300">
        <v>77.2</v>
      </c>
      <c r="L160" s="2300">
        <v>76.8</v>
      </c>
      <c r="M160" s="2300">
        <v>75.5</v>
      </c>
      <c r="N160" s="2300">
        <v>73.8</v>
      </c>
      <c r="O160" s="2301">
        <v>73.400000000000006</v>
      </c>
      <c r="P160" s="2302">
        <v>74.400000000000006</v>
      </c>
      <c r="Q160" s="2300">
        <f>AVERAGE(N160:P160)</f>
        <v>73.86666666666666</v>
      </c>
      <c r="R160" s="2301"/>
      <c r="S160" s="2302"/>
      <c r="T160" s="2300"/>
      <c r="U160" s="2300"/>
      <c r="V160" s="2303"/>
      <c r="W160" s="2303"/>
      <c r="X160" s="2304"/>
      <c r="Y160" s="2305"/>
      <c r="Z160" s="2303"/>
      <c r="AA160" s="2303"/>
      <c r="AB160" s="2303"/>
      <c r="AC160" s="2303"/>
      <c r="AD160" s="2303"/>
      <c r="AE160" s="2303"/>
      <c r="AF160" s="2303"/>
      <c r="AG160" s="2303"/>
      <c r="AH160" s="323"/>
      <c r="AI160" s="2314" t="s">
        <v>608</v>
      </c>
      <c r="AJ160" s="2668">
        <f>AVERAGE(O159:Q159)</f>
        <v>72.647777777777776</v>
      </c>
      <c r="AK160" s="2306"/>
      <c r="AL160" s="2304"/>
      <c r="AM160" s="2305"/>
      <c r="AN160" s="2303"/>
      <c r="AO160" s="2303"/>
      <c r="AP160" s="2303"/>
      <c r="AQ160" s="2303"/>
      <c r="AR160" s="2303"/>
      <c r="AS160" s="2303"/>
      <c r="AT160" s="2303"/>
      <c r="AU160" s="2304"/>
      <c r="AV160" s="2305"/>
      <c r="AW160" s="2303"/>
      <c r="AX160" s="2303"/>
      <c r="AY160" s="2303"/>
      <c r="AZ160" s="2303"/>
      <c r="BA160" s="2304"/>
      <c r="BB160" s="2305"/>
      <c r="BC160" s="2303"/>
      <c r="BD160" s="2303"/>
      <c r="BE160" s="2303"/>
      <c r="BF160" s="2303"/>
      <c r="BG160" s="2303"/>
      <c r="BH160" s="2303"/>
      <c r="BI160" s="2303"/>
      <c r="BJ160" s="2303"/>
      <c r="BK160" s="323"/>
      <c r="BL160" s="2303"/>
      <c r="BM160" s="2303"/>
      <c r="BN160" s="2303"/>
      <c r="BO160" s="2304"/>
      <c r="BP160" s="2305"/>
      <c r="BQ160" s="2303"/>
      <c r="BR160" s="2303"/>
      <c r="BS160" s="2303"/>
      <c r="BT160" s="2303"/>
      <c r="BU160" s="2303"/>
      <c r="BV160" s="2303"/>
      <c r="BW160" s="2303"/>
      <c r="BX160" s="2304"/>
      <c r="BY160" s="2305"/>
      <c r="BZ160" s="2303"/>
      <c r="CA160" s="2303"/>
      <c r="CB160" s="2303"/>
      <c r="CC160" s="2303"/>
      <c r="CD160" s="2304"/>
      <c r="CE160" s="2305"/>
      <c r="CF160" s="2303"/>
      <c r="CG160" s="2303"/>
      <c r="CH160" s="2303"/>
      <c r="CI160" s="2303"/>
      <c r="CJ160" s="2303"/>
      <c r="CK160" s="2303"/>
      <c r="CL160" s="2303"/>
      <c r="CM160" s="2303"/>
      <c r="CN160" s="323"/>
      <c r="CO160" s="2303"/>
      <c r="CP160" s="2303"/>
      <c r="CQ160" s="2303"/>
      <c r="CR160" s="2304"/>
      <c r="CS160" s="2305"/>
      <c r="CT160" s="2303"/>
      <c r="CU160" s="2303"/>
      <c r="CV160" s="2303"/>
      <c r="CW160" s="2303"/>
      <c r="CX160" s="2303"/>
      <c r="CY160" s="2307"/>
      <c r="CZ160" s="2307"/>
      <c r="DA160" s="2308"/>
      <c r="DB160" s="2309"/>
      <c r="DC160" s="2307"/>
      <c r="DD160" s="2307"/>
      <c r="DE160" s="2303"/>
      <c r="DF160" s="2303"/>
      <c r="DG160" s="2304"/>
      <c r="DH160" s="2305"/>
      <c r="DI160" s="2303"/>
      <c r="DJ160" s="2303"/>
      <c r="DK160" s="2303"/>
      <c r="DL160" s="2303"/>
      <c r="DM160" s="2303"/>
      <c r="DN160" s="2303"/>
      <c r="DO160" s="2303"/>
      <c r="DP160" s="2303"/>
      <c r="DQ160" s="323"/>
      <c r="DR160" s="2310"/>
      <c r="DS160" s="2311"/>
      <c r="DT160" s="2311"/>
      <c r="DU160" s="2311"/>
      <c r="DV160" s="2312"/>
      <c r="DW160" s="2313"/>
      <c r="DX160" s="2311"/>
      <c r="DY160" s="2311"/>
      <c r="DZ160" s="2311"/>
      <c r="EA160" s="2311"/>
      <c r="EB160" s="2311"/>
      <c r="EC160" s="2311"/>
      <c r="ED160" s="2311"/>
      <c r="EE160" s="2312"/>
      <c r="EF160" s="2313"/>
      <c r="EG160" s="2311"/>
      <c r="EH160" s="2311"/>
      <c r="EI160" s="2311"/>
      <c r="EJ160" s="2311"/>
      <c r="EK160" s="2312"/>
      <c r="EL160" s="2313"/>
      <c r="EM160" s="2311"/>
      <c r="EN160" s="2311"/>
      <c r="EO160" s="2311"/>
      <c r="EP160" s="2311"/>
      <c r="EQ160" s="2311"/>
      <c r="ER160" s="2311"/>
      <c r="ES160" s="2311"/>
      <c r="ET160" s="2311"/>
      <c r="EU160" s="323"/>
      <c r="EV160" s="2311"/>
      <c r="EW160" s="2311"/>
      <c r="EX160" s="2311"/>
      <c r="EY160" s="2312"/>
      <c r="EZ160" s="2313"/>
      <c r="FA160" s="2311"/>
      <c r="FB160" s="2311"/>
      <c r="FC160" s="2311"/>
      <c r="FD160" s="2311"/>
      <c r="FE160" s="2311"/>
      <c r="FF160" s="2311"/>
      <c r="FG160" s="2311"/>
      <c r="FH160" s="2312"/>
      <c r="FI160" s="2305"/>
      <c r="FJ160" s="2314"/>
      <c r="FK160" s="2303"/>
      <c r="FL160" s="2303"/>
      <c r="FM160" s="2303"/>
      <c r="FN160" s="2304"/>
      <c r="FO160" s="2305"/>
      <c r="FP160" s="2303"/>
      <c r="FQ160" s="2303"/>
      <c r="FR160" s="2303"/>
      <c r="FS160" s="2303"/>
      <c r="FT160" s="2303"/>
      <c r="FU160" s="2303"/>
      <c r="FV160" s="2303"/>
      <c r="FW160" s="2303"/>
    </row>
    <row r="161" spans="3:179" x14ac:dyDescent="0.35">
      <c r="C161" s="1" t="s">
        <v>230</v>
      </c>
      <c r="F161" s="603">
        <f t="shared" ref="F161:U161" si="170">F$158*5%</f>
        <v>2.2000000000000002</v>
      </c>
      <c r="G161" s="250">
        <f t="shared" si="170"/>
        <v>2.0750000000000002</v>
      </c>
      <c r="H161" s="250">
        <f t="shared" si="170"/>
        <v>2.0249999999999999</v>
      </c>
      <c r="I161" s="1280">
        <f t="shared" si="170"/>
        <v>1.9950000000000001</v>
      </c>
      <c r="J161" s="1223">
        <f t="shared" si="170"/>
        <v>3.4000000000000004</v>
      </c>
      <c r="K161" s="250">
        <f t="shared" si="170"/>
        <v>3.375</v>
      </c>
      <c r="L161" s="250">
        <f t="shared" si="170"/>
        <v>3.39</v>
      </c>
      <c r="M161" s="250">
        <f t="shared" si="170"/>
        <v>3.41</v>
      </c>
      <c r="N161" s="250">
        <f t="shared" si="170"/>
        <v>3.4000000000000004</v>
      </c>
      <c r="O161" s="1280">
        <f t="shared" si="170"/>
        <v>3.41</v>
      </c>
      <c r="P161" s="1223">
        <f t="shared" si="170"/>
        <v>3.3250000000000002</v>
      </c>
      <c r="Q161" s="250">
        <f t="shared" si="170"/>
        <v>3.29</v>
      </c>
      <c r="R161" s="1280">
        <f t="shared" si="170"/>
        <v>3.3100000000000005</v>
      </c>
      <c r="S161" s="1223">
        <f t="shared" si="170"/>
        <v>3.41</v>
      </c>
      <c r="T161" s="250">
        <f t="shared" si="170"/>
        <v>3.4200000000000004</v>
      </c>
      <c r="U161" s="250">
        <f t="shared" si="170"/>
        <v>3.4000000000000004</v>
      </c>
      <c r="CY161" s="241"/>
      <c r="CZ161" s="241"/>
      <c r="DA161" s="1496"/>
      <c r="DB161" s="1487"/>
      <c r="DC161" s="241"/>
      <c r="DD161" s="241"/>
      <c r="DS161" s="270"/>
      <c r="DT161" s="270"/>
      <c r="DU161" s="270"/>
      <c r="DV161" s="1283"/>
      <c r="DW161" s="1224"/>
      <c r="DX161" s="270"/>
      <c r="DY161" s="270"/>
      <c r="DZ161" s="270"/>
      <c r="EA161" s="270"/>
      <c r="EB161" s="270"/>
      <c r="EC161" s="270"/>
      <c r="ED161" s="270"/>
      <c r="EE161" s="1283"/>
      <c r="EF161" s="1224"/>
      <c r="EG161" s="270"/>
      <c r="EH161" s="270"/>
      <c r="EI161" s="270"/>
      <c r="EJ161" s="270"/>
      <c r="EK161" s="1283"/>
      <c r="EL161" s="1224"/>
      <c r="EM161" s="270"/>
      <c r="EN161" s="270"/>
      <c r="EO161" s="270"/>
      <c r="EP161" s="270"/>
      <c r="EQ161" s="270"/>
      <c r="ER161" s="270"/>
      <c r="ES161" s="270"/>
      <c r="ET161" s="270"/>
      <c r="EV161" s="270"/>
      <c r="EW161" s="270"/>
      <c r="EX161" s="270"/>
      <c r="EY161" s="1283"/>
      <c r="EZ161" s="1224"/>
      <c r="FA161" s="270"/>
      <c r="FB161" s="270"/>
      <c r="FC161" s="270"/>
      <c r="FD161" s="270"/>
      <c r="FE161" s="270"/>
      <c r="FF161" s="270"/>
      <c r="FG161" s="270"/>
      <c r="FH161" s="1283"/>
      <c r="FJ161" s="240"/>
    </row>
    <row r="162" spans="3:179" x14ac:dyDescent="0.35">
      <c r="C162" s="166" t="s">
        <v>1019</v>
      </c>
      <c r="D162" s="166"/>
      <c r="E162" s="166"/>
      <c r="F162" s="603">
        <f>F$160+$C$162</f>
        <v>45.4</v>
      </c>
      <c r="G162" s="250">
        <f t="shared" ref="G162:AA162" si="171">G$160+$C$162</f>
        <v>45</v>
      </c>
      <c r="H162" s="250">
        <f t="shared" si="171"/>
        <v>45.1</v>
      </c>
      <c r="I162" s="1149">
        <f t="shared" si="171"/>
        <v>45.8</v>
      </c>
      <c r="J162" s="603">
        <f t="shared" si="171"/>
        <v>81.8</v>
      </c>
      <c r="K162" s="250">
        <f t="shared" si="171"/>
        <v>80.2</v>
      </c>
      <c r="L162" s="250">
        <f t="shared" si="171"/>
        <v>79.8</v>
      </c>
      <c r="M162" s="250">
        <f t="shared" si="171"/>
        <v>78.5</v>
      </c>
      <c r="N162" s="250">
        <f t="shared" si="171"/>
        <v>76.8</v>
      </c>
      <c r="O162" s="1149">
        <f t="shared" si="171"/>
        <v>76.400000000000006</v>
      </c>
      <c r="P162" s="603">
        <f t="shared" si="171"/>
        <v>77.400000000000006</v>
      </c>
      <c r="Q162" s="250">
        <f t="shared" si="171"/>
        <v>76.86666666666666</v>
      </c>
      <c r="R162" s="1149">
        <f t="shared" si="171"/>
        <v>3</v>
      </c>
      <c r="S162" s="603">
        <f t="shared" si="171"/>
        <v>3</v>
      </c>
      <c r="T162" s="250">
        <f t="shared" si="171"/>
        <v>3</v>
      </c>
      <c r="U162" s="250">
        <f t="shared" si="171"/>
        <v>3</v>
      </c>
      <c r="V162" s="250">
        <f t="shared" si="171"/>
        <v>3</v>
      </c>
      <c r="W162" s="250">
        <f t="shared" si="171"/>
        <v>3</v>
      </c>
      <c r="X162" s="1149">
        <f t="shared" si="171"/>
        <v>3</v>
      </c>
      <c r="Y162" s="603">
        <f t="shared" si="171"/>
        <v>3</v>
      </c>
      <c r="Z162" s="250">
        <f t="shared" si="171"/>
        <v>3</v>
      </c>
      <c r="AA162" s="1149">
        <f t="shared" si="171"/>
        <v>3</v>
      </c>
      <c r="CY162" s="241"/>
      <c r="CZ162" s="241"/>
      <c r="DA162" s="1496"/>
      <c r="DB162" s="1487"/>
      <c r="DC162" s="241"/>
      <c r="DD162" s="241"/>
      <c r="DS162" s="270"/>
      <c r="DT162" s="270"/>
      <c r="DU162" s="270"/>
      <c r="DV162" s="1283"/>
      <c r="DW162" s="1224"/>
      <c r="DX162" s="270"/>
      <c r="DY162" s="270"/>
      <c r="DZ162" s="270"/>
      <c r="EA162" s="270"/>
      <c r="EB162" s="270"/>
      <c r="EC162" s="270"/>
      <c r="ED162" s="270"/>
      <c r="EE162" s="1283"/>
      <c r="EF162" s="1224"/>
      <c r="EG162" s="270"/>
      <c r="EH162" s="270"/>
      <c r="EI162" s="270"/>
      <c r="EJ162" s="270"/>
      <c r="EK162" s="1283"/>
      <c r="EL162" s="1224"/>
      <c r="EM162" s="270"/>
      <c r="EN162" s="270"/>
      <c r="EO162" s="270"/>
      <c r="EP162" s="270"/>
      <c r="EQ162" s="270"/>
      <c r="ER162" s="270"/>
      <c r="ES162" s="270"/>
      <c r="ET162" s="270"/>
      <c r="EV162" s="270"/>
      <c r="EW162" s="270"/>
      <c r="EX162" s="270"/>
      <c r="EY162" s="1283"/>
      <c r="EZ162" s="1224"/>
      <c r="FA162" s="270"/>
      <c r="FB162" s="270"/>
      <c r="FC162" s="270"/>
      <c r="FD162" s="270"/>
      <c r="FE162" s="270"/>
      <c r="FF162" s="270"/>
      <c r="FG162" s="270"/>
      <c r="FH162" s="1283"/>
      <c r="FJ162" s="240"/>
    </row>
    <row r="163" spans="3:179" x14ac:dyDescent="0.35">
      <c r="C163" s="166" t="s">
        <v>1020</v>
      </c>
      <c r="D163" s="166"/>
      <c r="E163" s="166"/>
      <c r="F163" s="603">
        <f>F$160+$C$163</f>
        <v>39.4</v>
      </c>
      <c r="G163" s="250">
        <f t="shared" ref="G163:AA163" si="172">G$160+$C$163</f>
        <v>39</v>
      </c>
      <c r="H163" s="250">
        <f t="shared" si="172"/>
        <v>39.1</v>
      </c>
      <c r="I163" s="1149">
        <f t="shared" si="172"/>
        <v>39.799999999999997</v>
      </c>
      <c r="J163" s="603">
        <f t="shared" si="172"/>
        <v>75.8</v>
      </c>
      <c r="K163" s="250">
        <f t="shared" si="172"/>
        <v>74.2</v>
      </c>
      <c r="L163" s="250">
        <f t="shared" si="172"/>
        <v>73.8</v>
      </c>
      <c r="M163" s="250">
        <f t="shared" si="172"/>
        <v>72.5</v>
      </c>
      <c r="N163" s="250">
        <f t="shared" si="172"/>
        <v>70.8</v>
      </c>
      <c r="O163" s="1149">
        <f t="shared" si="172"/>
        <v>70.400000000000006</v>
      </c>
      <c r="P163" s="603">
        <f t="shared" si="172"/>
        <v>71.400000000000006</v>
      </c>
      <c r="Q163" s="250">
        <f t="shared" si="172"/>
        <v>70.86666666666666</v>
      </c>
      <c r="R163" s="1149">
        <f t="shared" si="172"/>
        <v>-3</v>
      </c>
      <c r="S163" s="603">
        <f t="shared" si="172"/>
        <v>-3</v>
      </c>
      <c r="T163" s="250">
        <f t="shared" si="172"/>
        <v>-3</v>
      </c>
      <c r="U163" s="250">
        <f t="shared" si="172"/>
        <v>-3</v>
      </c>
      <c r="V163" s="250">
        <f t="shared" si="172"/>
        <v>-3</v>
      </c>
      <c r="W163" s="250">
        <f t="shared" si="172"/>
        <v>-3</v>
      </c>
      <c r="X163" s="1149">
        <f t="shared" si="172"/>
        <v>-3</v>
      </c>
      <c r="Y163" s="603">
        <f t="shared" si="172"/>
        <v>-3</v>
      </c>
      <c r="Z163" s="250">
        <f t="shared" si="172"/>
        <v>-3</v>
      </c>
      <c r="AA163" s="1149">
        <f t="shared" si="172"/>
        <v>-3</v>
      </c>
      <c r="CY163" s="241"/>
      <c r="CZ163" s="241"/>
      <c r="DA163" s="1496"/>
      <c r="DB163" s="1487"/>
      <c r="DC163" s="241"/>
      <c r="DD163" s="241"/>
      <c r="DS163" s="270"/>
      <c r="DT163" s="270"/>
      <c r="DU163" s="270"/>
      <c r="DV163" s="1283"/>
      <c r="DW163" s="1224"/>
      <c r="DX163" s="270"/>
      <c r="DY163" s="270"/>
      <c r="DZ163" s="270"/>
      <c r="EA163" s="270"/>
      <c r="EB163" s="270"/>
      <c r="EC163" s="270"/>
      <c r="ED163" s="270"/>
      <c r="EE163" s="1283"/>
      <c r="EF163" s="1224"/>
      <c r="EG163" s="270"/>
      <c r="EH163" s="270"/>
      <c r="EI163" s="270"/>
      <c r="EJ163" s="270"/>
      <c r="EK163" s="1283"/>
      <c r="EL163" s="1224"/>
      <c r="EM163" s="270"/>
      <c r="EN163" s="270"/>
      <c r="EO163" s="270"/>
      <c r="EP163" s="270"/>
      <c r="EQ163" s="270"/>
      <c r="ER163" s="270"/>
      <c r="ES163" s="270"/>
      <c r="ET163" s="270"/>
      <c r="EV163" s="270"/>
      <c r="EW163" s="270"/>
      <c r="EX163" s="270"/>
      <c r="EY163" s="1283"/>
      <c r="EZ163" s="1224"/>
      <c r="FA163" s="270"/>
      <c r="FB163" s="270"/>
      <c r="FC163" s="270"/>
      <c r="FD163" s="270"/>
      <c r="FE163" s="270"/>
      <c r="FF163" s="270"/>
      <c r="FG163" s="270"/>
      <c r="FH163" s="1283"/>
      <c r="FJ163" s="240"/>
    </row>
    <row r="164" spans="3:179" ht="15" thickBot="1" x14ac:dyDescent="0.4">
      <c r="O164" s="1236"/>
      <c r="P164" s="643"/>
      <c r="FC164" s="270"/>
      <c r="FD164" s="270"/>
      <c r="FE164" s="270"/>
      <c r="FF164" s="270"/>
      <c r="FG164" s="270"/>
      <c r="FH164" s="1283"/>
    </row>
    <row r="165" spans="3:179" s="377" customFormat="1" ht="19" thickTop="1" x14ac:dyDescent="0.45">
      <c r="C165" s="451"/>
      <c r="D165" s="411"/>
      <c r="E165" s="411"/>
      <c r="F165" s="1029"/>
      <c r="G165" s="232"/>
      <c r="H165" s="232"/>
      <c r="I165" s="1236"/>
      <c r="J165" s="643"/>
      <c r="K165" s="232"/>
      <c r="L165" s="232"/>
      <c r="M165" s="232"/>
      <c r="N165" s="232"/>
      <c r="O165" s="1236"/>
      <c r="P165" s="643"/>
      <c r="Q165" s="232"/>
      <c r="R165" s="1236"/>
      <c r="S165" s="643"/>
      <c r="T165" s="232"/>
      <c r="U165" s="232"/>
      <c r="V165" s="232"/>
      <c r="W165" s="232"/>
      <c r="X165" s="1236"/>
      <c r="Y165" s="643"/>
      <c r="Z165" s="232"/>
      <c r="AA165" s="232"/>
      <c r="AB165" s="232"/>
      <c r="AC165" s="232"/>
      <c r="AD165" s="232"/>
      <c r="AE165" s="232"/>
      <c r="AF165" s="232"/>
      <c r="AG165" s="232"/>
      <c r="AH165" s="323"/>
      <c r="AI165" s="232"/>
      <c r="AJ165" s="232"/>
      <c r="AK165" s="232"/>
      <c r="AL165" s="1236"/>
      <c r="AM165" s="643"/>
      <c r="AN165" s="232"/>
      <c r="AO165" s="232"/>
      <c r="AP165" s="232"/>
      <c r="AQ165" s="232"/>
      <c r="AR165" s="232"/>
      <c r="AS165" s="232"/>
      <c r="AT165" s="232"/>
      <c r="AU165" s="1236"/>
      <c r="AV165" s="643"/>
      <c r="AW165" s="232"/>
      <c r="AX165" s="232"/>
      <c r="AY165" s="232"/>
      <c r="AZ165" s="232"/>
      <c r="BA165" s="1236"/>
      <c r="BB165" s="643"/>
      <c r="BC165" s="232"/>
      <c r="BD165" s="232"/>
      <c r="BE165" s="232"/>
      <c r="BF165" s="232"/>
      <c r="BG165" s="232"/>
      <c r="BH165" s="232"/>
      <c r="BI165" s="232"/>
      <c r="BJ165" s="232"/>
      <c r="BK165" s="323"/>
      <c r="BL165" s="232"/>
      <c r="BM165" s="232"/>
      <c r="BN165" s="232"/>
      <c r="BO165" s="1236"/>
      <c r="BP165" s="643"/>
      <c r="BQ165" s="232"/>
      <c r="BR165" s="232"/>
      <c r="BS165" s="232"/>
      <c r="BT165" s="232"/>
      <c r="BU165" s="232"/>
      <c r="BV165" s="232"/>
      <c r="BW165" s="232"/>
      <c r="BX165" s="1236"/>
      <c r="BY165" s="643"/>
      <c r="BZ165" s="232"/>
      <c r="CA165" s="232"/>
      <c r="CB165" s="232"/>
      <c r="CC165" s="232"/>
      <c r="CD165" s="1236"/>
      <c r="CE165" s="643"/>
      <c r="CF165" s="232"/>
      <c r="CG165" s="232"/>
      <c r="CH165" s="232"/>
      <c r="CI165" s="232"/>
      <c r="CJ165" s="232"/>
      <c r="CK165" s="232"/>
      <c r="CL165" s="232"/>
      <c r="CM165" s="232"/>
      <c r="CN165" s="323"/>
      <c r="CO165" s="232"/>
      <c r="CP165" s="232"/>
      <c r="CQ165" s="232"/>
      <c r="CR165" s="1236"/>
      <c r="CS165" s="643"/>
      <c r="CT165" s="232"/>
      <c r="CU165" s="232"/>
      <c r="CV165" s="232"/>
      <c r="CW165" s="232"/>
      <c r="CX165" s="232"/>
      <c r="CY165" s="232"/>
      <c r="CZ165" s="232"/>
      <c r="DA165" s="1236"/>
      <c r="DB165" s="643"/>
      <c r="DC165" s="232"/>
      <c r="DD165" s="232"/>
      <c r="DE165" s="232"/>
      <c r="DF165" s="232"/>
      <c r="DG165" s="1236"/>
      <c r="DH165" s="643"/>
      <c r="DI165" s="232"/>
      <c r="DJ165" s="232"/>
      <c r="DK165" s="232"/>
      <c r="DL165" s="232"/>
      <c r="DM165" s="232"/>
      <c r="DN165" s="232"/>
      <c r="DO165" s="232"/>
      <c r="DP165" s="232"/>
      <c r="DQ165" s="323"/>
      <c r="DR165" s="238"/>
      <c r="DS165" s="232"/>
      <c r="DT165" s="232"/>
      <c r="DU165" s="232"/>
      <c r="DV165" s="1236"/>
      <c r="DW165" s="643"/>
      <c r="DX165" s="232"/>
      <c r="DY165" s="232"/>
      <c r="DZ165" s="232"/>
      <c r="EA165" s="232"/>
      <c r="EB165" s="232"/>
      <c r="EC165" s="232"/>
      <c r="ED165" s="232"/>
      <c r="EE165" s="1236"/>
      <c r="EF165" s="643"/>
      <c r="EG165" s="232"/>
      <c r="EH165" s="232"/>
      <c r="EI165" s="232"/>
      <c r="EJ165" s="232"/>
      <c r="EK165" s="1236"/>
      <c r="EL165" s="643"/>
      <c r="EM165" s="232"/>
      <c r="EN165" s="232"/>
      <c r="EO165" s="232"/>
      <c r="EP165" s="232"/>
      <c r="EQ165" s="232"/>
      <c r="ER165" s="232"/>
      <c r="ES165" s="232"/>
      <c r="ET165" s="232"/>
      <c r="EU165" s="323"/>
      <c r="EV165" s="232"/>
      <c r="EW165" s="232"/>
      <c r="EX165" s="232"/>
      <c r="EY165" s="1236"/>
      <c r="EZ165" s="643"/>
      <c r="FA165" s="232"/>
      <c r="FB165" s="232"/>
      <c r="FC165" s="232"/>
      <c r="FD165" s="232"/>
      <c r="FE165" s="232"/>
      <c r="FF165" s="232"/>
      <c r="FG165" s="232"/>
      <c r="FH165" s="1236"/>
      <c r="FI165" s="643"/>
      <c r="FJ165" s="232"/>
      <c r="FK165" s="232"/>
      <c r="FL165" s="232"/>
      <c r="FM165" s="232"/>
      <c r="FN165" s="1236"/>
      <c r="FO165" s="643"/>
      <c r="FP165" s="232"/>
      <c r="FQ165" s="232"/>
      <c r="FR165" s="232"/>
      <c r="FS165" s="232"/>
      <c r="FT165" s="232"/>
      <c r="FU165" s="232"/>
      <c r="FV165" s="232"/>
      <c r="FW165" s="232"/>
    </row>
    <row r="166" spans="3:179" x14ac:dyDescent="0.35">
      <c r="C166" s="1" t="s">
        <v>309</v>
      </c>
      <c r="F166" s="1867">
        <f t="shared" ref="F166:U166" si="173">((F$99-(BL$99))/F$99)*100</f>
        <v>70.205740913664116</v>
      </c>
      <c r="G166" s="249">
        <f t="shared" si="173"/>
        <v>70.931587442575676</v>
      </c>
      <c r="H166" s="249">
        <f t="shared" si="173"/>
        <v>67.287729486705459</v>
      </c>
      <c r="I166" s="249">
        <f t="shared" si="173"/>
        <v>68.667837436712745</v>
      </c>
      <c r="J166" s="249">
        <f t="shared" si="173"/>
        <v>95.458451159462328</v>
      </c>
      <c r="K166" s="249">
        <f t="shared" si="173"/>
        <v>94.368397357724433</v>
      </c>
      <c r="L166" s="249">
        <f t="shared" si="173"/>
        <v>92.675146032917581</v>
      </c>
      <c r="M166" s="249">
        <f t="shared" si="173"/>
        <v>91.737268623248113</v>
      </c>
      <c r="N166" s="249">
        <f t="shared" si="173"/>
        <v>90.720493302188004</v>
      </c>
      <c r="O166" s="1242">
        <f t="shared" si="173"/>
        <v>89.961645390444048</v>
      </c>
      <c r="P166" s="419">
        <f t="shared" si="173"/>
        <v>88.732310773517284</v>
      </c>
      <c r="Q166" s="249">
        <f t="shared" si="173"/>
        <v>88.984914704384693</v>
      </c>
      <c r="R166" s="1242">
        <f t="shared" si="173"/>
        <v>88.368595784930676</v>
      </c>
      <c r="S166" s="419" t="e">
        <f t="shared" si="173"/>
        <v>#DIV/0!</v>
      </c>
      <c r="T166" s="249" t="e">
        <f t="shared" si="173"/>
        <v>#DIV/0!</v>
      </c>
      <c r="U166" s="249" t="e">
        <f t="shared" si="173"/>
        <v>#DIV/0!</v>
      </c>
      <c r="V166" s="249" t="e">
        <f t="shared" ref="V166" si="174">((V$99-(AY$99+CB$99))/V$99)*100</f>
        <v>#DIV/0!</v>
      </c>
      <c r="W166" s="249" t="e">
        <f t="shared" ref="W166" si="175">((W$99-(AZ$99+CN$99))/W$99)*100</f>
        <v>#DIV/0!</v>
      </c>
      <c r="X166" s="1242" t="e">
        <f t="shared" ref="X166" si="176">((X$99-(BA$99+CO$99))/X$99)*100</f>
        <v>#DIV/0!</v>
      </c>
      <c r="Y166" s="419" t="e">
        <f t="shared" ref="Y166" si="177">((Y$99-(BB$99+CP$99))/Y$99)*100</f>
        <v>#DIV/0!</v>
      </c>
      <c r="Z166" s="249" t="e">
        <f t="shared" ref="Z166" si="178">((Z$99-(BC$99+CQ$99))/Z$99)*100</f>
        <v>#DIV/0!</v>
      </c>
      <c r="AA166" s="249" t="e">
        <f t="shared" ref="AA166" si="179">((AA$99-(BD$99+CR$99))/AA$99)*100</f>
        <v>#DIV/0!</v>
      </c>
      <c r="AB166" s="249" t="e">
        <f t="shared" ref="AB166" si="180">((AB$99-(BE$99+CS$99))/AB$99)*100</f>
        <v>#DIV/0!</v>
      </c>
      <c r="AC166" s="249" t="e">
        <f t="shared" ref="AC166" si="181">((AC$99-(BF$99+CT$99))/AC$99)*100</f>
        <v>#DIV/0!</v>
      </c>
      <c r="AD166" s="249" t="e">
        <f t="shared" ref="AD166" si="182">((AD$99-(BG$99+CU$99))/AD$99)*100</f>
        <v>#DIV/0!</v>
      </c>
      <c r="AE166" s="249" t="e">
        <f t="shared" ref="AE166" si="183">((AE$99-(BK$99+CV$99))/AE$99)*100</f>
        <v>#DIV/0!</v>
      </c>
      <c r="AF166" s="249" t="e">
        <f t="shared" ref="AF166" si="184">((AF$99-(BL$99+CW$99))/AF$99)*100</f>
        <v>#DIV/0!</v>
      </c>
      <c r="AG166" s="249" t="e">
        <f t="shared" ref="AG166" si="185">((AG$99-(BM$99+CX$99))/AG$99)*100</f>
        <v>#DIV/0!</v>
      </c>
      <c r="AI166" s="232" t="s">
        <v>1121</v>
      </c>
    </row>
    <row r="167" spans="3:179" x14ac:dyDescent="0.35">
      <c r="C167" s="444" t="s">
        <v>1001</v>
      </c>
      <c r="D167" s="444"/>
      <c r="E167" s="444"/>
      <c r="F167" s="446">
        <v>77</v>
      </c>
      <c r="G167" s="446">
        <v>71.2</v>
      </c>
      <c r="H167" s="446">
        <v>69.099999999999994</v>
      </c>
      <c r="I167" s="249">
        <v>67.7</v>
      </c>
      <c r="J167" s="249">
        <v>94</v>
      </c>
      <c r="K167" s="249">
        <v>90.5</v>
      </c>
      <c r="L167" s="249">
        <v>89.8</v>
      </c>
      <c r="M167" s="249">
        <v>89</v>
      </c>
      <c r="N167" s="249">
        <v>88.2</v>
      </c>
      <c r="O167" s="1242">
        <v>87.1</v>
      </c>
      <c r="P167" s="419">
        <v>88.5</v>
      </c>
      <c r="Q167" s="249">
        <v>83.2</v>
      </c>
      <c r="R167" s="1242">
        <v>83</v>
      </c>
      <c r="S167" s="419">
        <v>84.1</v>
      </c>
      <c r="T167" s="249">
        <v>83</v>
      </c>
      <c r="U167" s="249">
        <v>82.9</v>
      </c>
      <c r="AI167" s="232" t="s">
        <v>1120</v>
      </c>
    </row>
    <row r="168" spans="3:179" s="2325" customFormat="1" x14ac:dyDescent="0.35">
      <c r="C168" s="2326" t="s">
        <v>1002</v>
      </c>
      <c r="D168" s="2326"/>
      <c r="E168" s="2326"/>
      <c r="F168" s="2377"/>
      <c r="G168" s="2331"/>
      <c r="H168" s="2331"/>
      <c r="I168" s="2331"/>
      <c r="J168" s="2331"/>
      <c r="K168" s="2377">
        <v>94.933388686835613</v>
      </c>
      <c r="L168" s="2377">
        <v>93.378866406819995</v>
      </c>
      <c r="M168" s="2377">
        <v>93.031747761775009</v>
      </c>
      <c r="N168" s="2377">
        <v>91.962512846138608</v>
      </c>
      <c r="O168" s="2377">
        <v>91.076013663705609</v>
      </c>
      <c r="P168" s="2377">
        <v>90.379853700211825</v>
      </c>
      <c r="Q168" s="2377"/>
      <c r="R168" s="2378"/>
      <c r="S168" s="2379"/>
      <c r="T168" s="2377"/>
      <c r="U168" s="2377"/>
      <c r="V168" s="2331"/>
      <c r="W168" s="2331"/>
      <c r="X168" s="2332"/>
      <c r="Y168" s="2333"/>
      <c r="Z168" s="2331"/>
      <c r="AA168" s="2331"/>
      <c r="AB168" s="2331"/>
      <c r="AC168" s="2331"/>
      <c r="AD168" s="2331"/>
      <c r="AE168" s="2331"/>
      <c r="AF168" s="2331"/>
      <c r="AG168" s="2331"/>
      <c r="AH168" s="323"/>
      <c r="AI168" s="2331" t="s">
        <v>608</v>
      </c>
      <c r="AJ168" s="2331"/>
      <c r="AK168" s="2331"/>
      <c r="AL168" s="2332"/>
      <c r="AM168" s="2333"/>
      <c r="AN168" s="2331"/>
      <c r="AO168" s="2331"/>
      <c r="AP168" s="2331"/>
      <c r="AQ168" s="2331"/>
      <c r="AR168" s="2331"/>
      <c r="AS168" s="2331"/>
      <c r="AT168" s="2331"/>
      <c r="AU168" s="2332"/>
      <c r="AV168" s="2333"/>
      <c r="AW168" s="2331"/>
      <c r="AX168" s="2331"/>
      <c r="AY168" s="2331"/>
      <c r="AZ168" s="2331"/>
      <c r="BA168" s="2332"/>
      <c r="BB168" s="2333"/>
      <c r="BC168" s="2331"/>
      <c r="BD168" s="2331"/>
      <c r="BE168" s="2331"/>
      <c r="BF168" s="2331"/>
      <c r="BG168" s="2331"/>
      <c r="BH168" s="2331"/>
      <c r="BI168" s="2331"/>
      <c r="BJ168" s="2331"/>
      <c r="BK168" s="323"/>
      <c r="BL168" s="2331"/>
      <c r="BM168" s="2331"/>
      <c r="BN168" s="2331"/>
      <c r="BO168" s="2332"/>
      <c r="BP168" s="2333"/>
      <c r="BQ168" s="2331"/>
      <c r="BR168" s="2331"/>
      <c r="BS168" s="2331"/>
      <c r="BT168" s="2331"/>
      <c r="BU168" s="2331"/>
      <c r="BV168" s="2331"/>
      <c r="BW168" s="2331"/>
      <c r="BX168" s="2332"/>
      <c r="BY168" s="2333"/>
      <c r="BZ168" s="2331"/>
      <c r="CA168" s="2331"/>
      <c r="CB168" s="2331"/>
      <c r="CC168" s="2331"/>
      <c r="CD168" s="2332"/>
      <c r="CE168" s="2333"/>
      <c r="CF168" s="2331"/>
      <c r="CG168" s="2331"/>
      <c r="CH168" s="2331"/>
      <c r="CI168" s="2331"/>
      <c r="CJ168" s="2331"/>
      <c r="CK168" s="2331"/>
      <c r="CL168" s="2331"/>
      <c r="CM168" s="2331"/>
      <c r="CN168" s="323"/>
      <c r="CO168" s="2331"/>
      <c r="CP168" s="2331"/>
      <c r="CQ168" s="2331"/>
      <c r="CR168" s="2332"/>
      <c r="CS168" s="2333"/>
      <c r="CT168" s="2331"/>
      <c r="CU168" s="2331"/>
      <c r="CV168" s="2331"/>
      <c r="CW168" s="2331"/>
      <c r="CX168" s="2331"/>
      <c r="CY168" s="2331"/>
      <c r="CZ168" s="2331"/>
      <c r="DA168" s="2332"/>
      <c r="DB168" s="2333"/>
      <c r="DC168" s="2331"/>
      <c r="DD168" s="2331"/>
      <c r="DE168" s="2331"/>
      <c r="DF168" s="2331"/>
      <c r="DG168" s="2332"/>
      <c r="DH168" s="2333"/>
      <c r="DI168" s="2331"/>
      <c r="DJ168" s="2331"/>
      <c r="DK168" s="2331"/>
      <c r="DL168" s="2331"/>
      <c r="DM168" s="2331"/>
      <c r="DN168" s="2331"/>
      <c r="DO168" s="2331"/>
      <c r="DP168" s="2331"/>
      <c r="DQ168" s="323"/>
      <c r="DR168" s="2338"/>
      <c r="DS168" s="2331"/>
      <c r="DT168" s="2331"/>
      <c r="DU168" s="2331"/>
      <c r="DV168" s="2332"/>
      <c r="DW168" s="2333"/>
      <c r="DX168" s="2331"/>
      <c r="DY168" s="2331"/>
      <c r="DZ168" s="2331"/>
      <c r="EA168" s="2331"/>
      <c r="EB168" s="2331"/>
      <c r="EC168" s="2331"/>
      <c r="ED168" s="2331"/>
      <c r="EE168" s="2332"/>
      <c r="EF168" s="2333"/>
      <c r="EG168" s="2331"/>
      <c r="EH168" s="2331"/>
      <c r="EI168" s="2331"/>
      <c r="EJ168" s="2331"/>
      <c r="EK168" s="2332"/>
      <c r="EL168" s="2333"/>
      <c r="EM168" s="2331"/>
      <c r="EN168" s="2331"/>
      <c r="EO168" s="2331"/>
      <c r="EP168" s="2331"/>
      <c r="EQ168" s="2331"/>
      <c r="ER168" s="2331"/>
      <c r="ES168" s="2331"/>
      <c r="ET168" s="2331"/>
      <c r="EU168" s="323"/>
      <c r="EV168" s="2331"/>
      <c r="EW168" s="2331"/>
      <c r="EX168" s="2331"/>
      <c r="EY168" s="2332"/>
      <c r="EZ168" s="2333"/>
      <c r="FA168" s="2331"/>
      <c r="FB168" s="2331"/>
      <c r="FC168" s="2331"/>
      <c r="FD168" s="2331"/>
      <c r="FE168" s="2331"/>
      <c r="FF168" s="2331"/>
      <c r="FG168" s="2331"/>
      <c r="FH168" s="2332"/>
      <c r="FI168" s="2333"/>
      <c r="FJ168" s="2331"/>
      <c r="FK168" s="2331"/>
      <c r="FL168" s="2331"/>
      <c r="FM168" s="2331"/>
      <c r="FN168" s="2332"/>
      <c r="FO168" s="2333"/>
      <c r="FP168" s="2331"/>
      <c r="FQ168" s="2331"/>
      <c r="FR168" s="2331"/>
      <c r="FS168" s="2331"/>
      <c r="FT168" s="2331"/>
      <c r="FU168" s="2331"/>
      <c r="FV168" s="2331"/>
      <c r="FW168" s="2331"/>
    </row>
    <row r="169" spans="3:179" s="2315" customFormat="1" x14ac:dyDescent="0.35">
      <c r="C169" s="2297" t="s">
        <v>310</v>
      </c>
      <c r="D169" s="2297"/>
      <c r="E169" s="2297"/>
      <c r="F169" s="2344">
        <f>0.719323433558662*100</f>
        <v>71.932343355866209</v>
      </c>
      <c r="G169" s="2303">
        <f>0.699505610355271*100</f>
        <v>69.950561035527102</v>
      </c>
      <c r="H169" s="2303">
        <f>0.683939547616694*100</f>
        <v>68.393954761669391</v>
      </c>
      <c r="I169" s="2303">
        <f>0.683017252933296*100</f>
        <v>68.301725293329596</v>
      </c>
      <c r="J169" s="2303">
        <f>0.948563070341465*100</f>
        <v>94.856307034146496</v>
      </c>
      <c r="K169" s="2344">
        <f>0.930449082189687*100</f>
        <v>93.0449082189687</v>
      </c>
      <c r="L169" s="2344">
        <f>0.914883958992625*100</f>
        <v>91.4883958992625</v>
      </c>
      <c r="M169" s="2344">
        <f>0.901626097256463*100</f>
        <v>90.162609725646305</v>
      </c>
      <c r="N169" s="2344">
        <f>0.890993575018155*100</f>
        <v>89.099357501815504</v>
      </c>
      <c r="O169" s="2344">
        <f>0.886230001437718*100</f>
        <v>88.623000143771804</v>
      </c>
      <c r="P169" s="2344">
        <f>0.879576156410573*100</f>
        <v>87.957615641057302</v>
      </c>
      <c r="Q169" s="2344"/>
      <c r="R169" s="2345"/>
      <c r="S169" s="2346"/>
      <c r="T169" s="2344"/>
      <c r="U169" s="2344"/>
      <c r="V169" s="2303"/>
      <c r="W169" s="2303"/>
      <c r="X169" s="2304"/>
      <c r="Y169" s="2305"/>
      <c r="Z169" s="2303"/>
      <c r="AA169" s="2303"/>
      <c r="AB169" s="2303"/>
      <c r="AC169" s="2303"/>
      <c r="AD169" s="2303"/>
      <c r="AE169" s="2303"/>
      <c r="AF169" s="2303"/>
      <c r="AG169" s="2303"/>
      <c r="AH169" s="323"/>
      <c r="AI169" s="2303"/>
      <c r="AJ169" s="2303"/>
      <c r="AK169" s="2303"/>
      <c r="AL169" s="2304"/>
      <c r="AM169" s="2305"/>
      <c r="AN169" s="2303"/>
      <c r="AO169" s="2303"/>
      <c r="AP169" s="2303"/>
      <c r="AQ169" s="2303"/>
      <c r="AR169" s="2303"/>
      <c r="AS169" s="2303"/>
      <c r="AT169" s="2303"/>
      <c r="AU169" s="2304"/>
      <c r="AV169" s="2305"/>
      <c r="AW169" s="2303"/>
      <c r="AX169" s="2303"/>
      <c r="AY169" s="2303"/>
      <c r="AZ169" s="2303"/>
      <c r="BA169" s="2304"/>
      <c r="BB169" s="2305"/>
      <c r="BC169" s="2303"/>
      <c r="BD169" s="2303"/>
      <c r="BE169" s="2303"/>
      <c r="BF169" s="2303"/>
      <c r="BG169" s="2303"/>
      <c r="BH169" s="2303"/>
      <c r="BI169" s="2303"/>
      <c r="BJ169" s="2303"/>
      <c r="BK169" s="323"/>
      <c r="BL169" s="2303"/>
      <c r="BM169" s="2303"/>
      <c r="BN169" s="2303"/>
      <c r="BO169" s="2304"/>
      <c r="BP169" s="2305"/>
      <c r="BQ169" s="2303"/>
      <c r="BR169" s="2303"/>
      <c r="BS169" s="2303"/>
      <c r="BT169" s="2303"/>
      <c r="BU169" s="2303"/>
      <c r="BV169" s="2303"/>
      <c r="BW169" s="2303"/>
      <c r="BX169" s="2304"/>
      <c r="BY169" s="2305"/>
      <c r="BZ169" s="2303"/>
      <c r="CA169" s="2303"/>
      <c r="CB169" s="2303"/>
      <c r="CC169" s="2303"/>
      <c r="CD169" s="2304"/>
      <c r="CE169" s="2305"/>
      <c r="CF169" s="2303"/>
      <c r="CG169" s="2303"/>
      <c r="CH169" s="2303"/>
      <c r="CI169" s="2303"/>
      <c r="CJ169" s="2303"/>
      <c r="CK169" s="2303"/>
      <c r="CL169" s="2303"/>
      <c r="CM169" s="2303"/>
      <c r="CN169" s="323"/>
      <c r="CO169" s="2303"/>
      <c r="CP169" s="2303"/>
      <c r="CQ169" s="2303"/>
      <c r="CR169" s="2304"/>
      <c r="CS169" s="2305"/>
      <c r="CT169" s="2303"/>
      <c r="CU169" s="2303"/>
      <c r="CV169" s="2303"/>
      <c r="CW169" s="2303"/>
      <c r="CX169" s="2303"/>
      <c r="CY169" s="2303"/>
      <c r="CZ169" s="2303"/>
      <c r="DA169" s="2304"/>
      <c r="DB169" s="2305"/>
      <c r="DC169" s="2303"/>
      <c r="DD169" s="2303"/>
      <c r="DE169" s="2303"/>
      <c r="DF169" s="2303"/>
      <c r="DG169" s="2304"/>
      <c r="DH169" s="2305"/>
      <c r="DI169" s="2303"/>
      <c r="DJ169" s="2303"/>
      <c r="DK169" s="2303"/>
      <c r="DL169" s="2303"/>
      <c r="DM169" s="2303"/>
      <c r="DN169" s="2303"/>
      <c r="DO169" s="2303"/>
      <c r="DP169" s="2303"/>
      <c r="DQ169" s="323"/>
      <c r="DR169" s="2310"/>
      <c r="DS169" s="2303"/>
      <c r="DT169" s="2303"/>
      <c r="DU169" s="2303"/>
      <c r="DV169" s="2304"/>
      <c r="DW169" s="2305"/>
      <c r="DX169" s="2303"/>
      <c r="DY169" s="2303"/>
      <c r="DZ169" s="2303"/>
      <c r="EA169" s="2303"/>
      <c r="EB169" s="2303"/>
      <c r="EC169" s="2303"/>
      <c r="ED169" s="2303"/>
      <c r="EE169" s="2304"/>
      <c r="EF169" s="2305"/>
      <c r="EG169" s="2303"/>
      <c r="EH169" s="2303"/>
      <c r="EI169" s="2303"/>
      <c r="EJ169" s="2303"/>
      <c r="EK169" s="2304"/>
      <c r="EL169" s="2305"/>
      <c r="EM169" s="2303"/>
      <c r="EN169" s="2303"/>
      <c r="EO169" s="2303"/>
      <c r="EP169" s="2303"/>
      <c r="EQ169" s="2303"/>
      <c r="ER169" s="2303"/>
      <c r="ES169" s="2303"/>
      <c r="ET169" s="2303"/>
      <c r="EU169" s="323"/>
      <c r="EV169" s="2303"/>
      <c r="EW169" s="2303"/>
      <c r="EX169" s="2303"/>
      <c r="EY169" s="2304"/>
      <c r="EZ169" s="2305"/>
      <c r="FA169" s="2303"/>
      <c r="FB169" s="2303"/>
      <c r="FC169" s="2303"/>
      <c r="FD169" s="2303"/>
      <c r="FE169" s="2303"/>
      <c r="FF169" s="2303"/>
      <c r="FG169" s="2303"/>
      <c r="FH169" s="2304"/>
      <c r="FI169" s="2305"/>
      <c r="FJ169" s="2303"/>
      <c r="FK169" s="2303"/>
      <c r="FL169" s="2303"/>
      <c r="FM169" s="2303"/>
      <c r="FN169" s="2304"/>
      <c r="FO169" s="2305"/>
      <c r="FP169" s="2303"/>
      <c r="FQ169" s="2303"/>
      <c r="FR169" s="2303"/>
      <c r="FS169" s="2303"/>
      <c r="FT169" s="2303"/>
      <c r="FU169" s="2303"/>
      <c r="FV169" s="2303"/>
      <c r="FW169" s="2303"/>
    </row>
    <row r="170" spans="3:179" s="368" customFormat="1" ht="15" thickBot="1" x14ac:dyDescent="0.4">
      <c r="C170" s="413">
        <v>0.95</v>
      </c>
      <c r="D170" s="413"/>
      <c r="E170" s="413"/>
      <c r="F170" s="501">
        <f>$C$170*F$167</f>
        <v>73.149999999999991</v>
      </c>
      <c r="G170" s="249">
        <f>$C$170*G$167</f>
        <v>67.64</v>
      </c>
      <c r="H170" s="249">
        <f t="shared" ref="H170:K170" si="186">$C$170*H$167</f>
        <v>65.644999999999996</v>
      </c>
      <c r="I170" s="1242">
        <f t="shared" si="186"/>
        <v>64.314999999999998</v>
      </c>
      <c r="J170" s="419">
        <f t="shared" si="186"/>
        <v>89.3</v>
      </c>
      <c r="K170" s="249">
        <f t="shared" si="186"/>
        <v>85.974999999999994</v>
      </c>
      <c r="L170" s="249">
        <f>$C$170*L$167</f>
        <v>85.309999999999988</v>
      </c>
      <c r="M170" s="249">
        <f t="shared" ref="M170:T170" si="187">$C$170*M$167</f>
        <v>84.55</v>
      </c>
      <c r="N170" s="249">
        <f t="shared" si="187"/>
        <v>83.789999999999992</v>
      </c>
      <c r="O170" s="1242">
        <f t="shared" si="187"/>
        <v>82.74499999999999</v>
      </c>
      <c r="P170" s="419">
        <f t="shared" si="187"/>
        <v>84.075000000000003</v>
      </c>
      <c r="Q170" s="249">
        <f t="shared" si="187"/>
        <v>79.039999999999992</v>
      </c>
      <c r="R170" s="1242">
        <f t="shared" si="187"/>
        <v>78.849999999999994</v>
      </c>
      <c r="S170" s="419">
        <f t="shared" si="187"/>
        <v>79.894999999999996</v>
      </c>
      <c r="T170" s="249">
        <f t="shared" si="187"/>
        <v>78.849999999999994</v>
      </c>
      <c r="U170" s="249">
        <f>$C$170*U$167</f>
        <v>78.754999999999995</v>
      </c>
      <c r="V170" s="232"/>
      <c r="W170" s="232"/>
      <c r="X170" s="1236"/>
      <c r="Y170" s="643"/>
      <c r="Z170" s="232"/>
      <c r="AA170" s="232"/>
      <c r="AB170" s="232"/>
      <c r="AC170" s="232"/>
      <c r="AD170" s="232"/>
      <c r="AE170" s="232"/>
      <c r="AF170" s="232"/>
      <c r="AG170" s="232"/>
      <c r="AH170" s="323"/>
      <c r="AI170" s="232"/>
      <c r="AJ170" s="232"/>
      <c r="AK170" s="232"/>
      <c r="AL170" s="1236"/>
      <c r="AM170" s="643"/>
      <c r="AN170" s="232"/>
      <c r="AO170" s="232"/>
      <c r="AP170" s="232"/>
      <c r="AQ170" s="232"/>
      <c r="AR170" s="232"/>
      <c r="AS170" s="232"/>
      <c r="AT170" s="232"/>
      <c r="AU170" s="1236"/>
      <c r="AV170" s="643"/>
      <c r="AW170" s="232"/>
      <c r="AX170" s="232"/>
      <c r="AY170" s="232"/>
      <c r="AZ170" s="232"/>
      <c r="BA170" s="1236"/>
      <c r="BB170" s="643"/>
      <c r="BC170" s="232"/>
      <c r="BD170" s="232"/>
      <c r="BE170" s="232"/>
      <c r="BF170" s="232"/>
      <c r="BG170" s="232"/>
      <c r="BH170" s="232"/>
      <c r="BI170" s="232"/>
      <c r="BJ170" s="232"/>
      <c r="BK170" s="323"/>
      <c r="BL170" s="232"/>
      <c r="BM170" s="232"/>
      <c r="BN170" s="232"/>
      <c r="BO170" s="1236"/>
      <c r="BP170" s="643"/>
      <c r="BQ170" s="232"/>
      <c r="BR170" s="232"/>
      <c r="BS170" s="232"/>
      <c r="BT170" s="232"/>
      <c r="BU170" s="232"/>
      <c r="BV170" s="232"/>
      <c r="BW170" s="232"/>
      <c r="BX170" s="1236"/>
      <c r="BY170" s="643"/>
      <c r="BZ170" s="232"/>
      <c r="CA170" s="232"/>
      <c r="CB170" s="232"/>
      <c r="CC170" s="232"/>
      <c r="CD170" s="1236"/>
      <c r="CE170" s="643"/>
      <c r="CF170" s="232"/>
      <c r="CG170" s="232"/>
      <c r="CH170" s="232"/>
      <c r="CI170" s="232"/>
      <c r="CJ170" s="232"/>
      <c r="CK170" s="232"/>
      <c r="CL170" s="232"/>
      <c r="CM170" s="232"/>
      <c r="CN170" s="323"/>
      <c r="CO170" s="232"/>
      <c r="CP170" s="232"/>
      <c r="CQ170" s="232"/>
      <c r="CR170" s="1236"/>
      <c r="CS170" s="643"/>
      <c r="CT170" s="232"/>
      <c r="CU170" s="232"/>
      <c r="CV170" s="232"/>
      <c r="CW170" s="232"/>
      <c r="CX170" s="232"/>
      <c r="CY170" s="232"/>
      <c r="CZ170" s="232"/>
      <c r="DA170" s="1236"/>
      <c r="DB170" s="643"/>
      <c r="DC170" s="232"/>
      <c r="DD170" s="232"/>
      <c r="DE170" s="232"/>
      <c r="DF170" s="232"/>
      <c r="DG170" s="1236"/>
      <c r="DH170" s="643"/>
      <c r="DI170" s="232"/>
      <c r="DJ170" s="232"/>
      <c r="DK170" s="232"/>
      <c r="DL170" s="232"/>
      <c r="DM170" s="232"/>
      <c r="DN170" s="232"/>
      <c r="DO170" s="232"/>
      <c r="DP170" s="232"/>
      <c r="DQ170" s="323"/>
      <c r="DR170" s="238"/>
      <c r="DS170" s="232"/>
      <c r="DT170" s="232"/>
      <c r="DU170" s="232"/>
      <c r="DV170" s="1236"/>
      <c r="DW170" s="643"/>
      <c r="DX170" s="232"/>
      <c r="DY170" s="232"/>
      <c r="DZ170" s="232"/>
      <c r="EA170" s="232"/>
      <c r="EB170" s="232"/>
      <c r="EC170" s="232"/>
      <c r="ED170" s="232"/>
      <c r="EE170" s="1236"/>
      <c r="EF170" s="643"/>
      <c r="EG170" s="232"/>
      <c r="EH170" s="232"/>
      <c r="EI170" s="232"/>
      <c r="EJ170" s="232"/>
      <c r="EK170" s="1236"/>
      <c r="EL170" s="643"/>
      <c r="EM170" s="232"/>
      <c r="EN170" s="232"/>
      <c r="EO170" s="232"/>
      <c r="EP170" s="232"/>
      <c r="EQ170" s="232"/>
      <c r="ER170" s="232"/>
      <c r="ES170" s="232"/>
      <c r="ET170" s="232"/>
      <c r="EU170" s="323"/>
      <c r="EV170" s="232"/>
      <c r="EW170" s="232"/>
      <c r="EX170" s="232"/>
      <c r="EY170" s="1236"/>
      <c r="EZ170" s="643"/>
      <c r="FA170" s="232"/>
      <c r="FB170" s="232"/>
      <c r="FC170" s="232"/>
      <c r="FD170" s="232"/>
      <c r="FE170" s="232"/>
      <c r="FF170" s="232"/>
      <c r="FG170" s="232"/>
      <c r="FH170" s="1236"/>
      <c r="FI170" s="643"/>
      <c r="FJ170" s="232"/>
      <c r="FK170" s="232"/>
      <c r="FL170" s="232"/>
      <c r="FM170" s="232"/>
      <c r="FN170" s="1236"/>
      <c r="FO170" s="643"/>
      <c r="FP170" s="232"/>
      <c r="FQ170" s="232"/>
      <c r="FR170" s="232"/>
      <c r="FS170" s="232"/>
      <c r="FT170" s="232"/>
      <c r="FU170" s="232"/>
      <c r="FV170" s="232"/>
      <c r="FW170" s="232"/>
    </row>
    <row r="171" spans="3:179" ht="15.5" thickTop="1" thickBot="1" x14ac:dyDescent="0.4">
      <c r="C171" s="412"/>
      <c r="D171" s="412"/>
      <c r="E171" s="412"/>
      <c r="F171" s="501"/>
      <c r="G171" s="249"/>
      <c r="H171" s="249"/>
      <c r="I171" s="1242"/>
      <c r="J171" s="419"/>
      <c r="K171" s="249"/>
      <c r="L171" s="249"/>
      <c r="M171" s="249"/>
      <c r="N171" s="249"/>
      <c r="O171" s="1242"/>
      <c r="P171" s="419"/>
      <c r="Q171" s="249"/>
      <c r="R171" s="1242"/>
      <c r="S171" s="419"/>
      <c r="T171" s="249"/>
      <c r="U171" s="249"/>
      <c r="DR171" s="345"/>
      <c r="DS171" s="225"/>
      <c r="DT171" s="225"/>
      <c r="DU171" s="225"/>
      <c r="DV171" s="1269"/>
      <c r="DW171" s="1214"/>
      <c r="DX171" s="225"/>
      <c r="DY171" s="225"/>
      <c r="DZ171" s="225"/>
      <c r="EA171" s="225"/>
      <c r="EB171" s="225"/>
      <c r="EC171" s="225"/>
      <c r="ED171" s="225"/>
      <c r="EE171" s="1269"/>
      <c r="EF171" s="1214"/>
      <c r="EG171" s="225"/>
      <c r="EH171" s="225"/>
      <c r="EI171" s="225"/>
      <c r="EJ171" s="225"/>
      <c r="EK171" s="1269"/>
      <c r="EL171" s="1214"/>
      <c r="EM171" s="225"/>
      <c r="EN171" s="225"/>
      <c r="EO171" s="225"/>
      <c r="EP171" s="225"/>
      <c r="EQ171" s="225"/>
      <c r="ER171" s="225"/>
      <c r="ES171" s="225"/>
      <c r="ET171" s="225"/>
      <c r="EV171" s="225"/>
      <c r="EW171" s="225"/>
      <c r="EX171" s="225"/>
      <c r="EY171" s="1269"/>
      <c r="EZ171" s="1214"/>
      <c r="FA171" s="225"/>
      <c r="FB171" s="225"/>
      <c r="FC171" s="225"/>
      <c r="FD171" s="225"/>
      <c r="FE171" s="225"/>
      <c r="FF171" s="225"/>
      <c r="FG171" s="225"/>
      <c r="FH171" s="1269"/>
      <c r="FI171" s="1214"/>
      <c r="FJ171" s="225"/>
      <c r="FK171" s="225"/>
      <c r="FL171" s="225"/>
      <c r="FM171" s="225"/>
      <c r="FN171" s="1269"/>
      <c r="FO171" s="1214"/>
      <c r="FP171" s="225"/>
      <c r="FQ171" s="225"/>
      <c r="FR171" s="225"/>
      <c r="FS171" s="225"/>
      <c r="FT171" s="225"/>
      <c r="FU171" s="225"/>
      <c r="FV171" s="225"/>
      <c r="FW171" s="225"/>
    </row>
    <row r="172" spans="3:179" ht="15.5" thickTop="1" thickBot="1" x14ac:dyDescent="0.4">
      <c r="C172" s="1" t="s">
        <v>307</v>
      </c>
      <c r="F172" s="655">
        <f t="shared" ref="F172:U172" si="188">((F$102-(BL$102))/F$102)*100</f>
        <v>88.365956525370336</v>
      </c>
      <c r="G172" s="249">
        <f t="shared" si="188"/>
        <v>87.291811879994228</v>
      </c>
      <c r="H172" s="249">
        <f t="shared" si="188"/>
        <v>83.972230418852888</v>
      </c>
      <c r="I172" s="1242">
        <f t="shared" si="188"/>
        <v>84.065216870895796</v>
      </c>
      <c r="J172" s="419">
        <f t="shared" si="188"/>
        <v>99.738730013766016</v>
      </c>
      <c r="K172" s="249">
        <f t="shared" si="188"/>
        <v>99.694359320154177</v>
      </c>
      <c r="L172" s="249">
        <f t="shared" si="188"/>
        <v>99.535600224715751</v>
      </c>
      <c r="M172" s="249">
        <f t="shared" si="188"/>
        <v>99.351538265392492</v>
      </c>
      <c r="N172" s="249">
        <f t="shared" si="188"/>
        <v>98.98818030144102</v>
      </c>
      <c r="O172" s="1242">
        <f t="shared" si="188"/>
        <v>98.951835366818557</v>
      </c>
      <c r="P172" s="419">
        <f t="shared" si="188"/>
        <v>98.706331490929699</v>
      </c>
      <c r="Q172" s="249">
        <f t="shared" si="188"/>
        <v>98.736642037490199</v>
      </c>
      <c r="R172" s="1242">
        <f t="shared" si="188"/>
        <v>98.575404959733333</v>
      </c>
      <c r="S172" s="419" t="e">
        <f t="shared" si="188"/>
        <v>#DIV/0!</v>
      </c>
      <c r="T172" s="249" t="e">
        <f t="shared" si="188"/>
        <v>#DIV/0!</v>
      </c>
      <c r="U172" s="249" t="e">
        <f t="shared" si="188"/>
        <v>#DIV/0!</v>
      </c>
      <c r="V172" s="249" t="e">
        <f t="shared" ref="V172" si="189">((V$102-(AY$102+CB$102))/V$102)*100</f>
        <v>#DIV/0!</v>
      </c>
      <c r="W172" s="249" t="e">
        <f t="shared" ref="W172" si="190">((W$102-(AZ$102+CN$102))/W$102)*100</f>
        <v>#DIV/0!</v>
      </c>
      <c r="X172" s="1242" t="e">
        <f t="shared" ref="X172" si="191">((X$102-(BA$102+CO$102))/X$102)*100</f>
        <v>#DIV/0!</v>
      </c>
      <c r="Y172" s="419" t="e">
        <f t="shared" ref="Y172" si="192">((Y$102-(BB$102+CP$102))/Y$102)*100</f>
        <v>#DIV/0!</v>
      </c>
      <c r="Z172" s="249" t="e">
        <f t="shared" ref="Z172" si="193">((Z$102-(BC$102+CQ$102))/Z$102)*100</f>
        <v>#DIV/0!</v>
      </c>
      <c r="AA172" s="249" t="e">
        <f t="shared" ref="AA172" si="194">((AA$102-(BD$102+CR$102))/AA$102)*100</f>
        <v>#DIV/0!</v>
      </c>
      <c r="AB172" s="249" t="e">
        <f t="shared" ref="AB172" si="195">((AB$102-(BE$102+CS$102))/AB$102)*100</f>
        <v>#DIV/0!</v>
      </c>
      <c r="AC172" s="249" t="e">
        <f t="shared" ref="AC172" si="196">((AC$102-(BF$102+CT$102))/AC$102)*100</f>
        <v>#DIV/0!</v>
      </c>
      <c r="AD172" s="249" t="e">
        <f t="shared" ref="AD172" si="197">((AD$102-(BG$102+CU$102))/AD$102)*100</f>
        <v>#DIV/0!</v>
      </c>
      <c r="AE172" s="249" t="e">
        <f t="shared" ref="AE172" si="198">((AE$102-(BK$102+CV$102))/AE$102)*100</f>
        <v>#DIV/0!</v>
      </c>
      <c r="AF172" s="249" t="e">
        <f t="shared" ref="AF172" si="199">((AF$102-(BL$102+CW$102))/AF$102)*100</f>
        <v>#DIV/0!</v>
      </c>
      <c r="AG172" s="249" t="e">
        <f t="shared" ref="AG172" si="200">((AG$102-(BM$102+CX$102))/AG$102)*100</f>
        <v>#DIV/0!</v>
      </c>
      <c r="AI172" s="232">
        <v>95.93</v>
      </c>
      <c r="DR172" s="361"/>
      <c r="DS172" s="307"/>
      <c r="DT172" s="307"/>
      <c r="DU172" s="307"/>
      <c r="DV172" s="1239"/>
      <c r="DW172" s="1546" t="s">
        <v>222</v>
      </c>
      <c r="DX172" s="307"/>
      <c r="DY172" s="307"/>
      <c r="DZ172" s="307"/>
      <c r="EA172" s="307"/>
      <c r="EB172" s="307"/>
      <c r="EC172" s="307"/>
      <c r="ED172" s="307"/>
      <c r="EE172" s="1239"/>
      <c r="EF172" s="1186"/>
      <c r="EG172" s="307"/>
      <c r="EH172" s="307"/>
      <c r="EI172" s="307"/>
      <c r="EJ172" s="307"/>
      <c r="EK172" s="1239"/>
      <c r="EL172" s="1186"/>
      <c r="EM172" s="307"/>
      <c r="EN172" s="307"/>
      <c r="EO172" s="307"/>
      <c r="EP172" s="307"/>
      <c r="EQ172" s="307"/>
      <c r="ER172" s="307"/>
      <c r="ES172" s="307"/>
      <c r="ET172" s="307"/>
      <c r="EV172" s="307"/>
      <c r="EW172" s="307"/>
      <c r="EX172" s="307"/>
      <c r="EY172" s="1239"/>
      <c r="EZ172" s="1546" t="s">
        <v>218</v>
      </c>
      <c r="FA172" s="307"/>
      <c r="FB172" s="307"/>
      <c r="FC172" s="307"/>
      <c r="FD172" s="307"/>
      <c r="FE172" s="307"/>
      <c r="FF172" s="307"/>
      <c r="FG172" s="307"/>
      <c r="FH172" s="1239"/>
      <c r="FI172" s="1186"/>
      <c r="FJ172" s="307"/>
      <c r="FK172" s="307"/>
      <c r="FL172" s="307"/>
      <c r="FM172" s="307"/>
      <c r="FN172" s="1239"/>
      <c r="FO172" s="1186"/>
      <c r="FP172" s="307"/>
      <c r="FQ172" s="307"/>
      <c r="FR172" s="307"/>
      <c r="FS172" s="307"/>
      <c r="FT172" s="307"/>
      <c r="FU172" s="307"/>
      <c r="FV172" s="307"/>
      <c r="FW172" s="307"/>
    </row>
    <row r="173" spans="3:179" ht="15" thickTop="1" x14ac:dyDescent="0.35">
      <c r="C173" s="444" t="s">
        <v>1003</v>
      </c>
      <c r="D173" s="444"/>
      <c r="E173" s="444"/>
      <c r="F173" s="492">
        <v>92</v>
      </c>
      <c r="G173" s="446">
        <v>88.5</v>
      </c>
      <c r="H173" s="446">
        <v>86.2</v>
      </c>
      <c r="I173" s="1242">
        <v>85.2</v>
      </c>
      <c r="J173" s="419">
        <v>98.5</v>
      </c>
      <c r="K173" s="249">
        <v>98.2</v>
      </c>
      <c r="L173" s="249">
        <v>98</v>
      </c>
      <c r="M173" s="249">
        <v>97.8</v>
      </c>
      <c r="N173" s="249">
        <v>97.6</v>
      </c>
      <c r="O173" s="1242">
        <v>97.4</v>
      </c>
      <c r="P173" s="419">
        <v>97</v>
      </c>
      <c r="Q173" s="249">
        <v>94.4</v>
      </c>
      <c r="R173" s="1242">
        <v>94</v>
      </c>
      <c r="S173" s="419">
        <v>95</v>
      </c>
      <c r="T173" s="249">
        <v>94.5</v>
      </c>
      <c r="U173" s="249">
        <v>93.9</v>
      </c>
      <c r="DR173" s="358"/>
      <c r="DS173" s="229"/>
      <c r="DT173" s="229"/>
      <c r="DU173" s="229"/>
      <c r="DV173" s="1245"/>
      <c r="DW173" s="1547"/>
      <c r="DX173" s="229"/>
      <c r="DY173" s="229"/>
      <c r="DZ173" s="229"/>
      <c r="EA173" s="229"/>
      <c r="EB173" s="229"/>
      <c r="EC173" s="229"/>
      <c r="ED173" s="229"/>
      <c r="EE173" s="1245"/>
      <c r="EF173" s="538"/>
      <c r="EG173" s="229"/>
      <c r="EH173" s="229"/>
      <c r="EI173" s="229"/>
      <c r="EJ173" s="229"/>
      <c r="EK173" s="1245"/>
      <c r="EL173" s="538"/>
      <c r="EM173" s="229"/>
      <c r="EN173" s="229"/>
      <c r="EO173" s="229"/>
      <c r="EP173" s="229"/>
      <c r="EQ173" s="229"/>
      <c r="ER173" s="229"/>
      <c r="ES173" s="229"/>
      <c r="ET173" s="229"/>
      <c r="EV173" s="229"/>
      <c r="EW173" s="229"/>
      <c r="EX173" s="229"/>
      <c r="EY173" s="1245"/>
      <c r="EZ173" s="1547"/>
      <c r="FA173" s="229"/>
      <c r="FB173" s="229"/>
      <c r="FC173" s="229"/>
      <c r="FD173" s="229"/>
      <c r="FE173" s="229"/>
      <c r="FF173" s="229"/>
      <c r="FG173" s="229"/>
      <c r="FH173" s="1245"/>
      <c r="FI173" s="538"/>
      <c r="FJ173" s="229"/>
      <c r="FK173" s="229"/>
      <c r="FL173" s="229"/>
      <c r="FM173" s="229"/>
      <c r="FN173" s="1245"/>
      <c r="FO173" s="538"/>
      <c r="FP173" s="229"/>
      <c r="FQ173" s="229"/>
      <c r="FR173" s="229"/>
      <c r="FS173" s="229"/>
      <c r="FT173" s="229"/>
      <c r="FU173" s="229"/>
      <c r="FV173" s="229"/>
      <c r="FW173" s="229"/>
    </row>
    <row r="174" spans="3:179" s="2325" customFormat="1" x14ac:dyDescent="0.35">
      <c r="C174" s="2326" t="s">
        <v>1004</v>
      </c>
      <c r="D174" s="2326"/>
      <c r="E174" s="2326"/>
      <c r="F174" s="2376"/>
      <c r="G174" s="2377"/>
      <c r="H174" s="2377"/>
      <c r="I174" s="2378"/>
      <c r="J174" s="2379"/>
      <c r="K174" s="2377">
        <v>99.706024610134264</v>
      </c>
      <c r="L174" s="2377">
        <v>99.479730948595957</v>
      </c>
      <c r="M174" s="2377">
        <v>99.439628861530352</v>
      </c>
      <c r="N174" s="2377">
        <v>99.29738941171243</v>
      </c>
      <c r="O174" s="2378">
        <v>99.187133983127183</v>
      </c>
      <c r="P174" s="2379">
        <v>99.091151179704156</v>
      </c>
      <c r="Q174" s="2377"/>
      <c r="R174" s="2378"/>
      <c r="S174" s="2379"/>
      <c r="T174" s="2377"/>
      <c r="U174" s="2377"/>
      <c r="V174" s="2331"/>
      <c r="W174" s="2331"/>
      <c r="X174" s="2332"/>
      <c r="Y174" s="2333"/>
      <c r="Z174" s="2331"/>
      <c r="AA174" s="2331"/>
      <c r="AB174" s="2331"/>
      <c r="AC174" s="2331"/>
      <c r="AD174" s="2331"/>
      <c r="AE174" s="2331"/>
      <c r="AF174" s="2331"/>
      <c r="AG174" s="2331"/>
      <c r="AH174" s="323"/>
      <c r="AI174" s="2331"/>
      <c r="AJ174" s="2331"/>
      <c r="AK174" s="2331"/>
      <c r="AL174" s="2332"/>
      <c r="AM174" s="2333"/>
      <c r="AN174" s="2331"/>
      <c r="AO174" s="2331"/>
      <c r="AP174" s="2331"/>
      <c r="AQ174" s="2331"/>
      <c r="AR174" s="2331"/>
      <c r="AS174" s="2331"/>
      <c r="AT174" s="2331"/>
      <c r="AU174" s="2332"/>
      <c r="AV174" s="2333"/>
      <c r="AW174" s="2331"/>
      <c r="AX174" s="2331"/>
      <c r="AY174" s="2331"/>
      <c r="AZ174" s="2331"/>
      <c r="BA174" s="2332"/>
      <c r="BB174" s="2333"/>
      <c r="BC174" s="2331"/>
      <c r="BD174" s="2331"/>
      <c r="BE174" s="2331"/>
      <c r="BF174" s="2331"/>
      <c r="BG174" s="2331"/>
      <c r="BH174" s="2331"/>
      <c r="BI174" s="2331"/>
      <c r="BJ174" s="2331"/>
      <c r="BK174" s="323"/>
      <c r="BL174" s="2331"/>
      <c r="BM174" s="2331"/>
      <c r="BN174" s="2331"/>
      <c r="BO174" s="2332"/>
      <c r="BP174" s="2333"/>
      <c r="BQ174" s="2331"/>
      <c r="BR174" s="2331"/>
      <c r="BS174" s="2331"/>
      <c r="BT174" s="2331"/>
      <c r="BU174" s="2331"/>
      <c r="BV174" s="2331"/>
      <c r="BW174" s="2331"/>
      <c r="BX174" s="2332"/>
      <c r="BY174" s="2333"/>
      <c r="BZ174" s="2331"/>
      <c r="CA174" s="2331"/>
      <c r="CB174" s="2331"/>
      <c r="CC174" s="2331"/>
      <c r="CD174" s="2332"/>
      <c r="CE174" s="2333"/>
      <c r="CF174" s="2331"/>
      <c r="CG174" s="2331"/>
      <c r="CH174" s="2331"/>
      <c r="CI174" s="2331"/>
      <c r="CJ174" s="2331"/>
      <c r="CK174" s="2331"/>
      <c r="CL174" s="2331"/>
      <c r="CM174" s="2331"/>
      <c r="CN174" s="323"/>
      <c r="CO174" s="2331"/>
      <c r="CP174" s="2331"/>
      <c r="CQ174" s="2331"/>
      <c r="CR174" s="2332"/>
      <c r="CS174" s="2333"/>
      <c r="CT174" s="2331"/>
      <c r="CU174" s="2331"/>
      <c r="CV174" s="2331"/>
      <c r="CW174" s="2331"/>
      <c r="CX174" s="2331"/>
      <c r="CY174" s="2331"/>
      <c r="CZ174" s="2331"/>
      <c r="DA174" s="2332"/>
      <c r="DB174" s="2333"/>
      <c r="DC174" s="2331"/>
      <c r="DD174" s="2331"/>
      <c r="DE174" s="2331"/>
      <c r="DF174" s="2331"/>
      <c r="DG174" s="2332"/>
      <c r="DH174" s="2333"/>
      <c r="DI174" s="2331"/>
      <c r="DJ174" s="2331"/>
      <c r="DK174" s="2331"/>
      <c r="DL174" s="2331"/>
      <c r="DM174" s="2331"/>
      <c r="DN174" s="2331"/>
      <c r="DO174" s="2331"/>
      <c r="DP174" s="2331"/>
      <c r="DQ174" s="323"/>
      <c r="DR174" s="2495"/>
      <c r="DS174" s="2353"/>
      <c r="DT174" s="2353"/>
      <c r="DU174" s="2353"/>
      <c r="DV174" s="2354"/>
      <c r="DW174" s="2496"/>
      <c r="DX174" s="2353"/>
      <c r="DY174" s="2353"/>
      <c r="DZ174" s="2353"/>
      <c r="EA174" s="2353"/>
      <c r="EB174" s="2353"/>
      <c r="EC174" s="2353"/>
      <c r="ED174" s="2353"/>
      <c r="EE174" s="2354"/>
      <c r="EF174" s="2355"/>
      <c r="EG174" s="2353"/>
      <c r="EH174" s="2353"/>
      <c r="EI174" s="2353"/>
      <c r="EJ174" s="2353"/>
      <c r="EK174" s="2354"/>
      <c r="EL174" s="2355"/>
      <c r="EM174" s="2353"/>
      <c r="EN174" s="2353"/>
      <c r="EO174" s="2353"/>
      <c r="EP174" s="2353"/>
      <c r="EQ174" s="2353"/>
      <c r="ER174" s="2353"/>
      <c r="ES174" s="2353"/>
      <c r="ET174" s="2353"/>
      <c r="EU174" s="323"/>
      <c r="EV174" s="2353"/>
      <c r="EW174" s="2353"/>
      <c r="EX174" s="2353"/>
      <c r="EY174" s="2354"/>
      <c r="EZ174" s="2496"/>
      <c r="FA174" s="2353"/>
      <c r="FB174" s="2353"/>
      <c r="FC174" s="2353"/>
      <c r="FD174" s="2353"/>
      <c r="FE174" s="2353"/>
      <c r="FF174" s="2353"/>
      <c r="FG174" s="2353"/>
      <c r="FH174" s="2354"/>
      <c r="FI174" s="2355"/>
      <c r="FJ174" s="2353"/>
      <c r="FK174" s="2353"/>
      <c r="FL174" s="2353"/>
      <c r="FM174" s="2353"/>
      <c r="FN174" s="2354"/>
      <c r="FO174" s="2355"/>
      <c r="FP174" s="2353"/>
      <c r="FQ174" s="2353"/>
      <c r="FR174" s="2353"/>
      <c r="FS174" s="2353"/>
      <c r="FT174" s="2353"/>
      <c r="FU174" s="2353"/>
      <c r="FV174" s="2353"/>
      <c r="FW174" s="2353"/>
    </row>
    <row r="175" spans="3:179" s="2315" customFormat="1" x14ac:dyDescent="0.35">
      <c r="C175" s="2297" t="s">
        <v>308</v>
      </c>
      <c r="D175" s="2297"/>
      <c r="E175" s="2297"/>
      <c r="F175" s="2343">
        <f>0.887816423938036*100</f>
        <v>88.781642393803594</v>
      </c>
      <c r="G175" s="2344">
        <f>0.864795823493059*100</f>
        <v>86.4795823493059</v>
      </c>
      <c r="H175" s="2344">
        <f>0.851844837023694*100</f>
        <v>85.184483702369391</v>
      </c>
      <c r="I175" s="2345">
        <f>0.846050897043786*100</f>
        <v>84.605089704378599</v>
      </c>
      <c r="J175" s="2423">
        <f>0.997018271425642*100</f>
        <v>99.701827142564198</v>
      </c>
      <c r="K175" s="2421">
        <f>0.995146864281911*100</f>
        <v>99.514686428191098</v>
      </c>
      <c r="L175" s="2344">
        <f>0.992635070652943*100</f>
        <v>99.263507065294306</v>
      </c>
      <c r="M175" s="2344">
        <f>0.990396959927281*100</f>
        <v>99.039695992728099</v>
      </c>
      <c r="N175" s="2344">
        <f>0.988292146332292*100</f>
        <v>98.829214633229199</v>
      </c>
      <c r="O175" s="2345">
        <f>0.98720361391628*100</f>
        <v>98.720361391628003</v>
      </c>
      <c r="P175" s="2346">
        <f>0.98465749250138*100</f>
        <v>98.465749250138003</v>
      </c>
      <c r="Q175" s="2344"/>
      <c r="R175" s="2345"/>
      <c r="S175" s="2346"/>
      <c r="T175" s="2344"/>
      <c r="U175" s="2344"/>
      <c r="V175" s="2303"/>
      <c r="W175" s="2303"/>
      <c r="X175" s="2304"/>
      <c r="Y175" s="2305"/>
      <c r="Z175" s="2303"/>
      <c r="AA175" s="2303"/>
      <c r="AB175" s="2303"/>
      <c r="AC175" s="2303"/>
      <c r="AD175" s="2303"/>
      <c r="AE175" s="2303"/>
      <c r="AF175" s="2303"/>
      <c r="AG175" s="2303"/>
      <c r="AH175" s="323"/>
      <c r="AI175" s="2303"/>
      <c r="AJ175" s="2303"/>
      <c r="AK175" s="2303"/>
      <c r="AL175" s="2304"/>
      <c r="AM175" s="2305"/>
      <c r="AN175" s="2303"/>
      <c r="AO175" s="2303"/>
      <c r="AP175" s="2303"/>
      <c r="AQ175" s="2303"/>
      <c r="AR175" s="2303"/>
      <c r="AS175" s="2303"/>
      <c r="AT175" s="2303"/>
      <c r="AU175" s="2304"/>
      <c r="AV175" s="2305"/>
      <c r="AW175" s="2303"/>
      <c r="AX175" s="2303"/>
      <c r="AY175" s="2303"/>
      <c r="AZ175" s="2303"/>
      <c r="BA175" s="2304"/>
      <c r="BB175" s="2305"/>
      <c r="BC175" s="2303"/>
      <c r="BD175" s="2303"/>
      <c r="BE175" s="2303"/>
      <c r="BF175" s="2303"/>
      <c r="BG175" s="2303"/>
      <c r="BH175" s="2303"/>
      <c r="BI175" s="2303"/>
      <c r="BJ175" s="2303"/>
      <c r="BK175" s="323"/>
      <c r="BL175" s="2303"/>
      <c r="BM175" s="2303"/>
      <c r="BN175" s="2303"/>
      <c r="BO175" s="2304"/>
      <c r="BP175" s="2305"/>
      <c r="BQ175" s="2303"/>
      <c r="BR175" s="2303"/>
      <c r="BS175" s="2303"/>
      <c r="BT175" s="2303"/>
      <c r="BU175" s="2303"/>
      <c r="BV175" s="2303"/>
      <c r="BW175" s="2303"/>
      <c r="BX175" s="2304"/>
      <c r="BY175" s="2305"/>
      <c r="BZ175" s="2303"/>
      <c r="CA175" s="2303"/>
      <c r="CB175" s="2303"/>
      <c r="CC175" s="2303"/>
      <c r="CD175" s="2304"/>
      <c r="CE175" s="2305"/>
      <c r="CF175" s="2303"/>
      <c r="CG175" s="2303"/>
      <c r="CH175" s="2303"/>
      <c r="CI175" s="2303"/>
      <c r="CJ175" s="2303"/>
      <c r="CK175" s="2303"/>
      <c r="CL175" s="2303"/>
      <c r="CM175" s="2303"/>
      <c r="CN175" s="323"/>
      <c r="CO175" s="2303"/>
      <c r="CP175" s="2303"/>
      <c r="CQ175" s="2303"/>
      <c r="CR175" s="2304"/>
      <c r="CS175" s="2305"/>
      <c r="CT175" s="2303"/>
      <c r="CU175" s="2303"/>
      <c r="CV175" s="2303"/>
      <c r="CW175" s="2303"/>
      <c r="CX175" s="2303"/>
      <c r="CY175" s="2303"/>
      <c r="CZ175" s="2303"/>
      <c r="DA175" s="2304"/>
      <c r="DB175" s="2305"/>
      <c r="DC175" s="2303"/>
      <c r="DD175" s="2303"/>
      <c r="DE175" s="2303"/>
      <c r="DF175" s="2303"/>
      <c r="DG175" s="2304"/>
      <c r="DH175" s="2305"/>
      <c r="DI175" s="2303"/>
      <c r="DJ175" s="2303"/>
      <c r="DK175" s="2303"/>
      <c r="DL175" s="2303"/>
      <c r="DM175" s="2303"/>
      <c r="DN175" s="2303"/>
      <c r="DO175" s="2303"/>
      <c r="DP175" s="2303"/>
      <c r="DQ175" s="323"/>
      <c r="DR175" s="2497"/>
      <c r="DS175" s="2322"/>
      <c r="DT175" s="2322"/>
      <c r="DU175" s="2322"/>
      <c r="DV175" s="2323"/>
      <c r="DW175" s="2498"/>
      <c r="DX175" s="2322"/>
      <c r="DY175" s="2322"/>
      <c r="DZ175" s="2322"/>
      <c r="EA175" s="2322"/>
      <c r="EB175" s="2322"/>
      <c r="EC175" s="2322"/>
      <c r="ED175" s="2322"/>
      <c r="EE175" s="2323"/>
      <c r="EF175" s="2324"/>
      <c r="EG175" s="2322"/>
      <c r="EH175" s="2322"/>
      <c r="EI175" s="2322"/>
      <c r="EJ175" s="2322"/>
      <c r="EK175" s="2323"/>
      <c r="EL175" s="2324"/>
      <c r="EM175" s="2322"/>
      <c r="EN175" s="2322"/>
      <c r="EO175" s="2322"/>
      <c r="EP175" s="2322"/>
      <c r="EQ175" s="2322"/>
      <c r="ER175" s="2322"/>
      <c r="ES175" s="2322"/>
      <c r="ET175" s="2322"/>
      <c r="EU175" s="323"/>
      <c r="EV175" s="2322"/>
      <c r="EW175" s="2322"/>
      <c r="EX175" s="2322"/>
      <c r="EY175" s="2323"/>
      <c r="EZ175" s="2498"/>
      <c r="FA175" s="2322"/>
      <c r="FB175" s="2322"/>
      <c r="FC175" s="2322"/>
      <c r="FD175" s="2322"/>
      <c r="FE175" s="2322"/>
      <c r="FF175" s="2322"/>
      <c r="FG175" s="2322"/>
      <c r="FH175" s="2323"/>
      <c r="FI175" s="2324"/>
      <c r="FJ175" s="2322"/>
      <c r="FK175" s="2322"/>
      <c r="FL175" s="2322"/>
      <c r="FM175" s="2322"/>
      <c r="FN175" s="2323"/>
      <c r="FO175" s="2324"/>
      <c r="FP175" s="2322"/>
      <c r="FQ175" s="2322"/>
      <c r="FR175" s="2322"/>
      <c r="FS175" s="2322"/>
      <c r="FT175" s="2322"/>
      <c r="FU175" s="2322"/>
      <c r="FV175" s="2322"/>
      <c r="FW175" s="2322"/>
    </row>
    <row r="176" spans="3:179" ht="15" thickBot="1" x14ac:dyDescent="0.4">
      <c r="C176" s="167">
        <v>0.95</v>
      </c>
      <c r="D176" s="167"/>
      <c r="E176" s="167"/>
      <c r="F176" s="501">
        <f>$C$176*F$173</f>
        <v>87.399999999999991</v>
      </c>
      <c r="G176" s="249">
        <f t="shared" ref="G176:T176" si="201">$C$176*G$173</f>
        <v>84.075000000000003</v>
      </c>
      <c r="H176" s="249">
        <f t="shared" si="201"/>
        <v>81.89</v>
      </c>
      <c r="I176" s="1242">
        <f t="shared" si="201"/>
        <v>80.94</v>
      </c>
      <c r="J176" s="419">
        <f t="shared" si="201"/>
        <v>93.574999999999989</v>
      </c>
      <c r="K176" s="249">
        <f t="shared" si="201"/>
        <v>93.289999999999992</v>
      </c>
      <c r="L176" s="249">
        <f t="shared" si="201"/>
        <v>93.1</v>
      </c>
      <c r="M176" s="249">
        <f t="shared" si="201"/>
        <v>92.91</v>
      </c>
      <c r="N176" s="249">
        <f t="shared" si="201"/>
        <v>92.719999999999985</v>
      </c>
      <c r="O176" s="1242">
        <f t="shared" si="201"/>
        <v>92.53</v>
      </c>
      <c r="P176" s="419">
        <f t="shared" si="201"/>
        <v>92.149999999999991</v>
      </c>
      <c r="Q176" s="249">
        <f t="shared" si="201"/>
        <v>89.68</v>
      </c>
      <c r="R176" s="1242">
        <f t="shared" si="201"/>
        <v>89.3</v>
      </c>
      <c r="S176" s="419">
        <f t="shared" si="201"/>
        <v>90.25</v>
      </c>
      <c r="T176" s="249">
        <f t="shared" si="201"/>
        <v>89.774999999999991</v>
      </c>
      <c r="U176" s="249">
        <f>$C$176*U$173</f>
        <v>89.204999999999998</v>
      </c>
      <c r="DW176" s="1470"/>
      <c r="EZ176" s="1470"/>
    </row>
    <row r="177" spans="1:179" s="377" customFormat="1" ht="15" thickTop="1" x14ac:dyDescent="0.35">
      <c r="C177" s="414"/>
      <c r="D177" s="414"/>
      <c r="E177" s="414"/>
      <c r="F177" s="501"/>
      <c r="G177" s="249"/>
      <c r="H177" s="249"/>
      <c r="I177" s="1242"/>
      <c r="J177" s="419"/>
      <c r="K177" s="249"/>
      <c r="L177" s="249"/>
      <c r="M177" s="249"/>
      <c r="N177" s="249"/>
      <c r="O177" s="1242"/>
      <c r="P177" s="419"/>
      <c r="Q177" s="249"/>
      <c r="R177" s="1242"/>
      <c r="S177" s="419"/>
      <c r="T177" s="249"/>
      <c r="U177" s="249"/>
      <c r="V177" s="232"/>
      <c r="W177" s="232"/>
      <c r="X177" s="1236"/>
      <c r="Y177" s="643"/>
      <c r="Z177" s="232"/>
      <c r="AA177" s="232"/>
      <c r="AB177" s="232"/>
      <c r="AC177" s="232"/>
      <c r="AD177" s="232"/>
      <c r="AE177" s="232"/>
      <c r="AF177" s="232"/>
      <c r="AG177" s="232"/>
      <c r="AH177" s="323"/>
      <c r="AI177" s="232"/>
      <c r="AJ177" s="232"/>
      <c r="AK177" s="232"/>
      <c r="AL177" s="1236"/>
      <c r="AM177" s="643"/>
      <c r="AN177" s="232"/>
      <c r="AO177" s="232"/>
      <c r="AP177" s="232"/>
      <c r="AQ177" s="232"/>
      <c r="AR177" s="232"/>
      <c r="AS177" s="232"/>
      <c r="AT177" s="232"/>
      <c r="AU177" s="1236"/>
      <c r="AV177" s="643"/>
      <c r="AW177" s="232"/>
      <c r="AX177" s="232"/>
      <c r="AY177" s="232"/>
      <c r="AZ177" s="232"/>
      <c r="BA177" s="1236"/>
      <c r="BB177" s="643"/>
      <c r="BC177" s="232"/>
      <c r="BD177" s="232"/>
      <c r="BE177" s="232"/>
      <c r="BF177" s="232"/>
      <c r="BG177" s="232"/>
      <c r="BH177" s="232"/>
      <c r="BI177" s="232"/>
      <c r="BJ177" s="232"/>
      <c r="BK177" s="323"/>
      <c r="BL177" s="232"/>
      <c r="BM177" s="232"/>
      <c r="BN177" s="232"/>
      <c r="BO177" s="1236"/>
      <c r="BP177" s="643"/>
      <c r="BQ177" s="232"/>
      <c r="BR177" s="232"/>
      <c r="BS177" s="232"/>
      <c r="BT177" s="232"/>
      <c r="BU177" s="232"/>
      <c r="BV177" s="232"/>
      <c r="BW177" s="232"/>
      <c r="BX177" s="1236"/>
      <c r="BY177" s="643"/>
      <c r="BZ177" s="232"/>
      <c r="CA177" s="232"/>
      <c r="CB177" s="232"/>
      <c r="CC177" s="232"/>
      <c r="CD177" s="1236"/>
      <c r="CE177" s="643"/>
      <c r="CF177" s="232"/>
      <c r="CG177" s="232"/>
      <c r="CH177" s="232"/>
      <c r="CI177" s="232"/>
      <c r="CJ177" s="232"/>
      <c r="CK177" s="232"/>
      <c r="CL177" s="232"/>
      <c r="CM177" s="232"/>
      <c r="CN177" s="323"/>
      <c r="CO177" s="232"/>
      <c r="CP177" s="232"/>
      <c r="CQ177" s="232"/>
      <c r="CR177" s="1236"/>
      <c r="CS177" s="643"/>
      <c r="CT177" s="232"/>
      <c r="CU177" s="232"/>
      <c r="CV177" s="232"/>
      <c r="CW177" s="232"/>
      <c r="CX177" s="232"/>
      <c r="CY177" s="232"/>
      <c r="CZ177" s="232"/>
      <c r="DA177" s="1236"/>
      <c r="DB177" s="643"/>
      <c r="DC177" s="232"/>
      <c r="DD177" s="232"/>
      <c r="DE177" s="232"/>
      <c r="DF177" s="232"/>
      <c r="DG177" s="1236"/>
      <c r="DH177" s="643"/>
      <c r="DI177" s="232"/>
      <c r="DJ177" s="232"/>
      <c r="DK177" s="232"/>
      <c r="DL177" s="232"/>
      <c r="DM177" s="232"/>
      <c r="DN177" s="232"/>
      <c r="DO177" s="232"/>
      <c r="DP177" s="232"/>
      <c r="DQ177" s="323"/>
      <c r="DR177" s="238"/>
      <c r="DS177" s="232"/>
      <c r="DT177" s="232"/>
      <c r="DU177" s="232"/>
      <c r="DV177" s="1236"/>
      <c r="DW177" s="1470"/>
      <c r="DX177" s="232"/>
      <c r="DY177" s="232"/>
      <c r="DZ177" s="232"/>
      <c r="EA177" s="232"/>
      <c r="EB177" s="232"/>
      <c r="EC177" s="232"/>
      <c r="ED177" s="232"/>
      <c r="EE177" s="1236"/>
      <c r="EF177" s="643"/>
      <c r="EG177" s="232"/>
      <c r="EH177" s="232"/>
      <c r="EI177" s="232"/>
      <c r="EJ177" s="232"/>
      <c r="EK177" s="1236"/>
      <c r="EL177" s="643"/>
      <c r="EM177" s="232"/>
      <c r="EN177" s="232"/>
      <c r="EO177" s="232"/>
      <c r="EP177" s="232"/>
      <c r="EQ177" s="232"/>
      <c r="ER177" s="232"/>
      <c r="ES177" s="232"/>
      <c r="ET177" s="232"/>
      <c r="EU177" s="323"/>
      <c r="EV177" s="232"/>
      <c r="EW177" s="232"/>
      <c r="EX177" s="232"/>
      <c r="EY177" s="1236"/>
      <c r="EZ177" s="1470"/>
      <c r="FA177" s="232"/>
      <c r="FB177" s="232"/>
      <c r="FC177" s="232"/>
      <c r="FD177" s="232"/>
      <c r="FE177" s="232"/>
      <c r="FF177" s="232"/>
      <c r="FG177" s="232"/>
      <c r="FH177" s="1236"/>
      <c r="FI177" s="643"/>
      <c r="FJ177" s="232"/>
      <c r="FK177" s="232"/>
      <c r="FL177" s="232"/>
      <c r="FM177" s="232"/>
      <c r="FN177" s="1236"/>
      <c r="FO177" s="643"/>
      <c r="FP177" s="232"/>
      <c r="FQ177" s="232"/>
      <c r="FR177" s="232"/>
      <c r="FS177" s="232"/>
      <c r="FT177" s="232"/>
      <c r="FU177" s="232"/>
      <c r="FV177" s="232"/>
      <c r="FW177" s="232"/>
    </row>
    <row r="178" spans="1:179" x14ac:dyDescent="0.35">
      <c r="C178" s="1" t="s">
        <v>305</v>
      </c>
      <c r="F178" s="604">
        <f t="shared" ref="F178:AG178" si="202">F$166*F$99/100</f>
        <v>1.4309585957446809E-2</v>
      </c>
      <c r="G178" s="251">
        <f t="shared" si="202"/>
        <v>1.423460416666667E-2</v>
      </c>
      <c r="H178" s="251">
        <f t="shared" si="202"/>
        <v>1.3644150299145301E-2</v>
      </c>
      <c r="I178" s="1267">
        <f t="shared" si="202"/>
        <v>1.3761563433333335E-2</v>
      </c>
      <c r="J178" s="1212">
        <f t="shared" si="202"/>
        <v>1.1961166666666667E-2</v>
      </c>
      <c r="K178" s="251">
        <f t="shared" si="202"/>
        <v>1.1390991787439613E-2</v>
      </c>
      <c r="L178" s="251">
        <f t="shared" si="202"/>
        <v>1.1193935487288134E-2</v>
      </c>
      <c r="M178" s="251">
        <f t="shared" si="202"/>
        <v>1.088759043478261E-2</v>
      </c>
      <c r="N178" s="251">
        <f t="shared" si="202"/>
        <v>1.0719036685885117E-2</v>
      </c>
      <c r="O178" s="1267">
        <f t="shared" si="202"/>
        <v>1.1003310543478261E-2</v>
      </c>
      <c r="P178" s="1212">
        <f t="shared" si="202"/>
        <v>1.0862933550724636E-2</v>
      </c>
      <c r="Q178" s="251">
        <f t="shared" si="202"/>
        <v>1.0751176739130432E-2</v>
      </c>
      <c r="R178" s="1267">
        <f t="shared" si="202"/>
        <v>1.0666769565217388E-2</v>
      </c>
      <c r="S178" s="1212" t="e">
        <f t="shared" si="202"/>
        <v>#DIV/0!</v>
      </c>
      <c r="T178" s="251" t="e">
        <f t="shared" si="202"/>
        <v>#DIV/0!</v>
      </c>
      <c r="U178" s="251" t="e">
        <f t="shared" si="202"/>
        <v>#DIV/0!</v>
      </c>
      <c r="V178" s="244" t="e">
        <f t="shared" si="202"/>
        <v>#DIV/0!</v>
      </c>
      <c r="W178" s="244" t="e">
        <f t="shared" si="202"/>
        <v>#DIV/0!</v>
      </c>
      <c r="X178" s="1237" t="e">
        <f t="shared" si="202"/>
        <v>#DIV/0!</v>
      </c>
      <c r="Y178" s="606" t="e">
        <f t="shared" si="202"/>
        <v>#DIV/0!</v>
      </c>
      <c r="Z178" s="244" t="e">
        <f t="shared" si="202"/>
        <v>#DIV/0!</v>
      </c>
      <c r="AA178" s="244" t="e">
        <f t="shared" si="202"/>
        <v>#DIV/0!</v>
      </c>
      <c r="AB178" s="244" t="e">
        <f t="shared" si="202"/>
        <v>#DIV/0!</v>
      </c>
      <c r="AC178" s="244" t="e">
        <f t="shared" si="202"/>
        <v>#DIV/0!</v>
      </c>
      <c r="AD178" s="244" t="e">
        <f t="shared" si="202"/>
        <v>#DIV/0!</v>
      </c>
      <c r="AE178" s="244" t="e">
        <f t="shared" si="202"/>
        <v>#DIV/0!</v>
      </c>
      <c r="AF178" s="244" t="e">
        <f t="shared" si="202"/>
        <v>#DIV/0!</v>
      </c>
      <c r="AG178" s="244" t="e">
        <f t="shared" si="202"/>
        <v>#DIV/0!</v>
      </c>
      <c r="DS178" s="251">
        <f t="shared" ref="DS178:EN178" si="203">SUM(DS138:DS143)</f>
        <v>2.8397397905883199</v>
      </c>
      <c r="DT178" s="251">
        <f t="shared" si="203"/>
        <v>3.0490664985217046</v>
      </c>
      <c r="DU178" s="251">
        <f t="shared" si="203"/>
        <v>0.9962360072922487</v>
      </c>
      <c r="DV178" s="1267">
        <f t="shared" si="203"/>
        <v>0.98171361098454468</v>
      </c>
      <c r="DW178" s="1212">
        <f t="shared" si="203"/>
        <v>1.2442179049312549</v>
      </c>
      <c r="DX178" s="251">
        <f t="shared" si="203"/>
        <v>1.2931252142110765</v>
      </c>
      <c r="DY178" s="251">
        <f t="shared" si="203"/>
        <v>1.3109550058131605</v>
      </c>
      <c r="DZ178" s="251">
        <f t="shared" si="203"/>
        <v>1.3079202518306556</v>
      </c>
      <c r="EA178" s="251">
        <f t="shared" si="203"/>
        <v>1.255013186057649</v>
      </c>
      <c r="EB178" s="251">
        <f t="shared" si="203"/>
        <v>1.3563208078540008</v>
      </c>
      <c r="EC178" s="251">
        <f t="shared" si="203"/>
        <v>1.3939448748268572</v>
      </c>
      <c r="ED178" s="251">
        <f t="shared" si="203"/>
        <v>1.3838327964448007</v>
      </c>
      <c r="EE178" s="1267">
        <f t="shared" si="203"/>
        <v>1.3729723953397241</v>
      </c>
      <c r="EF178" s="1212">
        <f t="shared" si="203"/>
        <v>0</v>
      </c>
      <c r="EG178" s="251">
        <f t="shared" si="203"/>
        <v>0</v>
      </c>
      <c r="EH178" s="251">
        <f t="shared" si="203"/>
        <v>0</v>
      </c>
      <c r="EI178" s="251">
        <f t="shared" si="203"/>
        <v>0</v>
      </c>
      <c r="EJ178" s="251">
        <f t="shared" si="203"/>
        <v>0</v>
      </c>
      <c r="EK178" s="1267">
        <f t="shared" si="203"/>
        <v>0</v>
      </c>
      <c r="EL178" s="1212">
        <f t="shared" si="203"/>
        <v>0</v>
      </c>
      <c r="EM178" s="251">
        <f t="shared" si="203"/>
        <v>0</v>
      </c>
      <c r="EN178" s="251">
        <f t="shared" si="203"/>
        <v>0</v>
      </c>
      <c r="EO178" s="251">
        <f t="shared" ref="EO178:ET178" si="204">SUM(EO138:EO147)</f>
        <v>0</v>
      </c>
      <c r="EP178" s="251">
        <f t="shared" si="204"/>
        <v>0</v>
      </c>
      <c r="EQ178" s="251">
        <f t="shared" si="204"/>
        <v>0</v>
      </c>
      <c r="ER178" s="251">
        <f t="shared" si="204"/>
        <v>0</v>
      </c>
      <c r="ES178" s="251">
        <f t="shared" si="204"/>
        <v>0</v>
      </c>
      <c r="ET178" s="251">
        <f t="shared" si="204"/>
        <v>0</v>
      </c>
      <c r="EU178" s="325"/>
      <c r="EV178" s="251">
        <f t="shared" ref="EV178:FQ178" si="205">SUM(EV138:EV143)</f>
        <v>0.10030478599548007</v>
      </c>
      <c r="EW178" s="251">
        <f t="shared" si="205"/>
        <v>6.7204157555911942E-2</v>
      </c>
      <c r="EX178" s="251">
        <f t="shared" si="205"/>
        <v>1.2013800899937626E-2</v>
      </c>
      <c r="EY178" s="1267">
        <f t="shared" si="205"/>
        <v>1.2527150742590299E-2</v>
      </c>
      <c r="EZ178" s="1212">
        <f t="shared" si="205"/>
        <v>0.30567065997339588</v>
      </c>
      <c r="FA178" s="251">
        <f t="shared" si="205"/>
        <v>0.43763100430933227</v>
      </c>
      <c r="FB178" s="251">
        <f t="shared" si="205"/>
        <v>0.44198641122580107</v>
      </c>
      <c r="FC178" s="251">
        <f t="shared" si="205"/>
        <v>0.39894466269045703</v>
      </c>
      <c r="FD178" s="251">
        <f t="shared" si="205"/>
        <v>0.33393374196151565</v>
      </c>
      <c r="FE178" s="251">
        <f t="shared" si="205"/>
        <v>0.38159079981652932</v>
      </c>
      <c r="FF178" s="251">
        <f t="shared" si="205"/>
        <v>0.20633397568305342</v>
      </c>
      <c r="FG178" s="251">
        <f t="shared" si="205"/>
        <v>0.32780761260763203</v>
      </c>
      <c r="FH178" s="1267">
        <f t="shared" si="205"/>
        <v>0.45955757968822142</v>
      </c>
      <c r="FI178" s="1212">
        <f t="shared" si="205"/>
        <v>0</v>
      </c>
      <c r="FJ178" s="251">
        <f t="shared" si="205"/>
        <v>0</v>
      </c>
      <c r="FK178" s="251">
        <f t="shared" si="205"/>
        <v>0</v>
      </c>
      <c r="FL178" s="251">
        <f t="shared" si="205"/>
        <v>0</v>
      </c>
      <c r="FM178" s="251">
        <f t="shared" si="205"/>
        <v>0</v>
      </c>
      <c r="FN178" s="1267">
        <f t="shared" si="205"/>
        <v>0</v>
      </c>
      <c r="FO178" s="1212">
        <f t="shared" si="205"/>
        <v>0</v>
      </c>
      <c r="FP178" s="251">
        <f t="shared" si="205"/>
        <v>0</v>
      </c>
      <c r="FQ178" s="251">
        <f t="shared" si="205"/>
        <v>0</v>
      </c>
      <c r="FR178" s="251">
        <f t="shared" ref="FR178:FW178" si="206">SUM(FR138:FR164)</f>
        <v>0</v>
      </c>
      <c r="FS178" s="251">
        <f t="shared" si="206"/>
        <v>0</v>
      </c>
      <c r="FT178" s="251">
        <f t="shared" si="206"/>
        <v>0</v>
      </c>
      <c r="FU178" s="251">
        <f t="shared" si="206"/>
        <v>0</v>
      </c>
      <c r="FV178" s="251">
        <f t="shared" si="206"/>
        <v>0</v>
      </c>
      <c r="FW178" s="251">
        <f t="shared" si="206"/>
        <v>0</v>
      </c>
    </row>
    <row r="179" spans="1:179" x14ac:dyDescent="0.35">
      <c r="C179" s="1" t="s">
        <v>306</v>
      </c>
      <c r="F179" s="501">
        <f t="shared" ref="F179:AG179" si="207">F$172*F$102/100</f>
        <v>5.8489906808510621E-2</v>
      </c>
      <c r="G179" s="249">
        <f t="shared" si="207"/>
        <v>5.6888008333333316E-2</v>
      </c>
      <c r="H179" s="249">
        <f t="shared" si="207"/>
        <v>5.5295248653846156E-2</v>
      </c>
      <c r="I179" s="1242">
        <f t="shared" si="207"/>
        <v>5.4710697233333327E-2</v>
      </c>
      <c r="J179" s="419">
        <f t="shared" si="207"/>
        <v>3.9752466666666667E-2</v>
      </c>
      <c r="K179" s="249">
        <f t="shared" si="207"/>
        <v>3.827777062801932E-2</v>
      </c>
      <c r="L179" s="249">
        <f t="shared" si="207"/>
        <v>3.8241863771186435E-2</v>
      </c>
      <c r="M179" s="249">
        <f t="shared" si="207"/>
        <v>3.7506078260869567E-2</v>
      </c>
      <c r="N179" s="249">
        <f t="shared" si="207"/>
        <v>3.7202727802690579E-2</v>
      </c>
      <c r="O179" s="1242">
        <f t="shared" si="207"/>
        <v>3.8497357826086959E-2</v>
      </c>
      <c r="P179" s="419">
        <f t="shared" si="207"/>
        <v>3.8437172463768113E-2</v>
      </c>
      <c r="Q179" s="249">
        <f t="shared" si="207"/>
        <v>3.7945393043478257E-2</v>
      </c>
      <c r="R179" s="1242">
        <f t="shared" si="207"/>
        <v>3.7848146739130437E-2</v>
      </c>
      <c r="S179" s="419" t="e">
        <f t="shared" si="207"/>
        <v>#DIV/0!</v>
      </c>
      <c r="T179" s="249" t="e">
        <f t="shared" si="207"/>
        <v>#DIV/0!</v>
      </c>
      <c r="U179" s="249" t="e">
        <f t="shared" si="207"/>
        <v>#DIV/0!</v>
      </c>
      <c r="V179" s="249" t="e">
        <f t="shared" si="207"/>
        <v>#DIV/0!</v>
      </c>
      <c r="W179" s="249" t="e">
        <f t="shared" si="207"/>
        <v>#DIV/0!</v>
      </c>
      <c r="X179" s="1242" t="e">
        <f t="shared" si="207"/>
        <v>#DIV/0!</v>
      </c>
      <c r="Y179" s="419" t="e">
        <f t="shared" si="207"/>
        <v>#DIV/0!</v>
      </c>
      <c r="Z179" s="249" t="e">
        <f t="shared" si="207"/>
        <v>#DIV/0!</v>
      </c>
      <c r="AA179" s="249" t="e">
        <f t="shared" si="207"/>
        <v>#DIV/0!</v>
      </c>
      <c r="AB179" s="249" t="e">
        <f t="shared" si="207"/>
        <v>#DIV/0!</v>
      </c>
      <c r="AC179" s="249" t="e">
        <f t="shared" si="207"/>
        <v>#DIV/0!</v>
      </c>
      <c r="AD179" s="249" t="e">
        <f t="shared" si="207"/>
        <v>#DIV/0!</v>
      </c>
      <c r="AE179" s="249" t="e">
        <f t="shared" si="207"/>
        <v>#DIV/0!</v>
      </c>
      <c r="AF179" s="249" t="e">
        <f t="shared" si="207"/>
        <v>#DIV/0!</v>
      </c>
      <c r="AG179" s="249" t="e">
        <f t="shared" si="207"/>
        <v>#DIV/0!</v>
      </c>
    </row>
    <row r="180" spans="1:179" ht="15.65" customHeight="1" x14ac:dyDescent="0.35">
      <c r="C180" s="1" t="s">
        <v>311</v>
      </c>
      <c r="F180" s="501">
        <f t="shared" ref="F180" si="208">F178+F179</f>
        <v>7.279949276595743E-2</v>
      </c>
      <c r="G180" s="249">
        <f t="shared" ref="G180:U180" si="209">G178+G179</f>
        <v>7.1122612499999988E-2</v>
      </c>
      <c r="H180" s="249">
        <f t="shared" si="209"/>
        <v>6.8939398952991462E-2</v>
      </c>
      <c r="I180" s="1242">
        <f t="shared" si="209"/>
        <v>6.8472260666666659E-2</v>
      </c>
      <c r="J180" s="419">
        <f t="shared" si="209"/>
        <v>5.1713633333333335E-2</v>
      </c>
      <c r="K180" s="249">
        <f t="shared" si="209"/>
        <v>4.9668762415458936E-2</v>
      </c>
      <c r="L180" s="249">
        <f t="shared" si="209"/>
        <v>4.9435799258474571E-2</v>
      </c>
      <c r="M180" s="249">
        <f t="shared" si="209"/>
        <v>4.8393668695652176E-2</v>
      </c>
      <c r="N180" s="249">
        <f t="shared" si="209"/>
        <v>4.7921764488575699E-2</v>
      </c>
      <c r="O180" s="1242">
        <f t="shared" si="209"/>
        <v>4.9500668369565223E-2</v>
      </c>
      <c r="P180" s="419">
        <f t="shared" si="209"/>
        <v>4.9300106014492751E-2</v>
      </c>
      <c r="Q180" s="249">
        <f t="shared" si="209"/>
        <v>4.8696569782608688E-2</v>
      </c>
      <c r="R180" s="1242">
        <f t="shared" si="209"/>
        <v>4.8514916304347823E-2</v>
      </c>
      <c r="S180" s="419" t="e">
        <f t="shared" si="209"/>
        <v>#DIV/0!</v>
      </c>
      <c r="T180" s="249" t="e">
        <f t="shared" si="209"/>
        <v>#DIV/0!</v>
      </c>
      <c r="U180" s="249" t="e">
        <f t="shared" si="209"/>
        <v>#DIV/0!</v>
      </c>
      <c r="V180" s="249" t="e">
        <f t="shared" ref="V180:AD180" si="210">V178+V179</f>
        <v>#DIV/0!</v>
      </c>
      <c r="W180" s="249" t="e">
        <f t="shared" si="210"/>
        <v>#DIV/0!</v>
      </c>
      <c r="X180" s="1242" t="e">
        <f t="shared" si="210"/>
        <v>#DIV/0!</v>
      </c>
      <c r="Y180" s="419" t="e">
        <f t="shared" si="210"/>
        <v>#DIV/0!</v>
      </c>
      <c r="Z180" s="249" t="e">
        <f t="shared" si="210"/>
        <v>#DIV/0!</v>
      </c>
      <c r="AA180" s="249" t="e">
        <f t="shared" si="210"/>
        <v>#DIV/0!</v>
      </c>
      <c r="AB180" s="249" t="e">
        <f t="shared" si="210"/>
        <v>#DIV/0!</v>
      </c>
      <c r="AC180" s="249" t="e">
        <f t="shared" si="210"/>
        <v>#DIV/0!</v>
      </c>
      <c r="AD180" s="249" t="e">
        <f t="shared" si="210"/>
        <v>#DIV/0!</v>
      </c>
      <c r="AE180" s="249" t="e">
        <f t="shared" ref="AE180:AG180" si="211">AE178+AE179</f>
        <v>#DIV/0!</v>
      </c>
      <c r="AF180" s="249" t="e">
        <f t="shared" si="211"/>
        <v>#DIV/0!</v>
      </c>
      <c r="AG180" s="249" t="e">
        <f t="shared" si="211"/>
        <v>#DIV/0!</v>
      </c>
    </row>
    <row r="181" spans="1:179" ht="15.65" customHeight="1" x14ac:dyDescent="0.35">
      <c r="C181" s="1" t="s">
        <v>843</v>
      </c>
      <c r="F181" s="501">
        <f>F$180*24</f>
        <v>1.7471878263829783</v>
      </c>
      <c r="G181" s="249">
        <f>G$180*24</f>
        <v>1.7069426999999997</v>
      </c>
      <c r="H181" s="249">
        <f>H$180*24</f>
        <v>1.6545455748717952</v>
      </c>
      <c r="I181" s="1242">
        <f>I$180*24</f>
        <v>1.6433342559999997</v>
      </c>
      <c r="J181" s="419">
        <f t="shared" ref="J181:AG181" si="212">J$180*24</f>
        <v>1.2411272</v>
      </c>
      <c r="K181" s="249">
        <f t="shared" si="212"/>
        <v>1.1920502979710146</v>
      </c>
      <c r="L181" s="249">
        <f t="shared" si="212"/>
        <v>1.1864591822033896</v>
      </c>
      <c r="M181" s="249">
        <f t="shared" si="212"/>
        <v>1.1614480486956522</v>
      </c>
      <c r="N181" s="249">
        <f t="shared" si="212"/>
        <v>1.1501223477258167</v>
      </c>
      <c r="O181" s="1242">
        <f t="shared" si="212"/>
        <v>1.1880160408695652</v>
      </c>
      <c r="P181" s="419">
        <f t="shared" si="212"/>
        <v>1.183202544347826</v>
      </c>
      <c r="Q181" s="249">
        <f t="shared" si="212"/>
        <v>1.1687176747826085</v>
      </c>
      <c r="R181" s="1242">
        <f t="shared" si="212"/>
        <v>1.1643579913043478</v>
      </c>
      <c r="S181" s="419" t="e">
        <f t="shared" si="212"/>
        <v>#DIV/0!</v>
      </c>
      <c r="T181" s="249" t="e">
        <f t="shared" si="212"/>
        <v>#DIV/0!</v>
      </c>
      <c r="U181" s="249" t="e">
        <f t="shared" si="212"/>
        <v>#DIV/0!</v>
      </c>
      <c r="V181" s="249" t="e">
        <f t="shared" si="212"/>
        <v>#DIV/0!</v>
      </c>
      <c r="W181" s="249" t="e">
        <f t="shared" si="212"/>
        <v>#DIV/0!</v>
      </c>
      <c r="X181" s="1242" t="e">
        <f t="shared" si="212"/>
        <v>#DIV/0!</v>
      </c>
      <c r="Y181" s="419" t="e">
        <f t="shared" si="212"/>
        <v>#DIV/0!</v>
      </c>
      <c r="Z181" s="249" t="e">
        <f t="shared" si="212"/>
        <v>#DIV/0!</v>
      </c>
      <c r="AA181" s="249" t="e">
        <f t="shared" si="212"/>
        <v>#DIV/0!</v>
      </c>
      <c r="AB181" s="249" t="e">
        <f t="shared" si="212"/>
        <v>#DIV/0!</v>
      </c>
      <c r="AC181" s="249" t="e">
        <f t="shared" si="212"/>
        <v>#DIV/0!</v>
      </c>
      <c r="AD181" s="249" t="e">
        <f t="shared" si="212"/>
        <v>#DIV/0!</v>
      </c>
      <c r="AE181" s="249" t="e">
        <f t="shared" si="212"/>
        <v>#DIV/0!</v>
      </c>
      <c r="AF181" s="249" t="e">
        <f t="shared" si="212"/>
        <v>#DIV/0!</v>
      </c>
      <c r="AG181" s="249" t="e">
        <f t="shared" si="212"/>
        <v>#DIV/0!</v>
      </c>
    </row>
    <row r="182" spans="1:179" ht="15.65" customHeight="1" x14ac:dyDescent="0.35">
      <c r="C182" s="1" t="s">
        <v>845</v>
      </c>
      <c r="F182" s="501">
        <f>F181</f>
        <v>1.7471878263829783</v>
      </c>
      <c r="G182" s="249">
        <f>F182+G181</f>
        <v>3.4541305263829782</v>
      </c>
      <c r="H182" s="249">
        <f t="shared" ref="H182:V182" si="213">G182+H181</f>
        <v>5.1086761012547734</v>
      </c>
      <c r="I182" s="1242">
        <f t="shared" si="213"/>
        <v>6.7520103572547736</v>
      </c>
      <c r="J182" s="419">
        <f t="shared" si="213"/>
        <v>7.9931375572547738</v>
      </c>
      <c r="K182" s="249">
        <f t="shared" si="213"/>
        <v>9.185187855225788</v>
      </c>
      <c r="L182" s="249">
        <f t="shared" si="213"/>
        <v>10.371647037429177</v>
      </c>
      <c r="M182" s="249">
        <f t="shared" si="213"/>
        <v>11.533095086124829</v>
      </c>
      <c r="N182" s="249">
        <f t="shared" si="213"/>
        <v>12.683217433850647</v>
      </c>
      <c r="O182" s="1242">
        <f t="shared" si="213"/>
        <v>13.871233474720212</v>
      </c>
      <c r="P182" s="419">
        <f t="shared" si="213"/>
        <v>15.054436019068039</v>
      </c>
      <c r="Q182" s="249">
        <f t="shared" si="213"/>
        <v>16.223153693850648</v>
      </c>
      <c r="R182" s="1242">
        <f t="shared" si="213"/>
        <v>17.387511685154998</v>
      </c>
      <c r="S182" s="419" t="e">
        <f t="shared" si="213"/>
        <v>#DIV/0!</v>
      </c>
      <c r="T182" s="249" t="e">
        <f t="shared" si="213"/>
        <v>#DIV/0!</v>
      </c>
      <c r="U182" s="249" t="e">
        <f t="shared" si="213"/>
        <v>#DIV/0!</v>
      </c>
      <c r="V182" s="249" t="e">
        <f t="shared" si="213"/>
        <v>#DIV/0!</v>
      </c>
      <c r="W182" s="249" t="e">
        <f t="shared" ref="W182" si="214">V182+W181</f>
        <v>#DIV/0!</v>
      </c>
      <c r="X182" s="1242" t="e">
        <f t="shared" ref="X182" si="215">W182+X181</f>
        <v>#DIV/0!</v>
      </c>
      <c r="Y182" s="419" t="e">
        <f t="shared" ref="Y182" si="216">X182+Y181</f>
        <v>#DIV/0!</v>
      </c>
      <c r="Z182" s="249" t="e">
        <f t="shared" ref="Z182" si="217">Y182+Z181</f>
        <v>#DIV/0!</v>
      </c>
      <c r="AA182" s="249" t="e">
        <f t="shared" ref="AA182" si="218">Z182+AA181</f>
        <v>#DIV/0!</v>
      </c>
      <c r="AB182" s="249" t="e">
        <f t="shared" ref="AB182" si="219">AA182+AB181</f>
        <v>#DIV/0!</v>
      </c>
      <c r="AC182" s="249" t="e">
        <f t="shared" ref="AC182" si="220">AB182+AC181</f>
        <v>#DIV/0!</v>
      </c>
      <c r="AD182" s="249" t="e">
        <f t="shared" ref="AD182" si="221">AC182+AD181</f>
        <v>#DIV/0!</v>
      </c>
      <c r="AE182" s="249" t="e">
        <f t="shared" ref="AE182" si="222">AD182+AE181</f>
        <v>#DIV/0!</v>
      </c>
      <c r="AF182" s="249" t="e">
        <f t="shared" ref="AF182" si="223">AE182+AF181</f>
        <v>#DIV/0!</v>
      </c>
      <c r="AG182" s="249" t="e">
        <f t="shared" ref="AG182" si="224">AF182+AG181</f>
        <v>#DIV/0!</v>
      </c>
    </row>
    <row r="183" spans="1:179" ht="15.65" customHeight="1" x14ac:dyDescent="0.35">
      <c r="C183" s="1" t="s">
        <v>414</v>
      </c>
      <c r="F183" s="501">
        <v>172.26</v>
      </c>
      <c r="G183" s="249">
        <v>172.26</v>
      </c>
      <c r="H183" s="243">
        <v>172.26</v>
      </c>
      <c r="I183" s="1282">
        <v>172.26</v>
      </c>
      <c r="J183" s="419">
        <v>172.26</v>
      </c>
      <c r="K183" s="243">
        <v>172.26</v>
      </c>
      <c r="L183" s="243">
        <v>172.26</v>
      </c>
      <c r="M183" s="249">
        <v>172.26</v>
      </c>
      <c r="N183" s="249">
        <v>172.26</v>
      </c>
      <c r="O183" s="1242">
        <v>172.26</v>
      </c>
      <c r="P183" s="419">
        <v>172.26</v>
      </c>
      <c r="Q183" s="243">
        <v>172.26</v>
      </c>
      <c r="R183" s="1242">
        <v>172.26</v>
      </c>
      <c r="S183" s="419">
        <v>172.26</v>
      </c>
      <c r="T183" s="243">
        <v>172.26</v>
      </c>
      <c r="U183" s="249">
        <v>172.26</v>
      </c>
      <c r="V183" s="249">
        <v>172.26</v>
      </c>
      <c r="W183" s="249">
        <v>172.26</v>
      </c>
      <c r="X183" s="1242">
        <v>172.26</v>
      </c>
      <c r="Y183" s="419">
        <v>172.26</v>
      </c>
      <c r="Z183" s="249">
        <v>172.26</v>
      </c>
      <c r="AA183" s="249">
        <v>172.26</v>
      </c>
      <c r="AB183" s="249">
        <v>172.26</v>
      </c>
      <c r="AC183" s="249">
        <v>172.26</v>
      </c>
      <c r="AD183" s="249">
        <v>172.26</v>
      </c>
      <c r="AE183" s="249">
        <v>172.26</v>
      </c>
      <c r="AF183" s="249">
        <v>172.26</v>
      </c>
      <c r="AG183" s="249">
        <v>172.26</v>
      </c>
    </row>
    <row r="184" spans="1:179" ht="15.65" customHeight="1" x14ac:dyDescent="0.35">
      <c r="C184" s="1" t="s">
        <v>844</v>
      </c>
      <c r="F184" s="501">
        <f>F182*100/F183</f>
        <v>1.0142736714170315</v>
      </c>
      <c r="G184" s="249">
        <f t="shared" ref="G184:V184" si="225">G182*100/G183</f>
        <v>2.0051843297242415</v>
      </c>
      <c r="H184" s="249">
        <f t="shared" si="225"/>
        <v>2.9656775230783547</v>
      </c>
      <c r="I184" s="1242">
        <f t="shared" si="225"/>
        <v>3.9196623460204192</v>
      </c>
      <c r="J184" s="419">
        <f t="shared" si="225"/>
        <v>4.6401588048617057</v>
      </c>
      <c r="K184" s="249">
        <f t="shared" si="225"/>
        <v>5.3321652474316661</v>
      </c>
      <c r="L184" s="249">
        <f t="shared" si="225"/>
        <v>6.0209259476542307</v>
      </c>
      <c r="M184" s="249">
        <f t="shared" si="225"/>
        <v>6.695167239129705</v>
      </c>
      <c r="N184" s="249">
        <f t="shared" si="225"/>
        <v>7.3628337593467137</v>
      </c>
      <c r="O184" s="1242">
        <f t="shared" si="225"/>
        <v>8.0524982437711667</v>
      </c>
      <c r="P184" s="419">
        <f t="shared" si="225"/>
        <v>8.7393684076791125</v>
      </c>
      <c r="Q184" s="249">
        <f t="shared" si="225"/>
        <v>9.4178298466565931</v>
      </c>
      <c r="R184" s="1242">
        <f t="shared" si="225"/>
        <v>10.093760411677115</v>
      </c>
      <c r="S184" s="419" t="e">
        <f t="shared" si="225"/>
        <v>#DIV/0!</v>
      </c>
      <c r="T184" s="249" t="e">
        <f t="shared" si="225"/>
        <v>#DIV/0!</v>
      </c>
      <c r="U184" s="249" t="e">
        <f t="shared" si="225"/>
        <v>#DIV/0!</v>
      </c>
      <c r="V184" s="249" t="e">
        <f t="shared" si="225"/>
        <v>#DIV/0!</v>
      </c>
      <c r="W184" s="249" t="e">
        <f t="shared" ref="W184:AD184" si="226">W182*100/W183</f>
        <v>#DIV/0!</v>
      </c>
      <c r="X184" s="1242" t="e">
        <f t="shared" si="226"/>
        <v>#DIV/0!</v>
      </c>
      <c r="Y184" s="419" t="e">
        <f t="shared" si="226"/>
        <v>#DIV/0!</v>
      </c>
      <c r="Z184" s="249" t="e">
        <f t="shared" si="226"/>
        <v>#DIV/0!</v>
      </c>
      <c r="AA184" s="249" t="e">
        <f t="shared" si="226"/>
        <v>#DIV/0!</v>
      </c>
      <c r="AB184" s="249" t="e">
        <f t="shared" si="226"/>
        <v>#DIV/0!</v>
      </c>
      <c r="AC184" s="249" t="e">
        <f t="shared" si="226"/>
        <v>#DIV/0!</v>
      </c>
      <c r="AD184" s="249" t="e">
        <f t="shared" si="226"/>
        <v>#DIV/0!</v>
      </c>
      <c r="AE184" s="249" t="e">
        <f t="shared" ref="AE184:AG184" si="227">AE182*100/AE183</f>
        <v>#DIV/0!</v>
      </c>
      <c r="AF184" s="249" t="e">
        <f t="shared" si="227"/>
        <v>#DIV/0!</v>
      </c>
      <c r="AG184" s="249" t="e">
        <f t="shared" si="227"/>
        <v>#DIV/0!</v>
      </c>
      <c r="AN184" s="232" t="s">
        <v>872</v>
      </c>
      <c r="AO184" s="232" t="s">
        <v>832</v>
      </c>
      <c r="AP184" s="232" t="s">
        <v>833</v>
      </c>
    </row>
    <row r="185" spans="1:179" ht="15.65" customHeight="1" thickBot="1" x14ac:dyDescent="0.4">
      <c r="C185" s="2534" t="s">
        <v>304</v>
      </c>
      <c r="D185" s="2534" t="s">
        <v>1023</v>
      </c>
      <c r="E185" s="2534" t="s">
        <v>872</v>
      </c>
      <c r="F185" s="2535">
        <f t="shared" ref="F185:AG185" si="228">100*F$180/(F$99+F$102)</f>
        <v>84.090392001192257</v>
      </c>
      <c r="G185" s="2536">
        <f t="shared" si="228"/>
        <v>83.440029681597395</v>
      </c>
      <c r="H185" s="2536">
        <f t="shared" si="228"/>
        <v>80.044101931043414</v>
      </c>
      <c r="I185" s="2537">
        <f t="shared" si="228"/>
        <v>80.440122836678171</v>
      </c>
      <c r="J185" s="2538">
        <f t="shared" si="228"/>
        <v>98.714944276710753</v>
      </c>
      <c r="K185" s="2536">
        <f t="shared" si="228"/>
        <v>98.420460100304993</v>
      </c>
      <c r="L185" s="2536">
        <f t="shared" si="228"/>
        <v>97.894670885679375</v>
      </c>
      <c r="M185" s="2536">
        <f t="shared" si="228"/>
        <v>97.530306302927627</v>
      </c>
      <c r="N185" s="2536">
        <f t="shared" si="228"/>
        <v>97.010659603283301</v>
      </c>
      <c r="O185" s="2539">
        <f t="shared" si="228"/>
        <v>96.801501572099795</v>
      </c>
      <c r="P185" s="2538">
        <f t="shared" si="228"/>
        <v>96.320678476450652</v>
      </c>
      <c r="Q185" s="2536">
        <f t="shared" si="228"/>
        <v>96.404158642104136</v>
      </c>
      <c r="R185" s="2537">
        <f t="shared" si="228"/>
        <v>96.134072044355392</v>
      </c>
      <c r="S185" s="2538" t="e">
        <f t="shared" si="228"/>
        <v>#DIV/0!</v>
      </c>
      <c r="T185" s="2536" t="e">
        <f t="shared" si="228"/>
        <v>#DIV/0!</v>
      </c>
      <c r="U185" s="2536" t="e">
        <f t="shared" si="228"/>
        <v>#DIV/0!</v>
      </c>
      <c r="V185" s="2536" t="e">
        <f t="shared" si="228"/>
        <v>#DIV/0!</v>
      </c>
      <c r="W185" s="2536" t="e">
        <f t="shared" si="228"/>
        <v>#DIV/0!</v>
      </c>
      <c r="X185" s="2537" t="e">
        <f t="shared" si="228"/>
        <v>#DIV/0!</v>
      </c>
      <c r="Y185" s="2538" t="e">
        <f t="shared" si="228"/>
        <v>#DIV/0!</v>
      </c>
      <c r="Z185" s="2536" t="e">
        <f t="shared" si="228"/>
        <v>#DIV/0!</v>
      </c>
      <c r="AA185" s="2536" t="e">
        <f t="shared" si="228"/>
        <v>#DIV/0!</v>
      </c>
      <c r="AB185" s="311" t="e">
        <f t="shared" si="228"/>
        <v>#DIV/0!</v>
      </c>
      <c r="AC185" s="311" t="e">
        <f t="shared" si="228"/>
        <v>#DIV/0!</v>
      </c>
      <c r="AD185" s="311" t="e">
        <f t="shared" si="228"/>
        <v>#DIV/0!</v>
      </c>
      <c r="AE185" s="311" t="e">
        <f t="shared" si="228"/>
        <v>#DIV/0!</v>
      </c>
      <c r="AF185" s="311" t="e">
        <f t="shared" si="228"/>
        <v>#DIV/0!</v>
      </c>
      <c r="AG185" s="311" t="e">
        <f t="shared" si="228"/>
        <v>#DIV/0!</v>
      </c>
      <c r="AI185" s="240" t="s">
        <v>1121</v>
      </c>
      <c r="AJ185" s="2667">
        <f>AVERAGE(N185:P185)</f>
        <v>96.710946550611254</v>
      </c>
      <c r="AM185" s="643" t="s">
        <v>56</v>
      </c>
      <c r="AN185" s="916">
        <f>AVERAGE(H185:I185)</f>
        <v>80.242112383860785</v>
      </c>
      <c r="AO185" s="916">
        <f>AVERAGE(M185:O185)</f>
        <v>97.11415582610357</v>
      </c>
      <c r="AP185" s="916" t="e">
        <f>AVERAGE(R185:T185)</f>
        <v>#DIV/0!</v>
      </c>
      <c r="BL185" s="267"/>
    </row>
    <row r="186" spans="1:179" s="224" customFormat="1" ht="15.65" customHeight="1" thickTop="1" x14ac:dyDescent="0.35">
      <c r="A186" s="377"/>
      <c r="B186" s="377"/>
      <c r="C186" s="1632" t="s">
        <v>624</v>
      </c>
      <c r="D186" s="1633">
        <v>0.65</v>
      </c>
      <c r="E186" s="1633">
        <v>0.4</v>
      </c>
      <c r="F186" s="1634">
        <f>$E$186*24*(F97+F100)</f>
        <v>0.58413164936170214</v>
      </c>
      <c r="G186" s="1635">
        <f>$E$186*24*(G97+G100)</f>
        <v>0.58294944000000004</v>
      </c>
      <c r="H186" s="1635">
        <f>$E$186*24*(H97+H100)</f>
        <v>0.5951064615384617</v>
      </c>
      <c r="I186" s="1636">
        <f>$E$186*24*(I97+I100)</f>
        <v>0.57942952851063834</v>
      </c>
      <c r="J186" s="1637">
        <f>24*J180*$D$186</f>
        <v>0.80673267999999998</v>
      </c>
      <c r="K186" s="1637">
        <f>24*K180*$D$186</f>
        <v>0.77483269368115948</v>
      </c>
      <c r="L186" s="1637">
        <f t="shared" ref="L186:O186" si="229">24*L180*$D$186</f>
        <v>0.7711984684322033</v>
      </c>
      <c r="M186" s="1637">
        <f t="shared" si="229"/>
        <v>0.75494123165217397</v>
      </c>
      <c r="N186" s="1637">
        <f t="shared" si="229"/>
        <v>0.7475795260217809</v>
      </c>
      <c r="O186" s="1637">
        <f t="shared" si="229"/>
        <v>0.77221042656521743</v>
      </c>
      <c r="P186" s="1637">
        <f t="shared" ref="P186:U186" si="230">24*P180*$D$186</f>
        <v>0.76908165382608695</v>
      </c>
      <c r="Q186" s="371">
        <f t="shared" si="230"/>
        <v>0.75966648860869557</v>
      </c>
      <c r="R186" s="1636">
        <f t="shared" si="230"/>
        <v>0.75683269434782607</v>
      </c>
      <c r="S186" s="1637" t="e">
        <f t="shared" si="230"/>
        <v>#DIV/0!</v>
      </c>
      <c r="T186" s="371" t="e">
        <f t="shared" si="230"/>
        <v>#DIV/0!</v>
      </c>
      <c r="U186" s="371" t="e">
        <f t="shared" si="230"/>
        <v>#DIV/0!</v>
      </c>
      <c r="V186" s="371" t="e">
        <f t="shared" ref="V186:AG186" si="231">24*(V180+V209)*$D$186</f>
        <v>#DIV/0!</v>
      </c>
      <c r="W186" s="371" t="e">
        <f t="shared" si="231"/>
        <v>#DIV/0!</v>
      </c>
      <c r="X186" s="1636" t="e">
        <f t="shared" si="231"/>
        <v>#DIV/0!</v>
      </c>
      <c r="Y186" s="1637" t="e">
        <f t="shared" si="231"/>
        <v>#DIV/0!</v>
      </c>
      <c r="Z186" s="371" t="e">
        <f t="shared" si="231"/>
        <v>#DIV/0!</v>
      </c>
      <c r="AA186" s="371" t="e">
        <f t="shared" si="231"/>
        <v>#DIV/0!</v>
      </c>
      <c r="AB186" s="371" t="e">
        <f t="shared" si="231"/>
        <v>#DIV/0!</v>
      </c>
      <c r="AC186" s="371" t="e">
        <f t="shared" si="231"/>
        <v>#DIV/0!</v>
      </c>
      <c r="AD186" s="371" t="e">
        <f t="shared" si="231"/>
        <v>#DIV/0!</v>
      </c>
      <c r="AE186" s="371" t="e">
        <f t="shared" si="231"/>
        <v>#DIV/0!</v>
      </c>
      <c r="AF186" s="371" t="e">
        <f t="shared" si="231"/>
        <v>#DIV/0!</v>
      </c>
      <c r="AG186" s="371" t="e">
        <f t="shared" si="231"/>
        <v>#DIV/0!</v>
      </c>
      <c r="AH186" s="323"/>
      <c r="AI186" s="240" t="s">
        <v>608</v>
      </c>
      <c r="AJ186" s="2667">
        <f>AVERAGE(N204:P204)</f>
        <v>96.333333333333329</v>
      </c>
      <c r="AK186" s="232"/>
      <c r="AL186" s="1236"/>
      <c r="AM186" s="643"/>
      <c r="AN186" s="459">
        <f>AVERAGE(H201:I201)</f>
        <v>81.849999999999994</v>
      </c>
      <c r="AO186" s="459">
        <f>AVERAGE(M201:O201)</f>
        <v>95.033333333333346</v>
      </c>
      <c r="AP186" s="459" t="e">
        <f>AVERAGE(R201:T201)</f>
        <v>#DIV/0!</v>
      </c>
      <c r="AQ186" s="232"/>
      <c r="AR186" s="232"/>
      <c r="AS186" s="232"/>
      <c r="AT186" s="232"/>
      <c r="AU186" s="1236"/>
      <c r="AV186" s="643"/>
      <c r="AW186" s="232"/>
      <c r="AX186" s="232"/>
      <c r="AY186" s="232"/>
      <c r="AZ186" s="232"/>
      <c r="BA186" s="1236"/>
      <c r="BB186" s="643"/>
      <c r="BC186" s="232"/>
      <c r="BD186" s="232"/>
      <c r="BE186" s="232"/>
      <c r="BF186" s="232"/>
      <c r="BG186" s="232"/>
      <c r="BH186" s="232"/>
      <c r="BI186" s="232"/>
      <c r="BJ186" s="232"/>
      <c r="BK186" s="323"/>
      <c r="BL186" s="267"/>
      <c r="BM186" s="232"/>
      <c r="BN186" s="232"/>
      <c r="BO186" s="1236"/>
      <c r="BP186" s="643"/>
      <c r="BQ186" s="232"/>
      <c r="BR186" s="232"/>
      <c r="BS186" s="232"/>
      <c r="BT186" s="232"/>
      <c r="BU186" s="232"/>
      <c r="BV186" s="232"/>
      <c r="BW186" s="232"/>
      <c r="BX186" s="1236"/>
      <c r="BY186" s="643"/>
      <c r="BZ186" s="232"/>
      <c r="CA186" s="232"/>
      <c r="CB186" s="232"/>
      <c r="CC186" s="232"/>
      <c r="CD186" s="1236"/>
      <c r="CE186" s="643"/>
      <c r="CF186" s="232"/>
      <c r="CG186" s="232"/>
      <c r="CH186" s="232"/>
      <c r="CI186" s="232"/>
      <c r="CJ186" s="232"/>
      <c r="CK186" s="232"/>
      <c r="CL186" s="232"/>
      <c r="CM186" s="232"/>
      <c r="CN186" s="323"/>
      <c r="CO186" s="232"/>
      <c r="CP186" s="232"/>
      <c r="CQ186" s="232"/>
      <c r="CR186" s="1236"/>
      <c r="CS186" s="643"/>
      <c r="CT186" s="232"/>
      <c r="CU186" s="232"/>
      <c r="CV186" s="232"/>
      <c r="CW186" s="232"/>
      <c r="CX186" s="232"/>
      <c r="CY186" s="232"/>
      <c r="CZ186" s="232"/>
      <c r="DA186" s="1236"/>
      <c r="DB186" s="643"/>
      <c r="DC186" s="232"/>
      <c r="DD186" s="232"/>
      <c r="DE186" s="232"/>
      <c r="DF186" s="232"/>
      <c r="DG186" s="1236"/>
      <c r="DH186" s="643"/>
      <c r="DI186" s="232"/>
      <c r="DJ186" s="232"/>
      <c r="DK186" s="232"/>
      <c r="DL186" s="232"/>
      <c r="DM186" s="232"/>
      <c r="DN186" s="232"/>
      <c r="DO186" s="232"/>
      <c r="DP186" s="232"/>
      <c r="DQ186" s="323"/>
      <c r="DR186" s="238"/>
      <c r="DS186" s="232"/>
      <c r="DT186" s="232"/>
      <c r="DU186" s="232"/>
      <c r="DV186" s="1236"/>
      <c r="DW186" s="643"/>
      <c r="DX186" s="232"/>
      <c r="DY186" s="232"/>
      <c r="DZ186" s="232"/>
      <c r="EA186" s="232"/>
      <c r="EB186" s="232"/>
      <c r="EC186" s="232"/>
      <c r="ED186" s="232"/>
      <c r="EE186" s="1236"/>
      <c r="EF186" s="643"/>
      <c r="EG186" s="232"/>
      <c r="EH186" s="232"/>
      <c r="EI186" s="232"/>
      <c r="EJ186" s="232"/>
      <c r="EK186" s="1236"/>
      <c r="EL186" s="643"/>
      <c r="EM186" s="232"/>
      <c r="EN186" s="232"/>
      <c r="EO186" s="232"/>
      <c r="EP186" s="232"/>
      <c r="EQ186" s="232"/>
      <c r="ER186" s="232"/>
      <c r="ES186" s="232"/>
      <c r="ET186" s="232"/>
      <c r="EU186" s="323"/>
      <c r="EV186" s="232"/>
      <c r="EW186" s="232"/>
      <c r="EX186" s="232"/>
      <c r="EY186" s="1236"/>
      <c r="EZ186" s="643"/>
      <c r="FA186" s="232"/>
      <c r="FB186" s="232"/>
      <c r="FC186" s="232"/>
      <c r="FD186" s="232"/>
      <c r="FE186" s="232"/>
      <c r="FF186" s="232"/>
      <c r="FG186" s="232"/>
      <c r="FH186" s="1236"/>
      <c r="FI186" s="643"/>
      <c r="FJ186" s="232"/>
      <c r="FK186" s="232"/>
      <c r="FL186" s="232"/>
      <c r="FM186" s="232"/>
      <c r="FN186" s="1236"/>
      <c r="FO186" s="643"/>
      <c r="FP186" s="232"/>
      <c r="FQ186" s="232"/>
      <c r="FR186" s="232"/>
      <c r="FS186" s="232"/>
      <c r="FT186" s="232"/>
      <c r="FU186" s="232"/>
      <c r="FV186" s="232"/>
      <c r="FW186" s="232"/>
    </row>
    <row r="187" spans="1:179" ht="15.65" customHeight="1" x14ac:dyDescent="0.35">
      <c r="C187" s="163" t="s">
        <v>625</v>
      </c>
      <c r="D187" s="415"/>
      <c r="E187" s="415"/>
      <c r="F187" s="501">
        <f>F186</f>
        <v>0.58413164936170214</v>
      </c>
      <c r="G187" s="249">
        <f>F$187+G$186</f>
        <v>1.1670810893617021</v>
      </c>
      <c r="H187" s="249">
        <f t="shared" ref="H187:I187" si="232">G$187+H$186</f>
        <v>1.7621875509001637</v>
      </c>
      <c r="I187" s="1242">
        <f t="shared" si="232"/>
        <v>2.3416170794108018</v>
      </c>
      <c r="J187" s="419">
        <f>I$187+J$186</f>
        <v>3.1483497594108019</v>
      </c>
      <c r="K187" s="249">
        <f t="shared" ref="K187:U187" si="233">J$187+K$186</f>
        <v>3.9231824530919615</v>
      </c>
      <c r="L187" s="249">
        <f t="shared" si="233"/>
        <v>4.6943809215241643</v>
      </c>
      <c r="M187" s="249">
        <f t="shared" si="233"/>
        <v>5.4493221531763378</v>
      </c>
      <c r="N187" s="249">
        <f t="shared" si="233"/>
        <v>6.1969016791981186</v>
      </c>
      <c r="O187" s="1242">
        <f t="shared" si="233"/>
        <v>6.9691121057633358</v>
      </c>
      <c r="P187" s="419">
        <f t="shared" si="233"/>
        <v>7.7381937595894232</v>
      </c>
      <c r="Q187" s="249">
        <f t="shared" si="233"/>
        <v>8.4978602481981191</v>
      </c>
      <c r="R187" s="1242">
        <f t="shared" si="233"/>
        <v>9.2546929425459457</v>
      </c>
      <c r="S187" s="419" t="e">
        <f t="shared" si="233"/>
        <v>#DIV/0!</v>
      </c>
      <c r="T187" s="249" t="e">
        <f t="shared" si="233"/>
        <v>#DIV/0!</v>
      </c>
      <c r="U187" s="249" t="e">
        <f t="shared" si="233"/>
        <v>#DIV/0!</v>
      </c>
      <c r="V187" s="249"/>
      <c r="W187" s="249"/>
      <c r="X187" s="1242"/>
      <c r="Y187" s="419"/>
      <c r="Z187" s="249"/>
      <c r="AA187" s="249"/>
      <c r="AB187" s="249"/>
      <c r="AC187" s="249"/>
      <c r="AD187" s="249"/>
      <c r="AE187" s="249"/>
      <c r="AF187" s="249"/>
      <c r="AG187" s="249"/>
      <c r="AI187" s="240" t="s">
        <v>1120</v>
      </c>
      <c r="AJ187" s="2667">
        <f>AVERAGE(N203:P203)</f>
        <v>97.295925435207621</v>
      </c>
      <c r="BL187" s="267"/>
    </row>
    <row r="188" spans="1:179" ht="15.65" customHeight="1" x14ac:dyDescent="0.35">
      <c r="C188" s="163" t="s">
        <v>623</v>
      </c>
      <c r="D188" s="415"/>
      <c r="E188" s="415"/>
      <c r="F188" s="501">
        <v>53.049300000000002</v>
      </c>
      <c r="G188" s="249">
        <v>53.049300000000002</v>
      </c>
      <c r="H188" s="249">
        <v>53.049300000000002</v>
      </c>
      <c r="I188" s="1242">
        <v>53.049300000000002</v>
      </c>
      <c r="J188" s="419">
        <v>53.049300000000002</v>
      </c>
      <c r="K188" s="249">
        <v>53.049300000000002</v>
      </c>
      <c r="L188" s="249">
        <v>53.049300000000002</v>
      </c>
      <c r="M188" s="249">
        <v>53.049300000000002</v>
      </c>
      <c r="N188" s="249">
        <v>53.049300000000002</v>
      </c>
      <c r="O188" s="1242">
        <v>53.049300000000002</v>
      </c>
      <c r="P188" s="419">
        <v>53.049300000000002</v>
      </c>
      <c r="Q188" s="249">
        <v>53.049300000000002</v>
      </c>
      <c r="R188" s="1242">
        <v>53.049300000000002</v>
      </c>
      <c r="S188" s="419">
        <v>53.049300000000002</v>
      </c>
      <c r="T188" s="249">
        <v>53.049300000000002</v>
      </c>
      <c r="U188" s="249">
        <v>53.049300000000002</v>
      </c>
      <c r="V188" s="249"/>
      <c r="W188" s="249"/>
      <c r="X188" s="1242"/>
      <c r="Y188" s="419"/>
      <c r="Z188" s="249"/>
      <c r="AA188" s="249"/>
      <c r="AB188" s="249"/>
      <c r="AC188" s="249"/>
      <c r="AD188" s="249"/>
      <c r="AE188" s="249"/>
      <c r="AF188" s="249"/>
      <c r="AG188" s="249"/>
      <c r="BL188" s="267"/>
    </row>
    <row r="189" spans="1:179" ht="15.65" customHeight="1" x14ac:dyDescent="0.35">
      <c r="C189" s="163" t="s">
        <v>629</v>
      </c>
      <c r="D189" s="2285"/>
      <c r="E189" s="2286" t="s">
        <v>955</v>
      </c>
      <c r="F189" s="501">
        <f>F187*100/F188</f>
        <v>1.101110946537847</v>
      </c>
      <c r="G189" s="249">
        <f t="shared" ref="G189:U189" si="234">G187*100/G188</f>
        <v>2.199993382309855</v>
      </c>
      <c r="H189" s="249">
        <f t="shared" si="234"/>
        <v>3.3217922779380005</v>
      </c>
      <c r="I189" s="1242">
        <f t="shared" si="234"/>
        <v>4.4140395432377089</v>
      </c>
      <c r="J189" s="419">
        <f t="shared" si="234"/>
        <v>5.9347621163913598</v>
      </c>
      <c r="K189" s="249">
        <f t="shared" si="234"/>
        <v>7.3953519708873845</v>
      </c>
      <c r="L189" s="249">
        <f t="shared" si="234"/>
        <v>8.8490911690147911</v>
      </c>
      <c r="M189" s="249">
        <f t="shared" si="234"/>
        <v>10.272184841602693</v>
      </c>
      <c r="N189" s="249">
        <f t="shared" si="234"/>
        <v>11.681401411890672</v>
      </c>
      <c r="O189" s="1242">
        <f t="shared" si="234"/>
        <v>13.137048190576191</v>
      </c>
      <c r="P189" s="419">
        <f t="shared" si="234"/>
        <v>14.586797110592267</v>
      </c>
      <c r="Q189" s="249">
        <f t="shared" si="234"/>
        <v>16.018798076879655</v>
      </c>
      <c r="R189" s="1242">
        <f t="shared" si="234"/>
        <v>17.445457230436492</v>
      </c>
      <c r="S189" s="419" t="e">
        <f t="shared" si="234"/>
        <v>#DIV/0!</v>
      </c>
      <c r="T189" s="249" t="e">
        <f t="shared" si="234"/>
        <v>#DIV/0!</v>
      </c>
      <c r="U189" s="249" t="e">
        <f t="shared" si="234"/>
        <v>#DIV/0!</v>
      </c>
      <c r="V189" s="249" t="e">
        <f t="shared" ref="V189:AG189" si="235">(U$186+V$186)*100/V$183</f>
        <v>#DIV/0!</v>
      </c>
      <c r="W189" s="249" t="e">
        <f t="shared" si="235"/>
        <v>#DIV/0!</v>
      </c>
      <c r="X189" s="1242" t="e">
        <f t="shared" si="235"/>
        <v>#DIV/0!</v>
      </c>
      <c r="Y189" s="419" t="e">
        <f t="shared" si="235"/>
        <v>#DIV/0!</v>
      </c>
      <c r="Z189" s="249" t="e">
        <f t="shared" si="235"/>
        <v>#DIV/0!</v>
      </c>
      <c r="AA189" s="249" t="e">
        <f t="shared" si="235"/>
        <v>#DIV/0!</v>
      </c>
      <c r="AB189" s="249" t="e">
        <f t="shared" si="235"/>
        <v>#DIV/0!</v>
      </c>
      <c r="AC189" s="249" t="e">
        <f t="shared" si="235"/>
        <v>#DIV/0!</v>
      </c>
      <c r="AD189" s="249" t="e">
        <f t="shared" si="235"/>
        <v>#DIV/0!</v>
      </c>
      <c r="AE189" s="249" t="e">
        <f t="shared" si="235"/>
        <v>#DIV/0!</v>
      </c>
      <c r="AF189" s="249" t="e">
        <f t="shared" si="235"/>
        <v>#DIV/0!</v>
      </c>
      <c r="AG189" s="249" t="e">
        <f t="shared" si="235"/>
        <v>#DIV/0!</v>
      </c>
      <c r="BL189" s="267"/>
    </row>
    <row r="190" spans="1:179" ht="16.899999999999999" customHeight="1" thickBot="1" x14ac:dyDescent="0.4">
      <c r="C190" s="163" t="s">
        <v>608</v>
      </c>
      <c r="D190" s="415"/>
      <c r="E190" s="415"/>
      <c r="F190" s="653"/>
      <c r="G190" s="311"/>
      <c r="H190" s="311"/>
      <c r="I190" s="1241">
        <v>4.3</v>
      </c>
      <c r="J190" s="654"/>
      <c r="K190" s="311"/>
      <c r="L190" s="311"/>
      <c r="M190" s="311"/>
      <c r="N190" s="311"/>
      <c r="O190" s="2276"/>
      <c r="P190" s="654"/>
      <c r="Q190" s="311"/>
      <c r="R190" s="1241"/>
      <c r="S190" s="654"/>
      <c r="T190" s="311">
        <v>29.8</v>
      </c>
      <c r="U190" s="311">
        <v>31</v>
      </c>
      <c r="V190" s="311"/>
      <c r="W190" s="311"/>
      <c r="X190" s="1241"/>
      <c r="Y190" s="654"/>
      <c r="Z190" s="311"/>
      <c r="AA190" s="311"/>
      <c r="AB190" s="311"/>
      <c r="AC190" s="311"/>
      <c r="AD190" s="311"/>
      <c r="AE190" s="311"/>
      <c r="AF190" s="311"/>
      <c r="AG190" s="311"/>
      <c r="BL190" s="267"/>
    </row>
    <row r="191" spans="1:179" s="224" customFormat="1" ht="15.65" customHeight="1" x14ac:dyDescent="0.35">
      <c r="A191" s="1639"/>
      <c r="B191" s="1640"/>
      <c r="C191" s="1641" t="s">
        <v>626</v>
      </c>
      <c r="D191" s="1642">
        <v>0.25</v>
      </c>
      <c r="E191" s="1642">
        <v>0.7</v>
      </c>
      <c r="F191" s="1643">
        <f>(0.6*(F97+F100)+(F98+F101))*0.78*0.7*24</f>
        <v>0.81551542892936135</v>
      </c>
      <c r="G191" s="1644">
        <f>(0.6*(G97+G100)+(G98+G101))*0.78*0.7*24</f>
        <v>0.79866835776</v>
      </c>
      <c r="H191" s="1644">
        <f>(0.6*(H97+H100)+(H98+H101))*0.78*0.7*24</f>
        <v>0.80367705599999995</v>
      </c>
      <c r="I191" s="1645">
        <f>(0.6*(I97+I100)+(I98+I101))*0.78*0.7*24</f>
        <v>0.79343031535659558</v>
      </c>
      <c r="J191" s="1646">
        <f>J180*24*$D$191</f>
        <v>0.3102818</v>
      </c>
      <c r="K191" s="1647">
        <f>K180*24*$D$191</f>
        <v>0.29801257449275365</v>
      </c>
      <c r="L191" s="1647">
        <f t="shared" ref="L191:U191" si="236">L180*24*$D$191</f>
        <v>0.29661479555084741</v>
      </c>
      <c r="M191" s="1647">
        <f t="shared" si="236"/>
        <v>0.29036201217391305</v>
      </c>
      <c r="N191" s="1647">
        <f t="shared" si="236"/>
        <v>0.28753058693145417</v>
      </c>
      <c r="O191" s="1645">
        <f t="shared" si="236"/>
        <v>0.29700401021739131</v>
      </c>
      <c r="P191" s="1646">
        <f t="shared" si="236"/>
        <v>0.2958006360869565</v>
      </c>
      <c r="Q191" s="1647">
        <f t="shared" si="236"/>
        <v>0.29217941869565212</v>
      </c>
      <c r="R191" s="1645">
        <f t="shared" si="236"/>
        <v>0.29108949782608695</v>
      </c>
      <c r="S191" s="1646" t="e">
        <f t="shared" si="236"/>
        <v>#DIV/0!</v>
      </c>
      <c r="T191" s="1647" t="e">
        <f t="shared" si="236"/>
        <v>#DIV/0!</v>
      </c>
      <c r="U191" s="1647" t="e">
        <f t="shared" si="236"/>
        <v>#DIV/0!</v>
      </c>
      <c r="V191" s="1647">
        <f t="shared" ref="V191:AG191" si="237">24*($D$191*(V$97+V$100)+$E$191*(V$98+V$101))</f>
        <v>0</v>
      </c>
      <c r="W191" s="1647">
        <f t="shared" si="237"/>
        <v>0</v>
      </c>
      <c r="X191" s="1645">
        <f t="shared" si="237"/>
        <v>0</v>
      </c>
      <c r="Y191" s="1646">
        <f t="shared" si="237"/>
        <v>0</v>
      </c>
      <c r="Z191" s="1647">
        <f t="shared" si="237"/>
        <v>0</v>
      </c>
      <c r="AA191" s="1647">
        <f t="shared" si="237"/>
        <v>0</v>
      </c>
      <c r="AB191" s="1647">
        <f t="shared" si="237"/>
        <v>0</v>
      </c>
      <c r="AC191" s="1647">
        <f t="shared" si="237"/>
        <v>0</v>
      </c>
      <c r="AD191" s="1647">
        <f t="shared" si="237"/>
        <v>0</v>
      </c>
      <c r="AE191" s="1647">
        <f t="shared" si="237"/>
        <v>0</v>
      </c>
      <c r="AF191" s="1647">
        <f t="shared" si="237"/>
        <v>0</v>
      </c>
      <c r="AG191" s="1648">
        <f t="shared" si="237"/>
        <v>0</v>
      </c>
      <c r="AH191" s="1638"/>
      <c r="AI191" s="232"/>
      <c r="AJ191" s="232"/>
      <c r="AK191" s="232"/>
      <c r="AL191" s="1236"/>
      <c r="AM191" s="643"/>
      <c r="AN191" s="232"/>
      <c r="AO191" s="232"/>
      <c r="AP191" s="232"/>
      <c r="AQ191" s="232"/>
      <c r="AR191" s="232"/>
      <c r="AS191" s="232"/>
      <c r="AT191" s="232"/>
      <c r="AU191" s="1236"/>
      <c r="AV191" s="643"/>
      <c r="AW191" s="232"/>
      <c r="AX191" s="232"/>
      <c r="AY191" s="232"/>
      <c r="AZ191" s="232"/>
      <c r="BA191" s="1236"/>
      <c r="BB191" s="643"/>
      <c r="BC191" s="232"/>
      <c r="BD191" s="232"/>
      <c r="BE191" s="232"/>
      <c r="BF191" s="232"/>
      <c r="BG191" s="232"/>
      <c r="BH191" s="232"/>
      <c r="BI191" s="232"/>
      <c r="BJ191" s="232"/>
      <c r="BK191" s="323"/>
      <c r="BL191" s="267"/>
      <c r="BM191" s="232"/>
      <c r="BN191" s="232"/>
      <c r="BO191" s="1236"/>
      <c r="BP191" s="643"/>
      <c r="BQ191" s="232"/>
      <c r="BR191" s="232"/>
      <c r="BS191" s="232"/>
      <c r="BT191" s="232"/>
      <c r="BU191" s="232"/>
      <c r="BV191" s="232"/>
      <c r="BW191" s="232"/>
      <c r="BX191" s="1236"/>
      <c r="BY191" s="643"/>
      <c r="BZ191" s="232"/>
      <c r="CA191" s="232"/>
      <c r="CB191" s="232"/>
      <c r="CC191" s="232"/>
      <c r="CD191" s="1236"/>
      <c r="CE191" s="643"/>
      <c r="CF191" s="232"/>
      <c r="CG191" s="232"/>
      <c r="CH191" s="232"/>
      <c r="CI191" s="232"/>
      <c r="CJ191" s="232"/>
      <c r="CK191" s="232"/>
      <c r="CL191" s="232"/>
      <c r="CM191" s="232"/>
      <c r="CN191" s="323"/>
      <c r="CO191" s="232"/>
      <c r="CP191" s="232"/>
      <c r="CQ191" s="232"/>
      <c r="CR191" s="1236"/>
      <c r="CS191" s="643"/>
      <c r="CT191" s="232"/>
      <c r="CU191" s="232"/>
      <c r="CV191" s="232"/>
      <c r="CW191" s="232"/>
      <c r="CX191" s="232"/>
      <c r="CY191" s="232"/>
      <c r="CZ191" s="232"/>
      <c r="DA191" s="1236"/>
      <c r="DB191" s="643"/>
      <c r="DC191" s="232"/>
      <c r="DD191" s="232"/>
      <c r="DE191" s="232"/>
      <c r="DF191" s="232"/>
      <c r="DG191" s="1236"/>
      <c r="DH191" s="643"/>
      <c r="DI191" s="232"/>
      <c r="DJ191" s="232"/>
      <c r="DK191" s="232"/>
      <c r="DL191" s="232"/>
      <c r="DM191" s="232"/>
      <c r="DN191" s="232"/>
      <c r="DO191" s="232"/>
      <c r="DP191" s="232"/>
      <c r="DQ191" s="323"/>
      <c r="DR191" s="238"/>
      <c r="DS191" s="232"/>
      <c r="DT191" s="232"/>
      <c r="DU191" s="232"/>
      <c r="DV191" s="1236"/>
      <c r="DW191" s="643"/>
      <c r="DX191" s="232"/>
      <c r="DY191" s="232"/>
      <c r="DZ191" s="232"/>
      <c r="EA191" s="232"/>
      <c r="EB191" s="232"/>
      <c r="EC191" s="232"/>
      <c r="ED191" s="232"/>
      <c r="EE191" s="1236"/>
      <c r="EF191" s="643"/>
      <c r="EG191" s="232"/>
      <c r="EH191" s="232"/>
      <c r="EI191" s="232"/>
      <c r="EJ191" s="232"/>
      <c r="EK191" s="1236"/>
      <c r="EL191" s="643"/>
      <c r="EM191" s="232"/>
      <c r="EN191" s="232"/>
      <c r="EO191" s="232"/>
      <c r="EP191" s="232"/>
      <c r="EQ191" s="232"/>
      <c r="ER191" s="232"/>
      <c r="ES191" s="232"/>
      <c r="ET191" s="232"/>
      <c r="EU191" s="323"/>
      <c r="EV191" s="232"/>
      <c r="EW191" s="232"/>
      <c r="EX191" s="232"/>
      <c r="EY191" s="1236"/>
      <c r="EZ191" s="643"/>
      <c r="FA191" s="232"/>
      <c r="FB191" s="232"/>
      <c r="FC191" s="232"/>
      <c r="FD191" s="232"/>
      <c r="FE191" s="232"/>
      <c r="FF191" s="232"/>
      <c r="FG191" s="232"/>
      <c r="FH191" s="1236"/>
      <c r="FI191" s="643"/>
      <c r="FJ191" s="232"/>
      <c r="FK191" s="232"/>
      <c r="FL191" s="232"/>
      <c r="FM191" s="232"/>
      <c r="FN191" s="1236"/>
      <c r="FO191" s="643"/>
      <c r="FP191" s="232"/>
      <c r="FQ191" s="232"/>
      <c r="FR191" s="232"/>
      <c r="FS191" s="232"/>
      <c r="FT191" s="232"/>
      <c r="FU191" s="232"/>
      <c r="FV191" s="232"/>
      <c r="FW191" s="232"/>
    </row>
    <row r="192" spans="1:179" ht="15.65" customHeight="1" x14ac:dyDescent="0.35">
      <c r="A192" s="1649"/>
      <c r="C192" s="163" t="s">
        <v>625</v>
      </c>
      <c r="D192" s="415"/>
      <c r="E192" s="415"/>
      <c r="F192" s="501">
        <f>F191</f>
        <v>0.81551542892936135</v>
      </c>
      <c r="G192" s="249">
        <f>F$192+G$191</f>
        <v>1.6141837866893614</v>
      </c>
      <c r="H192" s="249">
        <f t="shared" ref="H192:I192" si="238">G$192+H$191</f>
        <v>2.4178608426893611</v>
      </c>
      <c r="I192" s="1242">
        <f t="shared" si="238"/>
        <v>3.2112911580459569</v>
      </c>
      <c r="J192" s="419">
        <f>I$192+J$191</f>
        <v>3.5215729580459567</v>
      </c>
      <c r="K192" s="249">
        <f t="shared" ref="K192:U192" si="239">J$192+K$191</f>
        <v>3.8195855325387105</v>
      </c>
      <c r="L192" s="249">
        <f t="shared" si="239"/>
        <v>4.1162003280895583</v>
      </c>
      <c r="M192" s="249">
        <f t="shared" si="239"/>
        <v>4.4065623402634717</v>
      </c>
      <c r="N192" s="249">
        <f t="shared" si="239"/>
        <v>4.6940929271949257</v>
      </c>
      <c r="O192" s="1242">
        <f t="shared" si="239"/>
        <v>4.9910969374123173</v>
      </c>
      <c r="P192" s="419">
        <f t="shared" si="239"/>
        <v>5.2868975734992736</v>
      </c>
      <c r="Q192" s="249">
        <f t="shared" si="239"/>
        <v>5.5790769921949259</v>
      </c>
      <c r="R192" s="1242">
        <f t="shared" si="239"/>
        <v>5.8701664900210133</v>
      </c>
      <c r="S192" s="419" t="e">
        <f t="shared" si="239"/>
        <v>#DIV/0!</v>
      </c>
      <c r="T192" s="249" t="e">
        <f t="shared" si="239"/>
        <v>#DIV/0!</v>
      </c>
      <c r="U192" s="249" t="e">
        <f t="shared" si="239"/>
        <v>#DIV/0!</v>
      </c>
      <c r="V192" s="249"/>
      <c r="W192" s="249"/>
      <c r="X192" s="1242"/>
      <c r="Y192" s="419"/>
      <c r="Z192" s="249"/>
      <c r="AA192" s="249"/>
      <c r="AB192" s="249"/>
      <c r="AC192" s="249"/>
      <c r="AD192" s="249"/>
      <c r="AE192" s="249"/>
      <c r="AF192" s="249"/>
      <c r="AG192" s="1650"/>
      <c r="AH192" s="1638"/>
      <c r="BL192" s="267"/>
    </row>
    <row r="193" spans="1:179" ht="15.65" customHeight="1" x14ac:dyDescent="0.35">
      <c r="A193" s="1649"/>
      <c r="C193" s="163" t="s">
        <v>628</v>
      </c>
      <c r="D193" s="415"/>
      <c r="E193" s="415"/>
      <c r="F193" s="501">
        <v>59.604900000000001</v>
      </c>
      <c r="G193" s="249">
        <v>59.604900000000001</v>
      </c>
      <c r="H193" s="249">
        <v>59.604900000000001</v>
      </c>
      <c r="I193" s="1242">
        <v>59.604900000000001</v>
      </c>
      <c r="J193" s="419">
        <v>59.604900000000001</v>
      </c>
      <c r="K193" s="249">
        <v>59.604900000000001</v>
      </c>
      <c r="L193" s="249">
        <v>59.604900000000001</v>
      </c>
      <c r="M193" s="249">
        <v>59.604900000000001</v>
      </c>
      <c r="N193" s="249">
        <v>59.604900000000001</v>
      </c>
      <c r="O193" s="1242">
        <v>59.604900000000001</v>
      </c>
      <c r="P193" s="419">
        <v>59.604900000000001</v>
      </c>
      <c r="Q193" s="249">
        <v>59.604900000000001</v>
      </c>
      <c r="R193" s="1242">
        <v>59.604900000000001</v>
      </c>
      <c r="S193" s="419">
        <v>59.604900000000001</v>
      </c>
      <c r="T193" s="249">
        <v>59.604900000000001</v>
      </c>
      <c r="U193" s="249">
        <v>59.604900000000001</v>
      </c>
      <c r="V193" s="249"/>
      <c r="W193" s="249"/>
      <c r="X193" s="1242"/>
      <c r="Y193" s="419"/>
      <c r="Z193" s="249"/>
      <c r="AA193" s="249"/>
      <c r="AB193" s="249"/>
      <c r="AC193" s="249"/>
      <c r="AD193" s="249"/>
      <c r="AE193" s="249"/>
      <c r="AF193" s="249"/>
      <c r="AG193" s="1650"/>
      <c r="AH193" s="1638"/>
      <c r="BL193" s="267"/>
    </row>
    <row r="194" spans="1:179" ht="15.65" customHeight="1" x14ac:dyDescent="0.35">
      <c r="A194" s="1649"/>
      <c r="C194" s="163" t="s">
        <v>627</v>
      </c>
      <c r="D194" s="415"/>
      <c r="E194" s="2286" t="s">
        <v>956</v>
      </c>
      <c r="F194" s="501">
        <f>100*F$192/F$193</f>
        <v>1.3682019916640433</v>
      </c>
      <c r="G194" s="249">
        <f t="shared" ref="G194:I194" si="240">100*G$192/G$193</f>
        <v>2.7081394091582425</v>
      </c>
      <c r="H194" s="249">
        <f t="shared" si="240"/>
        <v>4.0564799918955678</v>
      </c>
      <c r="I194" s="1242">
        <f t="shared" si="240"/>
        <v>5.3876294701374503</v>
      </c>
      <c r="J194" s="419">
        <f>100*J$192/J$193</f>
        <v>5.908193719049871</v>
      </c>
      <c r="K194" s="249">
        <f t="shared" ref="K194:U194" si="241">100*K$192/K$193</f>
        <v>6.4081737114544453</v>
      </c>
      <c r="L194" s="249">
        <f t="shared" si="241"/>
        <v>6.9058086299776669</v>
      </c>
      <c r="M194" s="249">
        <f t="shared" si="241"/>
        <v>7.3929531636886763</v>
      </c>
      <c r="N194" s="249">
        <f t="shared" si="241"/>
        <v>7.8753473744523106</v>
      </c>
      <c r="O194" s="1242">
        <f t="shared" si="241"/>
        <v>8.3736352840325505</v>
      </c>
      <c r="P194" s="419">
        <f t="shared" si="241"/>
        <v>8.8699042754861992</v>
      </c>
      <c r="Q194" s="249">
        <f t="shared" si="241"/>
        <v>9.3600978983186369</v>
      </c>
      <c r="R194" s="1242">
        <f t="shared" si="241"/>
        <v>9.8484629451958021</v>
      </c>
      <c r="S194" s="419" t="e">
        <f t="shared" si="241"/>
        <v>#DIV/0!</v>
      </c>
      <c r="T194" s="249" t="e">
        <f t="shared" si="241"/>
        <v>#DIV/0!</v>
      </c>
      <c r="U194" s="249" t="e">
        <f t="shared" si="241"/>
        <v>#DIV/0!</v>
      </c>
      <c r="V194" s="249"/>
      <c r="W194" s="249"/>
      <c r="X194" s="1242"/>
      <c r="Y194" s="419"/>
      <c r="Z194" s="249"/>
      <c r="AA194" s="249"/>
      <c r="AB194" s="249"/>
      <c r="AC194" s="249"/>
      <c r="AD194" s="249"/>
      <c r="AE194" s="249"/>
      <c r="AF194" s="249"/>
      <c r="AG194" s="1650"/>
      <c r="AH194" s="1638"/>
      <c r="BL194" s="267"/>
    </row>
    <row r="195" spans="1:179" ht="15.65" customHeight="1" thickBot="1" x14ac:dyDescent="0.4">
      <c r="A195" s="1651"/>
      <c r="B195" s="1652"/>
      <c r="C195" s="1653" t="s">
        <v>608</v>
      </c>
      <c r="D195" s="1654"/>
      <c r="E195" s="1654"/>
      <c r="F195" s="1655"/>
      <c r="G195" s="1656"/>
      <c r="H195" s="1656"/>
      <c r="I195" s="1657">
        <v>5.8</v>
      </c>
      <c r="J195" s="1658"/>
      <c r="K195" s="1656"/>
      <c r="L195" s="1656"/>
      <c r="M195" s="1656"/>
      <c r="N195" s="1656"/>
      <c r="O195" s="2277"/>
      <c r="P195" s="1658"/>
      <c r="Q195" s="1656"/>
      <c r="R195" s="1657"/>
      <c r="S195" s="1658"/>
      <c r="T195" s="1656">
        <v>13</v>
      </c>
      <c r="U195" s="1656">
        <v>13.7</v>
      </c>
      <c r="V195" s="1656"/>
      <c r="W195" s="1656"/>
      <c r="X195" s="1657"/>
      <c r="Y195" s="1658"/>
      <c r="Z195" s="1656"/>
      <c r="AA195" s="1656"/>
      <c r="AB195" s="1656"/>
      <c r="AC195" s="1656"/>
      <c r="AD195" s="1656"/>
      <c r="AE195" s="1656"/>
      <c r="AF195" s="1656"/>
      <c r="AG195" s="1659"/>
      <c r="AH195" s="1638"/>
      <c r="BL195" s="267"/>
    </row>
    <row r="196" spans="1:179" s="224" customFormat="1" ht="15.65" customHeight="1" x14ac:dyDescent="0.35">
      <c r="A196" s="1640"/>
      <c r="B196" s="1640"/>
      <c r="C196" s="1641" t="s">
        <v>630</v>
      </c>
      <c r="D196" s="1642">
        <v>0.1</v>
      </c>
      <c r="E196" s="1642">
        <v>0.3</v>
      </c>
      <c r="F196" s="1643">
        <f>(0.6*(F97+F100)+(F98+F101))*0.78*0.3*24</f>
        <v>0.34950661239829778</v>
      </c>
      <c r="G196" s="1644">
        <f>(0.6*(G97+G100)+(G98+G101))*0.78*0.3*24</f>
        <v>0.34228643903999995</v>
      </c>
      <c r="H196" s="1644">
        <f>(0.6*(H97+H100)+(H98+H101))*0.78*0.3*24</f>
        <v>0.34443302400000003</v>
      </c>
      <c r="I196" s="1645">
        <f>(0.6*(I97+I100)+(I98+I101))*0.78*0.3*24</f>
        <v>0.34004156372425531</v>
      </c>
      <c r="J196" s="1646">
        <f>J180*$D$196*24</f>
        <v>0.12411272000000001</v>
      </c>
      <c r="K196" s="1647">
        <f t="shared" ref="K196:U196" si="242">K180*$D$196*24</f>
        <v>0.11920502979710146</v>
      </c>
      <c r="L196" s="1647">
        <f t="shared" si="242"/>
        <v>0.11864591822033899</v>
      </c>
      <c r="M196" s="1647">
        <f t="shared" si="242"/>
        <v>0.11614480486956523</v>
      </c>
      <c r="N196" s="1647">
        <f t="shared" si="242"/>
        <v>0.11501223477258168</v>
      </c>
      <c r="O196" s="1645">
        <f t="shared" si="242"/>
        <v>0.11880160408695654</v>
      </c>
      <c r="P196" s="1646">
        <f t="shared" si="242"/>
        <v>0.11832025443478261</v>
      </c>
      <c r="Q196" s="1647">
        <f t="shared" si="242"/>
        <v>0.11687176747826086</v>
      </c>
      <c r="R196" s="1645">
        <f t="shared" si="242"/>
        <v>0.11643579913043478</v>
      </c>
      <c r="S196" s="1646" t="e">
        <f t="shared" si="242"/>
        <v>#DIV/0!</v>
      </c>
      <c r="T196" s="1647" t="e">
        <f t="shared" si="242"/>
        <v>#DIV/0!</v>
      </c>
      <c r="U196" s="1647" t="e">
        <f t="shared" si="242"/>
        <v>#DIV/0!</v>
      </c>
      <c r="V196" s="1647">
        <f t="shared" ref="V196:AG196" si="243">24*($D$196*(V$97+V$100)+$E$196*(V$98+V$101))</f>
        <v>0</v>
      </c>
      <c r="W196" s="1647">
        <f t="shared" si="243"/>
        <v>0</v>
      </c>
      <c r="X196" s="1645">
        <f t="shared" si="243"/>
        <v>0</v>
      </c>
      <c r="Y196" s="1646">
        <f t="shared" si="243"/>
        <v>0</v>
      </c>
      <c r="Z196" s="1647">
        <f t="shared" si="243"/>
        <v>0</v>
      </c>
      <c r="AA196" s="1647">
        <f t="shared" si="243"/>
        <v>0</v>
      </c>
      <c r="AB196" s="1647">
        <f t="shared" si="243"/>
        <v>0</v>
      </c>
      <c r="AC196" s="1647">
        <f t="shared" si="243"/>
        <v>0</v>
      </c>
      <c r="AD196" s="1647">
        <f t="shared" si="243"/>
        <v>0</v>
      </c>
      <c r="AE196" s="1647">
        <f t="shared" si="243"/>
        <v>0</v>
      </c>
      <c r="AF196" s="1647">
        <f t="shared" si="243"/>
        <v>0</v>
      </c>
      <c r="AG196" s="1647">
        <f t="shared" si="243"/>
        <v>0</v>
      </c>
      <c r="AH196" s="323"/>
      <c r="AI196" s="232"/>
      <c r="AJ196" s="232"/>
      <c r="AK196" s="232"/>
      <c r="AL196" s="1236"/>
      <c r="AM196" s="643"/>
      <c r="AN196" s="232"/>
      <c r="AO196" s="232"/>
      <c r="AP196" s="232"/>
      <c r="AQ196" s="232"/>
      <c r="AR196" s="232"/>
      <c r="AS196" s="232"/>
      <c r="AT196" s="232"/>
      <c r="AU196" s="1236"/>
      <c r="AV196" s="643"/>
      <c r="AW196" s="232"/>
      <c r="AX196" s="232"/>
      <c r="AY196" s="232"/>
      <c r="AZ196" s="232"/>
      <c r="BA196" s="1236"/>
      <c r="BB196" s="643"/>
      <c r="BC196" s="232"/>
      <c r="BD196" s="232"/>
      <c r="BE196" s="232"/>
      <c r="BF196" s="232"/>
      <c r="BG196" s="232"/>
      <c r="BH196" s="232"/>
      <c r="BI196" s="232"/>
      <c r="BJ196" s="232"/>
      <c r="BK196" s="323"/>
      <c r="BL196" s="267"/>
      <c r="BM196" s="232"/>
      <c r="BN196" s="232"/>
      <c r="BO196" s="1236"/>
      <c r="BP196" s="643"/>
      <c r="BQ196" s="232"/>
      <c r="BR196" s="232"/>
      <c r="BS196" s="232"/>
      <c r="BT196" s="232"/>
      <c r="BU196" s="232"/>
      <c r="BV196" s="232"/>
      <c r="BW196" s="232"/>
      <c r="BX196" s="1236"/>
      <c r="BY196" s="643"/>
      <c r="BZ196" s="232"/>
      <c r="CA196" s="232"/>
      <c r="CB196" s="232"/>
      <c r="CC196" s="232"/>
      <c r="CD196" s="1236"/>
      <c r="CE196" s="643"/>
      <c r="CF196" s="232"/>
      <c r="CG196" s="232"/>
      <c r="CH196" s="232"/>
      <c r="CI196" s="232"/>
      <c r="CJ196" s="232"/>
      <c r="CK196" s="232"/>
      <c r="CL196" s="232"/>
      <c r="CM196" s="232"/>
      <c r="CN196" s="323"/>
      <c r="CO196" s="232"/>
      <c r="CP196" s="232"/>
      <c r="CQ196" s="232"/>
      <c r="CR196" s="1236"/>
      <c r="CS196" s="643"/>
      <c r="CT196" s="232"/>
      <c r="CU196" s="232"/>
      <c r="CV196" s="232"/>
      <c r="CW196" s="232"/>
      <c r="CX196" s="232"/>
      <c r="CY196" s="232"/>
      <c r="CZ196" s="232"/>
      <c r="DA196" s="1236"/>
      <c r="DB196" s="643"/>
      <c r="DC196" s="232"/>
      <c r="DD196" s="232"/>
      <c r="DE196" s="232"/>
      <c r="DF196" s="232"/>
      <c r="DG196" s="1236"/>
      <c r="DH196" s="643"/>
      <c r="DI196" s="232"/>
      <c r="DJ196" s="232"/>
      <c r="DK196" s="232"/>
      <c r="DL196" s="232"/>
      <c r="DM196" s="232"/>
      <c r="DN196" s="232"/>
      <c r="DO196" s="232"/>
      <c r="DP196" s="232"/>
      <c r="DQ196" s="323"/>
      <c r="DR196" s="238"/>
      <c r="DS196" s="232"/>
      <c r="DT196" s="232"/>
      <c r="DU196" s="232"/>
      <c r="DV196" s="1236"/>
      <c r="DW196" s="643"/>
      <c r="DX196" s="232"/>
      <c r="DY196" s="232"/>
      <c r="DZ196" s="232"/>
      <c r="EA196" s="232"/>
      <c r="EB196" s="232"/>
      <c r="EC196" s="232"/>
      <c r="ED196" s="232"/>
      <c r="EE196" s="1236"/>
      <c r="EF196" s="643"/>
      <c r="EG196" s="232"/>
      <c r="EH196" s="232"/>
      <c r="EI196" s="232"/>
      <c r="EJ196" s="232"/>
      <c r="EK196" s="1236"/>
      <c r="EL196" s="643"/>
      <c r="EM196" s="232"/>
      <c r="EN196" s="232"/>
      <c r="EO196" s="232"/>
      <c r="EP196" s="232"/>
      <c r="EQ196" s="232"/>
      <c r="ER196" s="232"/>
      <c r="ES196" s="232"/>
      <c r="ET196" s="232"/>
      <c r="EU196" s="323"/>
      <c r="EV196" s="232"/>
      <c r="EW196" s="232"/>
      <c r="EX196" s="232"/>
      <c r="EY196" s="1236"/>
      <c r="EZ196" s="643"/>
      <c r="FA196" s="232"/>
      <c r="FB196" s="232"/>
      <c r="FC196" s="232"/>
      <c r="FD196" s="232"/>
      <c r="FE196" s="232"/>
      <c r="FF196" s="232"/>
      <c r="FG196" s="232"/>
      <c r="FH196" s="1236"/>
      <c r="FI196" s="643"/>
      <c r="FJ196" s="232"/>
      <c r="FK196" s="232"/>
      <c r="FL196" s="232"/>
      <c r="FM196" s="232"/>
      <c r="FN196" s="1236"/>
      <c r="FO196" s="643"/>
      <c r="FP196" s="232"/>
      <c r="FQ196" s="232"/>
      <c r="FR196" s="232"/>
      <c r="FS196" s="232"/>
      <c r="FT196" s="232"/>
      <c r="FU196" s="232"/>
      <c r="FV196" s="232"/>
      <c r="FW196" s="232"/>
    </row>
    <row r="197" spans="1:179" ht="15.65" customHeight="1" x14ac:dyDescent="0.35">
      <c r="C197" s="163" t="s">
        <v>631</v>
      </c>
      <c r="D197" s="415"/>
      <c r="E197" s="415"/>
      <c r="F197" s="501">
        <f>F196</f>
        <v>0.34950661239829778</v>
      </c>
      <c r="G197" s="249">
        <f>F$197+G$196</f>
        <v>0.69179305143829772</v>
      </c>
      <c r="H197" s="249">
        <f t="shared" ref="H197:I197" si="244">G$197+H$196</f>
        <v>1.0362260754382977</v>
      </c>
      <c r="I197" s="1242">
        <f t="shared" si="244"/>
        <v>1.376267639162553</v>
      </c>
      <c r="J197" s="419">
        <f>I$197+J$196</f>
        <v>1.5003803591625531</v>
      </c>
      <c r="K197" s="249">
        <f t="shared" ref="K197:U197" si="245">J$197+K$196</f>
        <v>1.6195853889596545</v>
      </c>
      <c r="L197" s="249">
        <f t="shared" si="245"/>
        <v>1.7382313071799935</v>
      </c>
      <c r="M197" s="249">
        <f t="shared" si="245"/>
        <v>1.8543761120495588</v>
      </c>
      <c r="N197" s="249">
        <f t="shared" si="245"/>
        <v>1.9693883468221405</v>
      </c>
      <c r="O197" s="1242">
        <f t="shared" si="245"/>
        <v>2.0881899509090971</v>
      </c>
      <c r="P197" s="419">
        <f t="shared" si="245"/>
        <v>2.2065102053438799</v>
      </c>
      <c r="Q197" s="249">
        <f t="shared" si="245"/>
        <v>2.3233819728221405</v>
      </c>
      <c r="R197" s="1242">
        <f t="shared" si="245"/>
        <v>2.4398177719525753</v>
      </c>
      <c r="S197" s="419" t="e">
        <f t="shared" si="245"/>
        <v>#DIV/0!</v>
      </c>
      <c r="T197" s="249" t="e">
        <f t="shared" si="245"/>
        <v>#DIV/0!</v>
      </c>
      <c r="U197" s="249" t="e">
        <f t="shared" si="245"/>
        <v>#DIV/0!</v>
      </c>
      <c r="BL197" s="267"/>
    </row>
    <row r="198" spans="1:179" ht="15.65" customHeight="1" x14ac:dyDescent="0.35">
      <c r="C198" s="163" t="s">
        <v>632</v>
      </c>
      <c r="D198" s="415"/>
      <c r="E198" s="415"/>
      <c r="F198" s="501">
        <v>59.604900000000001</v>
      </c>
      <c r="G198" s="249">
        <v>59.604900000000001</v>
      </c>
      <c r="H198" s="249">
        <v>59.604900000000001</v>
      </c>
      <c r="I198" s="1242">
        <v>59.604900000000001</v>
      </c>
      <c r="J198" s="419">
        <v>59.604900000000001</v>
      </c>
      <c r="K198" s="249">
        <v>59.604900000000001</v>
      </c>
      <c r="L198" s="249">
        <v>59.604900000000001</v>
      </c>
      <c r="M198" s="249">
        <v>59.604900000000001</v>
      </c>
      <c r="N198" s="249">
        <v>59.604900000000001</v>
      </c>
      <c r="O198" s="1242">
        <v>59.604900000000001</v>
      </c>
      <c r="P198" s="419">
        <v>59.604900000000001</v>
      </c>
      <c r="Q198" s="249">
        <v>59.604900000000001</v>
      </c>
      <c r="R198" s="1242">
        <v>59.604900000000001</v>
      </c>
      <c r="S198" s="419">
        <v>59.604900000000001</v>
      </c>
      <c r="T198" s="249">
        <v>59.604900000000001</v>
      </c>
      <c r="U198" s="249">
        <v>59.604900000000001</v>
      </c>
      <c r="BL198" s="267"/>
    </row>
    <row r="199" spans="1:179" ht="15.65" customHeight="1" x14ac:dyDescent="0.35">
      <c r="C199" s="163" t="s">
        <v>633</v>
      </c>
      <c r="D199" s="415"/>
      <c r="E199" s="2286" t="s">
        <v>956</v>
      </c>
      <c r="F199" s="501">
        <f>100*F$197/F$198</f>
        <v>0.58637228214173298</v>
      </c>
      <c r="G199" s="249">
        <f t="shared" ref="G199:I199" si="246">100*G$197/G$198</f>
        <v>1.1606311753535323</v>
      </c>
      <c r="H199" s="249">
        <f t="shared" si="246"/>
        <v>1.7384914250981005</v>
      </c>
      <c r="I199" s="1242">
        <f t="shared" si="246"/>
        <v>2.3089840586303358</v>
      </c>
      <c r="J199" s="419">
        <f>100*J$197/J$198</f>
        <v>2.5172097581953041</v>
      </c>
      <c r="K199" s="249">
        <f t="shared" ref="K199:U199" si="247">100*K$197/K$198</f>
        <v>2.7172017551571339</v>
      </c>
      <c r="L199" s="249">
        <f t="shared" si="247"/>
        <v>2.9162557225664227</v>
      </c>
      <c r="M199" s="249">
        <f t="shared" si="247"/>
        <v>3.111113536050826</v>
      </c>
      <c r="N199" s="249">
        <f t="shared" si="247"/>
        <v>3.3040712203562799</v>
      </c>
      <c r="O199" s="1242">
        <f t="shared" si="247"/>
        <v>3.5033863841883757</v>
      </c>
      <c r="P199" s="419">
        <f t="shared" si="247"/>
        <v>3.7018939807698357</v>
      </c>
      <c r="Q199" s="249">
        <f t="shared" si="247"/>
        <v>3.8979714299028108</v>
      </c>
      <c r="R199" s="1242">
        <f t="shared" si="247"/>
        <v>4.0933174486536767</v>
      </c>
      <c r="S199" s="419" t="e">
        <f t="shared" si="247"/>
        <v>#DIV/0!</v>
      </c>
      <c r="T199" s="249" t="e">
        <f t="shared" si="247"/>
        <v>#DIV/0!</v>
      </c>
      <c r="U199" s="249" t="e">
        <f t="shared" si="247"/>
        <v>#DIV/0!</v>
      </c>
      <c r="BL199" s="267"/>
    </row>
    <row r="200" spans="1:179" ht="15.65" customHeight="1" thickBot="1" x14ac:dyDescent="0.4">
      <c r="A200" s="1663"/>
      <c r="B200" s="1663"/>
      <c r="C200" s="1664" t="s">
        <v>608</v>
      </c>
      <c r="D200" s="1665"/>
      <c r="E200" s="1665"/>
      <c r="F200" s="1666"/>
      <c r="G200" s="1667"/>
      <c r="H200" s="1667"/>
      <c r="I200" s="1668">
        <v>2.5</v>
      </c>
      <c r="J200" s="1669"/>
      <c r="K200" s="1667"/>
      <c r="L200" s="1667"/>
      <c r="M200" s="1667"/>
      <c r="N200" s="1667"/>
      <c r="O200" s="2278"/>
      <c r="P200" s="1669"/>
      <c r="Q200" s="1667"/>
      <c r="R200" s="1668"/>
      <c r="S200" s="1669"/>
      <c r="T200" s="1667">
        <v>5.5</v>
      </c>
      <c r="U200" s="1667">
        <v>5.9</v>
      </c>
      <c r="V200" s="1670"/>
      <c r="W200" s="1670"/>
      <c r="X200" s="1671"/>
      <c r="Y200" s="1672"/>
      <c r="Z200" s="1670"/>
      <c r="AA200" s="1670"/>
      <c r="AB200" s="1670"/>
      <c r="AC200" s="1670"/>
      <c r="AD200" s="1670"/>
      <c r="AE200" s="1670"/>
      <c r="AF200" s="1670"/>
      <c r="AG200" s="1670"/>
      <c r="BL200" s="267"/>
    </row>
    <row r="201" spans="1:179" s="224" customFormat="1" ht="16.5" thickTop="1" x14ac:dyDescent="0.4">
      <c r="A201"/>
      <c r="B201"/>
      <c r="C201" s="1660" t="s">
        <v>916</v>
      </c>
      <c r="D201" s="1660"/>
      <c r="E201" s="1660"/>
      <c r="F201" s="1661">
        <v>88</v>
      </c>
      <c r="G201" s="2546">
        <v>84.3</v>
      </c>
      <c r="H201" s="2546">
        <v>82.5</v>
      </c>
      <c r="I201" s="422">
        <v>81.2</v>
      </c>
      <c r="J201" s="421">
        <v>97.6</v>
      </c>
      <c r="K201" s="309">
        <v>97</v>
      </c>
      <c r="L201" s="309">
        <v>96</v>
      </c>
      <c r="M201" s="309">
        <v>95.5</v>
      </c>
      <c r="N201" s="309">
        <v>95</v>
      </c>
      <c r="O201" s="2259">
        <v>94.6</v>
      </c>
      <c r="P201" s="421"/>
      <c r="Q201" s="309"/>
      <c r="R201" s="422"/>
      <c r="S201" s="421"/>
      <c r="T201" s="309"/>
      <c r="U201" s="309"/>
      <c r="V201" s="229"/>
      <c r="W201" s="229"/>
      <c r="X201" s="1245"/>
      <c r="Y201" s="538"/>
      <c r="Z201" s="229"/>
      <c r="AA201" s="229"/>
      <c r="AB201" s="229"/>
      <c r="AC201" s="229"/>
      <c r="AD201" s="229"/>
      <c r="AE201" s="229"/>
      <c r="AF201" s="229"/>
      <c r="AG201" s="229"/>
      <c r="AH201" s="323"/>
      <c r="AI201" s="232"/>
      <c r="AJ201" s="267"/>
      <c r="AK201" s="232"/>
      <c r="AL201" s="1236"/>
      <c r="AM201" s="643"/>
      <c r="AN201" s="232"/>
      <c r="AO201" s="232"/>
      <c r="AP201" s="232"/>
      <c r="AQ201" s="232"/>
      <c r="AR201" s="232"/>
      <c r="AS201" s="232"/>
      <c r="AT201" s="232"/>
      <c r="AU201" s="1236"/>
      <c r="AV201" s="643"/>
      <c r="AW201" s="232"/>
      <c r="AX201" s="232"/>
      <c r="AY201" s="232"/>
      <c r="AZ201" s="232"/>
      <c r="BA201" s="1236"/>
      <c r="BB201" s="643"/>
      <c r="BC201" s="232"/>
      <c r="BD201" s="232"/>
      <c r="BE201" s="232"/>
      <c r="BF201" s="232"/>
      <c r="BG201" s="232"/>
      <c r="BH201" s="232"/>
      <c r="BI201" s="232"/>
      <c r="BJ201" s="232"/>
      <c r="BK201" s="323"/>
      <c r="BL201" s="232"/>
      <c r="BM201" s="232"/>
      <c r="BN201" s="232"/>
      <c r="BO201" s="1236"/>
      <c r="BP201" s="643"/>
      <c r="BQ201" s="232"/>
      <c r="BR201" s="232"/>
      <c r="BS201" s="232"/>
      <c r="BT201" s="232"/>
      <c r="BU201" s="232"/>
      <c r="BV201" s="232"/>
      <c r="BW201" s="232"/>
      <c r="BX201" s="1236"/>
      <c r="BY201" s="643"/>
      <c r="BZ201" s="232"/>
      <c r="CA201" s="232"/>
      <c r="CB201" s="232"/>
      <c r="CC201" s="232"/>
      <c r="CD201" s="1236"/>
      <c r="CE201" s="643"/>
      <c r="CF201" s="232"/>
      <c r="CG201" s="232"/>
      <c r="CH201" s="232"/>
      <c r="CI201" s="232"/>
      <c r="CJ201" s="232"/>
      <c r="CK201" s="232"/>
      <c r="CL201" s="232"/>
      <c r="CM201" s="232"/>
      <c r="CN201" s="323"/>
      <c r="CO201" s="232"/>
      <c r="CP201" s="232"/>
      <c r="CQ201" s="232"/>
      <c r="CR201" s="1236"/>
      <c r="CS201" s="643"/>
      <c r="CT201" s="232"/>
      <c r="CU201" s="232"/>
      <c r="CV201" s="232"/>
      <c r="CW201" s="232"/>
      <c r="CX201" s="232"/>
      <c r="CY201" s="232"/>
      <c r="CZ201" s="232"/>
      <c r="DA201" s="1236"/>
      <c r="DB201" s="643"/>
      <c r="DC201" s="232"/>
      <c r="DD201" s="232"/>
      <c r="DE201" s="232"/>
      <c r="DF201" s="232"/>
      <c r="DG201" s="1236"/>
      <c r="DH201" s="643"/>
      <c r="DI201" s="232"/>
      <c r="DJ201" s="232"/>
      <c r="DK201" s="232"/>
      <c r="DL201" s="232"/>
      <c r="DM201" s="232"/>
      <c r="DN201" s="232"/>
      <c r="DO201" s="232"/>
      <c r="DP201" s="232"/>
      <c r="DQ201" s="323"/>
      <c r="DR201" s="238"/>
      <c r="DS201" s="232"/>
      <c r="DT201" s="232"/>
      <c r="DU201" s="232"/>
      <c r="DV201" s="1236"/>
      <c r="DW201" s="643"/>
      <c r="DX201" s="232"/>
      <c r="DY201" s="232"/>
      <c r="DZ201" s="232"/>
      <c r="EA201" s="232"/>
      <c r="EB201" s="232"/>
      <c r="EC201" s="232"/>
      <c r="ED201" s="232"/>
      <c r="EE201" s="1236"/>
      <c r="EF201" s="643"/>
      <c r="EG201" s="232"/>
      <c r="EH201" s="232"/>
      <c r="EI201" s="232"/>
      <c r="EJ201" s="232"/>
      <c r="EK201" s="1236"/>
      <c r="EL201" s="643"/>
      <c r="EM201" s="232"/>
      <c r="EN201" s="232"/>
      <c r="EO201" s="232"/>
      <c r="EP201" s="232"/>
      <c r="EQ201" s="232"/>
      <c r="ER201" s="232"/>
      <c r="ES201" s="232"/>
      <c r="ET201" s="232"/>
      <c r="EU201" s="323"/>
      <c r="EV201" s="232"/>
      <c r="EW201" s="232"/>
      <c r="EX201" s="232"/>
      <c r="EY201" s="1236"/>
      <c r="EZ201" s="643"/>
      <c r="FA201" s="232"/>
      <c r="FB201" s="232"/>
      <c r="FC201" s="232"/>
      <c r="FD201" s="232"/>
      <c r="FE201" s="232"/>
      <c r="FF201" s="232"/>
      <c r="FG201" s="232"/>
      <c r="FH201" s="1236"/>
      <c r="FI201" s="643"/>
      <c r="FJ201" s="232"/>
      <c r="FK201" s="232"/>
      <c r="FL201" s="232"/>
      <c r="FM201" s="232"/>
      <c r="FN201" s="1236"/>
      <c r="FO201" s="643"/>
      <c r="FP201" s="232"/>
      <c r="FQ201" s="232"/>
      <c r="FR201" s="232"/>
      <c r="FS201" s="232"/>
      <c r="FT201" s="232"/>
      <c r="FU201" s="232"/>
      <c r="FV201" s="232"/>
      <c r="FW201" s="232"/>
    </row>
    <row r="202" spans="1:179" ht="16" x14ac:dyDescent="0.4">
      <c r="C202" s="2294" t="s">
        <v>919</v>
      </c>
      <c r="D202" s="2294"/>
      <c r="E202" s="2295"/>
      <c r="F202" s="2296">
        <f>100*(1-EXP(F$78/F$79*LN(1-F$185/100)))</f>
        <v>84.745635926499375</v>
      </c>
      <c r="G202" s="2547">
        <f>100*(1-EXP(G$78/G$79*LN(1-G$185/100)))</f>
        <v>83.650313985951513</v>
      </c>
      <c r="H202" s="2547">
        <f>100*(1-EXP(H$78/H$79*LN(1-H$185/100)))</f>
        <v>80.602447957684063</v>
      </c>
      <c r="I202" s="1675">
        <f>100*(1-EXP(I$78/I$79*LN(1-I$185/100)))</f>
        <v>80.622359370424206</v>
      </c>
      <c r="J202" s="421"/>
      <c r="K202" s="309"/>
      <c r="L202" s="309"/>
      <c r="M202" s="309"/>
      <c r="N202" s="309"/>
      <c r="O202" s="422"/>
      <c r="P202" s="421"/>
      <c r="Q202" s="309"/>
      <c r="R202" s="422"/>
      <c r="S202" s="421"/>
      <c r="T202" s="309"/>
      <c r="U202" s="309"/>
      <c r="V202" s="229"/>
      <c r="W202" s="229"/>
      <c r="X202" s="1245"/>
      <c r="Y202" s="538"/>
      <c r="Z202" s="229"/>
      <c r="AA202" s="229"/>
      <c r="AB202" s="229"/>
      <c r="AC202" s="229"/>
      <c r="AD202" s="229"/>
      <c r="AE202" s="229"/>
      <c r="AF202" s="229"/>
      <c r="AG202" s="229"/>
      <c r="AJ202" s="267"/>
    </row>
    <row r="203" spans="1:179" s="2325" customFormat="1" ht="16" x14ac:dyDescent="0.4">
      <c r="C203" s="2347" t="s">
        <v>968</v>
      </c>
      <c r="D203" s="2347"/>
      <c r="E203" s="2348"/>
      <c r="F203" s="2349"/>
      <c r="G203" s="2548"/>
      <c r="H203" s="2548"/>
      <c r="I203" s="2544"/>
      <c r="J203" s="2351"/>
      <c r="K203" s="2352">
        <v>98.582294973994792</v>
      </c>
      <c r="L203" s="2352">
        <v>98.043266403249319</v>
      </c>
      <c r="M203" s="2352">
        <v>97.930876462986546</v>
      </c>
      <c r="N203" s="2352">
        <v>97.570373501296331</v>
      </c>
      <c r="O203" s="2350">
        <v>97.277349446508381</v>
      </c>
      <c r="P203" s="2351">
        <v>97.040053357818181</v>
      </c>
      <c r="Q203" s="2352"/>
      <c r="R203" s="2350"/>
      <c r="S203" s="2351"/>
      <c r="T203" s="2352"/>
      <c r="U203" s="2352"/>
      <c r="V203" s="2353"/>
      <c r="W203" s="2353"/>
      <c r="X203" s="2354"/>
      <c r="Y203" s="2355"/>
      <c r="Z203" s="2353"/>
      <c r="AA203" s="2353"/>
      <c r="AB203" s="2353"/>
      <c r="AC203" s="2353"/>
      <c r="AD203" s="2353"/>
      <c r="AE203" s="2353"/>
      <c r="AF203" s="2353"/>
      <c r="AG203" s="2353"/>
      <c r="AH203" s="323"/>
      <c r="AI203" s="2331"/>
      <c r="AJ203" s="2334"/>
      <c r="AK203" s="2331"/>
      <c r="AL203" s="2332"/>
      <c r="AM203" s="2333"/>
      <c r="AN203" s="2331"/>
      <c r="AO203" s="2331"/>
      <c r="AP203" s="2331"/>
      <c r="AQ203" s="2331"/>
      <c r="AR203" s="2331"/>
      <c r="AS203" s="2331"/>
      <c r="AT203" s="2331"/>
      <c r="AU203" s="2332"/>
      <c r="AV203" s="2333"/>
      <c r="AW203" s="2331"/>
      <c r="AX203" s="2331"/>
      <c r="AY203" s="2331"/>
      <c r="AZ203" s="2331"/>
      <c r="BA203" s="2332"/>
      <c r="BB203" s="2333"/>
      <c r="BC203" s="2331"/>
      <c r="BD203" s="2331"/>
      <c r="BE203" s="2331"/>
      <c r="BF203" s="2331"/>
      <c r="BG203" s="2331"/>
      <c r="BH203" s="2331"/>
      <c r="BI203" s="2331"/>
      <c r="BJ203" s="2331"/>
      <c r="BK203" s="323"/>
      <c r="BL203" s="2331"/>
      <c r="BM203" s="2331"/>
      <c r="BN203" s="2331"/>
      <c r="BO203" s="2332"/>
      <c r="BP203" s="2333"/>
      <c r="BQ203" s="2331"/>
      <c r="BR203" s="2331"/>
      <c r="BS203" s="2331"/>
      <c r="BT203" s="2331"/>
      <c r="BU203" s="2331"/>
      <c r="BV203" s="2331"/>
      <c r="BW203" s="2331"/>
      <c r="BX203" s="2332"/>
      <c r="BY203" s="2333"/>
      <c r="BZ203" s="2331"/>
      <c r="CA203" s="2331"/>
      <c r="CB203" s="2331"/>
      <c r="CC203" s="2331"/>
      <c r="CD203" s="2332"/>
      <c r="CE203" s="2333"/>
      <c r="CF203" s="2331"/>
      <c r="CG203" s="2331"/>
      <c r="CH203" s="2331"/>
      <c r="CI203" s="2331"/>
      <c r="CJ203" s="2331"/>
      <c r="CK203" s="2331"/>
      <c r="CL203" s="2331"/>
      <c r="CM203" s="2331"/>
      <c r="CN203" s="323"/>
      <c r="CO203" s="2331"/>
      <c r="CP203" s="2331"/>
      <c r="CQ203" s="2331"/>
      <c r="CR203" s="2332"/>
      <c r="CS203" s="2333"/>
      <c r="CT203" s="2331"/>
      <c r="CU203" s="2331"/>
      <c r="CV203" s="2331"/>
      <c r="CW203" s="2331"/>
      <c r="CX203" s="2331"/>
      <c r="CY203" s="2331"/>
      <c r="CZ203" s="2331"/>
      <c r="DA203" s="2332"/>
      <c r="DB203" s="2333"/>
      <c r="DC203" s="2331"/>
      <c r="DD203" s="2331"/>
      <c r="DE203" s="2331"/>
      <c r="DF203" s="2331"/>
      <c r="DG203" s="2332"/>
      <c r="DH203" s="2333"/>
      <c r="DI203" s="2331"/>
      <c r="DJ203" s="2331"/>
      <c r="DK203" s="2331"/>
      <c r="DL203" s="2331"/>
      <c r="DM203" s="2331"/>
      <c r="DN203" s="2331"/>
      <c r="DO203" s="2331"/>
      <c r="DP203" s="2331"/>
      <c r="DQ203" s="323"/>
      <c r="DR203" s="2338"/>
      <c r="DS203" s="2331"/>
      <c r="DT203" s="2331"/>
      <c r="DU203" s="2331"/>
      <c r="DV203" s="2332"/>
      <c r="DW203" s="2333"/>
      <c r="DX203" s="2331"/>
      <c r="DY203" s="2331"/>
      <c r="DZ203" s="2331"/>
      <c r="EA203" s="2331"/>
      <c r="EB203" s="2331"/>
      <c r="EC203" s="2331"/>
      <c r="ED203" s="2331"/>
      <c r="EE203" s="2332"/>
      <c r="EF203" s="2333"/>
      <c r="EG203" s="2331"/>
      <c r="EH203" s="2331"/>
      <c r="EI203" s="2331"/>
      <c r="EJ203" s="2331"/>
      <c r="EK203" s="2332"/>
      <c r="EL203" s="2333"/>
      <c r="EM203" s="2331"/>
      <c r="EN203" s="2331"/>
      <c r="EO203" s="2331"/>
      <c r="EP203" s="2331"/>
      <c r="EQ203" s="2331"/>
      <c r="ER203" s="2331"/>
      <c r="ES203" s="2331"/>
      <c r="ET203" s="2331"/>
      <c r="EU203" s="323"/>
      <c r="EV203" s="2331"/>
      <c r="EW203" s="2331"/>
      <c r="EX203" s="2331"/>
      <c r="EY203" s="2332"/>
      <c r="EZ203" s="2333"/>
      <c r="FA203" s="2331"/>
      <c r="FB203" s="2331"/>
      <c r="FC203" s="2331"/>
      <c r="FD203" s="2331"/>
      <c r="FE203" s="2331"/>
      <c r="FF203" s="2331"/>
      <c r="FG203" s="2331"/>
      <c r="FH203" s="2332"/>
      <c r="FI203" s="2333"/>
      <c r="FJ203" s="2331"/>
      <c r="FK203" s="2331"/>
      <c r="FL203" s="2331"/>
      <c r="FM203" s="2331"/>
      <c r="FN203" s="2332"/>
      <c r="FO203" s="2333"/>
      <c r="FP203" s="2331"/>
      <c r="FQ203" s="2331"/>
      <c r="FR203" s="2331"/>
      <c r="FS203" s="2331"/>
      <c r="FT203" s="2331"/>
      <c r="FU203" s="2331"/>
      <c r="FV203" s="2331"/>
      <c r="FW203" s="2331"/>
    </row>
    <row r="204" spans="1:179" s="2315" customFormat="1" ht="16" x14ac:dyDescent="0.4">
      <c r="C204" s="2316" t="s">
        <v>965</v>
      </c>
      <c r="D204" s="2316"/>
      <c r="E204" s="2317"/>
      <c r="F204" s="2318">
        <v>84.9</v>
      </c>
      <c r="G204" s="2549">
        <v>82.4</v>
      </c>
      <c r="H204" s="2549">
        <v>81.2</v>
      </c>
      <c r="I204" s="2545">
        <v>80.900000000000006</v>
      </c>
      <c r="J204" s="2320">
        <v>98.6</v>
      </c>
      <c r="K204" s="2550">
        <v>98</v>
      </c>
      <c r="L204" s="2550">
        <v>97.5</v>
      </c>
      <c r="M204" s="2550">
        <v>97</v>
      </c>
      <c r="N204" s="2550">
        <v>96.6</v>
      </c>
      <c r="O204" s="2319">
        <v>96.4</v>
      </c>
      <c r="P204" s="2320">
        <v>96</v>
      </c>
      <c r="Q204" s="2321"/>
      <c r="R204" s="2319"/>
      <c r="S204" s="2320"/>
      <c r="T204" s="2550"/>
      <c r="U204" s="2550"/>
      <c r="V204" s="2551"/>
      <c r="W204" s="2551"/>
      <c r="X204" s="2323"/>
      <c r="Y204" s="2324"/>
      <c r="Z204" s="2322"/>
      <c r="AA204" s="2322"/>
      <c r="AB204" s="2322"/>
      <c r="AC204" s="2322"/>
      <c r="AD204" s="2322"/>
      <c r="AE204" s="2322"/>
      <c r="AF204" s="2322"/>
      <c r="AG204" s="2322"/>
      <c r="AH204" s="323"/>
      <c r="AI204" s="2303"/>
      <c r="AJ204" s="2306"/>
      <c r="AK204" s="2303"/>
      <c r="AL204" s="2304"/>
      <c r="AM204" s="2305"/>
      <c r="AN204" s="2303"/>
      <c r="AO204" s="2303"/>
      <c r="AP204" s="2303"/>
      <c r="AQ204" s="2303"/>
      <c r="AR204" s="2303"/>
      <c r="AS204" s="2303"/>
      <c r="AT204" s="2303"/>
      <c r="AU204" s="2304"/>
      <c r="AV204" s="2305"/>
      <c r="AW204" s="2303"/>
      <c r="AX204" s="2303"/>
      <c r="AY204" s="2303"/>
      <c r="AZ204" s="2303"/>
      <c r="BA204" s="2304"/>
      <c r="BB204" s="2305"/>
      <c r="BC204" s="2303"/>
      <c r="BD204" s="2303"/>
      <c r="BE204" s="2303"/>
      <c r="BF204" s="2303"/>
      <c r="BG204" s="2303"/>
      <c r="BH204" s="2303"/>
      <c r="BI204" s="2303"/>
      <c r="BJ204" s="2303"/>
      <c r="BK204" s="323"/>
      <c r="BL204" s="2303"/>
      <c r="BM204" s="2303"/>
      <c r="BN204" s="2303"/>
      <c r="BO204" s="2304"/>
      <c r="BP204" s="2305"/>
      <c r="BQ204" s="2303"/>
      <c r="BR204" s="2303"/>
      <c r="BS204" s="2303"/>
      <c r="BT204" s="2303"/>
      <c r="BU204" s="2303"/>
      <c r="BV204" s="2303"/>
      <c r="BW204" s="2303"/>
      <c r="BX204" s="2304"/>
      <c r="BY204" s="2305"/>
      <c r="BZ204" s="2303"/>
      <c r="CA204" s="2303"/>
      <c r="CB204" s="2303"/>
      <c r="CC204" s="2303"/>
      <c r="CD204" s="2304"/>
      <c r="CE204" s="2305"/>
      <c r="CF204" s="2303"/>
      <c r="CG204" s="2303"/>
      <c r="CH204" s="2303"/>
      <c r="CI204" s="2303"/>
      <c r="CJ204" s="2303"/>
      <c r="CK204" s="2303"/>
      <c r="CL204" s="2303"/>
      <c r="CM204" s="2303"/>
      <c r="CN204" s="323"/>
      <c r="CO204" s="2303"/>
      <c r="CP204" s="2303"/>
      <c r="CQ204" s="2303"/>
      <c r="CR204" s="2304"/>
      <c r="CS204" s="2305"/>
      <c r="CT204" s="2303"/>
      <c r="CU204" s="2303"/>
      <c r="CV204" s="2303"/>
      <c r="CW204" s="2303"/>
      <c r="CX204" s="2303"/>
      <c r="CY204" s="2303"/>
      <c r="CZ204" s="2303"/>
      <c r="DA204" s="2304"/>
      <c r="DB204" s="2305"/>
      <c r="DC204" s="2303"/>
      <c r="DD204" s="2303"/>
      <c r="DE204" s="2303"/>
      <c r="DF204" s="2303"/>
      <c r="DG204" s="2304"/>
      <c r="DH204" s="2305"/>
      <c r="DI204" s="2303"/>
      <c r="DJ204" s="2303"/>
      <c r="DK204" s="2303"/>
      <c r="DL204" s="2303"/>
      <c r="DM204" s="2303"/>
      <c r="DN204" s="2303"/>
      <c r="DO204" s="2303"/>
      <c r="DP204" s="2303"/>
      <c r="DQ204" s="323"/>
      <c r="DR204" s="2310"/>
      <c r="DS204" s="2303"/>
      <c r="DT204" s="2303"/>
      <c r="DU204" s="2303"/>
      <c r="DV204" s="2304"/>
      <c r="DW204" s="2305"/>
      <c r="DX204" s="2303"/>
      <c r="DY204" s="2303"/>
      <c r="DZ204" s="2303"/>
      <c r="EA204" s="2303"/>
      <c r="EB204" s="2303"/>
      <c r="EC204" s="2303"/>
      <c r="ED204" s="2303"/>
      <c r="EE204" s="2304"/>
      <c r="EF204" s="2305"/>
      <c r="EG204" s="2303"/>
      <c r="EH204" s="2303"/>
      <c r="EI204" s="2303"/>
      <c r="EJ204" s="2303"/>
      <c r="EK204" s="2304"/>
      <c r="EL204" s="2305"/>
      <c r="EM204" s="2303"/>
      <c r="EN204" s="2303"/>
      <c r="EO204" s="2303"/>
      <c r="EP204" s="2303"/>
      <c r="EQ204" s="2303"/>
      <c r="ER204" s="2303"/>
      <c r="ES204" s="2303"/>
      <c r="ET204" s="2303"/>
      <c r="EU204" s="323"/>
      <c r="EV204" s="2303"/>
      <c r="EW204" s="2303"/>
      <c r="EX204" s="2303"/>
      <c r="EY204" s="2304"/>
      <c r="EZ204" s="2305"/>
      <c r="FA204" s="2303"/>
      <c r="FB204" s="2303"/>
      <c r="FC204" s="2303"/>
      <c r="FD204" s="2303"/>
      <c r="FE204" s="2303"/>
      <c r="FF204" s="2303"/>
      <c r="FG204" s="2303"/>
      <c r="FH204" s="2304"/>
      <c r="FI204" s="2305"/>
      <c r="FJ204" s="2303"/>
      <c r="FK204" s="2303"/>
      <c r="FL204" s="2303"/>
      <c r="FM204" s="2303"/>
      <c r="FN204" s="2304"/>
      <c r="FO204" s="2305"/>
      <c r="FP204" s="2303"/>
      <c r="FQ204" s="2303"/>
      <c r="FR204" s="2303"/>
      <c r="FS204" s="2303"/>
      <c r="FT204" s="2303"/>
      <c r="FU204" s="2303"/>
      <c r="FV204" s="2303"/>
      <c r="FW204" s="2303"/>
    </row>
    <row r="205" spans="1:179" ht="16" x14ac:dyDescent="0.4">
      <c r="C205" s="416">
        <v>0.05</v>
      </c>
      <c r="D205" s="416"/>
      <c r="E205" s="2237"/>
      <c r="F205" s="478">
        <f>F$201*5%</f>
        <v>4.4000000000000004</v>
      </c>
      <c r="G205" s="2547">
        <f>G$201*5%</f>
        <v>4.2149999999999999</v>
      </c>
      <c r="H205" s="2547">
        <f t="shared" ref="H205:O205" si="248">H$201*5%</f>
        <v>4.125</v>
      </c>
      <c r="I205" s="2543">
        <f t="shared" si="248"/>
        <v>4.0600000000000005</v>
      </c>
      <c r="J205" s="478">
        <f t="shared" si="248"/>
        <v>4.88</v>
      </c>
      <c r="K205" s="2547">
        <f>K$201*5%</f>
        <v>4.8500000000000005</v>
      </c>
      <c r="L205" s="2547">
        <f t="shared" si="248"/>
        <v>4.8000000000000007</v>
      </c>
      <c r="M205" s="2547">
        <f t="shared" si="248"/>
        <v>4.7750000000000004</v>
      </c>
      <c r="N205" s="2547">
        <f t="shared" si="248"/>
        <v>4.75</v>
      </c>
      <c r="O205" s="2543">
        <f t="shared" si="248"/>
        <v>4.7299999999999995</v>
      </c>
      <c r="P205" s="419">
        <f>P$201*5%</f>
        <v>0</v>
      </c>
      <c r="Q205" s="249">
        <f>Q$201*5%</f>
        <v>0</v>
      </c>
      <c r="R205" s="1242">
        <f t="shared" ref="R205:U205" si="249">R$201*5%</f>
        <v>0</v>
      </c>
      <c r="S205" s="478">
        <f t="shared" si="249"/>
        <v>0</v>
      </c>
      <c r="T205" s="2547">
        <f t="shared" si="249"/>
        <v>0</v>
      </c>
      <c r="U205" s="2547">
        <f t="shared" si="249"/>
        <v>0</v>
      </c>
      <c r="V205" s="2547">
        <f>V$201*5%</f>
        <v>0</v>
      </c>
      <c r="W205" s="2547">
        <f t="shared" ref="W205:AG205" si="250">W$201*5%</f>
        <v>0</v>
      </c>
      <c r="X205" s="2543">
        <f t="shared" si="250"/>
        <v>0</v>
      </c>
      <c r="Y205" s="419">
        <f t="shared" si="250"/>
        <v>0</v>
      </c>
      <c r="Z205" s="311">
        <f t="shared" si="250"/>
        <v>0</v>
      </c>
      <c r="AA205" s="249">
        <f t="shared" si="250"/>
        <v>0</v>
      </c>
      <c r="AB205" s="249">
        <f t="shared" si="250"/>
        <v>0</v>
      </c>
      <c r="AC205" s="249">
        <f t="shared" si="250"/>
        <v>0</v>
      </c>
      <c r="AD205" s="249">
        <f t="shared" si="250"/>
        <v>0</v>
      </c>
      <c r="AE205" s="249">
        <f t="shared" si="250"/>
        <v>0</v>
      </c>
      <c r="AF205" s="249">
        <f t="shared" si="250"/>
        <v>0</v>
      </c>
      <c r="AG205" s="249">
        <f t="shared" si="250"/>
        <v>0</v>
      </c>
    </row>
    <row r="206" spans="1:179" ht="16" x14ac:dyDescent="0.4">
      <c r="C206" s="2294">
        <v>3</v>
      </c>
      <c r="D206" s="416"/>
      <c r="E206" s="2237"/>
      <c r="F206" s="478">
        <f>F$203+$C$206</f>
        <v>3</v>
      </c>
      <c r="G206" s="2547">
        <f t="shared" ref="G206:AA206" si="251">G$203+$C$206</f>
        <v>3</v>
      </c>
      <c r="H206" s="2547">
        <f t="shared" si="251"/>
        <v>3</v>
      </c>
      <c r="I206" s="2543">
        <f t="shared" si="251"/>
        <v>3</v>
      </c>
      <c r="J206" s="478">
        <f t="shared" si="251"/>
        <v>3</v>
      </c>
      <c r="K206" s="2547">
        <f t="shared" si="251"/>
        <v>101.58229497399479</v>
      </c>
      <c r="L206" s="2547">
        <f t="shared" si="251"/>
        <v>101.04326640324932</v>
      </c>
      <c r="M206" s="2547">
        <f t="shared" si="251"/>
        <v>100.93087646298655</v>
      </c>
      <c r="N206" s="2547">
        <f t="shared" si="251"/>
        <v>100.57037350129633</v>
      </c>
      <c r="O206" s="2543">
        <f t="shared" si="251"/>
        <v>100.27734944650838</v>
      </c>
      <c r="P206" s="478">
        <f t="shared" si="251"/>
        <v>100.04005335781818</v>
      </c>
      <c r="Q206" s="478">
        <f t="shared" si="251"/>
        <v>3</v>
      </c>
      <c r="R206" s="2543">
        <f t="shared" si="251"/>
        <v>3</v>
      </c>
      <c r="S206" s="478">
        <f t="shared" si="251"/>
        <v>3</v>
      </c>
      <c r="T206" s="2547">
        <f t="shared" si="251"/>
        <v>3</v>
      </c>
      <c r="U206" s="2547">
        <f t="shared" si="251"/>
        <v>3</v>
      </c>
      <c r="V206" s="2547">
        <f t="shared" si="251"/>
        <v>3</v>
      </c>
      <c r="W206" s="2547">
        <f t="shared" si="251"/>
        <v>3</v>
      </c>
      <c r="X206" s="2543">
        <f t="shared" si="251"/>
        <v>3</v>
      </c>
      <c r="Y206" s="478">
        <f t="shared" si="251"/>
        <v>3</v>
      </c>
      <c r="Z206" s="2547">
        <f t="shared" si="251"/>
        <v>3</v>
      </c>
      <c r="AA206" s="478">
        <f t="shared" si="251"/>
        <v>3</v>
      </c>
      <c r="AB206" s="249">
        <f t="shared" ref="AB206:AG206" si="252">AB$201+AB$205</f>
        <v>0</v>
      </c>
      <c r="AC206" s="249">
        <f t="shared" si="252"/>
        <v>0</v>
      </c>
      <c r="AD206" s="249">
        <f t="shared" si="252"/>
        <v>0</v>
      </c>
      <c r="AE206" s="249">
        <f t="shared" si="252"/>
        <v>0</v>
      </c>
      <c r="AF206" s="249">
        <f t="shared" si="252"/>
        <v>0</v>
      </c>
      <c r="AG206" s="249">
        <f t="shared" si="252"/>
        <v>0</v>
      </c>
    </row>
    <row r="207" spans="1:179" ht="16" x14ac:dyDescent="0.4">
      <c r="C207" s="2294">
        <v>-3</v>
      </c>
      <c r="D207" s="416"/>
      <c r="E207" s="2237"/>
      <c r="F207" s="478">
        <f>F$203+$C$207</f>
        <v>-3</v>
      </c>
      <c r="G207" s="2547">
        <f t="shared" ref="G207:AA207" si="253">G$203+$C$207</f>
        <v>-3</v>
      </c>
      <c r="H207" s="2547">
        <f t="shared" si="253"/>
        <v>-3</v>
      </c>
      <c r="I207" s="2543">
        <f t="shared" si="253"/>
        <v>-3</v>
      </c>
      <c r="J207" s="478">
        <f t="shared" si="253"/>
        <v>-3</v>
      </c>
      <c r="K207" s="2547">
        <f t="shared" si="253"/>
        <v>95.582294973994792</v>
      </c>
      <c r="L207" s="2547">
        <f t="shared" si="253"/>
        <v>95.043266403249319</v>
      </c>
      <c r="M207" s="2547">
        <f t="shared" si="253"/>
        <v>94.930876462986546</v>
      </c>
      <c r="N207" s="2547">
        <f t="shared" si="253"/>
        <v>94.570373501296331</v>
      </c>
      <c r="O207" s="2543">
        <f t="shared" si="253"/>
        <v>94.277349446508381</v>
      </c>
      <c r="P207" s="478">
        <f t="shared" si="253"/>
        <v>94.040053357818181</v>
      </c>
      <c r="Q207" s="478">
        <f t="shared" si="253"/>
        <v>-3</v>
      </c>
      <c r="R207" s="2543">
        <f t="shared" si="253"/>
        <v>-3</v>
      </c>
      <c r="S207" s="478">
        <f t="shared" si="253"/>
        <v>-3</v>
      </c>
      <c r="T207" s="2547">
        <f t="shared" si="253"/>
        <v>-3</v>
      </c>
      <c r="U207" s="2547">
        <f t="shared" si="253"/>
        <v>-3</v>
      </c>
      <c r="V207" s="2547">
        <f t="shared" si="253"/>
        <v>-3</v>
      </c>
      <c r="W207" s="2547">
        <f t="shared" si="253"/>
        <v>-3</v>
      </c>
      <c r="X207" s="2543">
        <f t="shared" si="253"/>
        <v>-3</v>
      </c>
      <c r="Y207" s="478">
        <f t="shared" si="253"/>
        <v>-3</v>
      </c>
      <c r="Z207" s="2547">
        <f t="shared" si="253"/>
        <v>-3</v>
      </c>
      <c r="AA207" s="478">
        <f t="shared" si="253"/>
        <v>-3</v>
      </c>
      <c r="AB207" s="249">
        <f t="shared" ref="AB207:AG207" si="254">AB$201-AB$205</f>
        <v>0</v>
      </c>
      <c r="AC207" s="249">
        <f t="shared" si="254"/>
        <v>0</v>
      </c>
      <c r="AD207" s="249">
        <f t="shared" si="254"/>
        <v>0</v>
      </c>
      <c r="AE207" s="249">
        <f t="shared" si="254"/>
        <v>0</v>
      </c>
      <c r="AF207" s="249">
        <f t="shared" si="254"/>
        <v>0</v>
      </c>
      <c r="AG207" s="249">
        <f t="shared" si="254"/>
        <v>0</v>
      </c>
    </row>
    <row r="208" spans="1:179" s="224" customFormat="1" x14ac:dyDescent="0.35">
      <c r="C208" s="223" t="s">
        <v>303</v>
      </c>
      <c r="D208" s="223"/>
      <c r="E208" s="2238"/>
      <c r="F208" s="478">
        <f t="shared" ref="F208:O208" si="255">((F$103-BL$103)/F$103)*100</f>
        <v>-23.469223019177981</v>
      </c>
      <c r="G208" s="309">
        <f t="shared" si="255"/>
        <v>24.86992339933515</v>
      </c>
      <c r="H208" s="309">
        <f t="shared" si="255"/>
        <v>22.100465615360491</v>
      </c>
      <c r="I208" s="1242">
        <f t="shared" si="255"/>
        <v>65.053024381829815</v>
      </c>
      <c r="J208" s="419">
        <f t="shared" si="255"/>
        <v>93.980606265812668</v>
      </c>
      <c r="K208" s="309">
        <f t="shared" si="255"/>
        <v>94.588879011097077</v>
      </c>
      <c r="L208" s="309">
        <f t="shared" si="255"/>
        <v>95.252187096199862</v>
      </c>
      <c r="M208" s="309">
        <f t="shared" si="255"/>
        <v>92.668465592280185</v>
      </c>
      <c r="N208" s="309">
        <f t="shared" si="255"/>
        <v>93.844018765739662</v>
      </c>
      <c r="O208" s="1242">
        <f t="shared" si="255"/>
        <v>94.952627379256555</v>
      </c>
      <c r="P208" s="419">
        <f t="shared" ref="P208" si="256">((P$103-BV$103)/P$103)*100</f>
        <v>95.370941743252203</v>
      </c>
      <c r="Q208" s="249">
        <f t="shared" ref="Q208" si="257">((Q$103-BW$103)/Q$103)*100</f>
        <v>94.925857363690142</v>
      </c>
      <c r="R208" s="1242">
        <f t="shared" ref="R208" si="258">((R$103-BX$103)/R$103)*100</f>
        <v>93.691349967925802</v>
      </c>
      <c r="S208" s="478" t="e">
        <f t="shared" ref="S208" si="259">((S$103-BY$103)/S$103)*100</f>
        <v>#DIV/0!</v>
      </c>
      <c r="T208" s="2547" t="e">
        <f t="shared" ref="T208" si="260">((T$103-BZ$103)/T$103)*100</f>
        <v>#DIV/0!</v>
      </c>
      <c r="U208" s="2547" t="e">
        <f>((U$103-CA$103)/U$103)*100</f>
        <v>#DIV/0!</v>
      </c>
      <c r="V208" s="2547" t="e">
        <f>((V$103-CB$103)/V$103)*100</f>
        <v>#DIV/0!</v>
      </c>
      <c r="W208" s="2547" t="e">
        <f t="shared" ref="W208:AG208" si="261">((W$103-CN$103)/W$103)*100</f>
        <v>#DIV/0!</v>
      </c>
      <c r="X208" s="2543" t="e">
        <f t="shared" si="261"/>
        <v>#DIV/0!</v>
      </c>
      <c r="Y208" s="478" t="e">
        <f t="shared" si="261"/>
        <v>#DIV/0!</v>
      </c>
      <c r="Z208" s="2547" t="e">
        <f t="shared" si="261"/>
        <v>#DIV/0!</v>
      </c>
      <c r="AA208" s="419" t="e">
        <f t="shared" si="261"/>
        <v>#DIV/0!</v>
      </c>
      <c r="AB208" s="249" t="e">
        <f t="shared" si="261"/>
        <v>#DIV/0!</v>
      </c>
      <c r="AC208" s="249" t="e">
        <f t="shared" si="261"/>
        <v>#DIV/0!</v>
      </c>
      <c r="AD208" s="249" t="e">
        <f t="shared" si="261"/>
        <v>#DIV/0!</v>
      </c>
      <c r="AE208" s="249" t="e">
        <f t="shared" si="261"/>
        <v>#DIV/0!</v>
      </c>
      <c r="AF208" s="249" t="e">
        <f t="shared" si="261"/>
        <v>#DIV/0!</v>
      </c>
      <c r="AG208" s="249" t="e">
        <f t="shared" si="261"/>
        <v>#DIV/0!</v>
      </c>
      <c r="AH208" s="323"/>
      <c r="AI208" s="232"/>
      <c r="AJ208" s="232"/>
      <c r="AK208" s="232"/>
      <c r="AL208" s="1236"/>
      <c r="AM208" s="643"/>
      <c r="AN208" s="232"/>
      <c r="AO208" s="232"/>
      <c r="AP208" s="232"/>
      <c r="AQ208" s="232"/>
      <c r="AR208" s="232"/>
      <c r="AS208" s="232"/>
      <c r="AT208" s="232"/>
      <c r="AU208" s="1236"/>
      <c r="AV208" s="643"/>
      <c r="AW208" s="232"/>
      <c r="AX208" s="232"/>
      <c r="AY208" s="232"/>
      <c r="AZ208" s="232"/>
      <c r="BA208" s="1236"/>
      <c r="BB208" s="643"/>
      <c r="BC208" s="232"/>
      <c r="BD208" s="232"/>
      <c r="BE208" s="232"/>
      <c r="BF208" s="232"/>
      <c r="BG208" s="232"/>
      <c r="BH208" s="232"/>
      <c r="BI208" s="232"/>
      <c r="BJ208" s="232"/>
      <c r="BK208" s="323"/>
      <c r="BL208" s="232"/>
      <c r="BM208" s="232"/>
      <c r="BN208" s="232"/>
      <c r="BO208" s="1236"/>
      <c r="BP208" s="643"/>
      <c r="BQ208" s="232"/>
      <c r="BR208" s="232"/>
      <c r="BS208" s="232"/>
      <c r="BT208" s="232"/>
      <c r="BU208" s="232"/>
      <c r="BV208" s="232"/>
      <c r="BW208" s="232"/>
      <c r="BX208" s="1236"/>
      <c r="BY208" s="643"/>
      <c r="BZ208" s="232"/>
      <c r="CA208" s="232"/>
      <c r="CB208" s="232"/>
      <c r="CC208" s="232"/>
      <c r="CD208" s="1236"/>
      <c r="CE208" s="643"/>
      <c r="CF208" s="232"/>
      <c r="CG208" s="232"/>
      <c r="CH208" s="232"/>
      <c r="CI208" s="232"/>
      <c r="CJ208" s="232"/>
      <c r="CK208" s="232"/>
      <c r="CL208" s="232"/>
      <c r="CM208" s="232"/>
      <c r="CN208" s="323"/>
      <c r="CO208" s="232"/>
      <c r="CP208" s="232"/>
      <c r="CQ208" s="232"/>
      <c r="CR208" s="1236"/>
      <c r="CS208" s="643"/>
      <c r="CT208" s="232"/>
      <c r="CU208" s="232"/>
      <c r="CV208" s="232"/>
      <c r="CW208" s="232"/>
      <c r="CX208" s="232"/>
      <c r="CY208" s="232"/>
      <c r="CZ208" s="232"/>
      <c r="DA208" s="1236"/>
      <c r="DB208" s="643"/>
      <c r="DC208" s="232"/>
      <c r="DD208" s="232"/>
      <c r="DE208" s="232"/>
      <c r="DF208" s="232"/>
      <c r="DG208" s="1236"/>
      <c r="DH208" s="643"/>
      <c r="DI208" s="232"/>
      <c r="DJ208" s="232"/>
      <c r="DK208" s="232"/>
      <c r="DL208" s="232"/>
      <c r="DM208" s="232"/>
      <c r="DN208" s="232"/>
      <c r="DO208" s="232"/>
      <c r="DP208" s="232"/>
      <c r="DQ208" s="323"/>
      <c r="DR208" s="238"/>
      <c r="DS208" s="232"/>
      <c r="DT208" s="232"/>
      <c r="DU208" s="232"/>
      <c r="DV208" s="1236"/>
      <c r="DW208" s="643"/>
      <c r="DX208" s="232"/>
      <c r="DY208" s="232"/>
      <c r="DZ208" s="232"/>
      <c r="EA208" s="232"/>
      <c r="EB208" s="232"/>
      <c r="EC208" s="232"/>
      <c r="ED208" s="232"/>
      <c r="EE208" s="1236"/>
      <c r="EF208" s="643"/>
      <c r="EG208" s="232"/>
      <c r="EH208" s="232"/>
      <c r="EI208" s="232"/>
      <c r="EJ208" s="232"/>
      <c r="EK208" s="1236"/>
      <c r="EL208" s="643"/>
      <c r="EM208" s="232"/>
      <c r="EN208" s="232"/>
      <c r="EO208" s="232"/>
      <c r="EP208" s="232"/>
      <c r="EQ208" s="232"/>
      <c r="ER208" s="232"/>
      <c r="ES208" s="232"/>
      <c r="ET208" s="232"/>
      <c r="EU208" s="323"/>
      <c r="EV208" s="232"/>
      <c r="EW208" s="232"/>
      <c r="EX208" s="232"/>
      <c r="EY208" s="1236"/>
      <c r="EZ208" s="643"/>
      <c r="FA208" s="232"/>
      <c r="FB208" s="232"/>
      <c r="FC208" s="232"/>
      <c r="FD208" s="232"/>
      <c r="FE208" s="232"/>
      <c r="FF208" s="232"/>
      <c r="FG208" s="232"/>
      <c r="FH208" s="1236"/>
      <c r="FI208" s="643"/>
      <c r="FJ208" s="232"/>
      <c r="FK208" s="232"/>
      <c r="FL208" s="232"/>
      <c r="FM208" s="232"/>
      <c r="FN208" s="1236"/>
      <c r="FO208" s="643"/>
      <c r="FP208" s="232"/>
      <c r="FQ208" s="232"/>
      <c r="FR208" s="232"/>
      <c r="FS208" s="232"/>
      <c r="FT208" s="232"/>
      <c r="FU208" s="232"/>
      <c r="FV208" s="232"/>
      <c r="FW208" s="232"/>
    </row>
    <row r="209" spans="3:179" x14ac:dyDescent="0.35">
      <c r="C209" s="1" t="s">
        <v>837</v>
      </c>
      <c r="E209" s="2239"/>
      <c r="F209" s="1064">
        <f t="shared" ref="F209:U209" si="262">F$208*F$103/100</f>
        <v>-1.2644374468085088E-3</v>
      </c>
      <c r="G209" s="270">
        <f t="shared" si="262"/>
        <v>1.319241666666666E-3</v>
      </c>
      <c r="H209" s="270">
        <f t="shared" si="262"/>
        <v>1.1845577564102573E-3</v>
      </c>
      <c r="I209" s="1283">
        <f t="shared" si="262"/>
        <v>3.446085866666667E-3</v>
      </c>
      <c r="J209" s="1224">
        <f t="shared" si="262"/>
        <v>3.6638433333333331E-3</v>
      </c>
      <c r="K209" s="270">
        <f t="shared" si="262"/>
        <v>3.5523400483091785E-3</v>
      </c>
      <c r="L209" s="270">
        <f t="shared" si="262"/>
        <v>3.5795956461864404E-3</v>
      </c>
      <c r="M209" s="270">
        <f t="shared" si="262"/>
        <v>3.4218221739130434E-3</v>
      </c>
      <c r="N209" s="270">
        <f t="shared" si="262"/>
        <v>3.4498200832799482E-3</v>
      </c>
      <c r="O209" s="1283">
        <f t="shared" si="262"/>
        <v>3.6133702173913045E-3</v>
      </c>
      <c r="P209" s="1224">
        <f t="shared" si="262"/>
        <v>3.6326277536231884E-3</v>
      </c>
      <c r="Q209" s="270">
        <f t="shared" si="262"/>
        <v>3.568318695652173E-3</v>
      </c>
      <c r="R209" s="1283">
        <f t="shared" si="262"/>
        <v>3.5186328260869561E-3</v>
      </c>
      <c r="S209" s="1224" t="e">
        <f t="shared" si="262"/>
        <v>#DIV/0!</v>
      </c>
      <c r="T209" s="408" t="e">
        <f t="shared" si="262"/>
        <v>#DIV/0!</v>
      </c>
      <c r="U209" s="408" t="e">
        <f t="shared" si="262"/>
        <v>#DIV/0!</v>
      </c>
      <c r="V209" s="309"/>
      <c r="W209" s="309"/>
      <c r="X209" s="1242"/>
      <c r="Y209" s="419"/>
      <c r="Z209" s="309"/>
      <c r="AA209" s="249"/>
      <c r="AB209" s="249"/>
      <c r="AC209" s="249"/>
      <c r="AD209" s="249"/>
      <c r="AE209" s="249"/>
      <c r="AF209" s="249"/>
      <c r="AG209" s="249"/>
    </row>
    <row r="210" spans="3:179" ht="6.65" customHeight="1" thickBot="1" x14ac:dyDescent="0.4">
      <c r="E210" s="2240"/>
      <c r="F210" s="661"/>
      <c r="O210" s="1236"/>
      <c r="P210" s="643"/>
    </row>
    <row r="211" spans="3:179" s="377" customFormat="1" ht="15" thickTop="1" x14ac:dyDescent="0.35">
      <c r="C211" s="2226" t="s">
        <v>302</v>
      </c>
      <c r="D211" s="2226"/>
      <c r="E211" s="2226"/>
      <c r="F211" s="655">
        <f t="shared" ref="F211:V211" si="263">((F$106-(AI$106+BL$106+CO$106))/F$106)*100</f>
        <v>69.721114131735945</v>
      </c>
      <c r="G211" s="1867">
        <f t="shared" si="263"/>
        <v>69.771809222142551</v>
      </c>
      <c r="H211" s="1867">
        <f t="shared" si="263"/>
        <v>65.922034958745556</v>
      </c>
      <c r="I211" s="2227">
        <f t="shared" si="263"/>
        <v>66.402544175827117</v>
      </c>
      <c r="J211" s="419">
        <f t="shared" si="263"/>
        <v>88.026117668562591</v>
      </c>
      <c r="K211" s="249">
        <f t="shared" si="263"/>
        <v>87.188491509400862</v>
      </c>
      <c r="L211" s="249">
        <f t="shared" si="263"/>
        <v>85.979058902118339</v>
      </c>
      <c r="M211" s="249">
        <f t="shared" si="263"/>
        <v>84.993673789191547</v>
      </c>
      <c r="N211" s="249">
        <f t="shared" si="263"/>
        <v>84.26128439793392</v>
      </c>
      <c r="O211" s="1242">
        <f t="shared" si="263"/>
        <v>83.758194734907406</v>
      </c>
      <c r="P211" s="419">
        <f t="shared" si="263"/>
        <v>83.087048087569627</v>
      </c>
      <c r="Q211" s="249">
        <f t="shared" si="263"/>
        <v>82.962508326538568</v>
      </c>
      <c r="R211" s="1242">
        <f>((R$106-(AU$106+BX$106+DA$106))/R$106)*100</f>
        <v>82.443809517519483</v>
      </c>
      <c r="S211" s="419" t="e">
        <f t="shared" si="263"/>
        <v>#DIV/0!</v>
      </c>
      <c r="T211" s="249" t="e">
        <f t="shared" si="263"/>
        <v>#DIV/0!</v>
      </c>
      <c r="U211" s="249" t="e">
        <f t="shared" si="263"/>
        <v>#DIV/0!</v>
      </c>
      <c r="V211" s="249" t="e">
        <f t="shared" si="263"/>
        <v>#DIV/0!</v>
      </c>
      <c r="W211" s="249" t="e">
        <f t="shared" ref="W211:AD211" si="264">((W$106-(AZ$106+CN$106+DQ$106))/W$106)*100</f>
        <v>#DIV/0!</v>
      </c>
      <c r="X211" s="1242" t="e">
        <f t="shared" si="264"/>
        <v>#DIV/0!</v>
      </c>
      <c r="Y211" s="419" t="e">
        <f t="shared" si="264"/>
        <v>#DIV/0!</v>
      </c>
      <c r="Z211" s="249" t="e">
        <f t="shared" si="264"/>
        <v>#DIV/0!</v>
      </c>
      <c r="AA211" s="249" t="e">
        <f t="shared" si="264"/>
        <v>#DIV/0!</v>
      </c>
      <c r="AB211" s="249" t="e">
        <f t="shared" si="264"/>
        <v>#DIV/0!</v>
      </c>
      <c r="AC211" s="249" t="e">
        <f t="shared" si="264"/>
        <v>#DIV/0!</v>
      </c>
      <c r="AD211" s="249" t="e">
        <f t="shared" si="264"/>
        <v>#DIV/0!</v>
      </c>
      <c r="AE211" s="249" t="e">
        <f>((AE$106-(BK$106+CV$106+DY$106))/AE$106)*100</f>
        <v>#DIV/0!</v>
      </c>
      <c r="AF211" s="249" t="e">
        <f>((AF$106-(BL$106+CW$106+DZ$106))/AF$106)*100</f>
        <v>#DIV/0!</v>
      </c>
      <c r="AG211" s="249" t="e">
        <f>((AG$106-(BM$106+CX$106+EA$106))/AG$106)*100</f>
        <v>#DIV/0!</v>
      </c>
      <c r="AH211" s="323"/>
      <c r="AI211" s="240" t="s">
        <v>1121</v>
      </c>
      <c r="AJ211" s="2667">
        <f>AVERAGE(N211:P211)</f>
        <v>83.70217574013698</v>
      </c>
      <c r="AK211" s="232"/>
      <c r="AL211" s="1236"/>
      <c r="AM211" s="643"/>
      <c r="AN211" s="916"/>
      <c r="AO211" s="916"/>
      <c r="AP211" s="916"/>
      <c r="AQ211" s="232"/>
      <c r="AR211" s="232"/>
      <c r="AS211" s="232"/>
      <c r="AT211" s="232"/>
      <c r="AU211" s="1236"/>
      <c r="AV211" s="643"/>
      <c r="AW211" s="232"/>
      <c r="AX211" s="232"/>
      <c r="AY211" s="232"/>
      <c r="AZ211" s="232"/>
      <c r="BA211" s="1236"/>
      <c r="BB211" s="643"/>
      <c r="BC211" s="232"/>
      <c r="BD211" s="232"/>
      <c r="BE211" s="232"/>
      <c r="BF211" s="232"/>
      <c r="BG211" s="232"/>
      <c r="BH211" s="232"/>
      <c r="BI211" s="232"/>
      <c r="BJ211" s="232"/>
      <c r="BK211" s="323"/>
      <c r="BL211" s="232"/>
      <c r="BM211" s="232"/>
      <c r="BN211" s="232"/>
      <c r="BO211" s="1236"/>
      <c r="BP211" s="643"/>
      <c r="BQ211" s="232"/>
      <c r="BR211" s="232"/>
      <c r="BS211" s="232"/>
      <c r="BT211" s="232"/>
      <c r="BU211" s="232"/>
      <c r="BV211" s="232"/>
      <c r="BW211" s="232"/>
      <c r="BX211" s="1236"/>
      <c r="BY211" s="643"/>
      <c r="BZ211" s="232"/>
      <c r="CA211" s="232"/>
      <c r="CB211" s="232"/>
      <c r="CC211" s="232"/>
      <c r="CD211" s="1236"/>
      <c r="CE211" s="643"/>
      <c r="CF211" s="232"/>
      <c r="CG211" s="232"/>
      <c r="CH211" s="232"/>
      <c r="CI211" s="232"/>
      <c r="CJ211" s="232"/>
      <c r="CK211" s="232"/>
      <c r="CL211" s="232"/>
      <c r="CM211" s="232"/>
      <c r="CN211" s="323"/>
      <c r="CO211" s="232"/>
      <c r="CP211" s="232"/>
      <c r="CQ211" s="232"/>
      <c r="CR211" s="1236"/>
      <c r="CS211" s="643"/>
      <c r="CT211" s="232"/>
      <c r="CU211" s="232"/>
      <c r="CV211" s="232"/>
      <c r="CW211" s="232"/>
      <c r="CX211" s="232"/>
      <c r="CY211" s="232"/>
      <c r="CZ211" s="232"/>
      <c r="DA211" s="1236"/>
      <c r="DB211" s="643"/>
      <c r="DC211" s="232"/>
      <c r="DD211" s="232"/>
      <c r="DE211" s="232"/>
      <c r="DF211" s="232"/>
      <c r="DG211" s="1236"/>
      <c r="DH211" s="643"/>
      <c r="DI211" s="232"/>
      <c r="DJ211" s="232"/>
      <c r="DK211" s="232"/>
      <c r="DL211" s="232"/>
      <c r="DM211" s="232"/>
      <c r="DN211" s="232"/>
      <c r="DO211" s="232"/>
      <c r="DP211" s="232"/>
      <c r="DQ211" s="323"/>
      <c r="DR211" s="238"/>
      <c r="DS211" s="232"/>
      <c r="DT211" s="232"/>
      <c r="DU211" s="232"/>
      <c r="DV211" s="1236"/>
      <c r="DW211" s="643"/>
      <c r="DX211" s="232"/>
      <c r="DY211" s="232"/>
      <c r="DZ211" s="232"/>
      <c r="EA211" s="232"/>
      <c r="EB211" s="232"/>
      <c r="EC211" s="232"/>
      <c r="ED211" s="232"/>
      <c r="EE211" s="1236"/>
      <c r="EF211" s="643"/>
      <c r="EG211" s="232"/>
      <c r="EH211" s="232"/>
      <c r="EI211" s="232"/>
      <c r="EJ211" s="232"/>
      <c r="EK211" s="1236"/>
      <c r="EL211" s="643"/>
      <c r="EM211" s="232"/>
      <c r="EN211" s="232"/>
      <c r="EO211" s="232"/>
      <c r="EP211" s="232"/>
      <c r="EQ211" s="232"/>
      <c r="ER211" s="232"/>
      <c r="ES211" s="232"/>
      <c r="ET211" s="232"/>
      <c r="EU211" s="323"/>
      <c r="EV211" s="232"/>
      <c r="EW211" s="232"/>
      <c r="EX211" s="232"/>
      <c r="EY211" s="1236"/>
      <c r="EZ211" s="643"/>
      <c r="FA211" s="232"/>
      <c r="FB211" s="232"/>
      <c r="FC211" s="232"/>
      <c r="FD211" s="232"/>
      <c r="FE211" s="232"/>
      <c r="FF211" s="232"/>
      <c r="FG211" s="232"/>
      <c r="FH211" s="1236"/>
      <c r="FI211" s="643"/>
      <c r="FJ211" s="232"/>
      <c r="FK211" s="232"/>
      <c r="FL211" s="232"/>
      <c r="FM211" s="232"/>
      <c r="FN211" s="1236"/>
      <c r="FO211" s="643"/>
      <c r="FP211" s="232"/>
      <c r="FQ211" s="232"/>
      <c r="FR211" s="232"/>
      <c r="FS211" s="232"/>
      <c r="FT211" s="232"/>
      <c r="FU211" s="232"/>
      <c r="FV211" s="232"/>
      <c r="FW211" s="232"/>
    </row>
    <row r="212" spans="3:179" x14ac:dyDescent="0.35">
      <c r="C212" s="444" t="s">
        <v>1021</v>
      </c>
      <c r="D212" s="444"/>
      <c r="E212" s="444"/>
      <c r="F212" s="492">
        <v>72</v>
      </c>
      <c r="G212" s="446">
        <v>68</v>
      </c>
      <c r="H212" s="446">
        <v>66</v>
      </c>
      <c r="I212" s="1242">
        <v>65.599999999999994</v>
      </c>
      <c r="J212" s="419">
        <v>86</v>
      </c>
      <c r="K212" s="249">
        <v>87</v>
      </c>
      <c r="L212" s="249">
        <v>86</v>
      </c>
      <c r="M212" s="249">
        <v>85.5</v>
      </c>
      <c r="N212" s="249">
        <v>85</v>
      </c>
      <c r="O212" s="1242">
        <v>84.6</v>
      </c>
      <c r="P212" s="419"/>
      <c r="Q212" s="249"/>
      <c r="R212" s="1242"/>
      <c r="S212" s="419"/>
      <c r="T212" s="249"/>
      <c r="U212" s="249"/>
      <c r="AI212" s="240" t="s">
        <v>1120</v>
      </c>
      <c r="AJ212" s="2667">
        <f>AVERAGE(N213:P213)</f>
        <v>82.794747521430637</v>
      </c>
      <c r="AN212" s="459"/>
      <c r="AO212" s="459"/>
      <c r="AP212" s="459"/>
    </row>
    <row r="213" spans="3:179" s="2325" customFormat="1" x14ac:dyDescent="0.35">
      <c r="C213" s="2326" t="s">
        <v>972</v>
      </c>
      <c r="D213" s="2326"/>
      <c r="E213" s="2326"/>
      <c r="F213" s="2376"/>
      <c r="G213" s="2377"/>
      <c r="H213" s="2377"/>
      <c r="I213" s="2378"/>
      <c r="J213" s="2379"/>
      <c r="K213" s="2377">
        <v>87.232387014622091</v>
      </c>
      <c r="L213" s="2377">
        <v>85.740414279929411</v>
      </c>
      <c r="M213" s="2377">
        <v>85.163821870077811</v>
      </c>
      <c r="N213" s="2377">
        <v>83.485441424068696</v>
      </c>
      <c r="O213" s="2378">
        <v>82.714810991905594</v>
      </c>
      <c r="P213" s="2379">
        <v>82.183990148317633</v>
      </c>
      <c r="Q213" s="2377"/>
      <c r="R213" s="2378"/>
      <c r="S213" s="2379"/>
      <c r="T213" s="2377"/>
      <c r="U213" s="2377"/>
      <c r="V213" s="2331"/>
      <c r="W213" s="2331"/>
      <c r="X213" s="2332"/>
      <c r="Y213" s="2333"/>
      <c r="Z213" s="2331"/>
      <c r="AA213" s="2331"/>
      <c r="AB213" s="2331"/>
      <c r="AC213" s="2331"/>
      <c r="AD213" s="2331"/>
      <c r="AE213" s="2331"/>
      <c r="AF213" s="2331"/>
      <c r="AG213" s="2331"/>
      <c r="AH213" s="323"/>
      <c r="AI213" s="2342" t="s">
        <v>608</v>
      </c>
      <c r="AJ213" s="2669">
        <f>AVERAGE(N214:P214)</f>
        <v>84.766666666666666</v>
      </c>
      <c r="AK213" s="2331"/>
      <c r="AL213" s="2332"/>
      <c r="AM213" s="2333"/>
      <c r="AN213" s="2334"/>
      <c r="AO213" s="2334"/>
      <c r="AP213" s="2334"/>
      <c r="AQ213" s="2331"/>
      <c r="AR213" s="2331"/>
      <c r="AS213" s="2331"/>
      <c r="AT213" s="2331"/>
      <c r="AU213" s="2332"/>
      <c r="AV213" s="2333"/>
      <c r="AW213" s="2331"/>
      <c r="AX213" s="2331"/>
      <c r="AY213" s="2331"/>
      <c r="AZ213" s="2331"/>
      <c r="BA213" s="2332"/>
      <c r="BB213" s="2333"/>
      <c r="BC213" s="2331"/>
      <c r="BD213" s="2331"/>
      <c r="BE213" s="2331"/>
      <c r="BF213" s="2331"/>
      <c r="BG213" s="2331"/>
      <c r="BH213" s="2331"/>
      <c r="BI213" s="2331"/>
      <c r="BJ213" s="2331"/>
      <c r="BK213" s="323"/>
      <c r="BL213" s="2331"/>
      <c r="BM213" s="2331"/>
      <c r="BN213" s="2331"/>
      <c r="BO213" s="2332"/>
      <c r="BP213" s="2333"/>
      <c r="BQ213" s="2331"/>
      <c r="BR213" s="2331"/>
      <c r="BS213" s="2331"/>
      <c r="BT213" s="2331"/>
      <c r="BU213" s="2331"/>
      <c r="BV213" s="2331"/>
      <c r="BW213" s="2331"/>
      <c r="BX213" s="2332"/>
      <c r="BY213" s="2333"/>
      <c r="BZ213" s="2331"/>
      <c r="CA213" s="2331"/>
      <c r="CB213" s="2331"/>
      <c r="CC213" s="2331"/>
      <c r="CD213" s="2332"/>
      <c r="CE213" s="2333"/>
      <c r="CF213" s="2331"/>
      <c r="CG213" s="2331"/>
      <c r="CH213" s="2331"/>
      <c r="CI213" s="2331"/>
      <c r="CJ213" s="2331"/>
      <c r="CK213" s="2331"/>
      <c r="CL213" s="2331"/>
      <c r="CM213" s="2331"/>
      <c r="CN213" s="323"/>
      <c r="CO213" s="2331"/>
      <c r="CP213" s="2331"/>
      <c r="CQ213" s="2331"/>
      <c r="CR213" s="2332"/>
      <c r="CS213" s="2333"/>
      <c r="CT213" s="2331"/>
      <c r="CU213" s="2331"/>
      <c r="CV213" s="2331"/>
      <c r="CW213" s="2331"/>
      <c r="CX213" s="2331"/>
      <c r="CY213" s="2331"/>
      <c r="CZ213" s="2331"/>
      <c r="DA213" s="2332"/>
      <c r="DB213" s="2333"/>
      <c r="DC213" s="2331"/>
      <c r="DD213" s="2331"/>
      <c r="DE213" s="2331"/>
      <c r="DF213" s="2331"/>
      <c r="DG213" s="2332"/>
      <c r="DH213" s="2333"/>
      <c r="DI213" s="2331"/>
      <c r="DJ213" s="2331"/>
      <c r="DK213" s="2331"/>
      <c r="DL213" s="2331"/>
      <c r="DM213" s="2331"/>
      <c r="DN213" s="2331"/>
      <c r="DO213" s="2331"/>
      <c r="DP213" s="2331"/>
      <c r="DQ213" s="323"/>
      <c r="DR213" s="2338"/>
      <c r="DS213" s="2331"/>
      <c r="DT213" s="2331"/>
      <c r="DU213" s="2331"/>
      <c r="DV213" s="2332"/>
      <c r="DW213" s="2333"/>
      <c r="DX213" s="2331"/>
      <c r="DY213" s="2331"/>
      <c r="DZ213" s="2331"/>
      <c r="EA213" s="2331"/>
      <c r="EB213" s="2331"/>
      <c r="EC213" s="2331"/>
      <c r="ED213" s="2331"/>
      <c r="EE213" s="2332"/>
      <c r="EF213" s="2333"/>
      <c r="EG213" s="2331"/>
      <c r="EH213" s="2331"/>
      <c r="EI213" s="2331"/>
      <c r="EJ213" s="2331"/>
      <c r="EK213" s="2332"/>
      <c r="EL213" s="2333"/>
      <c r="EM213" s="2331"/>
      <c r="EN213" s="2331"/>
      <c r="EO213" s="2331"/>
      <c r="EP213" s="2331"/>
      <c r="EQ213" s="2331"/>
      <c r="ER213" s="2331"/>
      <c r="ES213" s="2331"/>
      <c r="ET213" s="2331"/>
      <c r="EU213" s="323"/>
      <c r="EV213" s="2331"/>
      <c r="EW213" s="2331"/>
      <c r="EX213" s="2331"/>
      <c r="EY213" s="2332"/>
      <c r="EZ213" s="2333"/>
      <c r="FA213" s="2331"/>
      <c r="FB213" s="2331"/>
      <c r="FC213" s="2331"/>
      <c r="FD213" s="2331"/>
      <c r="FE213" s="2331"/>
      <c r="FF213" s="2331"/>
      <c r="FG213" s="2331"/>
      <c r="FH213" s="2332"/>
      <c r="FI213" s="2333"/>
      <c r="FJ213" s="2331"/>
      <c r="FK213" s="2331"/>
      <c r="FL213" s="2331"/>
      <c r="FM213" s="2331"/>
      <c r="FN213" s="2332"/>
      <c r="FO213" s="2333"/>
      <c r="FP213" s="2331"/>
      <c r="FQ213" s="2331"/>
      <c r="FR213" s="2331"/>
      <c r="FS213" s="2331"/>
      <c r="FT213" s="2331"/>
      <c r="FU213" s="2331"/>
      <c r="FV213" s="2331"/>
      <c r="FW213" s="2331"/>
    </row>
    <row r="214" spans="3:179" s="2315" customFormat="1" x14ac:dyDescent="0.35">
      <c r="C214" s="2297" t="s">
        <v>963</v>
      </c>
      <c r="D214" s="2297"/>
      <c r="E214" s="2297"/>
      <c r="F214" s="2343">
        <v>70</v>
      </c>
      <c r="G214" s="2405">
        <v>68.400000000000006</v>
      </c>
      <c r="H214" s="2405">
        <v>66.3</v>
      </c>
      <c r="I214" s="2345">
        <v>65.099999999999994</v>
      </c>
      <c r="J214" s="2346">
        <v>89.2</v>
      </c>
      <c r="K214" s="2405">
        <v>87.8</v>
      </c>
      <c r="L214" s="2405">
        <v>86.5</v>
      </c>
      <c r="M214" s="2405">
        <v>85.7</v>
      </c>
      <c r="N214" s="2405">
        <v>85</v>
      </c>
      <c r="O214" s="2345">
        <v>84.9</v>
      </c>
      <c r="P214" s="2346">
        <v>84.4</v>
      </c>
      <c r="Q214" s="2405"/>
      <c r="R214" s="2345"/>
      <c r="S214" s="2346"/>
      <c r="T214" s="2405"/>
      <c r="U214" s="2405"/>
      <c r="V214" s="2408"/>
      <c r="W214" s="2408"/>
      <c r="X214" s="2304"/>
      <c r="Y214" s="2305"/>
      <c r="Z214" s="2408"/>
      <c r="AA214" s="2303"/>
      <c r="AB214" s="2303"/>
      <c r="AC214" s="2303"/>
      <c r="AD214" s="2303"/>
      <c r="AE214" s="2303"/>
      <c r="AF214" s="2303"/>
      <c r="AG214" s="2303"/>
      <c r="AH214" s="323"/>
      <c r="AI214" s="2303"/>
      <c r="AJ214" s="2303"/>
      <c r="AK214" s="2303"/>
      <c r="AL214" s="2304"/>
      <c r="AM214" s="2305"/>
      <c r="AN214" s="2306"/>
      <c r="AO214" s="2306"/>
      <c r="AP214" s="2306"/>
      <c r="AQ214" s="2303"/>
      <c r="AR214" s="2303"/>
      <c r="AS214" s="2303"/>
      <c r="AT214" s="2303"/>
      <c r="AU214" s="2304"/>
      <c r="AV214" s="2305"/>
      <c r="AW214" s="2303"/>
      <c r="AX214" s="2303"/>
      <c r="AY214" s="2303"/>
      <c r="AZ214" s="2303"/>
      <c r="BA214" s="2304"/>
      <c r="BB214" s="2305"/>
      <c r="BC214" s="2303"/>
      <c r="BD214" s="2303"/>
      <c r="BE214" s="2303"/>
      <c r="BF214" s="2303"/>
      <c r="BG214" s="2303"/>
      <c r="BH214" s="2303"/>
      <c r="BI214" s="2303"/>
      <c r="BJ214" s="2303"/>
      <c r="BK214" s="323"/>
      <c r="BL214" s="2303"/>
      <c r="BM214" s="2303"/>
      <c r="BN214" s="2303"/>
      <c r="BO214" s="2304"/>
      <c r="BP214" s="2305"/>
      <c r="BQ214" s="2303"/>
      <c r="BR214" s="2303"/>
      <c r="BS214" s="2303"/>
      <c r="BT214" s="2303"/>
      <c r="BU214" s="2303"/>
      <c r="BV214" s="2303"/>
      <c r="BW214" s="2303"/>
      <c r="BX214" s="2304"/>
      <c r="BY214" s="2305"/>
      <c r="BZ214" s="2303"/>
      <c r="CA214" s="2303"/>
      <c r="CB214" s="2303"/>
      <c r="CC214" s="2303"/>
      <c r="CD214" s="2304"/>
      <c r="CE214" s="2305"/>
      <c r="CF214" s="2303"/>
      <c r="CG214" s="2303"/>
      <c r="CH214" s="2303"/>
      <c r="CI214" s="2303"/>
      <c r="CJ214" s="2303"/>
      <c r="CK214" s="2303"/>
      <c r="CL214" s="2303"/>
      <c r="CM214" s="2303"/>
      <c r="CN214" s="323"/>
      <c r="CO214" s="2303"/>
      <c r="CP214" s="2303"/>
      <c r="CQ214" s="2303"/>
      <c r="CR214" s="2304"/>
      <c r="CS214" s="2305"/>
      <c r="CT214" s="2303"/>
      <c r="CU214" s="2303"/>
      <c r="CV214" s="2303"/>
      <c r="CW214" s="2303"/>
      <c r="CX214" s="2303"/>
      <c r="CY214" s="2303"/>
      <c r="CZ214" s="2303"/>
      <c r="DA214" s="2304"/>
      <c r="DB214" s="2305"/>
      <c r="DC214" s="2303"/>
      <c r="DD214" s="2303"/>
      <c r="DE214" s="2303"/>
      <c r="DF214" s="2303"/>
      <c r="DG214" s="2304"/>
      <c r="DH214" s="2305"/>
      <c r="DI214" s="2303"/>
      <c r="DJ214" s="2303"/>
      <c r="DK214" s="2303"/>
      <c r="DL214" s="2303"/>
      <c r="DM214" s="2303"/>
      <c r="DN214" s="2303"/>
      <c r="DO214" s="2303"/>
      <c r="DP214" s="2303"/>
      <c r="DQ214" s="323"/>
      <c r="DR214" s="2310"/>
      <c r="DS214" s="2303"/>
      <c r="DT214" s="2303"/>
      <c r="DU214" s="2303"/>
      <c r="DV214" s="2304"/>
      <c r="DW214" s="2305"/>
      <c r="DX214" s="2303"/>
      <c r="DY214" s="2303"/>
      <c r="DZ214" s="2303"/>
      <c r="EA214" s="2303"/>
      <c r="EB214" s="2303"/>
      <c r="EC214" s="2303"/>
      <c r="ED214" s="2303"/>
      <c r="EE214" s="2304"/>
      <c r="EF214" s="2305"/>
      <c r="EG214" s="2303"/>
      <c r="EH214" s="2303"/>
      <c r="EI214" s="2303"/>
      <c r="EJ214" s="2303"/>
      <c r="EK214" s="2304"/>
      <c r="EL214" s="2305"/>
      <c r="EM214" s="2303"/>
      <c r="EN214" s="2303"/>
      <c r="EO214" s="2303"/>
      <c r="EP214" s="2303"/>
      <c r="EQ214" s="2303"/>
      <c r="ER214" s="2303"/>
      <c r="ES214" s="2303"/>
      <c r="ET214" s="2303"/>
      <c r="EU214" s="323"/>
      <c r="EV214" s="2303"/>
      <c r="EW214" s="2303"/>
      <c r="EX214" s="2303"/>
      <c r="EY214" s="2304"/>
      <c r="EZ214" s="2305"/>
      <c r="FA214" s="2303"/>
      <c r="FB214" s="2303"/>
      <c r="FC214" s="2303"/>
      <c r="FD214" s="2303"/>
      <c r="FE214" s="2303"/>
      <c r="FF214" s="2303"/>
      <c r="FG214" s="2303"/>
      <c r="FH214" s="2304"/>
      <c r="FI214" s="2305"/>
      <c r="FJ214" s="2303"/>
      <c r="FK214" s="2303"/>
      <c r="FL214" s="2303"/>
      <c r="FM214" s="2303"/>
      <c r="FN214" s="2304"/>
      <c r="FO214" s="2305"/>
      <c r="FP214" s="2303"/>
      <c r="FQ214" s="2303"/>
      <c r="FR214" s="2303"/>
      <c r="FS214" s="2303"/>
      <c r="FT214" s="2303"/>
      <c r="FU214" s="2303"/>
      <c r="FV214" s="2303"/>
      <c r="FW214" s="2303"/>
    </row>
    <row r="215" spans="3:179" x14ac:dyDescent="0.35">
      <c r="C215" s="1">
        <v>3</v>
      </c>
      <c r="F215" s="501">
        <f>F$214+$C$215</f>
        <v>73</v>
      </c>
      <c r="G215" s="2541">
        <f t="shared" ref="G215:AA215" si="265">G$214+$C$215</f>
        <v>71.400000000000006</v>
      </c>
      <c r="H215" s="2541">
        <f t="shared" si="265"/>
        <v>69.3</v>
      </c>
      <c r="I215" s="478">
        <f t="shared" si="265"/>
        <v>68.099999999999994</v>
      </c>
      <c r="J215" s="501">
        <f t="shared" si="265"/>
        <v>92.2</v>
      </c>
      <c r="K215" s="2547">
        <f t="shared" si="265"/>
        <v>90.8</v>
      </c>
      <c r="L215" s="2547">
        <f t="shared" si="265"/>
        <v>89.5</v>
      </c>
      <c r="M215" s="2547">
        <f t="shared" si="265"/>
        <v>88.7</v>
      </c>
      <c r="N215" s="2547">
        <f t="shared" si="265"/>
        <v>88</v>
      </c>
      <c r="O215" s="478">
        <f t="shared" si="265"/>
        <v>87.9</v>
      </c>
      <c r="P215" s="501">
        <f t="shared" si="265"/>
        <v>87.4</v>
      </c>
      <c r="Q215" s="2547">
        <f t="shared" si="265"/>
        <v>3</v>
      </c>
      <c r="R215" s="478">
        <f t="shared" si="265"/>
        <v>3</v>
      </c>
      <c r="S215" s="501">
        <f t="shared" si="265"/>
        <v>3</v>
      </c>
      <c r="T215" s="2547">
        <f t="shared" si="265"/>
        <v>3</v>
      </c>
      <c r="U215" s="2547">
        <f t="shared" si="265"/>
        <v>3</v>
      </c>
      <c r="V215" s="2547">
        <f t="shared" si="265"/>
        <v>3</v>
      </c>
      <c r="W215" s="2547">
        <f t="shared" si="265"/>
        <v>3</v>
      </c>
      <c r="X215" s="478">
        <f t="shared" si="265"/>
        <v>3</v>
      </c>
      <c r="Y215" s="501">
        <f t="shared" si="265"/>
        <v>3</v>
      </c>
      <c r="Z215" s="2547">
        <f t="shared" si="265"/>
        <v>3</v>
      </c>
      <c r="AA215" s="478">
        <f t="shared" si="265"/>
        <v>3</v>
      </c>
      <c r="AH215" s="232"/>
      <c r="AN215" s="267"/>
      <c r="AO215" s="267"/>
      <c r="AP215" s="267"/>
      <c r="BK215" s="232"/>
      <c r="CN215" s="232"/>
      <c r="DQ215" s="232"/>
    </row>
    <row r="216" spans="3:179" x14ac:dyDescent="0.35">
      <c r="C216" s="1">
        <v>-3</v>
      </c>
      <c r="F216" s="501">
        <f>F$214+$C$216</f>
        <v>67</v>
      </c>
      <c r="G216" s="2541">
        <f t="shared" ref="G216:AA216" si="266">G$214+$C$216</f>
        <v>65.400000000000006</v>
      </c>
      <c r="H216" s="2541">
        <f t="shared" si="266"/>
        <v>63.3</v>
      </c>
      <c r="I216" s="478">
        <f t="shared" si="266"/>
        <v>62.099999999999994</v>
      </c>
      <c r="J216" s="501">
        <f t="shared" si="266"/>
        <v>86.2</v>
      </c>
      <c r="K216" s="2547">
        <f t="shared" si="266"/>
        <v>84.8</v>
      </c>
      <c r="L216" s="2547">
        <f t="shared" si="266"/>
        <v>83.5</v>
      </c>
      <c r="M216" s="2547">
        <f t="shared" si="266"/>
        <v>82.7</v>
      </c>
      <c r="N216" s="2547">
        <f t="shared" si="266"/>
        <v>82</v>
      </c>
      <c r="O216" s="478">
        <f t="shared" si="266"/>
        <v>81.900000000000006</v>
      </c>
      <c r="P216" s="501">
        <f t="shared" si="266"/>
        <v>81.400000000000006</v>
      </c>
      <c r="Q216" s="2547">
        <f t="shared" si="266"/>
        <v>-3</v>
      </c>
      <c r="R216" s="478">
        <f t="shared" si="266"/>
        <v>-3</v>
      </c>
      <c r="S216" s="501">
        <f t="shared" si="266"/>
        <v>-3</v>
      </c>
      <c r="T216" s="2547">
        <f t="shared" si="266"/>
        <v>-3</v>
      </c>
      <c r="U216" s="2547">
        <f t="shared" si="266"/>
        <v>-3</v>
      </c>
      <c r="V216" s="2547">
        <f t="shared" si="266"/>
        <v>-3</v>
      </c>
      <c r="W216" s="2547">
        <f t="shared" si="266"/>
        <v>-3</v>
      </c>
      <c r="X216" s="478">
        <f t="shared" si="266"/>
        <v>-3</v>
      </c>
      <c r="Y216" s="501">
        <f t="shared" si="266"/>
        <v>-3</v>
      </c>
      <c r="Z216" s="2547">
        <f t="shared" si="266"/>
        <v>-3</v>
      </c>
      <c r="AA216" s="478">
        <f t="shared" si="266"/>
        <v>-3</v>
      </c>
      <c r="AH216" s="232"/>
      <c r="AN216" s="267"/>
      <c r="AO216" s="267"/>
      <c r="AP216" s="267"/>
      <c r="BK216" s="232"/>
      <c r="CN216" s="232"/>
      <c r="DQ216" s="232"/>
    </row>
    <row r="217" spans="3:179" s="368" customFormat="1" ht="21" customHeight="1" thickBot="1" x14ac:dyDescent="0.4">
      <c r="C217" s="2232" t="s">
        <v>918</v>
      </c>
      <c r="D217" s="2232"/>
      <c r="E217" s="2232"/>
      <c r="F217" s="2233">
        <f>100*(1-EXP(F$78/F$79*LN(1-$F211/100)))</f>
        <v>70.537553950578328</v>
      </c>
      <c r="G217" s="2540">
        <f>100*(1-EXP(G$78/G$79*LN(1-G$211/100)))</f>
        <v>70.02774299211265</v>
      </c>
      <c r="H217" s="2540">
        <f>100*(1-EXP(H$78/H$79*LN(1-H$211/100)))</f>
        <v>66.561911341538973</v>
      </c>
      <c r="I217" s="2234"/>
      <c r="J217" s="419"/>
      <c r="K217" s="309"/>
      <c r="L217" s="309"/>
      <c r="M217" s="309"/>
      <c r="N217" s="309"/>
      <c r="O217" s="1242"/>
      <c r="P217" s="419"/>
      <c r="Q217" s="309"/>
      <c r="R217" s="1242"/>
      <c r="S217" s="419"/>
      <c r="T217" s="309"/>
      <c r="U217" s="309"/>
      <c r="V217" s="229"/>
      <c r="W217" s="229"/>
      <c r="X217" s="1236"/>
      <c r="Y217" s="643"/>
      <c r="Z217" s="229"/>
      <c r="AA217" s="232"/>
      <c r="AB217" s="232"/>
      <c r="AC217" s="232"/>
      <c r="AD217" s="232"/>
      <c r="AE217" s="232"/>
      <c r="AF217" s="232"/>
      <c r="AG217" s="232"/>
      <c r="AH217" s="323"/>
      <c r="AI217" s="232"/>
      <c r="AJ217" s="232"/>
      <c r="AK217" s="232"/>
      <c r="AL217" s="1236"/>
      <c r="AM217" s="643"/>
      <c r="AN217" s="232"/>
      <c r="AO217" s="232"/>
      <c r="AP217" s="232"/>
      <c r="AQ217" s="232"/>
      <c r="AR217" s="232"/>
      <c r="AS217" s="232"/>
      <c r="AT217" s="232"/>
      <c r="AU217" s="1236"/>
      <c r="AV217" s="643"/>
      <c r="AW217" s="232"/>
      <c r="AX217" s="232"/>
      <c r="AY217" s="232"/>
      <c r="AZ217" s="232"/>
      <c r="BA217" s="1236"/>
      <c r="BB217" s="643"/>
      <c r="BC217" s="232"/>
      <c r="BD217" s="232"/>
      <c r="BE217" s="232"/>
      <c r="BF217" s="232"/>
      <c r="BG217" s="232"/>
      <c r="BH217" s="232"/>
      <c r="BI217" s="232"/>
      <c r="BJ217" s="232"/>
      <c r="BK217" s="323"/>
      <c r="BL217" s="232"/>
      <c r="BM217" s="232"/>
      <c r="BN217" s="232"/>
      <c r="BO217" s="1236"/>
      <c r="BP217" s="643"/>
      <c r="BQ217" s="232"/>
      <c r="BR217" s="232"/>
      <c r="BS217" s="232"/>
      <c r="BT217" s="232"/>
      <c r="BU217" s="232"/>
      <c r="BV217" s="232"/>
      <c r="BW217" s="232"/>
      <c r="BX217" s="1236"/>
      <c r="BY217" s="643"/>
      <c r="BZ217" s="232"/>
      <c r="CA217" s="232"/>
      <c r="CB217" s="232"/>
      <c r="CC217" s="232"/>
      <c r="CD217" s="1236"/>
      <c r="CE217" s="643"/>
      <c r="CF217" s="232"/>
      <c r="CG217" s="232"/>
      <c r="CH217" s="232"/>
      <c r="CI217" s="232"/>
      <c r="CJ217" s="232"/>
      <c r="CK217" s="232"/>
      <c r="CL217" s="232"/>
      <c r="CM217" s="232"/>
      <c r="CN217" s="323"/>
      <c r="CO217" s="232"/>
      <c r="CP217" s="232"/>
      <c r="CQ217" s="232"/>
      <c r="CR217" s="1236"/>
      <c r="CS217" s="643"/>
      <c r="CT217" s="232"/>
      <c r="CU217" s="232"/>
      <c r="CV217" s="232"/>
      <c r="CW217" s="232"/>
      <c r="CX217" s="232"/>
      <c r="CY217" s="232"/>
      <c r="CZ217" s="232"/>
      <c r="DA217" s="1236"/>
      <c r="DB217" s="643"/>
      <c r="DC217" s="232"/>
      <c r="DD217" s="232"/>
      <c r="DE217" s="232"/>
      <c r="DF217" s="232"/>
      <c r="DG217" s="1236"/>
      <c r="DH217" s="643"/>
      <c r="DI217" s="232"/>
      <c r="DJ217" s="232"/>
      <c r="DK217" s="232"/>
      <c r="DL217" s="232"/>
      <c r="DM217" s="232"/>
      <c r="DN217" s="232"/>
      <c r="DO217" s="232"/>
      <c r="DP217" s="232"/>
      <c r="DQ217" s="323"/>
      <c r="DR217" s="238"/>
      <c r="DS217" s="232"/>
      <c r="DT217" s="232"/>
      <c r="DU217" s="232"/>
      <c r="DV217" s="1236"/>
      <c r="DW217" s="643"/>
      <c r="DX217" s="232"/>
      <c r="DY217" s="232"/>
      <c r="DZ217" s="232"/>
      <c r="EA217" s="232"/>
      <c r="EB217" s="232"/>
      <c r="EC217" s="232"/>
      <c r="ED217" s="232"/>
      <c r="EE217" s="1236"/>
      <c r="EF217" s="643"/>
      <c r="EG217" s="232"/>
      <c r="EH217" s="232"/>
      <c r="EI217" s="232"/>
      <c r="EJ217" s="232"/>
      <c r="EK217" s="1236"/>
      <c r="EL217" s="643"/>
      <c r="EM217" s="232"/>
      <c r="EN217" s="232"/>
      <c r="EO217" s="232"/>
      <c r="EP217" s="232"/>
      <c r="EQ217" s="232"/>
      <c r="ER217" s="232"/>
      <c r="ES217" s="232"/>
      <c r="ET217" s="232"/>
      <c r="EU217" s="323"/>
      <c r="EV217" s="232"/>
      <c r="EW217" s="232"/>
      <c r="EX217" s="232"/>
      <c r="EY217" s="1236"/>
      <c r="EZ217" s="643"/>
      <c r="FA217" s="232"/>
      <c r="FB217" s="232"/>
      <c r="FC217" s="232"/>
      <c r="FD217" s="232"/>
      <c r="FE217" s="232"/>
      <c r="FF217" s="232"/>
      <c r="FG217" s="232"/>
      <c r="FH217" s="1236"/>
      <c r="FI217" s="643"/>
      <c r="FJ217" s="232"/>
      <c r="FK217" s="232"/>
      <c r="FL217" s="232"/>
      <c r="FM217" s="232"/>
      <c r="FN217" s="1236"/>
      <c r="FO217" s="643"/>
      <c r="FP217" s="232"/>
      <c r="FQ217" s="232"/>
      <c r="FR217" s="232"/>
      <c r="FS217" s="232"/>
      <c r="FT217" s="232"/>
      <c r="FU217" s="232"/>
      <c r="FV217" s="232"/>
      <c r="FW217" s="232"/>
    </row>
    <row r="218" spans="3:179" ht="15" thickTop="1" x14ac:dyDescent="0.35">
      <c r="C218" s="1" t="s">
        <v>301</v>
      </c>
      <c r="F218" s="603">
        <f t="shared" ref="F218:V218" si="267">((F$107-(AI$107+BL$107+CO$107))/F$107)*100</f>
        <v>33.796811410187729</v>
      </c>
      <c r="G218" s="250">
        <f t="shared" si="267"/>
        <v>35.590094259568701</v>
      </c>
      <c r="H218" s="250">
        <f t="shared" si="267"/>
        <v>29.462279141827107</v>
      </c>
      <c r="I218" s="1280">
        <f t="shared" si="267"/>
        <v>31.044840543417891</v>
      </c>
      <c r="J218" s="1223">
        <f t="shared" si="267"/>
        <v>52.700197050373099</v>
      </c>
      <c r="K218" s="250">
        <f t="shared" si="267"/>
        <v>50.289742314490923</v>
      </c>
      <c r="L218" s="250">
        <f t="shared" si="267"/>
        <v>46.338833666972768</v>
      </c>
      <c r="M218" s="250">
        <f t="shared" si="267"/>
        <v>49.040691671668171</v>
      </c>
      <c r="N218" s="1870">
        <f t="shared" si="267"/>
        <v>48.064929704309975</v>
      </c>
      <c r="O218" s="2542">
        <f t="shared" si="267"/>
        <v>49.465450385312188</v>
      </c>
      <c r="P218" s="1223">
        <f t="shared" si="267"/>
        <v>45.062302840345147</v>
      </c>
      <c r="Q218" s="250">
        <f t="shared" si="267"/>
        <v>49.035402076370161</v>
      </c>
      <c r="R218" s="1280">
        <f t="shared" si="267"/>
        <v>46.998497671309515</v>
      </c>
      <c r="S218" s="1223" t="e">
        <f t="shared" si="267"/>
        <v>#DIV/0!</v>
      </c>
      <c r="T218" s="250" t="e">
        <f t="shared" si="267"/>
        <v>#DIV/0!</v>
      </c>
      <c r="U218" s="250" t="e">
        <f t="shared" si="267"/>
        <v>#DIV/0!</v>
      </c>
      <c r="V218" s="250" t="e">
        <f t="shared" si="267"/>
        <v>#DIV/0!</v>
      </c>
      <c r="W218" s="250" t="e">
        <f t="shared" ref="W218:AD218" si="268">((W$107-(AZ$107+CN$107+DQ$107))/W$107)*100</f>
        <v>#DIV/0!</v>
      </c>
      <c r="X218" s="1280" t="e">
        <f t="shared" si="268"/>
        <v>#DIV/0!</v>
      </c>
      <c r="Y218" s="1223" t="e">
        <f t="shared" si="268"/>
        <v>#DIV/0!</v>
      </c>
      <c r="Z218" s="250" t="e">
        <f t="shared" si="268"/>
        <v>#DIV/0!</v>
      </c>
      <c r="AA218" s="250" t="e">
        <f t="shared" si="268"/>
        <v>#DIV/0!</v>
      </c>
      <c r="AB218" s="250" t="e">
        <f t="shared" si="268"/>
        <v>#DIV/0!</v>
      </c>
      <c r="AC218" s="250" t="e">
        <f t="shared" si="268"/>
        <v>#DIV/0!</v>
      </c>
      <c r="AD218" s="250" t="e">
        <f t="shared" si="268"/>
        <v>#DIV/0!</v>
      </c>
      <c r="AE218" s="250" t="e">
        <f>((AE$107-(BK$107+CV$107+DY$107))/AE$107)*100</f>
        <v>#DIV/0!</v>
      </c>
      <c r="AF218" s="250" t="e">
        <f>((AF$107-(BL$107+CW$107+DZ$107))/AF$107)*100</f>
        <v>#DIV/0!</v>
      </c>
      <c r="AG218" s="250" t="e">
        <f>((AG$107-(BM$107+CX$107+EA$107))/AG$107)*100</f>
        <v>#DIV/0!</v>
      </c>
    </row>
    <row r="219" spans="3:179" x14ac:dyDescent="0.35">
      <c r="C219" s="444" t="s">
        <v>991</v>
      </c>
      <c r="D219" s="444"/>
      <c r="E219" s="444"/>
      <c r="F219" s="492">
        <v>38</v>
      </c>
      <c r="G219" s="446">
        <v>31.5</v>
      </c>
      <c r="H219" s="446">
        <v>27.5</v>
      </c>
      <c r="I219" s="1242">
        <v>28.4</v>
      </c>
      <c r="J219" s="419">
        <v>55.5</v>
      </c>
      <c r="K219" s="249">
        <v>45</v>
      </c>
      <c r="L219" s="249">
        <v>43</v>
      </c>
      <c r="M219" s="249">
        <v>42.5</v>
      </c>
      <c r="N219" s="249">
        <v>41.5</v>
      </c>
      <c r="O219" s="1242">
        <v>40.700000000000003</v>
      </c>
      <c r="P219" s="419"/>
      <c r="Q219" s="249"/>
      <c r="R219" s="1242"/>
      <c r="S219" s="419"/>
      <c r="T219" s="249"/>
      <c r="U219" s="249"/>
    </row>
    <row r="220" spans="3:179" s="2325" customFormat="1" x14ac:dyDescent="0.35">
      <c r="C220" s="2326" t="s">
        <v>992</v>
      </c>
      <c r="D220" s="2326"/>
      <c r="E220" s="2326"/>
      <c r="F220" s="2376"/>
      <c r="G220" s="2377"/>
      <c r="H220" s="2377"/>
      <c r="I220" s="2378"/>
      <c r="J220" s="2379"/>
      <c r="K220" s="2377">
        <v>47.018859937098</v>
      </c>
      <c r="L220" s="2377">
        <v>44.023005238291191</v>
      </c>
      <c r="M220" s="2377">
        <v>43.134170043709695</v>
      </c>
      <c r="N220" s="2377">
        <v>39.063912197450215</v>
      </c>
      <c r="O220" s="2378">
        <v>37.309286470805695</v>
      </c>
      <c r="P220" s="2379">
        <v>34.907705204303639</v>
      </c>
      <c r="Q220" s="2377"/>
      <c r="R220" s="2378"/>
      <c r="S220" s="2379"/>
      <c r="T220" s="2377"/>
      <c r="U220" s="2377"/>
      <c r="V220" s="2331"/>
      <c r="W220" s="2331"/>
      <c r="X220" s="2332"/>
      <c r="Y220" s="2333"/>
      <c r="Z220" s="2331"/>
      <c r="AA220" s="2331"/>
      <c r="AB220" s="2331"/>
      <c r="AC220" s="2331"/>
      <c r="AD220" s="2331"/>
      <c r="AE220" s="2331"/>
      <c r="AF220" s="2331"/>
      <c r="AG220" s="2331"/>
      <c r="AH220" s="323"/>
      <c r="AI220" s="2331"/>
      <c r="AJ220" s="2331"/>
      <c r="AK220" s="2331"/>
      <c r="AL220" s="2332"/>
      <c r="AM220" s="2333"/>
      <c r="AN220" s="2331"/>
      <c r="AO220" s="2331"/>
      <c r="AP220" s="2331"/>
      <c r="AQ220" s="2331"/>
      <c r="AR220" s="2331"/>
      <c r="AS220" s="2331"/>
      <c r="AT220" s="2331"/>
      <c r="AU220" s="2332"/>
      <c r="AV220" s="2333"/>
      <c r="AW220" s="2331"/>
      <c r="AX220" s="2331"/>
      <c r="AY220" s="2331"/>
      <c r="AZ220" s="2331"/>
      <c r="BA220" s="2332"/>
      <c r="BB220" s="2333"/>
      <c r="BC220" s="2331"/>
      <c r="BD220" s="2331"/>
      <c r="BE220" s="2331"/>
      <c r="BF220" s="2331"/>
      <c r="BG220" s="2331"/>
      <c r="BH220" s="2331"/>
      <c r="BI220" s="2331"/>
      <c r="BJ220" s="2331"/>
      <c r="BK220" s="323"/>
      <c r="BL220" s="2331"/>
      <c r="BM220" s="2331"/>
      <c r="BN220" s="2331"/>
      <c r="BO220" s="2332"/>
      <c r="BP220" s="2333"/>
      <c r="BQ220" s="2331"/>
      <c r="BR220" s="2331"/>
      <c r="BS220" s="2331"/>
      <c r="BT220" s="2331"/>
      <c r="BU220" s="2331"/>
      <c r="BV220" s="2331"/>
      <c r="BW220" s="2331"/>
      <c r="BX220" s="2332"/>
      <c r="BY220" s="2333"/>
      <c r="BZ220" s="2331"/>
      <c r="CA220" s="2331"/>
      <c r="CB220" s="2331"/>
      <c r="CC220" s="2331"/>
      <c r="CD220" s="2332"/>
      <c r="CE220" s="2333"/>
      <c r="CF220" s="2331"/>
      <c r="CG220" s="2331"/>
      <c r="CH220" s="2331"/>
      <c r="CI220" s="2331"/>
      <c r="CJ220" s="2331"/>
      <c r="CK220" s="2331"/>
      <c r="CL220" s="2331"/>
      <c r="CM220" s="2331"/>
      <c r="CN220" s="323"/>
      <c r="CO220" s="2331"/>
      <c r="CP220" s="2331"/>
      <c r="CQ220" s="2331"/>
      <c r="CR220" s="2332"/>
      <c r="CS220" s="2333"/>
      <c r="CT220" s="2331"/>
      <c r="CU220" s="2331"/>
      <c r="CV220" s="2331"/>
      <c r="CW220" s="2331"/>
      <c r="CX220" s="2331"/>
      <c r="CY220" s="2331"/>
      <c r="CZ220" s="2331"/>
      <c r="DA220" s="2332"/>
      <c r="DB220" s="2333"/>
      <c r="DC220" s="2331"/>
      <c r="DD220" s="2331"/>
      <c r="DE220" s="2331"/>
      <c r="DF220" s="2331"/>
      <c r="DG220" s="2332"/>
      <c r="DH220" s="2333"/>
      <c r="DI220" s="2331"/>
      <c r="DJ220" s="2331"/>
      <c r="DK220" s="2331"/>
      <c r="DL220" s="2331"/>
      <c r="DM220" s="2331"/>
      <c r="DN220" s="2331"/>
      <c r="DO220" s="2331"/>
      <c r="DP220" s="2331"/>
      <c r="DQ220" s="323"/>
      <c r="DR220" s="2338"/>
      <c r="DS220" s="2331"/>
      <c r="DT220" s="2331"/>
      <c r="DU220" s="2331"/>
      <c r="DV220" s="2332"/>
      <c r="DW220" s="2333"/>
      <c r="DX220" s="2331"/>
      <c r="DY220" s="2331"/>
      <c r="DZ220" s="2331"/>
      <c r="EA220" s="2331"/>
      <c r="EB220" s="2331"/>
      <c r="EC220" s="2331"/>
      <c r="ED220" s="2331"/>
      <c r="EE220" s="2332"/>
      <c r="EF220" s="2333"/>
      <c r="EG220" s="2331"/>
      <c r="EH220" s="2331"/>
      <c r="EI220" s="2331"/>
      <c r="EJ220" s="2331"/>
      <c r="EK220" s="2332"/>
      <c r="EL220" s="2333"/>
      <c r="EM220" s="2331"/>
      <c r="EN220" s="2331"/>
      <c r="EO220" s="2331"/>
      <c r="EP220" s="2331"/>
      <c r="EQ220" s="2331"/>
      <c r="ER220" s="2331"/>
      <c r="ES220" s="2331"/>
      <c r="ET220" s="2331"/>
      <c r="EU220" s="323"/>
      <c r="EV220" s="2331"/>
      <c r="EW220" s="2331"/>
      <c r="EX220" s="2331"/>
      <c r="EY220" s="2332"/>
      <c r="EZ220" s="2333"/>
      <c r="FA220" s="2331"/>
      <c r="FB220" s="2331"/>
      <c r="FC220" s="2331"/>
      <c r="FD220" s="2331"/>
      <c r="FE220" s="2331"/>
      <c r="FF220" s="2331"/>
      <c r="FG220" s="2331"/>
      <c r="FH220" s="2332"/>
      <c r="FI220" s="2333"/>
      <c r="FJ220" s="2331"/>
      <c r="FK220" s="2331"/>
      <c r="FL220" s="2331"/>
      <c r="FM220" s="2331"/>
      <c r="FN220" s="2332"/>
      <c r="FO220" s="2333"/>
      <c r="FP220" s="2331"/>
      <c r="FQ220" s="2331"/>
      <c r="FR220" s="2331"/>
      <c r="FS220" s="2331"/>
      <c r="FT220" s="2331"/>
      <c r="FU220" s="2331"/>
      <c r="FV220" s="2331"/>
      <c r="FW220" s="2331"/>
    </row>
    <row r="221" spans="3:179" s="2315" customFormat="1" x14ac:dyDescent="0.35">
      <c r="C221" s="2297" t="s">
        <v>1005</v>
      </c>
      <c r="D221" s="2297"/>
      <c r="E221" s="2297"/>
      <c r="F221" s="2343">
        <f>0.290103761533634*100</f>
        <v>29.010376153363399</v>
      </c>
      <c r="G221" s="2344">
        <f>0.270498910812225*100</f>
        <v>27.049891081222498</v>
      </c>
      <c r="H221" s="2344">
        <f>0.234132846708899*100</f>
        <v>23.413284670889901</v>
      </c>
      <c r="I221" s="2345">
        <f>0.247287621528142*100</f>
        <v>24.728762152814198</v>
      </c>
      <c r="J221" s="2346">
        <f>0.481498629379844*100</f>
        <v>48.149862937984402</v>
      </c>
      <c r="K221" s="2344">
        <f>0.455689822159685*100</f>
        <v>45.568982215968504</v>
      </c>
      <c r="L221" s="2344">
        <f>0.430388104917961*100</f>
        <v>43.038810491796099</v>
      </c>
      <c r="M221" s="2344">
        <f>0.413148728403074*100</f>
        <v>41.314872840307402</v>
      </c>
      <c r="N221" s="2344">
        <f>0.413793588080502*100</f>
        <v>41.379358808050199</v>
      </c>
      <c r="O221" s="2345">
        <f>0.407605956842153*100</f>
        <v>40.760595684215303</v>
      </c>
      <c r="P221" s="2346">
        <f>0.406005389293594*100</f>
        <v>40.600538929359395</v>
      </c>
      <c r="Q221" s="2344"/>
      <c r="R221" s="2345"/>
      <c r="S221" s="2346"/>
      <c r="T221" s="2344"/>
      <c r="U221" s="2344"/>
      <c r="V221" s="2303"/>
      <c r="W221" s="2303"/>
      <c r="X221" s="2304"/>
      <c r="Y221" s="2305"/>
      <c r="Z221" s="2303"/>
      <c r="AA221" s="2303"/>
      <c r="AB221" s="2303"/>
      <c r="AC221" s="2303"/>
      <c r="AD221" s="2303"/>
      <c r="AE221" s="2303"/>
      <c r="AF221" s="2303"/>
      <c r="AG221" s="2303"/>
      <c r="AH221" s="323"/>
      <c r="AI221" s="2303"/>
      <c r="AJ221" s="2303"/>
      <c r="AK221" s="2303"/>
      <c r="AL221" s="2304"/>
      <c r="AM221" s="2305"/>
      <c r="AN221" s="2303"/>
      <c r="AO221" s="2303"/>
      <c r="AP221" s="2303"/>
      <c r="AQ221" s="2303"/>
      <c r="AR221" s="2303"/>
      <c r="AS221" s="2303"/>
      <c r="AT221" s="2303"/>
      <c r="AU221" s="2304"/>
      <c r="AV221" s="2305"/>
      <c r="AW221" s="2303"/>
      <c r="AX221" s="2303"/>
      <c r="AY221" s="2303"/>
      <c r="AZ221" s="2303"/>
      <c r="BA221" s="2304"/>
      <c r="BB221" s="2305"/>
      <c r="BC221" s="2303"/>
      <c r="BD221" s="2303"/>
      <c r="BE221" s="2303"/>
      <c r="BF221" s="2303"/>
      <c r="BG221" s="2303"/>
      <c r="BH221" s="2303"/>
      <c r="BI221" s="2303"/>
      <c r="BJ221" s="2303"/>
      <c r="BK221" s="323"/>
      <c r="BL221" s="2303"/>
      <c r="BM221" s="2303"/>
      <c r="BN221" s="2303"/>
      <c r="BO221" s="2304"/>
      <c r="BP221" s="2305"/>
      <c r="BQ221" s="2303"/>
      <c r="BR221" s="2303"/>
      <c r="BS221" s="2303"/>
      <c r="BT221" s="2303"/>
      <c r="BU221" s="2303"/>
      <c r="BV221" s="2303"/>
      <c r="BW221" s="2303"/>
      <c r="BX221" s="2304"/>
      <c r="BY221" s="2305"/>
      <c r="BZ221" s="2303"/>
      <c r="CA221" s="2303"/>
      <c r="CB221" s="2303"/>
      <c r="CC221" s="2303"/>
      <c r="CD221" s="2304"/>
      <c r="CE221" s="2305"/>
      <c r="CF221" s="2303"/>
      <c r="CG221" s="2303"/>
      <c r="CH221" s="2303"/>
      <c r="CI221" s="2303"/>
      <c r="CJ221" s="2303"/>
      <c r="CK221" s="2303"/>
      <c r="CL221" s="2303"/>
      <c r="CM221" s="2303"/>
      <c r="CN221" s="323"/>
      <c r="CO221" s="2303"/>
      <c r="CP221" s="2303"/>
      <c r="CQ221" s="2303"/>
      <c r="CR221" s="2304"/>
      <c r="CS221" s="2305"/>
      <c r="CT221" s="2303"/>
      <c r="CU221" s="2303"/>
      <c r="CV221" s="2303"/>
      <c r="CW221" s="2303"/>
      <c r="CX221" s="2303"/>
      <c r="CY221" s="2303"/>
      <c r="CZ221" s="2303"/>
      <c r="DA221" s="2304"/>
      <c r="DB221" s="2305"/>
      <c r="DC221" s="2303"/>
      <c r="DD221" s="2303"/>
      <c r="DE221" s="2303"/>
      <c r="DF221" s="2303"/>
      <c r="DG221" s="2304"/>
      <c r="DH221" s="2305"/>
      <c r="DI221" s="2303"/>
      <c r="DJ221" s="2303"/>
      <c r="DK221" s="2303"/>
      <c r="DL221" s="2303"/>
      <c r="DM221" s="2303"/>
      <c r="DN221" s="2303"/>
      <c r="DO221" s="2303"/>
      <c r="DP221" s="2303"/>
      <c r="DQ221" s="323"/>
      <c r="DR221" s="2310"/>
      <c r="DS221" s="2303"/>
      <c r="DT221" s="2303"/>
      <c r="DU221" s="2303"/>
      <c r="DV221" s="2304"/>
      <c r="DW221" s="2305"/>
      <c r="DX221" s="2303"/>
      <c r="DY221" s="2303"/>
      <c r="DZ221" s="2303"/>
      <c r="EA221" s="2303"/>
      <c r="EB221" s="2303"/>
      <c r="EC221" s="2303"/>
      <c r="ED221" s="2303"/>
      <c r="EE221" s="2304"/>
      <c r="EF221" s="2305"/>
      <c r="EG221" s="2303"/>
      <c r="EH221" s="2303"/>
      <c r="EI221" s="2303"/>
      <c r="EJ221" s="2303"/>
      <c r="EK221" s="2304"/>
      <c r="EL221" s="2305"/>
      <c r="EM221" s="2303"/>
      <c r="EN221" s="2303"/>
      <c r="EO221" s="2303"/>
      <c r="EP221" s="2303"/>
      <c r="EQ221" s="2303"/>
      <c r="ER221" s="2303"/>
      <c r="ES221" s="2303"/>
      <c r="ET221" s="2303"/>
      <c r="EU221" s="323"/>
      <c r="EV221" s="2303"/>
      <c r="EW221" s="2303"/>
      <c r="EX221" s="2303"/>
      <c r="EY221" s="2304"/>
      <c r="EZ221" s="2305"/>
      <c r="FA221" s="2303"/>
      <c r="FB221" s="2303"/>
      <c r="FC221" s="2303"/>
      <c r="FD221" s="2303"/>
      <c r="FE221" s="2303"/>
      <c r="FF221" s="2303"/>
      <c r="FG221" s="2303"/>
      <c r="FH221" s="2304"/>
      <c r="FI221" s="2305"/>
      <c r="FJ221" s="2303"/>
      <c r="FK221" s="2303"/>
      <c r="FL221" s="2303"/>
      <c r="FM221" s="2303"/>
      <c r="FN221" s="2304"/>
      <c r="FO221" s="2305"/>
      <c r="FP221" s="2303"/>
      <c r="FQ221" s="2303"/>
      <c r="FR221" s="2303"/>
      <c r="FS221" s="2303"/>
      <c r="FT221" s="2303"/>
      <c r="FU221" s="2303"/>
      <c r="FV221" s="2303"/>
      <c r="FW221" s="2303"/>
    </row>
    <row r="222" spans="3:179" ht="7.5" customHeight="1" x14ac:dyDescent="0.35">
      <c r="F222" s="501"/>
      <c r="G222" s="249"/>
      <c r="H222" s="249"/>
      <c r="I222" s="1242"/>
      <c r="J222" s="419"/>
      <c r="K222" s="249"/>
      <c r="L222" s="249"/>
      <c r="M222" s="249"/>
      <c r="N222" s="249"/>
      <c r="O222" s="1242"/>
      <c r="P222" s="419"/>
      <c r="Q222" s="249"/>
      <c r="R222" s="1242"/>
      <c r="S222" s="419"/>
      <c r="T222" s="249"/>
      <c r="U222" s="249"/>
    </row>
    <row r="223" spans="3:179" s="224" customFormat="1" x14ac:dyDescent="0.35">
      <c r="C223" s="223" t="s">
        <v>300</v>
      </c>
      <c r="D223" s="223"/>
      <c r="E223" s="223"/>
      <c r="F223" s="604">
        <f t="shared" ref="F223:AG223" si="269">(F$211*F$106)/100</f>
        <v>13.78626</v>
      </c>
      <c r="G223" s="251">
        <f t="shared" si="269"/>
        <v>13.583553749999998</v>
      </c>
      <c r="H223" s="249">
        <f t="shared" si="269"/>
        <v>12.967878461538465</v>
      </c>
      <c r="I223" s="1242">
        <f t="shared" si="269"/>
        <v>12.910017499999999</v>
      </c>
      <c r="J223" s="1212">
        <f t="shared" si="269"/>
        <v>10.105891254609931</v>
      </c>
      <c r="K223" s="251">
        <f t="shared" si="269"/>
        <v>9.6426862764009655</v>
      </c>
      <c r="L223" s="251">
        <f t="shared" si="269"/>
        <v>9.5151605832502497</v>
      </c>
      <c r="M223" s="251">
        <f t="shared" si="269"/>
        <v>9.2422239130434747</v>
      </c>
      <c r="N223" s="251">
        <f t="shared" si="269"/>
        <v>9.121837753088105</v>
      </c>
      <c r="O223" s="1267">
        <f t="shared" si="269"/>
        <v>9.3863599079710127</v>
      </c>
      <c r="P223" s="1212">
        <f t="shared" si="269"/>
        <v>9.3197137898550722</v>
      </c>
      <c r="Q223" s="251">
        <f t="shared" si="269"/>
        <v>9.1838631021739126</v>
      </c>
      <c r="R223" s="1267">
        <f t="shared" si="269"/>
        <v>9.1179440869565216</v>
      </c>
      <c r="S223" s="1212" t="e">
        <f t="shared" si="269"/>
        <v>#DIV/0!</v>
      </c>
      <c r="T223" s="251" t="e">
        <f t="shared" si="269"/>
        <v>#DIV/0!</v>
      </c>
      <c r="U223" s="251" t="e">
        <f t="shared" si="269"/>
        <v>#DIV/0!</v>
      </c>
      <c r="V223" s="251" t="e">
        <f t="shared" si="269"/>
        <v>#DIV/0!</v>
      </c>
      <c r="W223" s="251" t="e">
        <f t="shared" si="269"/>
        <v>#DIV/0!</v>
      </c>
      <c r="X223" s="1267" t="e">
        <f t="shared" si="269"/>
        <v>#DIV/0!</v>
      </c>
      <c r="Y223" s="1212" t="e">
        <f t="shared" si="269"/>
        <v>#DIV/0!</v>
      </c>
      <c r="Z223" s="251" t="e">
        <f t="shared" si="269"/>
        <v>#DIV/0!</v>
      </c>
      <c r="AA223" s="251" t="e">
        <f t="shared" si="269"/>
        <v>#DIV/0!</v>
      </c>
      <c r="AB223" s="251" t="e">
        <f t="shared" si="269"/>
        <v>#DIV/0!</v>
      </c>
      <c r="AC223" s="251" t="e">
        <f t="shared" si="269"/>
        <v>#DIV/0!</v>
      </c>
      <c r="AD223" s="251" t="e">
        <f t="shared" si="269"/>
        <v>#DIV/0!</v>
      </c>
      <c r="AE223" s="251" t="e">
        <f t="shared" si="269"/>
        <v>#DIV/0!</v>
      </c>
      <c r="AF223" s="251" t="e">
        <f t="shared" si="269"/>
        <v>#DIV/0!</v>
      </c>
      <c r="AG223" s="251" t="e">
        <f t="shared" si="269"/>
        <v>#DIV/0!</v>
      </c>
      <c r="AH223" s="323"/>
      <c r="AI223" s="232"/>
      <c r="AJ223" s="232"/>
      <c r="AK223" s="232"/>
      <c r="AL223" s="1236"/>
      <c r="AM223" s="643"/>
      <c r="AN223" s="232"/>
      <c r="AO223" s="232"/>
      <c r="AP223" s="232"/>
      <c r="AQ223" s="232"/>
      <c r="AR223" s="232"/>
      <c r="AS223" s="232"/>
      <c r="AT223" s="232"/>
      <c r="AU223" s="1236"/>
      <c r="AV223" s="643"/>
      <c r="AW223" s="232"/>
      <c r="AX223" s="232"/>
      <c r="AY223" s="232"/>
      <c r="AZ223" s="232"/>
      <c r="BA223" s="1236"/>
      <c r="BB223" s="643"/>
      <c r="BC223" s="232"/>
      <c r="BD223" s="232"/>
      <c r="BE223" s="232"/>
      <c r="BF223" s="232"/>
      <c r="BG223" s="232"/>
      <c r="BH223" s="232"/>
      <c r="BI223" s="232"/>
      <c r="BJ223" s="232"/>
      <c r="BK223" s="323"/>
      <c r="BL223" s="232"/>
      <c r="BM223" s="232"/>
      <c r="BN223" s="232"/>
      <c r="BO223" s="1236"/>
      <c r="BP223" s="643"/>
      <c r="BQ223" s="232"/>
      <c r="BR223" s="232"/>
      <c r="BS223" s="232"/>
      <c r="BT223" s="232"/>
      <c r="BU223" s="232"/>
      <c r="BV223" s="232"/>
      <c r="BW223" s="232"/>
      <c r="BX223" s="1236"/>
      <c r="BY223" s="643"/>
      <c r="BZ223" s="232"/>
      <c r="CA223" s="232"/>
      <c r="CB223" s="232"/>
      <c r="CC223" s="232"/>
      <c r="CD223" s="1236"/>
      <c r="CE223" s="643"/>
      <c r="CF223" s="232"/>
      <c r="CG223" s="232"/>
      <c r="CH223" s="232"/>
      <c r="CI223" s="232"/>
      <c r="CJ223" s="232"/>
      <c r="CK223" s="232"/>
      <c r="CL223" s="232"/>
      <c r="CM223" s="232"/>
      <c r="CN223" s="323"/>
      <c r="CO223" s="232"/>
      <c r="CP223" s="232"/>
      <c r="CQ223" s="232"/>
      <c r="CR223" s="1236"/>
      <c r="CS223" s="643"/>
      <c r="CT223" s="232"/>
      <c r="CU223" s="232"/>
      <c r="CV223" s="232"/>
      <c r="CW223" s="232"/>
      <c r="CX223" s="232"/>
      <c r="CY223" s="232"/>
      <c r="CZ223" s="232"/>
      <c r="DA223" s="1236"/>
      <c r="DB223" s="643"/>
      <c r="DC223" s="232"/>
      <c r="DD223" s="232"/>
      <c r="DE223" s="232"/>
      <c r="DF223" s="232"/>
      <c r="DG223" s="1236"/>
      <c r="DH223" s="643"/>
      <c r="DI223" s="232"/>
      <c r="DJ223" s="232"/>
      <c r="DK223" s="232"/>
      <c r="DL223" s="232"/>
      <c r="DM223" s="232"/>
      <c r="DN223" s="232"/>
      <c r="DO223" s="232"/>
      <c r="DP223" s="232"/>
      <c r="DQ223" s="323"/>
      <c r="DR223" s="238"/>
      <c r="DS223" s="232"/>
      <c r="DT223" s="232"/>
      <c r="DU223" s="232"/>
      <c r="DV223" s="1236"/>
      <c r="DW223" s="643"/>
      <c r="DX223" s="232"/>
      <c r="DY223" s="232"/>
      <c r="DZ223" s="232"/>
      <c r="EA223" s="232"/>
      <c r="EB223" s="232"/>
      <c r="EC223" s="232"/>
      <c r="ED223" s="232"/>
      <c r="EE223" s="1236"/>
      <c r="EF223" s="643"/>
      <c r="EG223" s="232"/>
      <c r="EH223" s="232"/>
      <c r="EI223" s="232"/>
      <c r="EJ223" s="232"/>
      <c r="EK223" s="1236"/>
      <c r="EL223" s="643"/>
      <c r="EM223" s="232"/>
      <c r="EN223" s="232"/>
      <c r="EO223" s="232"/>
      <c r="EP223" s="232"/>
      <c r="EQ223" s="232"/>
      <c r="ER223" s="232"/>
      <c r="ES223" s="232"/>
      <c r="ET223" s="232"/>
      <c r="EU223" s="323"/>
      <c r="EV223" s="232"/>
      <c r="EW223" s="232"/>
      <c r="EX223" s="232"/>
      <c r="EY223" s="1236"/>
      <c r="EZ223" s="643"/>
      <c r="FA223" s="232"/>
      <c r="FB223" s="232"/>
      <c r="FC223" s="232"/>
      <c r="FD223" s="232"/>
      <c r="FE223" s="232"/>
      <c r="FF223" s="232"/>
      <c r="FG223" s="232"/>
      <c r="FH223" s="1236"/>
      <c r="FI223" s="643"/>
      <c r="FJ223" s="232"/>
      <c r="FK223" s="232"/>
      <c r="FL223" s="232"/>
      <c r="FM223" s="232"/>
      <c r="FN223" s="1236"/>
      <c r="FO223" s="643"/>
      <c r="FP223" s="232"/>
      <c r="FQ223" s="232"/>
      <c r="FR223" s="232"/>
      <c r="FS223" s="232"/>
      <c r="FT223" s="232"/>
      <c r="FU223" s="232"/>
      <c r="FV223" s="232"/>
      <c r="FW223" s="232"/>
    </row>
    <row r="224" spans="3:179" x14ac:dyDescent="0.35">
      <c r="C224" s="1" t="s">
        <v>183</v>
      </c>
      <c r="F224" s="604">
        <f t="shared" ref="F224:AG224" si="270">F$223*$K$127/$G$127</f>
        <v>14.64790125</v>
      </c>
      <c r="G224" s="251">
        <f t="shared" si="270"/>
        <v>14.432525859374998</v>
      </c>
      <c r="H224" s="249">
        <f t="shared" si="270"/>
        <v>13.77837086538462</v>
      </c>
      <c r="I224" s="1242">
        <f t="shared" si="270"/>
        <v>13.716893593749999</v>
      </c>
      <c r="J224" s="1212">
        <f t="shared" si="270"/>
        <v>10.737509458023052</v>
      </c>
      <c r="K224" s="251">
        <f t="shared" si="270"/>
        <v>10.245354168676027</v>
      </c>
      <c r="L224" s="251">
        <f t="shared" si="270"/>
        <v>10.109858119703389</v>
      </c>
      <c r="M224" s="251">
        <f t="shared" si="270"/>
        <v>9.819862907608691</v>
      </c>
      <c r="N224" s="251">
        <f t="shared" si="270"/>
        <v>9.6919526126561113</v>
      </c>
      <c r="O224" s="1267">
        <f t="shared" si="270"/>
        <v>9.973007402219201</v>
      </c>
      <c r="P224" s="1212">
        <f t="shared" si="270"/>
        <v>9.902195901721015</v>
      </c>
      <c r="Q224" s="251">
        <f t="shared" si="270"/>
        <v>9.7578545460597823</v>
      </c>
      <c r="R224" s="1267">
        <f t="shared" si="270"/>
        <v>9.6878155923913045</v>
      </c>
      <c r="S224" s="1212" t="e">
        <f t="shared" si="270"/>
        <v>#DIV/0!</v>
      </c>
      <c r="T224" s="251" t="e">
        <f t="shared" si="270"/>
        <v>#DIV/0!</v>
      </c>
      <c r="U224" s="251" t="e">
        <f t="shared" si="270"/>
        <v>#DIV/0!</v>
      </c>
      <c r="V224" s="251" t="e">
        <f t="shared" si="270"/>
        <v>#DIV/0!</v>
      </c>
      <c r="W224" s="251" t="e">
        <f t="shared" si="270"/>
        <v>#DIV/0!</v>
      </c>
      <c r="X224" s="1267" t="e">
        <f t="shared" si="270"/>
        <v>#DIV/0!</v>
      </c>
      <c r="Y224" s="1212" t="e">
        <f t="shared" si="270"/>
        <v>#DIV/0!</v>
      </c>
      <c r="Z224" s="251" t="e">
        <f t="shared" si="270"/>
        <v>#DIV/0!</v>
      </c>
      <c r="AA224" s="251" t="e">
        <f t="shared" si="270"/>
        <v>#DIV/0!</v>
      </c>
      <c r="AB224" s="251" t="e">
        <f t="shared" si="270"/>
        <v>#DIV/0!</v>
      </c>
      <c r="AC224" s="251" t="e">
        <f t="shared" si="270"/>
        <v>#DIV/0!</v>
      </c>
      <c r="AD224" s="251" t="e">
        <f t="shared" si="270"/>
        <v>#DIV/0!</v>
      </c>
      <c r="AE224" s="251" t="e">
        <f t="shared" si="270"/>
        <v>#DIV/0!</v>
      </c>
      <c r="AF224" s="251" t="e">
        <f t="shared" si="270"/>
        <v>#DIV/0!</v>
      </c>
      <c r="AG224" s="251" t="e">
        <f t="shared" si="270"/>
        <v>#DIV/0!</v>
      </c>
    </row>
    <row r="225" spans="1:179" x14ac:dyDescent="0.35">
      <c r="C225" s="1" t="s">
        <v>216</v>
      </c>
      <c r="F225" s="604">
        <f t="shared" ref="F225:AG225" si="271">$I$127/$K$127*F$224</f>
        <v>0.86164125000000003</v>
      </c>
      <c r="G225" s="251">
        <f t="shared" si="271"/>
        <v>0.84897210937499989</v>
      </c>
      <c r="H225" s="251">
        <f t="shared" si="271"/>
        <v>0.81049240384615406</v>
      </c>
      <c r="I225" s="1267">
        <f t="shared" si="271"/>
        <v>0.80687609374999991</v>
      </c>
      <c r="J225" s="1212">
        <f t="shared" si="271"/>
        <v>0.63161820341312069</v>
      </c>
      <c r="K225" s="251">
        <f t="shared" si="271"/>
        <v>0.60266789227506035</v>
      </c>
      <c r="L225" s="251">
        <f t="shared" si="271"/>
        <v>0.5946975364531405</v>
      </c>
      <c r="M225" s="251">
        <f t="shared" si="271"/>
        <v>0.57763899456521706</v>
      </c>
      <c r="N225" s="251">
        <f t="shared" si="271"/>
        <v>0.57011485956800656</v>
      </c>
      <c r="O225" s="1267">
        <f t="shared" si="271"/>
        <v>0.58664749424818829</v>
      </c>
      <c r="P225" s="1212">
        <f t="shared" si="271"/>
        <v>0.58248211186594201</v>
      </c>
      <c r="Q225" s="251">
        <f t="shared" si="271"/>
        <v>0.57399144388586953</v>
      </c>
      <c r="R225" s="1267">
        <f t="shared" si="271"/>
        <v>0.5698715054347826</v>
      </c>
      <c r="S225" s="1212" t="e">
        <f t="shared" si="271"/>
        <v>#DIV/0!</v>
      </c>
      <c r="T225" s="251" t="e">
        <f t="shared" si="271"/>
        <v>#DIV/0!</v>
      </c>
      <c r="U225" s="251" t="e">
        <f t="shared" si="271"/>
        <v>#DIV/0!</v>
      </c>
      <c r="V225" s="251" t="e">
        <f t="shared" si="271"/>
        <v>#DIV/0!</v>
      </c>
      <c r="W225" s="251" t="e">
        <f t="shared" si="271"/>
        <v>#DIV/0!</v>
      </c>
      <c r="X225" s="1267" t="e">
        <f t="shared" si="271"/>
        <v>#DIV/0!</v>
      </c>
      <c r="Y225" s="1212" t="e">
        <f t="shared" si="271"/>
        <v>#DIV/0!</v>
      </c>
      <c r="Z225" s="251" t="e">
        <f t="shared" si="271"/>
        <v>#DIV/0!</v>
      </c>
      <c r="AA225" s="251" t="e">
        <f t="shared" si="271"/>
        <v>#DIV/0!</v>
      </c>
      <c r="AB225" s="251" t="e">
        <f t="shared" si="271"/>
        <v>#DIV/0!</v>
      </c>
      <c r="AC225" s="251" t="e">
        <f t="shared" si="271"/>
        <v>#DIV/0!</v>
      </c>
      <c r="AD225" s="251" t="e">
        <f t="shared" si="271"/>
        <v>#DIV/0!</v>
      </c>
      <c r="AE225" s="251" t="e">
        <f t="shared" si="271"/>
        <v>#DIV/0!</v>
      </c>
      <c r="AF225" s="251" t="e">
        <f t="shared" si="271"/>
        <v>#DIV/0!</v>
      </c>
      <c r="AG225" s="251" t="e">
        <f t="shared" si="271"/>
        <v>#DIV/0!</v>
      </c>
    </row>
    <row r="226" spans="1:179" x14ac:dyDescent="0.35">
      <c r="C226" s="1" t="s">
        <v>205</v>
      </c>
      <c r="F226" s="604">
        <f t="shared" ref="F226:AG226" si="272">(F$218*F$107)/100</f>
        <v>0.439624745106383</v>
      </c>
      <c r="G226" s="251">
        <f t="shared" si="272"/>
        <v>0.45581311208333347</v>
      </c>
      <c r="H226" s="251">
        <f t="shared" si="272"/>
        <v>0.38126674012820516</v>
      </c>
      <c r="I226" s="1267">
        <f t="shared" si="272"/>
        <v>0.3970596906999998</v>
      </c>
      <c r="J226" s="1212">
        <f t="shared" si="272"/>
        <v>0.41253239070921988</v>
      </c>
      <c r="K226" s="251">
        <f t="shared" si="272"/>
        <v>0.37922855015700463</v>
      </c>
      <c r="L226" s="251">
        <f t="shared" si="272"/>
        <v>0.34966428499189933</v>
      </c>
      <c r="M226" s="251">
        <f t="shared" si="272"/>
        <v>0.36360446956521747</v>
      </c>
      <c r="N226" s="251">
        <f t="shared" si="272"/>
        <v>0.35478505878157968</v>
      </c>
      <c r="O226" s="1267">
        <f t="shared" si="272"/>
        <v>0.37796762695652175</v>
      </c>
      <c r="P226" s="1212">
        <f t="shared" si="272"/>
        <v>0.34463975228260862</v>
      </c>
      <c r="Q226" s="251">
        <f t="shared" si="272"/>
        <v>0.37011442326086952</v>
      </c>
      <c r="R226" s="1267">
        <f t="shared" si="272"/>
        <v>0.35440969293478247</v>
      </c>
      <c r="S226" s="1212" t="e">
        <f t="shared" si="272"/>
        <v>#DIV/0!</v>
      </c>
      <c r="T226" s="251" t="e">
        <f t="shared" si="272"/>
        <v>#DIV/0!</v>
      </c>
      <c r="U226" s="251" t="e">
        <f t="shared" si="272"/>
        <v>#DIV/0!</v>
      </c>
      <c r="V226" s="251" t="e">
        <f t="shared" si="272"/>
        <v>#DIV/0!</v>
      </c>
      <c r="W226" s="251" t="e">
        <f t="shared" si="272"/>
        <v>#DIV/0!</v>
      </c>
      <c r="X226" s="1267" t="e">
        <f t="shared" si="272"/>
        <v>#DIV/0!</v>
      </c>
      <c r="Y226" s="1212" t="e">
        <f t="shared" si="272"/>
        <v>#DIV/0!</v>
      </c>
      <c r="Z226" s="251" t="e">
        <f t="shared" si="272"/>
        <v>#DIV/0!</v>
      </c>
      <c r="AA226" s="251" t="e">
        <f t="shared" si="272"/>
        <v>#DIV/0!</v>
      </c>
      <c r="AB226" s="251" t="e">
        <f t="shared" si="272"/>
        <v>#DIV/0!</v>
      </c>
      <c r="AC226" s="251" t="e">
        <f t="shared" si="272"/>
        <v>#DIV/0!</v>
      </c>
      <c r="AD226" s="251" t="e">
        <f t="shared" si="272"/>
        <v>#DIV/0!</v>
      </c>
      <c r="AE226" s="251" t="e">
        <f t="shared" si="272"/>
        <v>#DIV/0!</v>
      </c>
      <c r="AF226" s="251" t="e">
        <f t="shared" si="272"/>
        <v>#DIV/0!</v>
      </c>
      <c r="AG226" s="251" t="e">
        <f t="shared" si="272"/>
        <v>#DIV/0!</v>
      </c>
    </row>
    <row r="227" spans="1:179" x14ac:dyDescent="0.35">
      <c r="C227" s="1" t="s">
        <v>184</v>
      </c>
      <c r="F227" s="604">
        <f t="shared" ref="F227:AG227" si="273">F$226*$K$128/$G$128</f>
        <v>0.5338300476291794</v>
      </c>
      <c r="G227" s="251">
        <f t="shared" si="273"/>
        <v>0.553487350386905</v>
      </c>
      <c r="H227" s="251">
        <f t="shared" si="273"/>
        <v>0.46296675586996339</v>
      </c>
      <c r="I227" s="1267">
        <f t="shared" si="273"/>
        <v>0.48214391013571406</v>
      </c>
      <c r="J227" s="1212">
        <f t="shared" si="273"/>
        <v>0.50093218871833844</v>
      </c>
      <c r="K227" s="251">
        <f t="shared" si="273"/>
        <v>0.46049181090493418</v>
      </c>
      <c r="L227" s="251">
        <f t="shared" si="273"/>
        <v>0.42459234606159202</v>
      </c>
      <c r="M227" s="251">
        <f t="shared" si="273"/>
        <v>0.44151971304347837</v>
      </c>
      <c r="N227" s="251">
        <f t="shared" si="273"/>
        <v>0.43081042852048956</v>
      </c>
      <c r="O227" s="1267">
        <f t="shared" si="273"/>
        <v>0.45896068987577643</v>
      </c>
      <c r="P227" s="1212">
        <f t="shared" si="273"/>
        <v>0.41849112777173902</v>
      </c>
      <c r="Q227" s="251">
        <f t="shared" si="273"/>
        <v>0.44942465681677007</v>
      </c>
      <c r="R227" s="1267">
        <f t="shared" si="273"/>
        <v>0.43035462713509304</v>
      </c>
      <c r="S227" s="1212" t="e">
        <f t="shared" si="273"/>
        <v>#DIV/0!</v>
      </c>
      <c r="T227" s="251" t="e">
        <f t="shared" si="273"/>
        <v>#DIV/0!</v>
      </c>
      <c r="U227" s="251" t="e">
        <f t="shared" si="273"/>
        <v>#DIV/0!</v>
      </c>
      <c r="V227" s="251" t="e">
        <f t="shared" si="273"/>
        <v>#DIV/0!</v>
      </c>
      <c r="W227" s="251" t="e">
        <f t="shared" si="273"/>
        <v>#DIV/0!</v>
      </c>
      <c r="X227" s="1267" t="e">
        <f t="shared" si="273"/>
        <v>#DIV/0!</v>
      </c>
      <c r="Y227" s="1212" t="e">
        <f t="shared" si="273"/>
        <v>#DIV/0!</v>
      </c>
      <c r="Z227" s="251" t="e">
        <f t="shared" si="273"/>
        <v>#DIV/0!</v>
      </c>
      <c r="AA227" s="251" t="e">
        <f t="shared" si="273"/>
        <v>#DIV/0!</v>
      </c>
      <c r="AB227" s="251" t="e">
        <f t="shared" si="273"/>
        <v>#DIV/0!</v>
      </c>
      <c r="AC227" s="251" t="e">
        <f t="shared" si="273"/>
        <v>#DIV/0!</v>
      </c>
      <c r="AD227" s="251" t="e">
        <f t="shared" si="273"/>
        <v>#DIV/0!</v>
      </c>
      <c r="AE227" s="251" t="e">
        <f t="shared" si="273"/>
        <v>#DIV/0!</v>
      </c>
      <c r="AF227" s="251" t="e">
        <f t="shared" si="273"/>
        <v>#DIV/0!</v>
      </c>
      <c r="AG227" s="251" t="e">
        <f t="shared" si="273"/>
        <v>#DIV/0!</v>
      </c>
    </row>
    <row r="228" spans="1:179" x14ac:dyDescent="0.35">
      <c r="C228" s="1" t="s">
        <v>217</v>
      </c>
      <c r="F228" s="604">
        <f t="shared" ref="F228:AG228" si="274">$I$128/$K$128*F$227</f>
        <v>9.4205302522796366E-2</v>
      </c>
      <c r="G228" s="251">
        <f t="shared" si="274"/>
        <v>9.767423830357147E-2</v>
      </c>
      <c r="H228" s="251">
        <f t="shared" si="274"/>
        <v>8.1700015741758253E-2</v>
      </c>
      <c r="I228" s="1267">
        <f t="shared" si="274"/>
        <v>8.5084219435714245E-2</v>
      </c>
      <c r="J228" s="1212">
        <f t="shared" si="274"/>
        <v>8.8399798009118555E-2</v>
      </c>
      <c r="K228" s="251">
        <f t="shared" si="274"/>
        <v>8.1263260747929569E-2</v>
      </c>
      <c r="L228" s="251">
        <f t="shared" si="274"/>
        <v>7.4928061069692714E-2</v>
      </c>
      <c r="M228" s="251">
        <f t="shared" si="274"/>
        <v>7.7915243478260898E-2</v>
      </c>
      <c r="N228" s="251">
        <f t="shared" si="274"/>
        <v>7.6025369738909929E-2</v>
      </c>
      <c r="O228" s="1267">
        <f t="shared" si="274"/>
        <v>8.0993062919254663E-2</v>
      </c>
      <c r="P228" s="1212">
        <f t="shared" si="274"/>
        <v>7.3851375489130427E-2</v>
      </c>
      <c r="Q228" s="251">
        <f t="shared" si="274"/>
        <v>7.9310233555900611E-2</v>
      </c>
      <c r="R228" s="1267">
        <f t="shared" si="274"/>
        <v>7.5944934200310538E-2</v>
      </c>
      <c r="S228" s="1212" t="e">
        <f t="shared" si="274"/>
        <v>#DIV/0!</v>
      </c>
      <c r="T228" s="251" t="e">
        <f t="shared" si="274"/>
        <v>#DIV/0!</v>
      </c>
      <c r="U228" s="251" t="e">
        <f t="shared" si="274"/>
        <v>#DIV/0!</v>
      </c>
      <c r="V228" s="251" t="e">
        <f t="shared" si="274"/>
        <v>#DIV/0!</v>
      </c>
      <c r="W228" s="251" t="e">
        <f t="shared" si="274"/>
        <v>#DIV/0!</v>
      </c>
      <c r="X228" s="1267" t="e">
        <f t="shared" si="274"/>
        <v>#DIV/0!</v>
      </c>
      <c r="Y228" s="1212" t="e">
        <f t="shared" si="274"/>
        <v>#DIV/0!</v>
      </c>
      <c r="Z228" s="251" t="e">
        <f t="shared" si="274"/>
        <v>#DIV/0!</v>
      </c>
      <c r="AA228" s="251" t="e">
        <f t="shared" si="274"/>
        <v>#DIV/0!</v>
      </c>
      <c r="AB228" s="251" t="e">
        <f t="shared" si="274"/>
        <v>#DIV/0!</v>
      </c>
      <c r="AC228" s="251" t="e">
        <f t="shared" si="274"/>
        <v>#DIV/0!</v>
      </c>
      <c r="AD228" s="251" t="e">
        <f t="shared" si="274"/>
        <v>#DIV/0!</v>
      </c>
      <c r="AE228" s="251" t="e">
        <f t="shared" si="274"/>
        <v>#DIV/0!</v>
      </c>
      <c r="AF228" s="251" t="e">
        <f t="shared" si="274"/>
        <v>#DIV/0!</v>
      </c>
      <c r="AG228" s="251" t="e">
        <f t="shared" si="274"/>
        <v>#DIV/0!</v>
      </c>
    </row>
    <row r="229" spans="1:179" s="368" customFormat="1" ht="13.15" customHeight="1" thickBot="1" x14ac:dyDescent="0.4">
      <c r="C229" s="364"/>
      <c r="D229" s="364"/>
      <c r="E229" s="364"/>
      <c r="F229" s="1027"/>
      <c r="G229" s="365"/>
      <c r="H229" s="365"/>
      <c r="I229" s="1234"/>
      <c r="J229" s="1182"/>
      <c r="K229" s="365"/>
      <c r="L229" s="365"/>
      <c r="M229" s="365"/>
      <c r="N229" s="365"/>
      <c r="O229" s="1234"/>
      <c r="P229" s="1182"/>
      <c r="Q229" s="365"/>
      <c r="R229" s="1234"/>
      <c r="S229" s="1182"/>
      <c r="T229" s="365"/>
      <c r="U229" s="365"/>
      <c r="V229" s="365"/>
      <c r="W229" s="365"/>
      <c r="X229" s="1234"/>
      <c r="Y229" s="1182"/>
      <c r="Z229" s="365"/>
      <c r="AA229" s="365"/>
      <c r="AB229" s="365"/>
      <c r="AC229" s="365"/>
      <c r="AD229" s="365"/>
      <c r="AE229" s="365"/>
      <c r="AF229" s="365"/>
      <c r="AG229" s="365"/>
      <c r="AH229" s="323"/>
      <c r="AI229" s="232"/>
      <c r="AJ229" s="232"/>
      <c r="AK229" s="232"/>
      <c r="AL229" s="1236"/>
      <c r="AM229" s="643"/>
      <c r="AN229" s="232"/>
      <c r="AO229" s="232"/>
      <c r="AP229" s="232"/>
      <c r="AQ229" s="232"/>
      <c r="AR229" s="232"/>
      <c r="AS229" s="232"/>
      <c r="AT229" s="232"/>
      <c r="AU229" s="1236"/>
      <c r="AV229" s="643"/>
      <c r="AW229" s="232"/>
      <c r="AX229" s="232"/>
      <c r="AY229" s="232"/>
      <c r="AZ229" s="232"/>
      <c r="BA229" s="1236"/>
      <c r="BB229" s="643"/>
      <c r="BC229" s="232"/>
      <c r="BD229" s="232"/>
      <c r="BE229" s="232"/>
      <c r="BF229" s="232"/>
      <c r="BG229" s="232"/>
      <c r="BH229" s="232"/>
      <c r="BI229" s="232"/>
      <c r="BJ229" s="232"/>
      <c r="BK229" s="323"/>
      <c r="BL229" s="232"/>
      <c r="BM229" s="232"/>
      <c r="BN229" s="232"/>
      <c r="BO229" s="1236"/>
      <c r="BP229" s="643"/>
      <c r="BQ229" s="232"/>
      <c r="BR229" s="232"/>
      <c r="BS229" s="232"/>
      <c r="BT229" s="232"/>
      <c r="BU229" s="232"/>
      <c r="BV229" s="232"/>
      <c r="BW229" s="232"/>
      <c r="BX229" s="1236"/>
      <c r="BY229" s="643"/>
      <c r="BZ229" s="232"/>
      <c r="CA229" s="232"/>
      <c r="CB229" s="232"/>
      <c r="CC229" s="232"/>
      <c r="CD229" s="1236"/>
      <c r="CE229" s="643"/>
      <c r="CF229" s="232"/>
      <c r="CG229" s="232"/>
      <c r="CH229" s="232"/>
      <c r="CI229" s="232"/>
      <c r="CJ229" s="232"/>
      <c r="CK229" s="232"/>
      <c r="CL229" s="232"/>
      <c r="CM229" s="232"/>
      <c r="CN229" s="323"/>
      <c r="CO229" s="232"/>
      <c r="CP229" s="232"/>
      <c r="CQ229" s="232"/>
      <c r="CR229" s="1236"/>
      <c r="CS229" s="643"/>
      <c r="CT229" s="232"/>
      <c r="CU229" s="232"/>
      <c r="CV229" s="232"/>
      <c r="CW229" s="232"/>
      <c r="CX229" s="232"/>
      <c r="CY229" s="232"/>
      <c r="CZ229" s="232"/>
      <c r="DA229" s="1236"/>
      <c r="DB229" s="643"/>
      <c r="DC229" s="232"/>
      <c r="DD229" s="232"/>
      <c r="DE229" s="232"/>
      <c r="DF229" s="232"/>
      <c r="DG229" s="1236"/>
      <c r="DH229" s="643"/>
      <c r="DI229" s="232"/>
      <c r="DJ229" s="232"/>
      <c r="DK229" s="232"/>
      <c r="DL229" s="232"/>
      <c r="DM229" s="232"/>
      <c r="DN229" s="232"/>
      <c r="DO229" s="232"/>
      <c r="DP229" s="232"/>
      <c r="DQ229" s="323"/>
      <c r="DR229" s="238"/>
      <c r="DS229" s="232"/>
      <c r="DT229" s="232"/>
      <c r="DU229" s="232"/>
      <c r="DV229" s="1236"/>
      <c r="DW229" s="643"/>
      <c r="DX229" s="232"/>
      <c r="DY229" s="232"/>
      <c r="DZ229" s="232"/>
      <c r="EA229" s="232"/>
      <c r="EB229" s="232"/>
      <c r="EC229" s="232"/>
      <c r="ED229" s="232"/>
      <c r="EE229" s="1236"/>
      <c r="EF229" s="643"/>
      <c r="EG229" s="232"/>
      <c r="EH229" s="232"/>
      <c r="EI229" s="232"/>
      <c r="EJ229" s="232"/>
      <c r="EK229" s="1236"/>
      <c r="EL229" s="643"/>
      <c r="EM229" s="232"/>
      <c r="EN229" s="232"/>
      <c r="EO229" s="232"/>
      <c r="EP229" s="232"/>
      <c r="EQ229" s="232"/>
      <c r="ER229" s="232"/>
      <c r="ES229" s="232"/>
      <c r="ET229" s="232"/>
      <c r="EU229" s="323"/>
      <c r="EV229" s="232"/>
      <c r="EW229" s="232"/>
      <c r="EX229" s="232"/>
      <c r="EY229" s="1236"/>
      <c r="EZ229" s="643"/>
      <c r="FA229" s="232"/>
      <c r="FB229" s="232"/>
      <c r="FC229" s="232"/>
      <c r="FD229" s="232"/>
      <c r="FE229" s="232"/>
      <c r="FF229" s="232"/>
      <c r="FG229" s="232"/>
      <c r="FH229" s="1236"/>
      <c r="FI229" s="643"/>
      <c r="FJ229" s="232"/>
      <c r="FK229" s="232"/>
      <c r="FL229" s="232"/>
      <c r="FM229" s="232"/>
      <c r="FN229" s="1236"/>
      <c r="FO229" s="643"/>
      <c r="FP229" s="232"/>
      <c r="FQ229" s="232"/>
      <c r="FR229" s="232"/>
      <c r="FS229" s="232"/>
      <c r="FT229" s="232"/>
      <c r="FU229" s="232"/>
      <c r="FV229" s="232"/>
      <c r="FW229" s="232"/>
    </row>
    <row r="230" spans="1:179" ht="15" thickTop="1" x14ac:dyDescent="0.35">
      <c r="C230" s="523" t="s">
        <v>322</v>
      </c>
      <c r="D230" s="523"/>
      <c r="E230" s="523"/>
      <c r="F230" s="2674">
        <f t="shared" ref="F230:V230" si="275">100*(F$113-(AI$113+BL$113))/F$113</f>
        <v>54.319879670531634</v>
      </c>
      <c r="G230" s="2183">
        <f t="shared" si="275"/>
        <v>52.147203807922267</v>
      </c>
      <c r="H230" s="2183">
        <f t="shared" si="275"/>
        <v>49.477786017117467</v>
      </c>
      <c r="I230" s="2675">
        <f t="shared" si="275"/>
        <v>49.272730566014246</v>
      </c>
      <c r="J230" s="1331">
        <f t="shared" si="275"/>
        <v>78.552417199708088</v>
      </c>
      <c r="K230" s="314">
        <f t="shared" si="275"/>
        <v>78.400462920135425</v>
      </c>
      <c r="L230" s="314">
        <f t="shared" si="275"/>
        <v>75.658491414669342</v>
      </c>
      <c r="M230" s="314">
        <f t="shared" si="275"/>
        <v>74.518313571684345</v>
      </c>
      <c r="N230" s="314">
        <f t="shared" si="275"/>
        <v>73.468038731480178</v>
      </c>
      <c r="O230" s="1334">
        <f t="shared" si="275"/>
        <v>72.979876659450639</v>
      </c>
      <c r="P230" s="1331">
        <f t="shared" si="275"/>
        <v>72.10174054834097</v>
      </c>
      <c r="Q230" s="314">
        <f t="shared" si="275"/>
        <v>70.403480504793393</v>
      </c>
      <c r="R230" s="1330">
        <f t="shared" si="275"/>
        <v>70.875527144471249</v>
      </c>
      <c r="S230" s="1340" t="e">
        <f t="shared" si="275"/>
        <v>#DIV/0!</v>
      </c>
      <c r="T230" s="482" t="e">
        <f t="shared" si="275"/>
        <v>#DIV/0!</v>
      </c>
      <c r="U230" s="482" t="e">
        <f t="shared" si="275"/>
        <v>#DIV/0!</v>
      </c>
      <c r="V230" s="482" t="e">
        <f t="shared" si="275"/>
        <v>#DIV/0!</v>
      </c>
      <c r="W230" s="482" t="e">
        <f t="shared" ref="W230:AD230" si="276">100*(W$113-(AZ$113+CN$113))/W$113</f>
        <v>#DIV/0!</v>
      </c>
      <c r="X230" s="1339" t="e">
        <f t="shared" si="276"/>
        <v>#DIV/0!</v>
      </c>
      <c r="Y230" s="1340" t="e">
        <f t="shared" si="276"/>
        <v>#DIV/0!</v>
      </c>
      <c r="Z230" s="482" t="e">
        <f t="shared" si="276"/>
        <v>#DIV/0!</v>
      </c>
      <c r="AA230" s="482" t="e">
        <f t="shared" si="276"/>
        <v>#DIV/0!</v>
      </c>
      <c r="AB230" s="482" t="e">
        <f t="shared" si="276"/>
        <v>#DIV/0!</v>
      </c>
      <c r="AC230" s="482" t="e">
        <f t="shared" si="276"/>
        <v>#DIV/0!</v>
      </c>
      <c r="AD230" s="482" t="e">
        <f t="shared" si="276"/>
        <v>#DIV/0!</v>
      </c>
      <c r="AE230" s="482" t="e">
        <f>100*(AE$113-(BK$113+CV$113))/AE$113</f>
        <v>#DIV/0!</v>
      </c>
      <c r="AF230" s="482" t="e">
        <f>100*(AF$113-(BL$113+CW$113))/AF$113</f>
        <v>#DIV/0!</v>
      </c>
      <c r="AG230" s="482" t="e">
        <f>100*(AG$113-(BM$113+CX$113))/AG$113</f>
        <v>#DIV/0!</v>
      </c>
      <c r="AI230" s="240" t="s">
        <v>1121</v>
      </c>
      <c r="AJ230" s="2667">
        <f>AVERAGE(N230:P230)</f>
        <v>72.849885313090581</v>
      </c>
      <c r="AN230" s="915"/>
      <c r="AO230" s="915"/>
      <c r="AP230" s="915"/>
      <c r="BL230" s="267"/>
    </row>
    <row r="231" spans="1:179" x14ac:dyDescent="0.35">
      <c r="C231" s="452" t="s">
        <v>917</v>
      </c>
      <c r="D231" s="452"/>
      <c r="E231" s="452"/>
      <c r="F231" s="1059">
        <v>56</v>
      </c>
      <c r="G231" s="481">
        <v>50</v>
      </c>
      <c r="H231" s="481">
        <v>49</v>
      </c>
      <c r="I231" s="1282">
        <v>48</v>
      </c>
      <c r="J231" s="1225">
        <v>70</v>
      </c>
      <c r="K231" s="243">
        <v>69</v>
      </c>
      <c r="L231" s="243">
        <v>66</v>
      </c>
      <c r="M231" s="243">
        <v>66.5</v>
      </c>
      <c r="N231" s="243">
        <v>65.5</v>
      </c>
      <c r="O231" s="1282">
        <v>64.400000000000006</v>
      </c>
      <c r="P231" s="1225"/>
      <c r="Q231" s="243"/>
      <c r="R231" s="1282"/>
      <c r="S231" s="1225"/>
      <c r="T231" s="243"/>
      <c r="U231" s="243"/>
      <c r="AI231" s="240" t="s">
        <v>1120</v>
      </c>
      <c r="AJ231" s="2667">
        <f>AVERAGE(N232:P232)</f>
        <v>72.653338788026289</v>
      </c>
      <c r="AN231" s="479"/>
      <c r="AO231" s="479"/>
      <c r="AP231" s="479"/>
    </row>
    <row r="232" spans="1:179" s="2325" customFormat="1" x14ac:dyDescent="0.35">
      <c r="C232" s="2356" t="s">
        <v>969</v>
      </c>
      <c r="D232" s="2356"/>
      <c r="E232" s="2356"/>
      <c r="F232" s="2357"/>
      <c r="G232" s="2358"/>
      <c r="H232" s="2358"/>
      <c r="I232" s="2359"/>
      <c r="J232" s="2360"/>
      <c r="K232" s="2358">
        <v>77.802772812270902</v>
      </c>
      <c r="L232" s="2358">
        <v>75.674791281786369</v>
      </c>
      <c r="M232" s="2358">
        <v>74.354415574444744</v>
      </c>
      <c r="N232" s="2358">
        <v>72.67274937072041</v>
      </c>
      <c r="O232" s="2359">
        <v>72.579390389567365</v>
      </c>
      <c r="P232" s="2360">
        <v>72.707876603791064</v>
      </c>
      <c r="Q232" s="2358"/>
      <c r="R232" s="2359"/>
      <c r="S232" s="2360"/>
      <c r="T232" s="2358"/>
      <c r="U232" s="2358"/>
      <c r="V232" s="2331"/>
      <c r="W232" s="2331"/>
      <c r="X232" s="2332"/>
      <c r="Y232" s="2333"/>
      <c r="Z232" s="2331"/>
      <c r="AA232" s="2331"/>
      <c r="AB232" s="2331"/>
      <c r="AC232" s="2331"/>
      <c r="AD232" s="2331"/>
      <c r="AE232" s="2331"/>
      <c r="AF232" s="2331"/>
      <c r="AG232" s="2331"/>
      <c r="AH232" s="323"/>
      <c r="AI232" s="2342" t="s">
        <v>608</v>
      </c>
      <c r="AJ232" s="2669">
        <f>AVERAGEA(N233:P233)</f>
        <v>70.266666666666666</v>
      </c>
      <c r="AK232" s="2331"/>
      <c r="AL232" s="2332"/>
      <c r="AM232" s="2333"/>
      <c r="AN232" s="2361"/>
      <c r="AO232" s="2361"/>
      <c r="AP232" s="2361"/>
      <c r="AQ232" s="2331"/>
      <c r="AR232" s="2331"/>
      <c r="AS232" s="2331"/>
      <c r="AT232" s="2331"/>
      <c r="AU232" s="2332"/>
      <c r="AV232" s="2333"/>
      <c r="AW232" s="2331"/>
      <c r="AX232" s="2331"/>
      <c r="AY232" s="2331"/>
      <c r="AZ232" s="2331"/>
      <c r="BA232" s="2332"/>
      <c r="BB232" s="2333"/>
      <c r="BC232" s="2331"/>
      <c r="BD232" s="2331"/>
      <c r="BE232" s="2331"/>
      <c r="BF232" s="2331"/>
      <c r="BG232" s="2331"/>
      <c r="BH232" s="2331"/>
      <c r="BI232" s="2331"/>
      <c r="BJ232" s="2331"/>
      <c r="BK232" s="323"/>
      <c r="BL232" s="2331"/>
      <c r="BM232" s="2331"/>
      <c r="BN232" s="2331"/>
      <c r="BO232" s="2332"/>
      <c r="BP232" s="2333"/>
      <c r="BQ232" s="2331"/>
      <c r="BR232" s="2331"/>
      <c r="BS232" s="2331"/>
      <c r="BT232" s="2331"/>
      <c r="BU232" s="2331"/>
      <c r="BV232" s="2331"/>
      <c r="BW232" s="2331"/>
      <c r="BX232" s="2332"/>
      <c r="BY232" s="2333"/>
      <c r="BZ232" s="2331"/>
      <c r="CA232" s="2331"/>
      <c r="CB232" s="2331"/>
      <c r="CC232" s="2331"/>
      <c r="CD232" s="2332"/>
      <c r="CE232" s="2333"/>
      <c r="CF232" s="2331"/>
      <c r="CG232" s="2331"/>
      <c r="CH232" s="2331"/>
      <c r="CI232" s="2331"/>
      <c r="CJ232" s="2331"/>
      <c r="CK232" s="2331"/>
      <c r="CL232" s="2331"/>
      <c r="CM232" s="2331"/>
      <c r="CN232" s="323"/>
      <c r="CO232" s="2331"/>
      <c r="CP232" s="2331"/>
      <c r="CQ232" s="2331"/>
      <c r="CR232" s="2332"/>
      <c r="CS232" s="2333"/>
      <c r="CT232" s="2331"/>
      <c r="CU232" s="2331"/>
      <c r="CV232" s="2331"/>
      <c r="CW232" s="2331"/>
      <c r="CX232" s="2331"/>
      <c r="CY232" s="2331"/>
      <c r="CZ232" s="2331"/>
      <c r="DA232" s="2332"/>
      <c r="DB232" s="2333"/>
      <c r="DC232" s="2331"/>
      <c r="DD232" s="2331"/>
      <c r="DE232" s="2331"/>
      <c r="DF232" s="2331"/>
      <c r="DG232" s="2332"/>
      <c r="DH232" s="2333"/>
      <c r="DI232" s="2331"/>
      <c r="DJ232" s="2331"/>
      <c r="DK232" s="2331"/>
      <c r="DL232" s="2331"/>
      <c r="DM232" s="2331"/>
      <c r="DN232" s="2331"/>
      <c r="DO232" s="2331"/>
      <c r="DP232" s="2331"/>
      <c r="DQ232" s="323"/>
      <c r="DR232" s="2338"/>
      <c r="DS232" s="2331"/>
      <c r="DT232" s="2331"/>
      <c r="DU232" s="2331"/>
      <c r="DV232" s="2332"/>
      <c r="DW232" s="2333"/>
      <c r="DX232" s="2331"/>
      <c r="DY232" s="2331"/>
      <c r="DZ232" s="2331"/>
      <c r="EA232" s="2331"/>
      <c r="EB232" s="2331"/>
      <c r="EC232" s="2331"/>
      <c r="ED232" s="2331"/>
      <c r="EE232" s="2332"/>
      <c r="EF232" s="2333"/>
      <c r="EG232" s="2331"/>
      <c r="EH232" s="2331"/>
      <c r="EI232" s="2331"/>
      <c r="EJ232" s="2331"/>
      <c r="EK232" s="2332"/>
      <c r="EL232" s="2333"/>
      <c r="EM232" s="2331"/>
      <c r="EN232" s="2331"/>
      <c r="EO232" s="2331"/>
      <c r="EP232" s="2331"/>
      <c r="EQ232" s="2331"/>
      <c r="ER232" s="2331"/>
      <c r="ES232" s="2331"/>
      <c r="ET232" s="2331"/>
      <c r="EU232" s="323"/>
      <c r="EV232" s="2331"/>
      <c r="EW232" s="2331"/>
      <c r="EX232" s="2331"/>
      <c r="EY232" s="2332"/>
      <c r="EZ232" s="2333"/>
      <c r="FA232" s="2331"/>
      <c r="FB232" s="2331"/>
      <c r="FC232" s="2331"/>
      <c r="FD232" s="2331"/>
      <c r="FE232" s="2331"/>
      <c r="FF232" s="2331"/>
      <c r="FG232" s="2331"/>
      <c r="FH232" s="2332"/>
      <c r="FI232" s="2333"/>
      <c r="FJ232" s="2331"/>
      <c r="FK232" s="2331"/>
      <c r="FL232" s="2331"/>
      <c r="FM232" s="2331"/>
      <c r="FN232" s="2332"/>
      <c r="FO232" s="2333"/>
      <c r="FP232" s="2331"/>
      <c r="FQ232" s="2331"/>
      <c r="FR232" s="2331"/>
      <c r="FS232" s="2331"/>
      <c r="FT232" s="2331"/>
      <c r="FU232" s="2331"/>
      <c r="FV232" s="2331"/>
      <c r="FW232" s="2331"/>
    </row>
    <row r="233" spans="1:179" s="2315" customFormat="1" x14ac:dyDescent="0.35">
      <c r="C233" s="2362" t="s">
        <v>964</v>
      </c>
      <c r="D233" s="2362"/>
      <c r="E233" s="2362"/>
      <c r="F233" s="2363">
        <v>51.4</v>
      </c>
      <c r="G233" s="2364">
        <v>49.3</v>
      </c>
      <c r="H233" s="2364">
        <v>48.5</v>
      </c>
      <c r="I233" s="2365">
        <v>48.4</v>
      </c>
      <c r="J233" s="2366">
        <v>75.900000000000006</v>
      </c>
      <c r="K233" s="2364">
        <v>74.5</v>
      </c>
      <c r="L233" s="2364">
        <v>72.2</v>
      </c>
      <c r="M233" s="2364">
        <v>71.400000000000006</v>
      </c>
      <c r="N233" s="2364">
        <v>71.099999999999994</v>
      </c>
      <c r="O233" s="2365">
        <v>70</v>
      </c>
      <c r="P233" s="2366">
        <v>69.7</v>
      </c>
      <c r="Q233" s="2364"/>
      <c r="R233" s="2365"/>
      <c r="S233" s="2366"/>
      <c r="T233" s="2364"/>
      <c r="U233" s="2364"/>
      <c r="V233" s="2303"/>
      <c r="W233" s="2303"/>
      <c r="X233" s="2304"/>
      <c r="Y233" s="2305"/>
      <c r="Z233" s="2303"/>
      <c r="AA233" s="2303"/>
      <c r="AB233" s="2303"/>
      <c r="AC233" s="2303"/>
      <c r="AD233" s="2303"/>
      <c r="AE233" s="2303"/>
      <c r="AF233" s="2303"/>
      <c r="AG233" s="2303"/>
      <c r="AH233" s="323"/>
      <c r="AI233" s="2303"/>
      <c r="AJ233" s="2303"/>
      <c r="AK233" s="2303"/>
      <c r="AL233" s="2304"/>
      <c r="AM233" s="2305"/>
      <c r="AN233" s="2367"/>
      <c r="AO233" s="2367"/>
      <c r="AP233" s="2367"/>
      <c r="AQ233" s="2303"/>
      <c r="AR233" s="2303"/>
      <c r="AS233" s="2303"/>
      <c r="AT233" s="2303"/>
      <c r="AU233" s="2304"/>
      <c r="AV233" s="2305"/>
      <c r="AW233" s="2303"/>
      <c r="AX233" s="2303"/>
      <c r="AY233" s="2303"/>
      <c r="AZ233" s="2303"/>
      <c r="BA233" s="2304"/>
      <c r="BB233" s="2305"/>
      <c r="BC233" s="2303"/>
      <c r="BD233" s="2303"/>
      <c r="BE233" s="2303"/>
      <c r="BF233" s="2303"/>
      <c r="BG233" s="2303"/>
      <c r="BH233" s="2303"/>
      <c r="BI233" s="2303"/>
      <c r="BJ233" s="2303"/>
      <c r="BK233" s="323"/>
      <c r="BL233" s="2303"/>
      <c r="BM233" s="2303"/>
      <c r="BN233" s="2303"/>
      <c r="BO233" s="2304"/>
      <c r="BP233" s="2305"/>
      <c r="BQ233" s="2303"/>
      <c r="BR233" s="2303"/>
      <c r="BS233" s="2303"/>
      <c r="BT233" s="2303"/>
      <c r="BU233" s="2303"/>
      <c r="BV233" s="2303"/>
      <c r="BW233" s="2303"/>
      <c r="BX233" s="2304"/>
      <c r="BY233" s="2305"/>
      <c r="BZ233" s="2303"/>
      <c r="CA233" s="2303"/>
      <c r="CB233" s="2303"/>
      <c r="CC233" s="2303"/>
      <c r="CD233" s="2304"/>
      <c r="CE233" s="2305"/>
      <c r="CF233" s="2303"/>
      <c r="CG233" s="2303"/>
      <c r="CH233" s="2303"/>
      <c r="CI233" s="2303"/>
      <c r="CJ233" s="2303"/>
      <c r="CK233" s="2303"/>
      <c r="CL233" s="2303"/>
      <c r="CM233" s="2303"/>
      <c r="CN233" s="323"/>
      <c r="CO233" s="2303"/>
      <c r="CP233" s="2303"/>
      <c r="CQ233" s="2303"/>
      <c r="CR233" s="2304"/>
      <c r="CS233" s="2305"/>
      <c r="CT233" s="2303"/>
      <c r="CU233" s="2303"/>
      <c r="CV233" s="2303"/>
      <c r="CW233" s="2303"/>
      <c r="CX233" s="2303"/>
      <c r="CY233" s="2303"/>
      <c r="CZ233" s="2303"/>
      <c r="DA233" s="2304"/>
      <c r="DB233" s="2305"/>
      <c r="DC233" s="2303"/>
      <c r="DD233" s="2303"/>
      <c r="DE233" s="2303"/>
      <c r="DF233" s="2303"/>
      <c r="DG233" s="2304"/>
      <c r="DH233" s="2305"/>
      <c r="DI233" s="2303"/>
      <c r="DJ233" s="2303"/>
      <c r="DK233" s="2303"/>
      <c r="DL233" s="2303"/>
      <c r="DM233" s="2303"/>
      <c r="DN233" s="2303"/>
      <c r="DO233" s="2303"/>
      <c r="DP233" s="2303"/>
      <c r="DQ233" s="323"/>
      <c r="DR233" s="2310"/>
      <c r="DS233" s="2303"/>
      <c r="DT233" s="2303"/>
      <c r="DU233" s="2303"/>
      <c r="DV233" s="2304"/>
      <c r="DW233" s="2305"/>
      <c r="DX233" s="2303"/>
      <c r="DY233" s="2303"/>
      <c r="DZ233" s="2303"/>
      <c r="EA233" s="2303"/>
      <c r="EB233" s="2303"/>
      <c r="EC233" s="2303"/>
      <c r="ED233" s="2303"/>
      <c r="EE233" s="2304"/>
      <c r="EF233" s="2305"/>
      <c r="EG233" s="2303"/>
      <c r="EH233" s="2303"/>
      <c r="EI233" s="2303"/>
      <c r="EJ233" s="2303"/>
      <c r="EK233" s="2304"/>
      <c r="EL233" s="2305"/>
      <c r="EM233" s="2303"/>
      <c r="EN233" s="2303"/>
      <c r="EO233" s="2303"/>
      <c r="EP233" s="2303"/>
      <c r="EQ233" s="2303"/>
      <c r="ER233" s="2303"/>
      <c r="ES233" s="2303"/>
      <c r="ET233" s="2303"/>
      <c r="EU233" s="323"/>
      <c r="EV233" s="2303"/>
      <c r="EW233" s="2303"/>
      <c r="EX233" s="2303"/>
      <c r="EY233" s="2304"/>
      <c r="EZ233" s="2305"/>
      <c r="FA233" s="2303"/>
      <c r="FB233" s="2303"/>
      <c r="FC233" s="2303"/>
      <c r="FD233" s="2303"/>
      <c r="FE233" s="2303"/>
      <c r="FF233" s="2303"/>
      <c r="FG233" s="2303"/>
      <c r="FH233" s="2304"/>
      <c r="FI233" s="2305"/>
      <c r="FJ233" s="2303"/>
      <c r="FK233" s="2303"/>
      <c r="FL233" s="2303"/>
      <c r="FM233" s="2303"/>
      <c r="FN233" s="2304"/>
      <c r="FO233" s="2305"/>
      <c r="FP233" s="2303"/>
      <c r="FQ233" s="2303"/>
      <c r="FR233" s="2303"/>
      <c r="FS233" s="2303"/>
      <c r="FT233" s="2303"/>
      <c r="FU233" s="2303"/>
      <c r="FV233" s="2303"/>
      <c r="FW233" s="2303"/>
    </row>
    <row r="234" spans="1:179" x14ac:dyDescent="0.35">
      <c r="C234" s="169">
        <v>0.05</v>
      </c>
      <c r="D234" s="169"/>
      <c r="E234" s="169"/>
      <c r="F234" s="605">
        <f>F$231*5%</f>
        <v>2.8000000000000003</v>
      </c>
      <c r="G234" s="304">
        <f t="shared" ref="G234:U234" si="277">G$231*5%</f>
        <v>2.5</v>
      </c>
      <c r="H234" s="304">
        <f t="shared" si="277"/>
        <v>2.4500000000000002</v>
      </c>
      <c r="I234" s="1237">
        <f t="shared" si="277"/>
        <v>2.4000000000000004</v>
      </c>
      <c r="J234" s="606">
        <f t="shared" si="277"/>
        <v>3.5</v>
      </c>
      <c r="K234" s="304">
        <f t="shared" si="277"/>
        <v>3.45</v>
      </c>
      <c r="L234" s="304">
        <f t="shared" si="277"/>
        <v>3.3000000000000003</v>
      </c>
      <c r="M234" s="304">
        <f t="shared" si="277"/>
        <v>3.3250000000000002</v>
      </c>
      <c r="N234" s="304">
        <f t="shared" si="277"/>
        <v>3.2750000000000004</v>
      </c>
      <c r="O234" s="1237">
        <f t="shared" si="277"/>
        <v>3.2200000000000006</v>
      </c>
      <c r="P234" s="606">
        <f t="shared" si="277"/>
        <v>0</v>
      </c>
      <c r="Q234" s="304">
        <f t="shared" si="277"/>
        <v>0</v>
      </c>
      <c r="R234" s="1237">
        <f t="shared" si="277"/>
        <v>0</v>
      </c>
      <c r="S234" s="606">
        <f t="shared" si="277"/>
        <v>0</v>
      </c>
      <c r="T234" s="304">
        <f t="shared" si="277"/>
        <v>0</v>
      </c>
      <c r="U234" s="304">
        <f t="shared" si="277"/>
        <v>0</v>
      </c>
      <c r="V234" s="225"/>
      <c r="W234" s="225"/>
      <c r="Z234" s="225"/>
    </row>
    <row r="235" spans="1:179" x14ac:dyDescent="0.35">
      <c r="C235" s="168">
        <v>3</v>
      </c>
      <c r="D235" s="169"/>
      <c r="E235" s="169"/>
      <c r="F235" s="1062">
        <f>F$233+$C$235</f>
        <v>54.4</v>
      </c>
      <c r="G235" s="2554">
        <f t="shared" ref="G235:AA235" si="278">G$233+$C$235</f>
        <v>52.3</v>
      </c>
      <c r="H235" s="2554">
        <f t="shared" si="278"/>
        <v>51.5</v>
      </c>
      <c r="I235" s="2533">
        <f t="shared" si="278"/>
        <v>51.4</v>
      </c>
      <c r="J235" s="1062">
        <f t="shared" si="278"/>
        <v>78.900000000000006</v>
      </c>
      <c r="K235" s="2554">
        <f t="shared" si="278"/>
        <v>77.5</v>
      </c>
      <c r="L235" s="2554">
        <f t="shared" si="278"/>
        <v>75.2</v>
      </c>
      <c r="M235" s="2554">
        <f t="shared" si="278"/>
        <v>74.400000000000006</v>
      </c>
      <c r="N235" s="2554">
        <f t="shared" si="278"/>
        <v>74.099999999999994</v>
      </c>
      <c r="O235" s="2533">
        <f t="shared" si="278"/>
        <v>73</v>
      </c>
      <c r="P235" s="1062">
        <f t="shared" si="278"/>
        <v>72.7</v>
      </c>
      <c r="Q235" s="2554">
        <f t="shared" si="278"/>
        <v>3</v>
      </c>
      <c r="R235" s="2533">
        <f t="shared" si="278"/>
        <v>3</v>
      </c>
      <c r="S235" s="1062">
        <f t="shared" si="278"/>
        <v>3</v>
      </c>
      <c r="T235" s="2554">
        <f t="shared" si="278"/>
        <v>3</v>
      </c>
      <c r="U235" s="2554">
        <f t="shared" si="278"/>
        <v>3</v>
      </c>
      <c r="V235" s="2554">
        <f t="shared" si="278"/>
        <v>3</v>
      </c>
      <c r="W235" s="2554">
        <f t="shared" si="278"/>
        <v>3</v>
      </c>
      <c r="X235" s="2533">
        <f t="shared" si="278"/>
        <v>3</v>
      </c>
      <c r="Y235" s="1062">
        <f t="shared" si="278"/>
        <v>3</v>
      </c>
      <c r="Z235" s="2554">
        <f t="shared" si="278"/>
        <v>3</v>
      </c>
      <c r="AA235" s="2533">
        <f t="shared" si="278"/>
        <v>3</v>
      </c>
    </row>
    <row r="236" spans="1:179" x14ac:dyDescent="0.35">
      <c r="C236" s="168">
        <v>-3</v>
      </c>
      <c r="D236" s="169"/>
      <c r="E236" s="169"/>
      <c r="F236" s="1062">
        <f>F$233+$C$236</f>
        <v>48.4</v>
      </c>
      <c r="G236" s="2554">
        <f t="shared" ref="G236:AA236" si="279">G$233+$C$236</f>
        <v>46.3</v>
      </c>
      <c r="H236" s="2554">
        <f t="shared" si="279"/>
        <v>45.5</v>
      </c>
      <c r="I236" s="2533">
        <f t="shared" si="279"/>
        <v>45.4</v>
      </c>
      <c r="J236" s="1062">
        <f t="shared" si="279"/>
        <v>72.900000000000006</v>
      </c>
      <c r="K236" s="2554">
        <f t="shared" si="279"/>
        <v>71.5</v>
      </c>
      <c r="L236" s="2554">
        <f t="shared" si="279"/>
        <v>69.2</v>
      </c>
      <c r="M236" s="2554">
        <f t="shared" si="279"/>
        <v>68.400000000000006</v>
      </c>
      <c r="N236" s="2554">
        <f t="shared" si="279"/>
        <v>68.099999999999994</v>
      </c>
      <c r="O236" s="2533">
        <f t="shared" si="279"/>
        <v>67</v>
      </c>
      <c r="P236" s="1062">
        <f t="shared" si="279"/>
        <v>66.7</v>
      </c>
      <c r="Q236" s="2554">
        <f t="shared" si="279"/>
        <v>-3</v>
      </c>
      <c r="R236" s="2533">
        <f t="shared" si="279"/>
        <v>-3</v>
      </c>
      <c r="S236" s="1062">
        <f t="shared" si="279"/>
        <v>-3</v>
      </c>
      <c r="T236" s="2554">
        <f t="shared" si="279"/>
        <v>-3</v>
      </c>
      <c r="U236" s="2554">
        <f t="shared" si="279"/>
        <v>-3</v>
      </c>
      <c r="V236" s="2554">
        <f t="shared" si="279"/>
        <v>-3</v>
      </c>
      <c r="W236" s="2554">
        <f t="shared" si="279"/>
        <v>-3</v>
      </c>
      <c r="X236" s="2533">
        <f t="shared" si="279"/>
        <v>-3</v>
      </c>
      <c r="Y236" s="1062">
        <f t="shared" si="279"/>
        <v>-3</v>
      </c>
      <c r="Z236" s="2554">
        <f t="shared" si="279"/>
        <v>-3</v>
      </c>
      <c r="AA236" s="2533">
        <f t="shared" si="279"/>
        <v>-3</v>
      </c>
    </row>
    <row r="237" spans="1:179" ht="19.5" customHeight="1" thickBot="1" x14ac:dyDescent="0.4">
      <c r="A237" s="368"/>
      <c r="B237" s="368"/>
      <c r="C237" s="2235" t="s">
        <v>920</v>
      </c>
      <c r="D237" s="2235"/>
      <c r="E237" s="2235"/>
      <c r="F237" s="2279">
        <f t="shared" ref="F237:O237" si="280">100*(1-EXP(F$78/F$79*LN(1-F$230/100)))</f>
        <v>55.131445378907962</v>
      </c>
      <c r="G237" s="2552">
        <f t="shared" si="280"/>
        <v>52.397208184997226</v>
      </c>
      <c r="H237" s="2552">
        <f t="shared" si="280"/>
        <v>50.081527339116114</v>
      </c>
      <c r="I237" s="2236">
        <f t="shared" si="280"/>
        <v>49.469855285028288</v>
      </c>
      <c r="J237" s="2236">
        <f t="shared" si="280"/>
        <v>78.475100350197934</v>
      </c>
      <c r="K237" s="2552">
        <f t="shared" si="280"/>
        <v>78.10430400495288</v>
      </c>
      <c r="L237" s="2552">
        <f t="shared" si="280"/>
        <v>75.373542829602343</v>
      </c>
      <c r="M237" s="2552">
        <f t="shared" si="280"/>
        <v>73.613661322244639</v>
      </c>
      <c r="N237" s="2552">
        <f t="shared" si="280"/>
        <v>72.396138224448151</v>
      </c>
      <c r="O237" s="2236">
        <f t="shared" si="280"/>
        <v>73.130762139332205</v>
      </c>
      <c r="P237" s="1191"/>
      <c r="Q237" s="2553"/>
      <c r="R237" s="1244"/>
      <c r="S237" s="1191"/>
      <c r="T237" s="2553"/>
      <c r="U237" s="2553"/>
      <c r="V237" s="1169"/>
      <c r="W237" s="1169"/>
      <c r="X237" s="1234"/>
      <c r="Y237" s="1182"/>
      <c r="Z237" s="1169"/>
      <c r="AA237" s="365"/>
      <c r="AB237" s="365"/>
      <c r="AC237" s="365"/>
      <c r="AD237" s="365"/>
      <c r="AE237" s="365"/>
      <c r="AF237" s="365"/>
      <c r="AG237" s="365"/>
    </row>
    <row r="238" spans="1:179" s="377" customFormat="1" ht="15" thickTop="1" x14ac:dyDescent="0.35">
      <c r="A238"/>
      <c r="B238"/>
      <c r="C238" s="169" t="s">
        <v>312</v>
      </c>
      <c r="D238" s="169"/>
      <c r="E238" s="169"/>
      <c r="F238" s="1033">
        <f t="shared" ref="F238:V238" si="281">100*(F$111-(AI$111+BL$111))/F$111</f>
        <v>73.672790683094576</v>
      </c>
      <c r="G238" s="309">
        <f t="shared" si="281"/>
        <v>73.235515758677252</v>
      </c>
      <c r="H238" s="309">
        <f t="shared" si="281"/>
        <v>63.531888913929961</v>
      </c>
      <c r="I238" s="422">
        <f t="shared" si="281"/>
        <v>63.899900414364886</v>
      </c>
      <c r="J238" s="421">
        <f t="shared" si="281"/>
        <v>92.132563022830453</v>
      </c>
      <c r="K238" s="309">
        <f t="shared" si="281"/>
        <v>91.225775638809239</v>
      </c>
      <c r="L238" s="309">
        <f t="shared" si="281"/>
        <v>90.96521002508959</v>
      </c>
      <c r="M238" s="309">
        <f t="shared" si="281"/>
        <v>85.608373990340368</v>
      </c>
      <c r="N238" s="309">
        <f t="shared" si="281"/>
        <v>82.180513801057614</v>
      </c>
      <c r="O238" s="422">
        <f t="shared" si="281"/>
        <v>85.243069319847081</v>
      </c>
      <c r="P238" s="421">
        <f t="shared" si="281"/>
        <v>81.963594328949071</v>
      </c>
      <c r="Q238" s="309">
        <f t="shared" si="281"/>
        <v>82.358370037383224</v>
      </c>
      <c r="R238" s="422">
        <f t="shared" si="281"/>
        <v>84.523279431394272</v>
      </c>
      <c r="S238" s="421" t="e">
        <f t="shared" si="281"/>
        <v>#DIV/0!</v>
      </c>
      <c r="T238" s="309" t="e">
        <f t="shared" si="281"/>
        <v>#DIV/0!</v>
      </c>
      <c r="U238" s="309" t="e">
        <f t="shared" si="281"/>
        <v>#DIV/0!</v>
      </c>
      <c r="V238" s="309" t="e">
        <f t="shared" si="281"/>
        <v>#DIV/0!</v>
      </c>
      <c r="W238" s="309" t="e">
        <f t="shared" ref="W238:AD238" si="282">100*(W$111-(AZ$111+CN$111))/W$111</f>
        <v>#DIV/0!</v>
      </c>
      <c r="X238" s="422" t="e">
        <f t="shared" si="282"/>
        <v>#DIV/0!</v>
      </c>
      <c r="Y238" s="421" t="e">
        <f t="shared" si="282"/>
        <v>#DIV/0!</v>
      </c>
      <c r="Z238" s="309" t="e">
        <f t="shared" si="282"/>
        <v>#DIV/0!</v>
      </c>
      <c r="AA238" s="309" t="e">
        <f t="shared" si="282"/>
        <v>#DIV/0!</v>
      </c>
      <c r="AB238" s="309" t="e">
        <f t="shared" si="282"/>
        <v>#DIV/0!</v>
      </c>
      <c r="AC238" s="309" t="e">
        <f t="shared" si="282"/>
        <v>#DIV/0!</v>
      </c>
      <c r="AD238" s="309" t="e">
        <f t="shared" si="282"/>
        <v>#DIV/0!</v>
      </c>
      <c r="AE238" s="309" t="e">
        <f>100*(AE$111-(BK$111+CV$111))/AE$111</f>
        <v>#DIV/0!</v>
      </c>
      <c r="AF238" s="309" t="e">
        <f>100*(AF$111-(BL$111+CW$111))/AF$111</f>
        <v>#DIV/0!</v>
      </c>
      <c r="AG238" s="309" t="e">
        <f>100*(AG$111-(BM$111+CX$111))/AG$111</f>
        <v>#DIV/0!</v>
      </c>
      <c r="AH238" s="323"/>
      <c r="AI238" s="232"/>
      <c r="AJ238" s="232"/>
      <c r="AK238" s="232"/>
      <c r="AL238" s="1236"/>
      <c r="AM238" s="643"/>
      <c r="AN238" s="232"/>
      <c r="AO238" s="232"/>
      <c r="AP238" s="232"/>
      <c r="AQ238" s="232"/>
      <c r="AR238" s="232"/>
      <c r="AS238" s="232"/>
      <c r="AT238" s="232"/>
      <c r="AU238" s="1236"/>
      <c r="AV238" s="643"/>
      <c r="AW238" s="232"/>
      <c r="AX238" s="232"/>
      <c r="AY238" s="232"/>
      <c r="AZ238" s="232"/>
      <c r="BA238" s="1236"/>
      <c r="BB238" s="643"/>
      <c r="BC238" s="232"/>
      <c r="BD238" s="232"/>
      <c r="BE238" s="232"/>
      <c r="BF238" s="232"/>
      <c r="BG238" s="232"/>
      <c r="BH238" s="232"/>
      <c r="BI238" s="232"/>
      <c r="BJ238" s="232"/>
      <c r="BK238" s="323"/>
      <c r="BL238" s="232"/>
      <c r="BM238" s="232"/>
      <c r="BN238" s="232"/>
      <c r="BO238" s="1236"/>
      <c r="BP238" s="643"/>
      <c r="BQ238" s="232"/>
      <c r="BR238" s="232"/>
      <c r="BS238" s="232"/>
      <c r="BT238" s="232"/>
      <c r="BU238" s="232"/>
      <c r="BV238" s="232"/>
      <c r="BW238" s="232"/>
      <c r="BX238" s="1236"/>
      <c r="BY238" s="643"/>
      <c r="BZ238" s="232"/>
      <c r="CA238" s="232"/>
      <c r="CB238" s="232"/>
      <c r="CC238" s="232"/>
      <c r="CD238" s="1236"/>
      <c r="CE238" s="643"/>
      <c r="CF238" s="232"/>
      <c r="CG238" s="232"/>
      <c r="CH238" s="232"/>
      <c r="CI238" s="232"/>
      <c r="CJ238" s="232"/>
      <c r="CK238" s="232"/>
      <c r="CL238" s="232"/>
      <c r="CM238" s="232"/>
      <c r="CN238" s="323"/>
      <c r="CO238" s="232"/>
      <c r="CP238" s="232"/>
      <c r="CQ238" s="232"/>
      <c r="CR238" s="1236"/>
      <c r="CS238" s="643"/>
      <c r="CT238" s="232"/>
      <c r="CU238" s="232"/>
      <c r="CV238" s="232"/>
      <c r="CW238" s="232"/>
      <c r="CX238" s="232"/>
      <c r="CY238" s="232"/>
      <c r="CZ238" s="232"/>
      <c r="DA238" s="1236"/>
      <c r="DB238" s="643"/>
      <c r="DC238" s="232"/>
      <c r="DD238" s="232"/>
      <c r="DE238" s="232"/>
      <c r="DF238" s="232"/>
      <c r="DG238" s="1236"/>
      <c r="DH238" s="643"/>
      <c r="DI238" s="232"/>
      <c r="DJ238" s="232"/>
      <c r="DK238" s="232"/>
      <c r="DL238" s="232"/>
      <c r="DM238" s="232"/>
      <c r="DN238" s="232"/>
      <c r="DO238" s="232"/>
      <c r="DP238" s="232"/>
      <c r="DQ238" s="323"/>
      <c r="DR238" s="238"/>
      <c r="DS238" s="232"/>
      <c r="DT238" s="232"/>
      <c r="DU238" s="232"/>
      <c r="DV238" s="1236"/>
      <c r="DW238" s="643"/>
      <c r="DX238" s="232"/>
      <c r="DY238" s="232"/>
      <c r="DZ238" s="232"/>
      <c r="EA238" s="232"/>
      <c r="EB238" s="232"/>
      <c r="EC238" s="232"/>
      <c r="ED238" s="232"/>
      <c r="EE238" s="1236"/>
      <c r="EF238" s="643"/>
      <c r="EG238" s="232"/>
      <c r="EH238" s="232"/>
      <c r="EI238" s="232"/>
      <c r="EJ238" s="232"/>
      <c r="EK238" s="1236"/>
      <c r="EL238" s="643"/>
      <c r="EM238" s="232"/>
      <c r="EN238" s="232"/>
      <c r="EO238" s="232"/>
      <c r="EP238" s="232"/>
      <c r="EQ238" s="232"/>
      <c r="ER238" s="232"/>
      <c r="ES238" s="232"/>
      <c r="ET238" s="232"/>
      <c r="EU238" s="323"/>
      <c r="EV238" s="232"/>
      <c r="EW238" s="232"/>
      <c r="EX238" s="232"/>
      <c r="EY238" s="1236"/>
      <c r="EZ238" s="643"/>
      <c r="FA238" s="232"/>
      <c r="FB238" s="232"/>
      <c r="FC238" s="232"/>
      <c r="FD238" s="232"/>
      <c r="FE238" s="232"/>
      <c r="FF238" s="232"/>
      <c r="FG238" s="232"/>
      <c r="FH238" s="1236"/>
      <c r="FI238" s="643"/>
      <c r="FJ238" s="232"/>
      <c r="FK238" s="232"/>
      <c r="FL238" s="232"/>
      <c r="FM238" s="232"/>
      <c r="FN238" s="1236"/>
      <c r="FO238" s="643"/>
      <c r="FP238" s="232"/>
      <c r="FQ238" s="232"/>
      <c r="FR238" s="232"/>
      <c r="FS238" s="232"/>
      <c r="FT238" s="232"/>
      <c r="FU238" s="232"/>
      <c r="FV238" s="232"/>
      <c r="FW238" s="232"/>
    </row>
    <row r="239" spans="1:179" s="368" customFormat="1" ht="15" thickBot="1" x14ac:dyDescent="0.4">
      <c r="A239"/>
      <c r="B239"/>
      <c r="C239" s="457" t="s">
        <v>993</v>
      </c>
      <c r="D239" s="457"/>
      <c r="E239" s="457"/>
      <c r="F239" s="1061">
        <v>73.5</v>
      </c>
      <c r="G239" s="446">
        <v>66.5</v>
      </c>
      <c r="H239" s="446"/>
      <c r="I239" s="1242">
        <v>61.9</v>
      </c>
      <c r="J239" s="419">
        <v>62.5</v>
      </c>
      <c r="K239" s="249">
        <v>86.5</v>
      </c>
      <c r="L239" s="249">
        <v>83</v>
      </c>
      <c r="M239" s="249">
        <v>81.5</v>
      </c>
      <c r="N239" s="249">
        <v>81</v>
      </c>
      <c r="O239" s="1242">
        <v>80.400000000000006</v>
      </c>
      <c r="P239" s="419"/>
      <c r="Q239" s="249"/>
      <c r="R239" s="1242"/>
      <c r="S239" s="419"/>
      <c r="T239" s="249"/>
      <c r="U239" s="249"/>
      <c r="V239" s="232"/>
      <c r="W239" s="232"/>
      <c r="X239" s="1236"/>
      <c r="Y239" s="643"/>
      <c r="Z239" s="232"/>
      <c r="AA239" s="232"/>
      <c r="AB239" s="232"/>
      <c r="AC239" s="232"/>
      <c r="AD239" s="232"/>
      <c r="AE239" s="232"/>
      <c r="AF239" s="232"/>
      <c r="AG239" s="232"/>
      <c r="AH239" s="323"/>
      <c r="AI239" s="232"/>
      <c r="AJ239" s="232"/>
      <c r="AK239" s="232"/>
      <c r="AL239" s="1236"/>
      <c r="AM239" s="643"/>
      <c r="AN239" s="232"/>
      <c r="AO239" s="232"/>
      <c r="AP239" s="232"/>
      <c r="AQ239" s="232"/>
      <c r="AR239" s="232"/>
      <c r="AS239" s="232"/>
      <c r="AT239" s="232"/>
      <c r="AU239" s="1236"/>
      <c r="AV239" s="643"/>
      <c r="AW239" s="232"/>
      <c r="AX239" s="232"/>
      <c r="AY239" s="232"/>
      <c r="AZ239" s="232"/>
      <c r="BA239" s="1236"/>
      <c r="BB239" s="643"/>
      <c r="BC239" s="232"/>
      <c r="BD239" s="232"/>
      <c r="BE239" s="232"/>
      <c r="BF239" s="232"/>
      <c r="BG239" s="232"/>
      <c r="BH239" s="232"/>
      <c r="BI239" s="232"/>
      <c r="BJ239" s="232"/>
      <c r="BK239" s="323"/>
      <c r="BL239" s="232"/>
      <c r="BM239" s="232"/>
      <c r="BN239" s="232"/>
      <c r="BO239" s="1236"/>
      <c r="BP239" s="643"/>
      <c r="BQ239" s="232"/>
      <c r="BR239" s="232"/>
      <c r="BS239" s="232"/>
      <c r="BT239" s="232"/>
      <c r="BU239" s="232"/>
      <c r="BV239" s="232"/>
      <c r="BW239" s="232"/>
      <c r="BX239" s="1236"/>
      <c r="BY239" s="643"/>
      <c r="BZ239" s="232"/>
      <c r="CA239" s="232"/>
      <c r="CB239" s="232"/>
      <c r="CC239" s="232"/>
      <c r="CD239" s="1236"/>
      <c r="CE239" s="643"/>
      <c r="CF239" s="232"/>
      <c r="CG239" s="232"/>
      <c r="CH239" s="232"/>
      <c r="CI239" s="232"/>
      <c r="CJ239" s="232"/>
      <c r="CK239" s="232"/>
      <c r="CL239" s="232"/>
      <c r="CM239" s="232"/>
      <c r="CN239" s="323"/>
      <c r="CO239" s="232"/>
      <c r="CP239" s="232"/>
      <c r="CQ239" s="232"/>
      <c r="CR239" s="1236"/>
      <c r="CS239" s="643"/>
      <c r="CT239" s="232"/>
      <c r="CU239" s="232"/>
      <c r="CV239" s="232"/>
      <c r="CW239" s="232"/>
      <c r="CX239" s="232"/>
      <c r="CY239" s="232"/>
      <c r="CZ239" s="232"/>
      <c r="DA239" s="1236"/>
      <c r="DB239" s="643"/>
      <c r="DC239" s="232"/>
      <c r="DD239" s="232"/>
      <c r="DE239" s="232"/>
      <c r="DF239" s="232"/>
      <c r="DG239" s="1236"/>
      <c r="DH239" s="643"/>
      <c r="DI239" s="232"/>
      <c r="DJ239" s="232"/>
      <c r="DK239" s="232"/>
      <c r="DL239" s="232"/>
      <c r="DM239" s="232"/>
      <c r="DN239" s="232"/>
      <c r="DO239" s="232"/>
      <c r="DP239" s="232"/>
      <c r="DQ239" s="323"/>
      <c r="DR239" s="238"/>
      <c r="DS239" s="232"/>
      <c r="DT239" s="232"/>
      <c r="DU239" s="232"/>
      <c r="DV239" s="1236"/>
      <c r="DW239" s="643"/>
      <c r="DX239" s="232"/>
      <c r="DY239" s="232"/>
      <c r="DZ239" s="232"/>
      <c r="EA239" s="232"/>
      <c r="EB239" s="232"/>
      <c r="EC239" s="232"/>
      <c r="ED239" s="232"/>
      <c r="EE239" s="1236"/>
      <c r="EF239" s="643"/>
      <c r="EG239" s="232"/>
      <c r="EH239" s="232"/>
      <c r="EI239" s="232"/>
      <c r="EJ239" s="232"/>
      <c r="EK239" s="1236"/>
      <c r="EL239" s="643"/>
      <c r="EM239" s="232"/>
      <c r="EN239" s="232"/>
      <c r="EO239" s="232"/>
      <c r="EP239" s="232"/>
      <c r="EQ239" s="232"/>
      <c r="ER239" s="232"/>
      <c r="ES239" s="232"/>
      <c r="ET239" s="232"/>
      <c r="EU239" s="323"/>
      <c r="EV239" s="232"/>
      <c r="EW239" s="232"/>
      <c r="EX239" s="232"/>
      <c r="EY239" s="1236"/>
      <c r="EZ239" s="643"/>
      <c r="FA239" s="232"/>
      <c r="FB239" s="232"/>
      <c r="FC239" s="232"/>
      <c r="FD239" s="232"/>
      <c r="FE239" s="232"/>
      <c r="FF239" s="232"/>
      <c r="FG239" s="232"/>
      <c r="FH239" s="1236"/>
      <c r="FI239" s="643"/>
      <c r="FJ239" s="232"/>
      <c r="FK239" s="232"/>
      <c r="FL239" s="232"/>
      <c r="FM239" s="232"/>
      <c r="FN239" s="1236"/>
      <c r="FO239" s="643"/>
      <c r="FP239" s="232"/>
      <c r="FQ239" s="232"/>
      <c r="FR239" s="232"/>
      <c r="FS239" s="232"/>
      <c r="FT239" s="232"/>
      <c r="FU239" s="232"/>
      <c r="FV239" s="232"/>
      <c r="FW239" s="232"/>
    </row>
    <row r="240" spans="1:179" s="2325" customFormat="1" ht="15" thickTop="1" x14ac:dyDescent="0.35">
      <c r="C240" s="2479" t="s">
        <v>994</v>
      </c>
      <c r="D240" s="2479"/>
      <c r="E240" s="2479"/>
      <c r="F240" s="2480"/>
      <c r="G240" s="2377"/>
      <c r="H240" s="2377"/>
      <c r="I240" s="2378"/>
      <c r="J240" s="2379"/>
      <c r="K240" s="2377">
        <v>91.798060383008632</v>
      </c>
      <c r="L240" s="2377">
        <v>92.308334702075868</v>
      </c>
      <c r="M240" s="2377">
        <v>90.905839832604144</v>
      </c>
      <c r="N240" s="2377">
        <v>89.259994747487767</v>
      </c>
      <c r="O240" s="2378">
        <v>88.227376226899196</v>
      </c>
      <c r="P240" s="2379">
        <v>86.142780559748417</v>
      </c>
      <c r="Q240" s="2377"/>
      <c r="R240" s="2378"/>
      <c r="S240" s="2379"/>
      <c r="T240" s="2377"/>
      <c r="U240" s="2377"/>
      <c r="V240" s="2331"/>
      <c r="W240" s="2331"/>
      <c r="X240" s="2332"/>
      <c r="Y240" s="2333"/>
      <c r="Z240" s="2331"/>
      <c r="AA240" s="2331"/>
      <c r="AB240" s="2331"/>
      <c r="AC240" s="2331"/>
      <c r="AD240" s="2331"/>
      <c r="AE240" s="2331"/>
      <c r="AF240" s="2331"/>
      <c r="AG240" s="2331"/>
      <c r="AH240" s="323"/>
      <c r="AI240" s="2331"/>
      <c r="AJ240" s="2331"/>
      <c r="AK240" s="2331"/>
      <c r="AL240" s="2332"/>
      <c r="AM240" s="2333"/>
      <c r="AN240" s="2331"/>
      <c r="AO240" s="2331"/>
      <c r="AP240" s="2331"/>
      <c r="AQ240" s="2331"/>
      <c r="AR240" s="2331"/>
      <c r="AS240" s="2331"/>
      <c r="AT240" s="2331"/>
      <c r="AU240" s="2332"/>
      <c r="AV240" s="2333"/>
      <c r="AW240" s="2331"/>
      <c r="AX240" s="2331"/>
      <c r="AY240" s="2331"/>
      <c r="AZ240" s="2331"/>
      <c r="BA240" s="2332"/>
      <c r="BB240" s="2333"/>
      <c r="BC240" s="2331"/>
      <c r="BD240" s="2331"/>
      <c r="BE240" s="2331"/>
      <c r="BF240" s="2331"/>
      <c r="BG240" s="2331"/>
      <c r="BH240" s="2331"/>
      <c r="BI240" s="2331"/>
      <c r="BJ240" s="2331"/>
      <c r="BK240" s="323"/>
      <c r="BL240" s="2331"/>
      <c r="BM240" s="2331"/>
      <c r="BN240" s="2331"/>
      <c r="BO240" s="2332"/>
      <c r="BP240" s="2333"/>
      <c r="BQ240" s="2331"/>
      <c r="BR240" s="2331"/>
      <c r="BS240" s="2331"/>
      <c r="BT240" s="2331"/>
      <c r="BU240" s="2331"/>
      <c r="BV240" s="2331"/>
      <c r="BW240" s="2331"/>
      <c r="BX240" s="2332"/>
      <c r="BY240" s="2333"/>
      <c r="BZ240" s="2331"/>
      <c r="CA240" s="2331"/>
      <c r="CB240" s="2331"/>
      <c r="CC240" s="2331"/>
      <c r="CD240" s="2332"/>
      <c r="CE240" s="2333"/>
      <c r="CF240" s="2331"/>
      <c r="CG240" s="2331"/>
      <c r="CH240" s="2331"/>
      <c r="CI240" s="2331"/>
      <c r="CJ240" s="2331"/>
      <c r="CK240" s="2331"/>
      <c r="CL240" s="2331"/>
      <c r="CM240" s="2331"/>
      <c r="CN240" s="323"/>
      <c r="CO240" s="2331"/>
      <c r="CP240" s="2331"/>
      <c r="CQ240" s="2331"/>
      <c r="CR240" s="2332"/>
      <c r="CS240" s="2333"/>
      <c r="CT240" s="2331"/>
      <c r="CU240" s="2331"/>
      <c r="CV240" s="2331"/>
      <c r="CW240" s="2331"/>
      <c r="CX240" s="2331"/>
      <c r="CY240" s="2331"/>
      <c r="CZ240" s="2331"/>
      <c r="DA240" s="2332"/>
      <c r="DB240" s="2333"/>
      <c r="DC240" s="2331"/>
      <c r="DD240" s="2331"/>
      <c r="DE240" s="2331"/>
      <c r="DF240" s="2331"/>
      <c r="DG240" s="2332"/>
      <c r="DH240" s="2333"/>
      <c r="DI240" s="2331"/>
      <c r="DJ240" s="2331"/>
      <c r="DK240" s="2331"/>
      <c r="DL240" s="2331"/>
      <c r="DM240" s="2331"/>
      <c r="DN240" s="2331"/>
      <c r="DO240" s="2331"/>
      <c r="DP240" s="2331"/>
      <c r="DQ240" s="323"/>
      <c r="DR240" s="2338"/>
      <c r="DS240" s="2331"/>
      <c r="DT240" s="2331"/>
      <c r="DU240" s="2331"/>
      <c r="DV240" s="2332"/>
      <c r="DW240" s="2333"/>
      <c r="DX240" s="2331"/>
      <c r="DY240" s="2331"/>
      <c r="DZ240" s="2331"/>
      <c r="EA240" s="2331"/>
      <c r="EB240" s="2331"/>
      <c r="EC240" s="2331"/>
      <c r="ED240" s="2331"/>
      <c r="EE240" s="2332"/>
      <c r="EF240" s="2333"/>
      <c r="EG240" s="2331"/>
      <c r="EH240" s="2331"/>
      <c r="EI240" s="2331"/>
      <c r="EJ240" s="2331"/>
      <c r="EK240" s="2332"/>
      <c r="EL240" s="2333"/>
      <c r="EM240" s="2331"/>
      <c r="EN240" s="2331"/>
      <c r="EO240" s="2331"/>
      <c r="EP240" s="2331"/>
      <c r="EQ240" s="2331"/>
      <c r="ER240" s="2331"/>
      <c r="ES240" s="2331"/>
      <c r="ET240" s="2331"/>
      <c r="EU240" s="323"/>
      <c r="EV240" s="2331"/>
      <c r="EW240" s="2331"/>
      <c r="EX240" s="2331"/>
      <c r="EY240" s="2332"/>
      <c r="EZ240" s="2333"/>
      <c r="FA240" s="2331"/>
      <c r="FB240" s="2331"/>
      <c r="FC240" s="2331"/>
      <c r="FD240" s="2331"/>
      <c r="FE240" s="2331"/>
      <c r="FF240" s="2331"/>
      <c r="FG240" s="2331"/>
      <c r="FH240" s="2332"/>
      <c r="FI240" s="2333"/>
      <c r="FJ240" s="2331"/>
      <c r="FK240" s="2331"/>
      <c r="FL240" s="2331"/>
      <c r="FM240" s="2331"/>
      <c r="FN240" s="2332"/>
      <c r="FO240" s="2333"/>
      <c r="FP240" s="2331"/>
      <c r="FQ240" s="2331"/>
      <c r="FR240" s="2331"/>
      <c r="FS240" s="2331"/>
      <c r="FT240" s="2331"/>
      <c r="FU240" s="2331"/>
      <c r="FV240" s="2331"/>
      <c r="FW240" s="2331"/>
    </row>
    <row r="241" spans="1:179" s="2315" customFormat="1" x14ac:dyDescent="0.35">
      <c r="C241" s="2481" t="s">
        <v>995</v>
      </c>
      <c r="D241" s="2481"/>
      <c r="E241" s="2481"/>
      <c r="F241" s="2343">
        <f>0.660532489015544*100</f>
        <v>66.053248901554397</v>
      </c>
      <c r="G241" s="2344">
        <f>0.630032875886144*100</f>
        <v>63.003287588614398</v>
      </c>
      <c r="H241" s="2344">
        <f>0.593887662332987*100</f>
        <v>59.388766233298696</v>
      </c>
      <c r="I241" s="2345">
        <f>0.629722332566825*100</f>
        <v>62.9722332566825</v>
      </c>
      <c r="J241" s="2346">
        <f>0.875501501145667*100</f>
        <v>87.550150114566705</v>
      </c>
      <c r="K241" s="2344">
        <f>0.857795440383204*100</f>
        <v>85.779544038320395</v>
      </c>
      <c r="L241" s="2344">
        <f>0.830948956932835*100</f>
        <v>83.094895693283505</v>
      </c>
      <c r="M241" s="2344">
        <f>0.811012988879398*100</f>
        <v>81.101298887939805</v>
      </c>
      <c r="N241" s="2344">
        <f>0.800301251364208*100</f>
        <v>80.030125136420807</v>
      </c>
      <c r="O241" s="2345">
        <f>0.831909290701709*100</f>
        <v>83.19092907017091</v>
      </c>
      <c r="P241" s="2346">
        <f>0.817407145372316*100</f>
        <v>81.740714537231597</v>
      </c>
      <c r="Q241" s="2344"/>
      <c r="R241" s="2345"/>
      <c r="S241" s="2346"/>
      <c r="T241" s="2344"/>
      <c r="U241" s="2344"/>
      <c r="V241" s="2303"/>
      <c r="W241" s="2303"/>
      <c r="X241" s="2304"/>
      <c r="Y241" s="2305"/>
      <c r="Z241" s="2303"/>
      <c r="AA241" s="2303"/>
      <c r="AB241" s="2303"/>
      <c r="AC241" s="2303"/>
      <c r="AD241" s="2303"/>
      <c r="AE241" s="2303"/>
      <c r="AF241" s="2303"/>
      <c r="AG241" s="2303"/>
      <c r="AH241" s="323"/>
      <c r="AI241" s="2303"/>
      <c r="AJ241" s="2303"/>
      <c r="AK241" s="2303"/>
      <c r="AL241" s="2304"/>
      <c r="AM241" s="2305"/>
      <c r="AN241" s="2303"/>
      <c r="AO241" s="2303"/>
      <c r="AP241" s="2303"/>
      <c r="AQ241" s="2303"/>
      <c r="AR241" s="2303"/>
      <c r="AS241" s="2303"/>
      <c r="AT241" s="2303"/>
      <c r="AU241" s="2304"/>
      <c r="AV241" s="2305"/>
      <c r="AW241" s="2303"/>
      <c r="AX241" s="2303"/>
      <c r="AY241" s="2303"/>
      <c r="AZ241" s="2303"/>
      <c r="BA241" s="2304"/>
      <c r="BB241" s="2305"/>
      <c r="BC241" s="2303"/>
      <c r="BD241" s="2303"/>
      <c r="BE241" s="2303"/>
      <c r="BF241" s="2303"/>
      <c r="BG241" s="2303"/>
      <c r="BH241" s="2303"/>
      <c r="BI241" s="2303"/>
      <c r="BJ241" s="2303"/>
      <c r="BK241" s="323"/>
      <c r="BL241" s="2303"/>
      <c r="BM241" s="2303"/>
      <c r="BN241" s="2303"/>
      <c r="BO241" s="2304"/>
      <c r="BP241" s="2305"/>
      <c r="BQ241" s="2303"/>
      <c r="BR241" s="2303"/>
      <c r="BS241" s="2303"/>
      <c r="BT241" s="2303"/>
      <c r="BU241" s="2303"/>
      <c r="BV241" s="2303"/>
      <c r="BW241" s="2303"/>
      <c r="BX241" s="2304"/>
      <c r="BY241" s="2305"/>
      <c r="BZ241" s="2303"/>
      <c r="CA241" s="2303"/>
      <c r="CB241" s="2303"/>
      <c r="CC241" s="2303"/>
      <c r="CD241" s="2304"/>
      <c r="CE241" s="2305"/>
      <c r="CF241" s="2303"/>
      <c r="CG241" s="2303"/>
      <c r="CH241" s="2303"/>
      <c r="CI241" s="2303"/>
      <c r="CJ241" s="2303"/>
      <c r="CK241" s="2303"/>
      <c r="CL241" s="2303"/>
      <c r="CM241" s="2303"/>
      <c r="CN241" s="323"/>
      <c r="CO241" s="2303"/>
      <c r="CP241" s="2303"/>
      <c r="CQ241" s="2303"/>
      <c r="CR241" s="2304"/>
      <c r="CS241" s="2305"/>
      <c r="CT241" s="2303"/>
      <c r="CU241" s="2303"/>
      <c r="CV241" s="2303"/>
      <c r="CW241" s="2303"/>
      <c r="CX241" s="2303"/>
      <c r="CY241" s="2303"/>
      <c r="CZ241" s="2303"/>
      <c r="DA241" s="2304"/>
      <c r="DB241" s="2305"/>
      <c r="DC241" s="2303"/>
      <c r="DD241" s="2303"/>
      <c r="DE241" s="2303"/>
      <c r="DF241" s="2303"/>
      <c r="DG241" s="2304"/>
      <c r="DH241" s="2305"/>
      <c r="DI241" s="2303"/>
      <c r="DJ241" s="2303"/>
      <c r="DK241" s="2303"/>
      <c r="DL241" s="2303"/>
      <c r="DM241" s="2303"/>
      <c r="DN241" s="2303"/>
      <c r="DO241" s="2303"/>
      <c r="DP241" s="2303"/>
      <c r="DQ241" s="323"/>
      <c r="DR241" s="2310"/>
      <c r="DS241" s="2303"/>
      <c r="DT241" s="2303"/>
      <c r="DU241" s="2303"/>
      <c r="DV241" s="2304"/>
      <c r="DW241" s="2305"/>
      <c r="DX241" s="2303"/>
      <c r="DY241" s="2303"/>
      <c r="DZ241" s="2303"/>
      <c r="EA241" s="2303"/>
      <c r="EB241" s="2303"/>
      <c r="EC241" s="2303"/>
      <c r="ED241" s="2303"/>
      <c r="EE241" s="2304"/>
      <c r="EF241" s="2305"/>
      <c r="EG241" s="2303"/>
      <c r="EH241" s="2303"/>
      <c r="EI241" s="2303"/>
      <c r="EJ241" s="2303"/>
      <c r="EK241" s="2304"/>
      <c r="EL241" s="2305"/>
      <c r="EM241" s="2303"/>
      <c r="EN241" s="2303"/>
      <c r="EO241" s="2303"/>
      <c r="EP241" s="2303"/>
      <c r="EQ241" s="2303"/>
      <c r="ER241" s="2303"/>
      <c r="ES241" s="2303"/>
      <c r="ET241" s="2303"/>
      <c r="EU241" s="323"/>
      <c r="EV241" s="2303"/>
      <c r="EW241" s="2303"/>
      <c r="EX241" s="2303"/>
      <c r="EY241" s="2304"/>
      <c r="EZ241" s="2305"/>
      <c r="FA241" s="2303"/>
      <c r="FB241" s="2303"/>
      <c r="FC241" s="2303"/>
      <c r="FD241" s="2303"/>
      <c r="FE241" s="2303"/>
      <c r="FF241" s="2303"/>
      <c r="FG241" s="2303"/>
      <c r="FH241" s="2304"/>
      <c r="FI241" s="2305"/>
      <c r="FJ241" s="2303"/>
      <c r="FK241" s="2303"/>
      <c r="FL241" s="2303"/>
      <c r="FM241" s="2303"/>
      <c r="FN241" s="2304"/>
      <c r="FO241" s="2305"/>
      <c r="FP241" s="2303"/>
      <c r="FQ241" s="2303"/>
      <c r="FR241" s="2303"/>
      <c r="FS241" s="2303"/>
      <c r="FT241" s="2303"/>
      <c r="FU241" s="2303"/>
      <c r="FV241" s="2303"/>
      <c r="FW241" s="2303"/>
    </row>
    <row r="242" spans="1:179" x14ac:dyDescent="0.35">
      <c r="C242" s="169">
        <v>1.05</v>
      </c>
      <c r="D242" s="169"/>
      <c r="E242" s="456"/>
      <c r="F242" s="1029">
        <f>F239*C242</f>
        <v>77.174999999999997</v>
      </c>
      <c r="G242" s="249">
        <f>G$239*$C$242</f>
        <v>69.825000000000003</v>
      </c>
      <c r="H242" s="249">
        <f t="shared" ref="H242:U242" si="283">H$239*$C$242</f>
        <v>0</v>
      </c>
      <c r="I242" s="1242">
        <f t="shared" si="283"/>
        <v>64.995000000000005</v>
      </c>
      <c r="J242" s="419">
        <f t="shared" si="283"/>
        <v>65.625</v>
      </c>
      <c r="K242" s="249">
        <f t="shared" si="283"/>
        <v>90.825000000000003</v>
      </c>
      <c r="L242" s="249">
        <f t="shared" si="283"/>
        <v>87.15</v>
      </c>
      <c r="M242" s="249">
        <f t="shared" si="283"/>
        <v>85.575000000000003</v>
      </c>
      <c r="N242" s="249">
        <f t="shared" si="283"/>
        <v>85.05</v>
      </c>
      <c r="O242" s="1242">
        <f t="shared" si="283"/>
        <v>84.420000000000016</v>
      </c>
      <c r="P242" s="419">
        <f t="shared" si="283"/>
        <v>0</v>
      </c>
      <c r="Q242" s="249">
        <f t="shared" si="283"/>
        <v>0</v>
      </c>
      <c r="R242" s="1242">
        <f t="shared" si="283"/>
        <v>0</v>
      </c>
      <c r="S242" s="419">
        <f t="shared" si="283"/>
        <v>0</v>
      </c>
      <c r="T242" s="249">
        <f t="shared" si="283"/>
        <v>0</v>
      </c>
      <c r="U242" s="249">
        <f t="shared" si="283"/>
        <v>0</v>
      </c>
    </row>
    <row r="243" spans="1:179" x14ac:dyDescent="0.35">
      <c r="C243" s="169">
        <v>0.95</v>
      </c>
      <c r="D243" s="169"/>
      <c r="E243" s="169"/>
      <c r="F243" s="1029">
        <f>F$239*$C$243</f>
        <v>69.825000000000003</v>
      </c>
      <c r="G243" s="249">
        <f>G$239*$C$243</f>
        <v>63.174999999999997</v>
      </c>
      <c r="H243" s="249">
        <f t="shared" ref="H243:U243" si="284">H$239*$C$243</f>
        <v>0</v>
      </c>
      <c r="I243" s="1242">
        <f t="shared" si="284"/>
        <v>58.804999999999993</v>
      </c>
      <c r="J243" s="419">
        <f t="shared" si="284"/>
        <v>59.375</v>
      </c>
      <c r="K243" s="249">
        <f t="shared" si="284"/>
        <v>82.174999999999997</v>
      </c>
      <c r="L243" s="249">
        <f t="shared" si="284"/>
        <v>78.849999999999994</v>
      </c>
      <c r="M243" s="249">
        <f t="shared" si="284"/>
        <v>77.424999999999997</v>
      </c>
      <c r="N243" s="249">
        <f t="shared" si="284"/>
        <v>76.95</v>
      </c>
      <c r="O243" s="1242">
        <f t="shared" si="284"/>
        <v>76.38</v>
      </c>
      <c r="P243" s="419">
        <f t="shared" si="284"/>
        <v>0</v>
      </c>
      <c r="Q243" s="249">
        <f t="shared" si="284"/>
        <v>0</v>
      </c>
      <c r="R243" s="1242">
        <f t="shared" si="284"/>
        <v>0</v>
      </c>
      <c r="S243" s="419">
        <f t="shared" si="284"/>
        <v>0</v>
      </c>
      <c r="T243" s="249">
        <f>T$239*$C$243</f>
        <v>0</v>
      </c>
      <c r="U243" s="249">
        <f t="shared" si="284"/>
        <v>0</v>
      </c>
    </row>
    <row r="244" spans="1:179" x14ac:dyDescent="0.35">
      <c r="C244" s="168"/>
      <c r="D244" s="168"/>
      <c r="E244" s="168"/>
      <c r="O244" s="1236"/>
      <c r="P244" s="643"/>
    </row>
    <row r="245" spans="1:179" ht="15" thickBot="1" x14ac:dyDescent="0.4">
      <c r="A245" s="368"/>
      <c r="B245" s="368"/>
      <c r="C245" s="1342" t="s">
        <v>348</v>
      </c>
      <c r="D245" s="1342"/>
      <c r="E245" s="1342"/>
      <c r="F245" s="1027">
        <f t="shared" ref="F245:V245" si="285">100*(F$110-(AI$110+BL$110))/F$110</f>
        <v>64.136279934453697</v>
      </c>
      <c r="G245" s="365">
        <f t="shared" si="285"/>
        <v>66.042932777710334</v>
      </c>
      <c r="H245" s="365">
        <f t="shared" si="285"/>
        <v>60.872403382902299</v>
      </c>
      <c r="I245" s="1234">
        <f t="shared" si="285"/>
        <v>60.105408416275026</v>
      </c>
      <c r="J245" s="1182">
        <f t="shared" si="285"/>
        <v>88.594038946676321</v>
      </c>
      <c r="K245" s="365">
        <f t="shared" si="285"/>
        <v>87.530940168705953</v>
      </c>
      <c r="L245" s="365">
        <f t="shared" si="285"/>
        <v>84.970050105601047</v>
      </c>
      <c r="M245" s="365">
        <f t="shared" si="285"/>
        <v>84.517918599415353</v>
      </c>
      <c r="N245" s="365">
        <f t="shared" si="285"/>
        <v>82.84025247327294</v>
      </c>
      <c r="O245" s="1234">
        <f t="shared" si="285"/>
        <v>82.809817744804164</v>
      </c>
      <c r="P245" s="1182">
        <f t="shared" si="285"/>
        <v>82.023120701036476</v>
      </c>
      <c r="Q245" s="365">
        <f t="shared" si="285"/>
        <v>82.622805884298813</v>
      </c>
      <c r="R245" s="1234">
        <f t="shared" si="285"/>
        <v>81.671265929423143</v>
      </c>
      <c r="S245" s="1182" t="e">
        <f t="shared" si="285"/>
        <v>#DIV/0!</v>
      </c>
      <c r="T245" s="365" t="e">
        <f t="shared" si="285"/>
        <v>#DIV/0!</v>
      </c>
      <c r="U245" s="365" t="e">
        <f t="shared" si="285"/>
        <v>#DIV/0!</v>
      </c>
      <c r="V245" s="365" t="e">
        <f t="shared" si="285"/>
        <v>#DIV/0!</v>
      </c>
      <c r="W245" s="365" t="e">
        <f t="shared" ref="W245:AD245" si="286">100*(W$110-(AZ$110+CN$110))/W$110</f>
        <v>#DIV/0!</v>
      </c>
      <c r="X245" s="1234" t="e">
        <f t="shared" si="286"/>
        <v>#DIV/0!</v>
      </c>
      <c r="Y245" s="1182" t="e">
        <f t="shared" si="286"/>
        <v>#DIV/0!</v>
      </c>
      <c r="Z245" s="365" t="e">
        <f t="shared" si="286"/>
        <v>#DIV/0!</v>
      </c>
      <c r="AA245" s="365" t="e">
        <f t="shared" si="286"/>
        <v>#DIV/0!</v>
      </c>
      <c r="AB245" s="365" t="e">
        <f t="shared" si="286"/>
        <v>#DIV/0!</v>
      </c>
      <c r="AC245" s="365" t="e">
        <f t="shared" si="286"/>
        <v>#DIV/0!</v>
      </c>
      <c r="AD245" s="365" t="e">
        <f t="shared" si="286"/>
        <v>#DIV/0!</v>
      </c>
      <c r="AE245" s="365" t="e">
        <f>100*(AE$110-(BK$110+CV$110))/AE$110</f>
        <v>#DIV/0!</v>
      </c>
      <c r="AF245" s="365" t="e">
        <f>100*(AF$110-(BL$110+CW$110))/AF$110</f>
        <v>#DIV/0!</v>
      </c>
      <c r="AG245" s="365" t="e">
        <f>100*(AG$110-(BM$110+CX$110))/AG$110</f>
        <v>#DIV/0!</v>
      </c>
    </row>
    <row r="246" spans="1:179" s="377" customFormat="1" ht="19" thickTop="1" x14ac:dyDescent="0.45">
      <c r="A246"/>
      <c r="B246"/>
      <c r="C246" s="407" t="s">
        <v>142</v>
      </c>
      <c r="D246" s="407"/>
      <c r="E246" s="407"/>
      <c r="F246" s="1051"/>
      <c r="G246" s="229"/>
      <c r="H246" s="229"/>
      <c r="I246" s="1245"/>
      <c r="J246" s="538"/>
      <c r="K246" s="229"/>
      <c r="L246" s="229"/>
      <c r="M246" s="229"/>
      <c r="N246" s="229"/>
      <c r="O246" s="1245"/>
      <c r="P246" s="538"/>
      <c r="Q246" s="229"/>
      <c r="R246" s="1245"/>
      <c r="S246" s="538"/>
      <c r="T246" s="229"/>
      <c r="U246" s="229"/>
      <c r="V246" s="229"/>
      <c r="W246" s="229"/>
      <c r="X246" s="1245"/>
      <c r="Y246" s="538"/>
      <c r="Z246" s="229"/>
      <c r="AA246" s="229"/>
      <c r="AB246" s="229"/>
      <c r="AC246" s="229"/>
      <c r="AD246" s="229"/>
      <c r="AE246" s="229"/>
      <c r="AF246" s="229"/>
      <c r="AG246" s="229"/>
      <c r="AH246" s="323"/>
      <c r="AI246" s="232"/>
      <c r="AJ246" s="232"/>
      <c r="AK246" s="232"/>
      <c r="AL246" s="1236"/>
      <c r="AM246" s="643"/>
      <c r="AN246" s="232"/>
      <c r="AO246" s="232"/>
      <c r="AP246" s="232"/>
      <c r="AQ246" s="232"/>
      <c r="AR246" s="232"/>
      <c r="AS246" s="232"/>
      <c r="AT246" s="232"/>
      <c r="AU246" s="1236"/>
      <c r="AV246" s="643"/>
      <c r="AW246" s="232"/>
      <c r="AX246" s="232"/>
      <c r="AY246" s="232"/>
      <c r="AZ246" s="232"/>
      <c r="BA246" s="1236"/>
      <c r="BB246" s="643"/>
      <c r="BC246" s="232"/>
      <c r="BD246" s="232"/>
      <c r="BE246" s="232"/>
      <c r="BF246" s="232"/>
      <c r="BG246" s="232"/>
      <c r="BH246" s="232"/>
      <c r="BI246" s="232"/>
      <c r="BJ246" s="232"/>
      <c r="BK246" s="323"/>
      <c r="BL246" s="232"/>
      <c r="BM246" s="232"/>
      <c r="BN246" s="232"/>
      <c r="BO246" s="1236"/>
      <c r="BP246" s="643"/>
      <c r="BQ246" s="232"/>
      <c r="BR246" s="232"/>
      <c r="BS246" s="232"/>
      <c r="BT246" s="232"/>
      <c r="BU246" s="232"/>
      <c r="BV246" s="232"/>
      <c r="BW246" s="232"/>
      <c r="BX246" s="1236"/>
      <c r="BY246" s="643"/>
      <c r="BZ246" s="232"/>
      <c r="CA246" s="232"/>
      <c r="CB246" s="232"/>
      <c r="CC246" s="232"/>
      <c r="CD246" s="1236"/>
      <c r="CE246" s="643"/>
      <c r="CF246" s="232"/>
      <c r="CG246" s="232"/>
      <c r="CH246" s="232"/>
      <c r="CI246" s="232"/>
      <c r="CJ246" s="232"/>
      <c r="CK246" s="232"/>
      <c r="CL246" s="232"/>
      <c r="CM246" s="232"/>
      <c r="CN246" s="323"/>
      <c r="CO246" s="232"/>
      <c r="CP246" s="232"/>
      <c r="CQ246" s="232"/>
      <c r="CR246" s="1236"/>
      <c r="CS246" s="643"/>
      <c r="CT246" s="232"/>
      <c r="CU246" s="232"/>
      <c r="CV246" s="232"/>
      <c r="CW246" s="232"/>
      <c r="CX246" s="232"/>
      <c r="CY246" s="232"/>
      <c r="CZ246" s="232"/>
      <c r="DA246" s="1236"/>
      <c r="DB246" s="643"/>
      <c r="DC246" s="232"/>
      <c r="DD246" s="232"/>
      <c r="DE246" s="232"/>
      <c r="DF246" s="232"/>
      <c r="DG246" s="1236"/>
      <c r="DH246" s="643"/>
      <c r="DI246" s="232"/>
      <c r="DJ246" s="232"/>
      <c r="DK246" s="232"/>
      <c r="DL246" s="232"/>
      <c r="DM246" s="232"/>
      <c r="DN246" s="232"/>
      <c r="DO246" s="232"/>
      <c r="DP246" s="232"/>
      <c r="DQ246" s="323"/>
      <c r="DR246" s="238"/>
      <c r="DS246" s="232"/>
      <c r="DT246" s="232"/>
      <c r="DU246" s="232"/>
      <c r="DV246" s="1236"/>
      <c r="DW246" s="643"/>
      <c r="DX246" s="232"/>
      <c r="DY246" s="232"/>
      <c r="DZ246" s="232"/>
      <c r="EA246" s="232"/>
      <c r="EB246" s="232"/>
      <c r="EC246" s="232"/>
      <c r="ED246" s="232"/>
      <c r="EE246" s="1236"/>
      <c r="EF246" s="643"/>
      <c r="EG246" s="232"/>
      <c r="EH246" s="232"/>
      <c r="EI246" s="232"/>
      <c r="EJ246" s="232"/>
      <c r="EK246" s="1236"/>
      <c r="EL246" s="643"/>
      <c r="EM246" s="232"/>
      <c r="EN246" s="232"/>
      <c r="EO246" s="232"/>
      <c r="EP246" s="232"/>
      <c r="EQ246" s="232"/>
      <c r="ER246" s="232"/>
      <c r="ES246" s="232"/>
      <c r="ET246" s="232"/>
      <c r="EU246" s="323"/>
      <c r="EV246" s="232"/>
      <c r="EW246" s="232"/>
      <c r="EX246" s="232"/>
      <c r="EY246" s="1236"/>
      <c r="EZ246" s="643"/>
      <c r="FA246" s="232"/>
      <c r="FB246" s="232"/>
      <c r="FC246" s="232"/>
      <c r="FD246" s="232"/>
      <c r="FE246" s="232"/>
      <c r="FF246" s="232"/>
      <c r="FG246" s="232"/>
      <c r="FH246" s="1236"/>
      <c r="FI246" s="643"/>
      <c r="FJ246" s="232"/>
      <c r="FK246" s="232"/>
      <c r="FL246" s="232"/>
      <c r="FM246" s="232"/>
      <c r="FN246" s="1236"/>
      <c r="FO246" s="643"/>
      <c r="FP246" s="232"/>
      <c r="FQ246" s="232"/>
      <c r="FR246" s="232"/>
      <c r="FS246" s="232"/>
      <c r="FT246" s="232"/>
      <c r="FU246" s="232"/>
      <c r="FV246" s="232"/>
      <c r="FW246" s="232"/>
    </row>
    <row r="247" spans="1:179" x14ac:dyDescent="0.35">
      <c r="C247" s="1" t="s">
        <v>119</v>
      </c>
      <c r="F247" s="501">
        <f>(EV$121+DS$121)/F$73*100</f>
        <v>1.0142680982383954</v>
      </c>
      <c r="G247" s="249">
        <f t="shared" ref="G247:U247" si="287">(EW$121+DT$121)/G$73*100</f>
        <v>1.164721739130435</v>
      </c>
      <c r="H247" s="249">
        <f t="shared" si="287"/>
        <v>0.40248086059190019</v>
      </c>
      <c r="I247" s="1242">
        <f t="shared" si="287"/>
        <v>0.42533575094501991</v>
      </c>
      <c r="J247" s="419">
        <f t="shared" si="287"/>
        <v>1.0863663847938336</v>
      </c>
      <c r="K247" s="249">
        <f t="shared" si="287"/>
        <v>1.2171414006059196</v>
      </c>
      <c r="L247" s="249">
        <f t="shared" si="287"/>
        <v>1.2142834807610472</v>
      </c>
      <c r="M247" s="249">
        <f t="shared" si="287"/>
        <v>1.1776976277948958</v>
      </c>
      <c r="N247" s="249">
        <f t="shared" si="287"/>
        <v>1.1673535853976533</v>
      </c>
      <c r="O247" s="1242">
        <f t="shared" si="287"/>
        <v>1.1102542931616071</v>
      </c>
      <c r="P247" s="419">
        <f t="shared" si="287"/>
        <v>1.1510543428308826</v>
      </c>
      <c r="Q247" s="249">
        <f t="shared" si="287"/>
        <v>1.1537663950329842</v>
      </c>
      <c r="R247" s="1242">
        <f t="shared" si="287"/>
        <v>1.2074544395245863</v>
      </c>
      <c r="S247" s="419" t="e">
        <f t="shared" si="287"/>
        <v>#DIV/0!</v>
      </c>
      <c r="T247" s="249" t="e">
        <f t="shared" si="287"/>
        <v>#DIV/0!</v>
      </c>
      <c r="U247" s="249" t="e">
        <f t="shared" si="287"/>
        <v>#DIV/0!</v>
      </c>
      <c r="V247" s="249" t="e">
        <f t="shared" ref="V247:AG247" si="288">(FL$121+EI$121)/V$73*100</f>
        <v>#DIV/0!</v>
      </c>
      <c r="W247" s="249" t="e">
        <f t="shared" si="288"/>
        <v>#DIV/0!</v>
      </c>
      <c r="X247" s="1242" t="e">
        <f t="shared" si="288"/>
        <v>#DIV/0!</v>
      </c>
      <c r="Y247" s="419" t="e">
        <f t="shared" si="288"/>
        <v>#DIV/0!</v>
      </c>
      <c r="Z247" s="249" t="e">
        <f t="shared" si="288"/>
        <v>#DIV/0!</v>
      </c>
      <c r="AA247" s="249" t="e">
        <f t="shared" si="288"/>
        <v>#DIV/0!</v>
      </c>
      <c r="AB247" s="249" t="e">
        <f t="shared" si="288"/>
        <v>#DIV/0!</v>
      </c>
      <c r="AC247" s="249" t="e">
        <f t="shared" si="288"/>
        <v>#DIV/0!</v>
      </c>
      <c r="AD247" s="249" t="e">
        <f t="shared" si="288"/>
        <v>#DIV/0!</v>
      </c>
      <c r="AE247" s="249" t="e">
        <f t="shared" si="288"/>
        <v>#DIV/0!</v>
      </c>
      <c r="AF247" s="249" t="e">
        <f t="shared" si="288"/>
        <v>#DIV/0!</v>
      </c>
      <c r="AG247" s="249" t="e">
        <f t="shared" si="288"/>
        <v>#DIV/0!</v>
      </c>
    </row>
    <row r="248" spans="1:179" x14ac:dyDescent="0.35">
      <c r="C248" s="911" t="s">
        <v>582</v>
      </c>
      <c r="F248" s="501">
        <f>F247/F151</f>
        <v>1.008811696103642</v>
      </c>
      <c r="G248" s="249">
        <f>G247/G151</f>
        <v>1.1871443150880434</v>
      </c>
      <c r="H248" s="249">
        <f>H247/H151</f>
        <v>0.41791127478382722</v>
      </c>
      <c r="I248" s="1242">
        <f>I247/I151</f>
        <v>0.4363579179494439</v>
      </c>
      <c r="J248" s="419">
        <f>J247/J151-0.3</f>
        <v>0.86619020680741854</v>
      </c>
      <c r="K248" s="249">
        <f t="shared" ref="K248:AG248" si="289">K247/K151</f>
        <v>1.2651846444375878</v>
      </c>
      <c r="L248" s="249">
        <f t="shared" si="289"/>
        <v>1.2165363216337592</v>
      </c>
      <c r="M248" s="249">
        <f t="shared" si="289"/>
        <v>1.2223145161179554</v>
      </c>
      <c r="N248" s="249">
        <f t="shared" si="289"/>
        <v>1.2123101508365883</v>
      </c>
      <c r="O248" s="1242">
        <f t="shared" si="289"/>
        <v>1.1482829911874093</v>
      </c>
      <c r="P248" s="419">
        <f t="shared" si="289"/>
        <v>1.221144414158561</v>
      </c>
      <c r="Q248" s="249">
        <f t="shared" si="289"/>
        <v>1.2139576341192848</v>
      </c>
      <c r="R248" s="1242">
        <f t="shared" si="289"/>
        <v>1.2654186803545582</v>
      </c>
      <c r="S248" s="419" t="e">
        <f t="shared" si="289"/>
        <v>#DIV/0!</v>
      </c>
      <c r="T248" s="249" t="e">
        <f t="shared" si="289"/>
        <v>#DIV/0!</v>
      </c>
      <c r="U248" s="249" t="e">
        <f t="shared" si="289"/>
        <v>#DIV/0!</v>
      </c>
      <c r="V248" s="249" t="e">
        <f t="shared" si="289"/>
        <v>#DIV/0!</v>
      </c>
      <c r="W248" s="249" t="e">
        <f t="shared" si="289"/>
        <v>#DIV/0!</v>
      </c>
      <c r="X248" s="1242" t="e">
        <f t="shared" si="289"/>
        <v>#DIV/0!</v>
      </c>
      <c r="Y248" s="419" t="e">
        <f t="shared" si="289"/>
        <v>#DIV/0!</v>
      </c>
      <c r="Z248" s="249" t="e">
        <f t="shared" si="289"/>
        <v>#DIV/0!</v>
      </c>
      <c r="AA248" s="249" t="e">
        <f t="shared" si="289"/>
        <v>#DIV/0!</v>
      </c>
      <c r="AB248" s="249" t="e">
        <f t="shared" si="289"/>
        <v>#DIV/0!</v>
      </c>
      <c r="AC248" s="249" t="e">
        <f t="shared" si="289"/>
        <v>#DIV/0!</v>
      </c>
      <c r="AD248" s="249" t="e">
        <f t="shared" si="289"/>
        <v>#DIV/0!</v>
      </c>
      <c r="AE248" s="249" t="e">
        <f t="shared" si="289"/>
        <v>#DIV/0!</v>
      </c>
      <c r="AF248" s="249" t="e">
        <f t="shared" si="289"/>
        <v>#DIV/0!</v>
      </c>
      <c r="AG248" s="249" t="e">
        <f t="shared" si="289"/>
        <v>#DIV/0!</v>
      </c>
    </row>
    <row r="249" spans="1:179" x14ac:dyDescent="0.35">
      <c r="C249" s="444" t="s">
        <v>1094</v>
      </c>
      <c r="F249" s="501">
        <f>0.00345504581601031*100</f>
        <v>0.34550458160103098</v>
      </c>
      <c r="G249" s="249">
        <f>0.00439707853838619*100</f>
        <v>0.43970785383861904</v>
      </c>
      <c r="H249" s="249">
        <f>0.00327452914246017*100</f>
        <v>0.32745291424601697</v>
      </c>
      <c r="I249" s="1242">
        <f>0.00282526855143028*100</f>
        <v>0.282526855143028</v>
      </c>
      <c r="J249" s="419">
        <f>0.0122059610674805*100</f>
        <v>1.22059610674805</v>
      </c>
      <c r="K249" s="249">
        <f>0.0119069678541014*100</f>
        <v>1.19069678541014</v>
      </c>
      <c r="L249" s="249">
        <f>0.0117776274056584*100</f>
        <v>1.17776274056584</v>
      </c>
      <c r="M249" s="249">
        <f>0.0114968791580093*100</f>
        <v>1.1496879158009299</v>
      </c>
      <c r="N249" s="249">
        <f>0.0122028537784721*100</f>
        <v>1.22028537784721</v>
      </c>
      <c r="O249" s="1242">
        <f>0.0122954467743638*100</f>
        <v>1.2295446774363801</v>
      </c>
      <c r="P249" s="419">
        <f>0.0120833048462385*100</f>
        <v>1.2083304846238501</v>
      </c>
      <c r="Q249" s="249"/>
      <c r="R249" s="1242"/>
      <c r="S249" s="419"/>
      <c r="T249" s="249"/>
      <c r="U249" s="249"/>
    </row>
    <row r="250" spans="1:179" x14ac:dyDescent="0.35">
      <c r="C250" s="1" t="s">
        <v>120</v>
      </c>
      <c r="F250" s="501">
        <f t="shared" ref="F250:U250" si="290">((DS$122+EV$122)/F$73)*100</f>
        <v>0.82941371994342294</v>
      </c>
      <c r="G250" s="249">
        <f t="shared" si="290"/>
        <v>0.90690409207161127</v>
      </c>
      <c r="H250" s="249">
        <f t="shared" si="290"/>
        <v>0.33270837227414324</v>
      </c>
      <c r="I250" s="1242">
        <f t="shared" si="290"/>
        <v>0.35170001126852912</v>
      </c>
      <c r="J250" s="419">
        <f t="shared" si="290"/>
        <v>0.89578208486118394</v>
      </c>
      <c r="K250" s="249">
        <f t="shared" si="290"/>
        <v>1.0464727530490174</v>
      </c>
      <c r="L250" s="249">
        <f t="shared" si="290"/>
        <v>1.0429045625673741</v>
      </c>
      <c r="M250" s="249">
        <f t="shared" si="290"/>
        <v>0.97606443074978277</v>
      </c>
      <c r="N250" s="249">
        <f t="shared" si="290"/>
        <v>0.98048598435462841</v>
      </c>
      <c r="O250" s="1242">
        <f t="shared" si="290"/>
        <v>0.94929176249616676</v>
      </c>
      <c r="P250" s="419">
        <f t="shared" si="290"/>
        <v>0.93155901501225502</v>
      </c>
      <c r="Q250" s="249">
        <f t="shared" si="290"/>
        <v>0.93329662398137381</v>
      </c>
      <c r="R250" s="1242">
        <f t="shared" si="290"/>
        <v>1.0176320787695174</v>
      </c>
      <c r="S250" s="419" t="e">
        <f t="shared" si="290"/>
        <v>#DIV/0!</v>
      </c>
      <c r="T250" s="249" t="e">
        <f t="shared" si="290"/>
        <v>#DIV/0!</v>
      </c>
      <c r="U250" s="249" t="e">
        <f t="shared" si="290"/>
        <v>#DIV/0!</v>
      </c>
      <c r="V250" s="249" t="e">
        <f t="shared" ref="V250:AG250" si="291">((EI$122+FL$122)/V$73)*100</f>
        <v>#DIV/0!</v>
      </c>
      <c r="W250" s="249" t="e">
        <f t="shared" si="291"/>
        <v>#DIV/0!</v>
      </c>
      <c r="X250" s="1242" t="e">
        <f t="shared" si="291"/>
        <v>#DIV/0!</v>
      </c>
      <c r="Y250" s="419" t="e">
        <f t="shared" si="291"/>
        <v>#DIV/0!</v>
      </c>
      <c r="Z250" s="249" t="e">
        <f t="shared" si="291"/>
        <v>#DIV/0!</v>
      </c>
      <c r="AA250" s="249" t="e">
        <f t="shared" si="291"/>
        <v>#DIV/0!</v>
      </c>
      <c r="AB250" s="249" t="e">
        <f t="shared" si="291"/>
        <v>#DIV/0!</v>
      </c>
      <c r="AC250" s="249" t="e">
        <f t="shared" si="291"/>
        <v>#DIV/0!</v>
      </c>
      <c r="AD250" s="249" t="e">
        <f t="shared" si="291"/>
        <v>#DIV/0!</v>
      </c>
      <c r="AE250" s="249" t="e">
        <f t="shared" si="291"/>
        <v>#DIV/0!</v>
      </c>
      <c r="AF250" s="249" t="e">
        <f t="shared" si="291"/>
        <v>#DIV/0!</v>
      </c>
      <c r="AG250" s="249" t="e">
        <f t="shared" si="291"/>
        <v>#DIV/0!</v>
      </c>
    </row>
    <row r="251" spans="1:179" x14ac:dyDescent="0.35">
      <c r="C251" s="911" t="s">
        <v>590</v>
      </c>
      <c r="F251" s="501">
        <f>F250/F151</f>
        <v>0.82495176870986531</v>
      </c>
      <c r="G251" s="249">
        <f>G250/G151</f>
        <v>0.92436330589715865</v>
      </c>
      <c r="H251" s="249">
        <f>H250/H151</f>
        <v>0.34546383096045669</v>
      </c>
      <c r="I251" s="1242">
        <f>I250/I151</f>
        <v>0.3608139788836347</v>
      </c>
      <c r="J251" s="419">
        <f>J250/J151-0.3</f>
        <v>0.66160219003544984</v>
      </c>
      <c r="K251" s="249">
        <f t="shared" ref="K251:U251" si="292">K250/K151</f>
        <v>1.0877793305862722</v>
      </c>
      <c r="L251" s="249">
        <f t="shared" si="292"/>
        <v>1.0448394468527282</v>
      </c>
      <c r="M251" s="249">
        <f t="shared" si="292"/>
        <v>1.0130424773001645</v>
      </c>
      <c r="N251" s="249">
        <f t="shared" si="292"/>
        <v>1.0182459937202415</v>
      </c>
      <c r="O251" s="1242">
        <f t="shared" si="292"/>
        <v>0.98180713307090917</v>
      </c>
      <c r="P251" s="419">
        <f t="shared" si="292"/>
        <v>0.98828356343589441</v>
      </c>
      <c r="Q251" s="249">
        <f t="shared" si="292"/>
        <v>0.98198609914232626</v>
      </c>
      <c r="R251" s="1242">
        <f t="shared" si="292"/>
        <v>1.0664838357876341</v>
      </c>
      <c r="S251" s="419" t="e">
        <f t="shared" si="292"/>
        <v>#DIV/0!</v>
      </c>
      <c r="T251" s="249" t="e">
        <f t="shared" si="292"/>
        <v>#DIV/0!</v>
      </c>
      <c r="U251" s="249" t="e">
        <f t="shared" si="292"/>
        <v>#DIV/0!</v>
      </c>
      <c r="V251" s="249"/>
      <c r="W251" s="249"/>
      <c r="X251" s="1242"/>
      <c r="Y251" s="419"/>
      <c r="Z251" s="249"/>
      <c r="AA251" s="249"/>
      <c r="AB251" s="249"/>
      <c r="AC251" s="249"/>
      <c r="AD251" s="249"/>
      <c r="AE251" s="249"/>
      <c r="AF251" s="249"/>
      <c r="AG251" s="249"/>
    </row>
    <row r="252" spans="1:179" x14ac:dyDescent="0.35">
      <c r="C252" s="444" t="s">
        <v>1093</v>
      </c>
      <c r="F252" s="501">
        <f>0.00287241426920668*100</f>
        <v>0.28724142692066801</v>
      </c>
      <c r="G252" s="249">
        <f>0.00365559005844607*100</f>
        <v>0.36555900584460699</v>
      </c>
      <c r="H252" s="249">
        <f>0.00268613718717436*100</f>
        <v>0.268613718717436</v>
      </c>
      <c r="I252" s="1242">
        <f>0.00245675526211329*100</f>
        <v>0.24567552621132899</v>
      </c>
      <c r="J252" s="419">
        <f>0.0105628509237812*100</f>
        <v>1.05628509237812</v>
      </c>
      <c r="K252" s="249">
        <f>0.0105334266810207*100</f>
        <v>1.0533426681020701</v>
      </c>
      <c r="L252" s="249">
        <f>0.010129840085142*100</f>
        <v>1.0129840085142001</v>
      </c>
      <c r="M252" s="249">
        <f>0.010196636872282*100</f>
        <v>1.0196636872282001</v>
      </c>
      <c r="N252" s="249">
        <f>0.0105549237481204*100</f>
        <v>1.0554923748120399</v>
      </c>
      <c r="O252" s="1242">
        <f>0.0106350125559509*100</f>
        <v>1.06350125559509</v>
      </c>
      <c r="P252" s="419">
        <f>0.0103984367312805*100</f>
        <v>1.03984367312805</v>
      </c>
      <c r="Q252" s="249"/>
      <c r="R252" s="1242"/>
      <c r="S252" s="419"/>
      <c r="T252" s="249"/>
      <c r="U252" s="249"/>
      <c r="V252" s="249"/>
      <c r="W252" s="249"/>
      <c r="X252" s="1242"/>
      <c r="Y252" s="419"/>
      <c r="Z252" s="249"/>
      <c r="AA252" s="249"/>
      <c r="AB252" s="249"/>
      <c r="AC252" s="249"/>
      <c r="AD252" s="249"/>
      <c r="AE252" s="249"/>
      <c r="AF252" s="249"/>
      <c r="AG252" s="249"/>
    </row>
    <row r="253" spans="1:179" x14ac:dyDescent="0.35">
      <c r="C253" s="1" t="s">
        <v>121</v>
      </c>
      <c r="F253" s="501">
        <f>(EV$123+DS$123)/F$73*100</f>
        <v>0.95866976340491183</v>
      </c>
      <c r="G253" s="249">
        <f>(EW$123+DT$123)/G$73*100</f>
        <v>0.96993350383631738</v>
      </c>
      <c r="H253" s="249">
        <f>(EX$123+DU$123)/H$73*100</f>
        <v>0.33849939641744542</v>
      </c>
      <c r="I253" s="1242">
        <f>(EY$123+DV$123)/I$73*100</f>
        <v>0.35569905856561873</v>
      </c>
      <c r="J253" s="419">
        <f>(EZ$123+DW$123)/J$73*100-0.2</f>
        <v>0.69684195165756213</v>
      </c>
      <c r="K253" s="249">
        <f t="shared" ref="K253:U253" si="293">(FA$123+DX$123)/K$73*100</f>
        <v>1.091644624407675</v>
      </c>
      <c r="L253" s="249">
        <f t="shared" si="293"/>
        <v>1.1291055374654189</v>
      </c>
      <c r="M253" s="249">
        <f t="shared" si="293"/>
        <v>1.0548490163545863</v>
      </c>
      <c r="N253" s="249">
        <f t="shared" si="293"/>
        <v>1.0399608865710561</v>
      </c>
      <c r="O253" s="1242">
        <f t="shared" si="293"/>
        <v>1.0752879101502608</v>
      </c>
      <c r="P253" s="419">
        <f t="shared" si="293"/>
        <v>0.94848839613970592</v>
      </c>
      <c r="Q253" s="249">
        <f t="shared" si="293"/>
        <v>0.9845807334109431</v>
      </c>
      <c r="R253" s="1242">
        <f t="shared" si="293"/>
        <v>1.1129492833838266</v>
      </c>
      <c r="S253" s="419" t="e">
        <f t="shared" si="293"/>
        <v>#DIV/0!</v>
      </c>
      <c r="T253" s="249" t="e">
        <f t="shared" si="293"/>
        <v>#DIV/0!</v>
      </c>
      <c r="U253" s="249" t="e">
        <f t="shared" si="293"/>
        <v>#DIV/0!</v>
      </c>
      <c r="V253" s="249" t="e">
        <f t="shared" ref="V253:AG253" si="294">(FL$123+EI$123)/V$73*100</f>
        <v>#DIV/0!</v>
      </c>
      <c r="W253" s="249" t="e">
        <f t="shared" si="294"/>
        <v>#DIV/0!</v>
      </c>
      <c r="X253" s="1242" t="e">
        <f t="shared" si="294"/>
        <v>#DIV/0!</v>
      </c>
      <c r="Y253" s="419" t="e">
        <f t="shared" si="294"/>
        <v>#DIV/0!</v>
      </c>
      <c r="Z253" s="249" t="e">
        <f t="shared" si="294"/>
        <v>#DIV/0!</v>
      </c>
      <c r="AA253" s="249" t="e">
        <f t="shared" si="294"/>
        <v>#DIV/0!</v>
      </c>
      <c r="AB253" s="249" t="e">
        <f t="shared" si="294"/>
        <v>#DIV/0!</v>
      </c>
      <c r="AC253" s="249" t="e">
        <f t="shared" si="294"/>
        <v>#DIV/0!</v>
      </c>
      <c r="AD253" s="249" t="e">
        <f t="shared" si="294"/>
        <v>#DIV/0!</v>
      </c>
      <c r="AE253" s="249" t="e">
        <f t="shared" si="294"/>
        <v>#DIV/0!</v>
      </c>
      <c r="AF253" s="249" t="e">
        <f t="shared" si="294"/>
        <v>#DIV/0!</v>
      </c>
      <c r="AG253" s="249" t="e">
        <f t="shared" si="294"/>
        <v>#DIV/0!</v>
      </c>
    </row>
    <row r="254" spans="1:179" x14ac:dyDescent="0.35">
      <c r="C254" s="911" t="s">
        <v>592</v>
      </c>
      <c r="F254" s="501">
        <f t="shared" ref="F254:U254" si="295">F253/F151</f>
        <v>0.95351246056491201</v>
      </c>
      <c r="G254" s="249">
        <f t="shared" si="295"/>
        <v>0.98860612488641997</v>
      </c>
      <c r="H254" s="249">
        <f t="shared" si="295"/>
        <v>0.35147687286876561</v>
      </c>
      <c r="I254" s="1242">
        <f t="shared" si="295"/>
        <v>0.36491665764614706</v>
      </c>
      <c r="J254" s="419">
        <f t="shared" si="295"/>
        <v>0.74804437166917603</v>
      </c>
      <c r="K254" s="249">
        <f t="shared" si="295"/>
        <v>1.1347342349014427</v>
      </c>
      <c r="L254" s="249">
        <f t="shared" si="295"/>
        <v>1.1312003490516007</v>
      </c>
      <c r="M254" s="249">
        <f t="shared" si="295"/>
        <v>1.0948118044672734</v>
      </c>
      <c r="N254" s="249">
        <f t="shared" si="295"/>
        <v>1.0800113650515231</v>
      </c>
      <c r="O254" s="1242">
        <f t="shared" si="295"/>
        <v>1.1121189311855004</v>
      </c>
      <c r="P254" s="419">
        <f t="shared" si="295"/>
        <v>1.0062438094726756</v>
      </c>
      <c r="Q254" s="249">
        <f t="shared" si="295"/>
        <v>1.035945667057506</v>
      </c>
      <c r="R254" s="1242">
        <f t="shared" si="295"/>
        <v>1.1663767736326554</v>
      </c>
      <c r="S254" s="419" t="e">
        <f t="shared" si="295"/>
        <v>#DIV/0!</v>
      </c>
      <c r="T254" s="249" t="e">
        <f t="shared" si="295"/>
        <v>#DIV/0!</v>
      </c>
      <c r="U254" s="249" t="e">
        <f t="shared" si="295"/>
        <v>#DIV/0!</v>
      </c>
      <c r="V254" s="249"/>
      <c r="W254" s="249"/>
      <c r="X254" s="1242"/>
      <c r="Y254" s="419"/>
      <c r="Z254" s="249"/>
      <c r="AA254" s="249"/>
      <c r="AB254" s="249"/>
      <c r="AC254" s="249"/>
      <c r="AD254" s="249"/>
      <c r="AE254" s="249"/>
      <c r="AF254" s="249"/>
      <c r="AG254" s="249"/>
    </row>
    <row r="255" spans="1:179" x14ac:dyDescent="0.35">
      <c r="C255" s="444" t="s">
        <v>1095</v>
      </c>
      <c r="F255" s="501">
        <v>0.29579755453107132</v>
      </c>
      <c r="G255" s="249">
        <v>0.37644799750806307</v>
      </c>
      <c r="H255" s="249">
        <v>0.28140484818017075</v>
      </c>
      <c r="I255" s="1242">
        <v>0.27024307883246179</v>
      </c>
      <c r="J255" s="419">
        <v>1.118879764519042</v>
      </c>
      <c r="K255" s="249">
        <v>1.2048296849402258</v>
      </c>
      <c r="L255" s="249">
        <v>1.1192347756294623</v>
      </c>
      <c r="M255" s="249">
        <v>1.1943980014154094</v>
      </c>
      <c r="N255" s="249">
        <v>1.1984945675285117</v>
      </c>
      <c r="O255" s="1242">
        <v>1.2075885224821632</v>
      </c>
      <c r="P255" s="419">
        <v>1.1615030874233849</v>
      </c>
      <c r="Q255" s="249"/>
      <c r="R255" s="1242"/>
      <c r="S255" s="419"/>
      <c r="T255" s="249"/>
      <c r="U255" s="249"/>
      <c r="V255" s="249"/>
      <c r="W255" s="249"/>
      <c r="X255" s="1242"/>
      <c r="Y255" s="419"/>
      <c r="Z255" s="249"/>
      <c r="AA255" s="249"/>
      <c r="AB255" s="249"/>
      <c r="AC255" s="249"/>
      <c r="AD255" s="249"/>
      <c r="AE255" s="249"/>
      <c r="AF255" s="249"/>
      <c r="AG255" s="249"/>
    </row>
    <row r="256" spans="1:179" x14ac:dyDescent="0.35">
      <c r="C256" s="1" t="s">
        <v>122</v>
      </c>
      <c r="F256" s="501">
        <f t="shared" ref="F256:U256" si="296">((DS$134+EV$134)/F$73)*100</f>
        <v>0.96489906133470504</v>
      </c>
      <c r="G256" s="249">
        <f t="shared" si="296"/>
        <v>0.88936253196930959</v>
      </c>
      <c r="H256" s="249">
        <f t="shared" si="296"/>
        <v>0.22451724753374866</v>
      </c>
      <c r="I256" s="1242">
        <f t="shared" si="296"/>
        <v>0.23371804262235751</v>
      </c>
      <c r="J256" s="419">
        <f t="shared" si="296"/>
        <v>0.56217372595973958</v>
      </c>
      <c r="K256" s="249">
        <f t="shared" si="296"/>
        <v>0.69101915507910616</v>
      </c>
      <c r="L256" s="249">
        <f t="shared" si="296"/>
        <v>0.73453145500350914</v>
      </c>
      <c r="M256" s="249">
        <f t="shared" si="296"/>
        <v>0.76770264642753683</v>
      </c>
      <c r="N256" s="249">
        <f t="shared" si="296"/>
        <v>0.68259620817036071</v>
      </c>
      <c r="O256" s="1242">
        <f t="shared" si="296"/>
        <v>0.76731025758969662</v>
      </c>
      <c r="P256" s="419">
        <f t="shared" si="296"/>
        <v>0.58650645935457535</v>
      </c>
      <c r="Q256" s="249">
        <f t="shared" si="296"/>
        <v>0.6504152923295824</v>
      </c>
      <c r="R256" s="1242">
        <f t="shared" si="296"/>
        <v>0.75872652547968622</v>
      </c>
      <c r="S256" s="419" t="e">
        <f t="shared" si="296"/>
        <v>#DIV/0!</v>
      </c>
      <c r="T256" s="249" t="e">
        <f t="shared" si="296"/>
        <v>#DIV/0!</v>
      </c>
      <c r="U256" s="249" t="e">
        <f t="shared" si="296"/>
        <v>#DIV/0!</v>
      </c>
      <c r="V256" s="249" t="e">
        <f t="shared" ref="V256:AG256" si="297">((EI$134+FL$134)/V$73)*100</f>
        <v>#DIV/0!</v>
      </c>
      <c r="W256" s="249" t="e">
        <f t="shared" si="297"/>
        <v>#DIV/0!</v>
      </c>
      <c r="X256" s="1242" t="e">
        <f t="shared" si="297"/>
        <v>#DIV/0!</v>
      </c>
      <c r="Y256" s="419" t="e">
        <f t="shared" si="297"/>
        <v>#DIV/0!</v>
      </c>
      <c r="Z256" s="249" t="e">
        <f t="shared" si="297"/>
        <v>#DIV/0!</v>
      </c>
      <c r="AA256" s="249" t="e">
        <f t="shared" si="297"/>
        <v>#DIV/0!</v>
      </c>
      <c r="AB256" s="249" t="e">
        <f t="shared" si="297"/>
        <v>#DIV/0!</v>
      </c>
      <c r="AC256" s="249" t="e">
        <f t="shared" si="297"/>
        <v>#DIV/0!</v>
      </c>
      <c r="AD256" s="249" t="e">
        <f t="shared" si="297"/>
        <v>#DIV/0!</v>
      </c>
      <c r="AE256" s="249" t="e">
        <f t="shared" si="297"/>
        <v>#DIV/0!</v>
      </c>
      <c r="AF256" s="249" t="e">
        <f t="shared" si="297"/>
        <v>#DIV/0!</v>
      </c>
      <c r="AG256" s="249" t="e">
        <f t="shared" si="297"/>
        <v>#DIV/0!</v>
      </c>
    </row>
    <row r="257" spans="1:64" x14ac:dyDescent="0.35">
      <c r="C257" s="911" t="s">
        <v>591</v>
      </c>
      <c r="F257" s="501">
        <f t="shared" ref="F257:U257" si="298">F256/F151</f>
        <v>0.95970824708427915</v>
      </c>
      <c r="G257" s="249">
        <f t="shared" si="298"/>
        <v>0.90648404542351979</v>
      </c>
      <c r="H257" s="249">
        <f t="shared" si="298"/>
        <v>0.2331248472034132</v>
      </c>
      <c r="I257" s="1242">
        <f t="shared" si="298"/>
        <v>0.23977462096548319</v>
      </c>
      <c r="J257" s="419">
        <f t="shared" si="298"/>
        <v>0.60348101976949819</v>
      </c>
      <c r="K257" s="249">
        <f t="shared" si="298"/>
        <v>0.71829519855547785</v>
      </c>
      <c r="L257" s="249">
        <f t="shared" si="298"/>
        <v>0.7358942195558914</v>
      </c>
      <c r="M257" s="249">
        <f t="shared" si="298"/>
        <v>0.79678693974067571</v>
      </c>
      <c r="N257" s="249">
        <f t="shared" si="298"/>
        <v>0.70888402831743835</v>
      </c>
      <c r="O257" s="1242">
        <f t="shared" si="298"/>
        <v>0.79359235373443249</v>
      </c>
      <c r="P257" s="419">
        <f t="shared" si="298"/>
        <v>0.62222004649000573</v>
      </c>
      <c r="Q257" s="249">
        <f t="shared" si="298"/>
        <v>0.68434703322144363</v>
      </c>
      <c r="R257" s="1242">
        <f t="shared" si="298"/>
        <v>0.79514943768853796</v>
      </c>
      <c r="S257" s="419" t="e">
        <f t="shared" si="298"/>
        <v>#DIV/0!</v>
      </c>
      <c r="T257" s="249" t="e">
        <f t="shared" si="298"/>
        <v>#DIV/0!</v>
      </c>
      <c r="U257" s="249" t="e">
        <f t="shared" si="298"/>
        <v>#DIV/0!</v>
      </c>
      <c r="V257" s="249"/>
      <c r="W257" s="249"/>
      <c r="X257" s="1242"/>
      <c r="Y257" s="419"/>
      <c r="Z257" s="249"/>
      <c r="AA257" s="249"/>
      <c r="AB257" s="249"/>
      <c r="AC257" s="249"/>
      <c r="AD257" s="249"/>
      <c r="AE257" s="249"/>
      <c r="AF257" s="249"/>
      <c r="AG257" s="249"/>
    </row>
    <row r="258" spans="1:64" x14ac:dyDescent="0.35">
      <c r="C258" s="444" t="s">
        <v>1096</v>
      </c>
      <c r="F258" s="501">
        <v>0.248127700701684</v>
      </c>
      <c r="G258" s="249">
        <v>0.31578075824023499</v>
      </c>
      <c r="H258" s="249">
        <v>0.23740336282836197</v>
      </c>
      <c r="I258" s="1242">
        <v>0.23748634200428501</v>
      </c>
      <c r="J258" s="419">
        <v>0.89501687457059398</v>
      </c>
      <c r="K258" s="249">
        <v>1.0502510963298599</v>
      </c>
      <c r="L258" s="249">
        <v>0.94004915990117299</v>
      </c>
      <c r="M258" s="249">
        <v>1.0584428431183199</v>
      </c>
      <c r="N258" s="249">
        <v>1.0400572175029601</v>
      </c>
      <c r="O258" s="1242">
        <v>1.0479489791691801</v>
      </c>
      <c r="P258" s="419">
        <v>0.97189803797442897</v>
      </c>
      <c r="Q258" s="249"/>
      <c r="R258" s="1242"/>
      <c r="S258" s="419"/>
      <c r="T258" s="249"/>
      <c r="U258" s="249"/>
      <c r="V258" s="249"/>
      <c r="W258" s="249"/>
      <c r="X258" s="1242"/>
      <c r="Y258" s="419"/>
      <c r="Z258" s="249"/>
      <c r="AA258" s="249"/>
      <c r="AB258" s="249"/>
      <c r="AC258" s="249"/>
      <c r="AD258" s="249"/>
      <c r="AE258" s="249"/>
      <c r="AF258" s="249"/>
      <c r="AG258" s="249"/>
    </row>
    <row r="259" spans="1:64" x14ac:dyDescent="0.35">
      <c r="C259" s="1" t="s">
        <v>123</v>
      </c>
      <c r="F259" s="501">
        <f t="shared" ref="F259:U259" si="299">((DS$125+EV$125)/F$73)*100</f>
        <v>0.62080098366979553</v>
      </c>
      <c r="G259" s="249">
        <f t="shared" si="299"/>
        <v>0.45353324808184148</v>
      </c>
      <c r="H259" s="249">
        <f t="shared" si="299"/>
        <v>0.19273006230529593</v>
      </c>
      <c r="I259" s="1242">
        <f t="shared" si="299"/>
        <v>0.19647922493008393</v>
      </c>
      <c r="J259" s="419">
        <f t="shared" si="299"/>
        <v>0.4193148245154531</v>
      </c>
      <c r="K259" s="249">
        <f t="shared" si="299"/>
        <v>0.49548580361997979</v>
      </c>
      <c r="L259" s="249">
        <f t="shared" si="299"/>
        <v>0.5118903894711696</v>
      </c>
      <c r="M259" s="249">
        <f t="shared" si="299"/>
        <v>0.73669529706881565</v>
      </c>
      <c r="N259" s="249">
        <f t="shared" si="299"/>
        <v>0.54833021512385915</v>
      </c>
      <c r="O259" s="1242">
        <f t="shared" si="299"/>
        <v>0.60118753833180016</v>
      </c>
      <c r="P259" s="419">
        <f t="shared" si="299"/>
        <v>0.52298223039215697</v>
      </c>
      <c r="Q259" s="249">
        <f t="shared" si="299"/>
        <v>0.58962066356228171</v>
      </c>
      <c r="R259" s="1242">
        <f t="shared" si="299"/>
        <v>0.62813959450011647</v>
      </c>
      <c r="S259" s="419" t="e">
        <f t="shared" si="299"/>
        <v>#DIV/0!</v>
      </c>
      <c r="T259" s="249" t="e">
        <f t="shared" si="299"/>
        <v>#DIV/0!</v>
      </c>
      <c r="U259" s="249" t="e">
        <f t="shared" si="299"/>
        <v>#DIV/0!</v>
      </c>
      <c r="V259" s="249" t="e">
        <f t="shared" ref="V259:AG259" si="300">((EI$125+FL$125)/V$73)*100</f>
        <v>#DIV/0!</v>
      </c>
      <c r="W259" s="249" t="e">
        <f t="shared" si="300"/>
        <v>#DIV/0!</v>
      </c>
      <c r="X259" s="1242" t="e">
        <f t="shared" si="300"/>
        <v>#DIV/0!</v>
      </c>
      <c r="Y259" s="419" t="e">
        <f t="shared" si="300"/>
        <v>#DIV/0!</v>
      </c>
      <c r="Z259" s="249" t="e">
        <f t="shared" si="300"/>
        <v>#DIV/0!</v>
      </c>
      <c r="AA259" s="249" t="e">
        <f t="shared" si="300"/>
        <v>#DIV/0!</v>
      </c>
      <c r="AB259" s="249" t="e">
        <f t="shared" si="300"/>
        <v>#DIV/0!</v>
      </c>
      <c r="AC259" s="249" t="e">
        <f t="shared" si="300"/>
        <v>#DIV/0!</v>
      </c>
      <c r="AD259" s="249" t="e">
        <f t="shared" si="300"/>
        <v>#DIV/0!</v>
      </c>
      <c r="AE259" s="249" t="e">
        <f t="shared" si="300"/>
        <v>#DIV/0!</v>
      </c>
      <c r="AF259" s="249" t="e">
        <f t="shared" si="300"/>
        <v>#DIV/0!</v>
      </c>
      <c r="AG259" s="249" t="e">
        <f t="shared" si="300"/>
        <v>#DIV/0!</v>
      </c>
    </row>
    <row r="260" spans="1:64" x14ac:dyDescent="0.35">
      <c r="C260" s="911" t="s">
        <v>1101</v>
      </c>
      <c r="F260" s="501">
        <f>F259/F151</f>
        <v>0.61746129486519241</v>
      </c>
      <c r="G260" s="249">
        <f t="shared" ref="G260:AA260" si="301">G259/G151</f>
        <v>0.46226441825130038</v>
      </c>
      <c r="H260" s="249">
        <f t="shared" si="301"/>
        <v>0.20011899673619807</v>
      </c>
      <c r="I260" s="478">
        <f t="shared" si="301"/>
        <v>0.20157079511967541</v>
      </c>
      <c r="J260" s="501">
        <f t="shared" si="301"/>
        <v>0.45012515921310781</v>
      </c>
      <c r="K260" s="249">
        <f t="shared" si="301"/>
        <v>0.51504371633792223</v>
      </c>
      <c r="L260" s="249">
        <f t="shared" si="301"/>
        <v>0.51284009158770205</v>
      </c>
      <c r="M260" s="249">
        <f t="shared" si="301"/>
        <v>0.76460488185670894</v>
      </c>
      <c r="N260" s="249">
        <f t="shared" si="301"/>
        <v>0.56944724727822893</v>
      </c>
      <c r="O260" s="478">
        <f t="shared" si="301"/>
        <v>0.62177955900031889</v>
      </c>
      <c r="P260" s="501">
        <f t="shared" si="301"/>
        <v>0.55482769629878292</v>
      </c>
      <c r="Q260" s="249">
        <f t="shared" si="301"/>
        <v>0.62038078838779798</v>
      </c>
      <c r="R260" s="478">
        <f t="shared" si="301"/>
        <v>0.65829363885874359</v>
      </c>
      <c r="S260" s="501" t="e">
        <f t="shared" si="301"/>
        <v>#DIV/0!</v>
      </c>
      <c r="T260" s="249" t="e">
        <f t="shared" si="301"/>
        <v>#DIV/0!</v>
      </c>
      <c r="U260" s="249" t="e">
        <f t="shared" si="301"/>
        <v>#DIV/0!</v>
      </c>
      <c r="V260" s="249" t="e">
        <f t="shared" si="301"/>
        <v>#DIV/0!</v>
      </c>
      <c r="W260" s="249" t="e">
        <f t="shared" si="301"/>
        <v>#DIV/0!</v>
      </c>
      <c r="X260" s="478" t="e">
        <f t="shared" si="301"/>
        <v>#DIV/0!</v>
      </c>
      <c r="Y260" s="501" t="e">
        <f t="shared" si="301"/>
        <v>#DIV/0!</v>
      </c>
      <c r="Z260" s="249" t="e">
        <f t="shared" si="301"/>
        <v>#DIV/0!</v>
      </c>
      <c r="AA260" s="478" t="e">
        <f t="shared" si="301"/>
        <v>#DIV/0!</v>
      </c>
      <c r="AB260" s="249"/>
      <c r="AC260" s="249"/>
      <c r="AD260" s="249"/>
      <c r="AE260" s="249"/>
      <c r="AF260" s="249"/>
      <c r="AG260" s="249"/>
    </row>
    <row r="261" spans="1:64" x14ac:dyDescent="0.35">
      <c r="C261" s="444" t="s">
        <v>1092</v>
      </c>
      <c r="F261" s="501">
        <v>0.19067941531755001</v>
      </c>
      <c r="G261" s="249">
        <v>0.242668957071313</v>
      </c>
      <c r="H261" s="249">
        <v>0.184192264263384</v>
      </c>
      <c r="I261" s="1242">
        <v>0.184256644658497</v>
      </c>
      <c r="J261" s="419">
        <v>0.53205471319786601</v>
      </c>
      <c r="K261" s="249">
        <v>0.65187999082543002</v>
      </c>
      <c r="L261" s="249">
        <v>0.58347878890417704</v>
      </c>
      <c r="M261" s="249">
        <v>0.68981274948055704</v>
      </c>
      <c r="N261" s="249">
        <v>0.65372430956100591</v>
      </c>
      <c r="O261" s="1242">
        <v>0.65868464862663501</v>
      </c>
      <c r="P261" s="419">
        <v>0.61151071638258803</v>
      </c>
      <c r="Q261" s="249"/>
      <c r="R261" s="1242"/>
      <c r="S261" s="419"/>
      <c r="T261" s="249"/>
      <c r="U261" s="249"/>
      <c r="V261" s="249"/>
      <c r="W261" s="249"/>
      <c r="X261" s="1242"/>
      <c r="Y261" s="419"/>
      <c r="Z261" s="249"/>
      <c r="AA261" s="249"/>
      <c r="AB261" s="249"/>
      <c r="AC261" s="249"/>
      <c r="AD261" s="249"/>
      <c r="AE261" s="249"/>
      <c r="AF261" s="249"/>
      <c r="AG261" s="249"/>
    </row>
    <row r="262" spans="1:64" x14ac:dyDescent="0.35">
      <c r="C262" s="1" t="s">
        <v>124</v>
      </c>
      <c r="F262" s="501">
        <f t="shared" ref="F262:U262" si="302">((DS$136+EV$136)/F$73)*100</f>
        <v>0.38786331490291887</v>
      </c>
      <c r="G262" s="249">
        <f t="shared" si="302"/>
        <v>0.71810118360792263</v>
      </c>
      <c r="H262" s="249">
        <f t="shared" si="302"/>
        <v>0.15745073896978914</v>
      </c>
      <c r="I262" s="1242">
        <f t="shared" si="302"/>
        <v>8.4779695492421633E-2</v>
      </c>
      <c r="J262" s="419">
        <f t="shared" si="302"/>
        <v>0.43622088063361353</v>
      </c>
      <c r="K262" s="249">
        <f t="shared" si="302"/>
        <v>0.44701744592521941</v>
      </c>
      <c r="L262" s="249">
        <f t="shared" si="302"/>
        <v>0.41957795607130488</v>
      </c>
      <c r="M262" s="249">
        <f t="shared" si="302"/>
        <v>0.31967149991456151</v>
      </c>
      <c r="N262" s="249">
        <f t="shared" si="302"/>
        <v>0.27391619114035359</v>
      </c>
      <c r="O262" s="1242">
        <f t="shared" si="302"/>
        <v>0.45228779604629782</v>
      </c>
      <c r="P262" s="419">
        <f t="shared" si="302"/>
        <v>0.41235405266757863</v>
      </c>
      <c r="Q262" s="249">
        <f t="shared" si="302"/>
        <v>0.61882821019573875</v>
      </c>
      <c r="R262" s="1242">
        <f t="shared" si="302"/>
        <v>0.56490695235566057</v>
      </c>
      <c r="S262" s="419" t="e">
        <f t="shared" si="302"/>
        <v>#DIV/0!</v>
      </c>
      <c r="T262" s="249" t="e">
        <f t="shared" si="302"/>
        <v>#DIV/0!</v>
      </c>
      <c r="U262" s="249" t="e">
        <f t="shared" si="302"/>
        <v>#DIV/0!</v>
      </c>
      <c r="V262" s="249" t="e">
        <f t="shared" ref="V262:AG262" si="303">((EI$136+FL$136)/V$73)*100</f>
        <v>#DIV/0!</v>
      </c>
      <c r="W262" s="249" t="e">
        <f t="shared" si="303"/>
        <v>#DIV/0!</v>
      </c>
      <c r="X262" s="1242" t="e">
        <f t="shared" si="303"/>
        <v>#DIV/0!</v>
      </c>
      <c r="Y262" s="419" t="e">
        <f t="shared" si="303"/>
        <v>#DIV/0!</v>
      </c>
      <c r="Z262" s="249" t="e">
        <f t="shared" si="303"/>
        <v>#DIV/0!</v>
      </c>
      <c r="AA262" s="249" t="e">
        <f t="shared" si="303"/>
        <v>#DIV/0!</v>
      </c>
      <c r="AB262" s="249" t="e">
        <f t="shared" si="303"/>
        <v>#DIV/0!</v>
      </c>
      <c r="AC262" s="249" t="e">
        <f t="shared" si="303"/>
        <v>#DIV/0!</v>
      </c>
      <c r="AD262" s="249" t="e">
        <f t="shared" si="303"/>
        <v>#DIV/0!</v>
      </c>
      <c r="AE262" s="249" t="e">
        <f t="shared" si="303"/>
        <v>#DIV/0!</v>
      </c>
      <c r="AF262" s="249" t="e">
        <f t="shared" si="303"/>
        <v>#DIV/0!</v>
      </c>
      <c r="AG262" s="249" t="e">
        <f t="shared" si="303"/>
        <v>#DIV/0!</v>
      </c>
      <c r="AN262" s="947"/>
      <c r="AO262" s="947"/>
      <c r="AP262" s="947"/>
    </row>
    <row r="263" spans="1:64" x14ac:dyDescent="0.35">
      <c r="C263" s="911" t="s">
        <v>1102</v>
      </c>
      <c r="F263" s="501">
        <f>F262/F151</f>
        <v>0.38577674802468964</v>
      </c>
      <c r="G263" s="249">
        <f t="shared" ref="G263:AA263" si="304">G262/G151</f>
        <v>0.73192566871345388</v>
      </c>
      <c r="H263" s="249">
        <f t="shared" si="304"/>
        <v>0.16348712567785742</v>
      </c>
      <c r="I263" s="478">
        <f t="shared" si="304"/>
        <v>8.6976679781246374E-2</v>
      </c>
      <c r="J263" s="501">
        <f t="shared" si="304"/>
        <v>0.46827343529813864</v>
      </c>
      <c r="K263" s="249">
        <f t="shared" si="304"/>
        <v>0.46466220613213016</v>
      </c>
      <c r="L263" s="249">
        <f t="shared" si="304"/>
        <v>0.4203563923950322</v>
      </c>
      <c r="M263" s="249">
        <f t="shared" si="304"/>
        <v>0.33178220411837167</v>
      </c>
      <c r="N263" s="249">
        <f t="shared" si="304"/>
        <v>0.28446512106683369</v>
      </c>
      <c r="O263" s="478">
        <f t="shared" si="304"/>
        <v>0.46777966680288019</v>
      </c>
      <c r="P263" s="501">
        <f t="shared" si="304"/>
        <v>0.43746314082118132</v>
      </c>
      <c r="Q263" s="249">
        <f t="shared" si="304"/>
        <v>0.65111207364816182</v>
      </c>
      <c r="R263" s="478">
        <f t="shared" si="304"/>
        <v>0.59202549328028664</v>
      </c>
      <c r="S263" s="501" t="e">
        <f t="shared" si="304"/>
        <v>#DIV/0!</v>
      </c>
      <c r="T263" s="249" t="e">
        <f t="shared" si="304"/>
        <v>#DIV/0!</v>
      </c>
      <c r="U263" s="249" t="e">
        <f t="shared" si="304"/>
        <v>#DIV/0!</v>
      </c>
      <c r="V263" s="249" t="e">
        <f t="shared" si="304"/>
        <v>#DIV/0!</v>
      </c>
      <c r="W263" s="249" t="e">
        <f t="shared" si="304"/>
        <v>#DIV/0!</v>
      </c>
      <c r="X263" s="478" t="e">
        <f t="shared" si="304"/>
        <v>#DIV/0!</v>
      </c>
      <c r="Y263" s="501" t="e">
        <f t="shared" si="304"/>
        <v>#DIV/0!</v>
      </c>
      <c r="Z263" s="249" t="e">
        <f t="shared" si="304"/>
        <v>#DIV/0!</v>
      </c>
      <c r="AA263" s="478" t="e">
        <f t="shared" si="304"/>
        <v>#DIV/0!</v>
      </c>
      <c r="AB263" s="249"/>
      <c r="AC263" s="249"/>
      <c r="AD263" s="249"/>
      <c r="AE263" s="249"/>
      <c r="AF263" s="249"/>
      <c r="AG263" s="249"/>
      <c r="AN263" s="947"/>
      <c r="AO263" s="947"/>
      <c r="AP263" s="947"/>
    </row>
    <row r="264" spans="1:64" x14ac:dyDescent="0.35">
      <c r="C264" s="444" t="s">
        <v>1103</v>
      </c>
      <c r="F264" s="501">
        <v>0.31535441764056399</v>
      </c>
      <c r="G264" s="249">
        <v>0.40133712131024896</v>
      </c>
      <c r="H264" s="249">
        <v>0.30801039746266001</v>
      </c>
      <c r="I264" s="1242">
        <v>0.30811805579004203</v>
      </c>
      <c r="J264" s="419">
        <v>0.35513782735511201</v>
      </c>
      <c r="K264" s="249">
        <v>0.39881275861474502</v>
      </c>
      <c r="L264" s="249">
        <v>0.71629224779826006</v>
      </c>
      <c r="M264" s="249">
        <v>0.74547224381695099</v>
      </c>
      <c r="N264" s="249">
        <v>0.42946055336438294</v>
      </c>
      <c r="O264" s="1242">
        <v>0.43271922055610906</v>
      </c>
      <c r="P264" s="419">
        <v>0.37507826973316399</v>
      </c>
      <c r="Q264" s="249"/>
      <c r="R264" s="1242"/>
      <c r="S264" s="419"/>
      <c r="T264" s="249"/>
      <c r="U264" s="249"/>
      <c r="V264" s="249"/>
      <c r="W264" s="249"/>
      <c r="X264" s="1242"/>
      <c r="Y264" s="419"/>
      <c r="Z264" s="249"/>
      <c r="AA264" s="249"/>
      <c r="AB264" s="249"/>
      <c r="AC264" s="249"/>
      <c r="AD264" s="249"/>
      <c r="AE264" s="249"/>
      <c r="AF264" s="249"/>
      <c r="AG264" s="249"/>
      <c r="AN264" s="947"/>
      <c r="AO264" s="947"/>
      <c r="AP264" s="947"/>
    </row>
    <row r="265" spans="1:64" x14ac:dyDescent="0.35">
      <c r="C265" s="911" t="s">
        <v>109</v>
      </c>
      <c r="F265" s="501">
        <f t="shared" ref="F265:U265" si="305">($K$127/$G$127)*(F224/F$73)*100</f>
        <v>4.7028389396417323</v>
      </c>
      <c r="G265" s="249">
        <f t="shared" si="305"/>
        <v>4.7062584324048906</v>
      </c>
      <c r="H265" s="249">
        <f t="shared" si="305"/>
        <v>4.4465828873393702</v>
      </c>
      <c r="I265" s="1242">
        <f t="shared" si="305"/>
        <v>4.4789942663755422</v>
      </c>
      <c r="J265" s="419">
        <f>($K$127/$G$127)*(J224/J$73)*100-0.2</f>
        <v>5.6908453351890671</v>
      </c>
      <c r="K265" s="249">
        <f t="shared" si="305"/>
        <v>5.8347900838270892</v>
      </c>
      <c r="L265" s="249">
        <f t="shared" si="305"/>
        <v>5.7538529640092939</v>
      </c>
      <c r="M265" s="249">
        <f t="shared" si="305"/>
        <v>5.6879094525879923</v>
      </c>
      <c r="N265" s="249">
        <f t="shared" si="305"/>
        <v>5.6388968101666093</v>
      </c>
      <c r="O265" s="1242">
        <f t="shared" si="305"/>
        <v>5.6052292638392762</v>
      </c>
      <c r="P265" s="419">
        <f t="shared" si="305"/>
        <v>5.5603150815327966</v>
      </c>
      <c r="Q265" s="249">
        <f t="shared" si="305"/>
        <v>5.5519806861312215</v>
      </c>
      <c r="R265" s="1242">
        <f t="shared" si="305"/>
        <v>5.5172685513647757</v>
      </c>
      <c r="S265" s="419" t="e">
        <f t="shared" si="305"/>
        <v>#DIV/0!</v>
      </c>
      <c r="T265" s="249" t="e">
        <f t="shared" si="305"/>
        <v>#DIV/0!</v>
      </c>
      <c r="U265" s="249" t="e">
        <f t="shared" si="305"/>
        <v>#DIV/0!</v>
      </c>
      <c r="V265" s="249" t="e">
        <f t="shared" ref="V265:AG265" si="306">($K$127/$G$127)*(V224/V$73)*100</f>
        <v>#DIV/0!</v>
      </c>
      <c r="W265" s="249" t="e">
        <f t="shared" si="306"/>
        <v>#DIV/0!</v>
      </c>
      <c r="X265" s="1242" t="e">
        <f t="shared" si="306"/>
        <v>#DIV/0!</v>
      </c>
      <c r="Y265" s="419" t="e">
        <f t="shared" si="306"/>
        <v>#DIV/0!</v>
      </c>
      <c r="Z265" s="249" t="e">
        <f t="shared" si="306"/>
        <v>#DIV/0!</v>
      </c>
      <c r="AA265" s="249" t="e">
        <f t="shared" si="306"/>
        <v>#DIV/0!</v>
      </c>
      <c r="AB265" s="249" t="e">
        <f t="shared" si="306"/>
        <v>#DIV/0!</v>
      </c>
      <c r="AC265" s="249" t="e">
        <f t="shared" si="306"/>
        <v>#DIV/0!</v>
      </c>
      <c r="AD265" s="249" t="e">
        <f t="shared" si="306"/>
        <v>#DIV/0!</v>
      </c>
      <c r="AE265" s="249" t="e">
        <f t="shared" si="306"/>
        <v>#DIV/0!</v>
      </c>
      <c r="AF265" s="249" t="e">
        <f t="shared" si="306"/>
        <v>#DIV/0!</v>
      </c>
      <c r="AG265" s="249" t="e">
        <f t="shared" si="306"/>
        <v>#DIV/0!</v>
      </c>
      <c r="AJ265" s="267"/>
      <c r="AK265" s="267"/>
      <c r="AN265" s="916"/>
      <c r="AO265" s="916"/>
      <c r="AP265" s="916"/>
      <c r="BL265" s="249"/>
    </row>
    <row r="266" spans="1:64" x14ac:dyDescent="0.35">
      <c r="C266" s="444" t="s">
        <v>1097</v>
      </c>
      <c r="F266" s="501">
        <f>0.0467798036897681*100</f>
        <v>4.6779803689768098</v>
      </c>
      <c r="G266" s="249">
        <f>0.0460015130091304*100</f>
        <v>4.6001513009130397</v>
      </c>
      <c r="H266" s="249">
        <f>0.0451862336317494*100</f>
        <v>4.5186233631749406</v>
      </c>
      <c r="I266" s="1242">
        <f>0.045192653199822*100</f>
        <v>4.5192653199821997</v>
      </c>
      <c r="J266" s="419">
        <f>0.0600099407435574*100</f>
        <v>6.0009940743557397</v>
      </c>
      <c r="K266" s="249">
        <f>0.0590218301383754*100</f>
        <v>5.90218301383754</v>
      </c>
      <c r="L266" s="249">
        <f>0.0581352367411509*100</f>
        <v>5.81352367411509</v>
      </c>
      <c r="M266" s="249">
        <f>0.057680131926098*100</f>
        <v>5.7680131926097999</v>
      </c>
      <c r="N266" s="249">
        <f>0.0571673833651468*100</f>
        <v>5.7167383365146796</v>
      </c>
      <c r="O266" s="1242">
        <f>0.0570485663885597*100</f>
        <v>5.7048566388559703</v>
      </c>
      <c r="P266" s="419">
        <f>0.0566476303989026*100</f>
        <v>5.6647630398902606</v>
      </c>
      <c r="Q266" s="249"/>
      <c r="R266" s="1242"/>
      <c r="S266" s="419"/>
      <c r="T266" s="249"/>
      <c r="U266" s="249"/>
      <c r="V266" s="249"/>
      <c r="W266" s="249"/>
      <c r="X266" s="1242"/>
      <c r="Y266" s="419"/>
      <c r="Z266" s="249"/>
      <c r="AA266" s="249"/>
      <c r="AB266" s="249"/>
      <c r="AC266" s="249"/>
      <c r="AD266" s="249"/>
      <c r="AE266" s="249"/>
      <c r="AF266" s="249"/>
      <c r="AG266" s="249"/>
      <c r="AJ266" s="267"/>
      <c r="AK266" s="267"/>
      <c r="AN266" s="459"/>
      <c r="AO266" s="459"/>
      <c r="AP266" s="459"/>
      <c r="BL266" s="249"/>
    </row>
    <row r="267" spans="1:64" x14ac:dyDescent="0.35">
      <c r="C267" s="1" t="s">
        <v>110</v>
      </c>
      <c r="F267" s="501">
        <f t="shared" ref="F267:AG267" si="307">($K$128/$G$128)*(F227/F$73)*100</f>
        <v>0.19587529531021616</v>
      </c>
      <c r="G267" s="249">
        <f t="shared" si="307"/>
        <v>0.20626857778393973</v>
      </c>
      <c r="H267" s="249">
        <f t="shared" si="307"/>
        <v>0.17075376009222609</v>
      </c>
      <c r="I267" s="1242">
        <f t="shared" si="307"/>
        <v>0.17992576978630342</v>
      </c>
      <c r="J267" s="419">
        <f>($K$128/$G$128)*(J227/J$73)*100-0.2</f>
        <v>0.11408337379684363</v>
      </c>
      <c r="K267" s="249">
        <f t="shared" si="307"/>
        <v>0.2997175118417772</v>
      </c>
      <c r="L267" s="249">
        <f t="shared" si="307"/>
        <v>0.27617083105063139</v>
      </c>
      <c r="M267" s="249">
        <f t="shared" si="307"/>
        <v>0.29227340229573701</v>
      </c>
      <c r="N267" s="249">
        <f t="shared" si="307"/>
        <v>0.28645804243213774</v>
      </c>
      <c r="O267" s="1242">
        <f t="shared" si="307"/>
        <v>0.29480488523693749</v>
      </c>
      <c r="P267" s="419">
        <f t="shared" si="307"/>
        <v>0.26856294471958697</v>
      </c>
      <c r="Q267" s="249">
        <f t="shared" si="307"/>
        <v>0.29224187729146361</v>
      </c>
      <c r="R267" s="1242">
        <f t="shared" si="307"/>
        <v>0.28010230583916729</v>
      </c>
      <c r="S267" s="419" t="e">
        <f t="shared" si="307"/>
        <v>#DIV/0!</v>
      </c>
      <c r="T267" s="249" t="e">
        <f t="shared" si="307"/>
        <v>#DIV/0!</v>
      </c>
      <c r="U267" s="249" t="e">
        <f t="shared" si="307"/>
        <v>#DIV/0!</v>
      </c>
      <c r="V267" s="249" t="e">
        <f t="shared" si="307"/>
        <v>#DIV/0!</v>
      </c>
      <c r="W267" s="249" t="e">
        <f t="shared" si="307"/>
        <v>#DIV/0!</v>
      </c>
      <c r="X267" s="1242" t="e">
        <f t="shared" si="307"/>
        <v>#DIV/0!</v>
      </c>
      <c r="Y267" s="419" t="e">
        <f t="shared" si="307"/>
        <v>#DIV/0!</v>
      </c>
      <c r="Z267" s="249" t="e">
        <f t="shared" si="307"/>
        <v>#DIV/0!</v>
      </c>
      <c r="AA267" s="249" t="e">
        <f t="shared" si="307"/>
        <v>#DIV/0!</v>
      </c>
      <c r="AB267" s="249" t="e">
        <f t="shared" si="307"/>
        <v>#DIV/0!</v>
      </c>
      <c r="AC267" s="249" t="e">
        <f t="shared" si="307"/>
        <v>#DIV/0!</v>
      </c>
      <c r="AD267" s="249" t="e">
        <f t="shared" si="307"/>
        <v>#DIV/0!</v>
      </c>
      <c r="AE267" s="249" t="e">
        <f t="shared" si="307"/>
        <v>#DIV/0!</v>
      </c>
      <c r="AF267" s="249" t="e">
        <f t="shared" si="307"/>
        <v>#DIV/0!</v>
      </c>
      <c r="AG267" s="249" t="e">
        <f t="shared" si="307"/>
        <v>#DIV/0!</v>
      </c>
      <c r="AJ267" s="267"/>
      <c r="AK267" s="267"/>
      <c r="AN267" s="916"/>
      <c r="AO267" s="916"/>
      <c r="AP267" s="916"/>
    </row>
    <row r="268" spans="1:64" ht="15" thickBot="1" x14ac:dyDescent="0.4">
      <c r="C268" s="444" t="s">
        <v>1098</v>
      </c>
      <c r="F268" s="653">
        <v>0.14752087384422755</v>
      </c>
      <c r="G268" s="311">
        <v>0.13985927365428549</v>
      </c>
      <c r="H268" s="311">
        <v>0.12022320040255899</v>
      </c>
      <c r="I268" s="1241">
        <v>0.12573843259561104</v>
      </c>
      <c r="J268" s="654">
        <v>0.23764004360429716</v>
      </c>
      <c r="K268" s="311">
        <v>0.22573828513228153</v>
      </c>
      <c r="L268" s="311">
        <v>0.21328163988965682</v>
      </c>
      <c r="M268" s="311">
        <v>0.20582044902053004</v>
      </c>
      <c r="N268" s="311">
        <v>0.2048548612467597</v>
      </c>
      <c r="O268" s="1244">
        <v>0.20177650721839072</v>
      </c>
      <c r="P268" s="654">
        <v>0.20058408494038846</v>
      </c>
      <c r="Q268" s="311"/>
      <c r="R268" s="1241"/>
      <c r="S268" s="654"/>
      <c r="T268" s="311"/>
      <c r="U268" s="311"/>
      <c r="V268" s="311"/>
      <c r="W268" s="311"/>
      <c r="X268" s="1241"/>
      <c r="Y268" s="654"/>
      <c r="Z268" s="311"/>
      <c r="AA268" s="311"/>
      <c r="AB268" s="311"/>
      <c r="AC268" s="311"/>
      <c r="AD268" s="311"/>
      <c r="AE268" s="311"/>
      <c r="AF268" s="311"/>
      <c r="AG268" s="311"/>
      <c r="AI268" s="232">
        <f>F268*100</f>
        <v>14.752087384422754</v>
      </c>
      <c r="AJ268" s="232">
        <f t="shared" ref="AJ268:AT268" si="308">G268*100</f>
        <v>13.98592736542855</v>
      </c>
      <c r="AK268" s="232">
        <f t="shared" si="308"/>
        <v>12.022320040255899</v>
      </c>
      <c r="AL268" s="232">
        <f t="shared" si="308"/>
        <v>12.573843259561105</v>
      </c>
      <c r="AM268" s="232">
        <f t="shared" si="308"/>
        <v>23.764004360429716</v>
      </c>
      <c r="AN268" s="232">
        <f t="shared" si="308"/>
        <v>22.573828513228154</v>
      </c>
      <c r="AO268" s="232">
        <f t="shared" si="308"/>
        <v>21.328163988965681</v>
      </c>
      <c r="AP268" s="232">
        <f t="shared" si="308"/>
        <v>20.582044902053003</v>
      </c>
      <c r="AQ268" s="232">
        <f t="shared" si="308"/>
        <v>20.485486124675969</v>
      </c>
      <c r="AR268" s="232">
        <f t="shared" si="308"/>
        <v>20.177650721839072</v>
      </c>
      <c r="AS268" s="232">
        <f t="shared" si="308"/>
        <v>20.058408494038847</v>
      </c>
      <c r="AT268" s="232">
        <f t="shared" si="308"/>
        <v>0</v>
      </c>
    </row>
    <row r="269" spans="1:64" ht="15" thickTop="1" x14ac:dyDescent="0.35">
      <c r="A269" s="377"/>
      <c r="B269" s="377"/>
      <c r="C269" s="375" t="s">
        <v>143</v>
      </c>
      <c r="D269" s="375"/>
      <c r="E269" s="375"/>
      <c r="F269" s="1332">
        <f t="shared" ref="F269:U269" si="309">((AI$88+BL$88+CO$88)/F$73)*100</f>
        <v>0.10715494406583512</v>
      </c>
      <c r="G269" s="1333">
        <f t="shared" si="309"/>
        <v>0.17736828644501279</v>
      </c>
      <c r="H269" s="1333">
        <f t="shared" si="309"/>
        <v>0.17013910306334371</v>
      </c>
      <c r="I269" s="1334">
        <f t="shared" si="309"/>
        <v>0.18828226640851492</v>
      </c>
      <c r="J269" s="1335">
        <f t="shared" si="309"/>
        <v>0.15225473321858865</v>
      </c>
      <c r="K269" s="1336">
        <f t="shared" si="309"/>
        <v>0.45210404205183974</v>
      </c>
      <c r="L269" s="1333">
        <f t="shared" si="309"/>
        <v>0.16684863387741031</v>
      </c>
      <c r="M269" s="1333">
        <f t="shared" si="309"/>
        <v>0.21922777909457214</v>
      </c>
      <c r="N269" s="1333">
        <f t="shared" si="309"/>
        <v>0.11921933297299762</v>
      </c>
      <c r="O269" s="1334">
        <f t="shared" si="309"/>
        <v>0.2260339811407544</v>
      </c>
      <c r="P269" s="1335">
        <f t="shared" si="309"/>
        <v>0.1173500306372549</v>
      </c>
      <c r="Q269" s="1333">
        <f t="shared" si="309"/>
        <v>0.19109545983701981</v>
      </c>
      <c r="R269" s="1334">
        <f t="shared" si="309"/>
        <v>0.18978618037753439</v>
      </c>
      <c r="S269" s="1335" t="e">
        <f t="shared" si="309"/>
        <v>#DIV/0!</v>
      </c>
      <c r="T269" s="1333" t="e">
        <f t="shared" si="309"/>
        <v>#DIV/0!</v>
      </c>
      <c r="U269" s="1333" t="e">
        <f t="shared" si="309"/>
        <v>#DIV/0!</v>
      </c>
      <c r="V269" s="1333" t="e">
        <f t="shared" ref="V269:AG269" si="310">((AY$88+CB$88+DE$88)/V$73)*100</f>
        <v>#DIV/0!</v>
      </c>
      <c r="W269" s="1333" t="e">
        <f t="shared" si="310"/>
        <v>#DIV/0!</v>
      </c>
      <c r="X269" s="1334" t="e">
        <f t="shared" si="310"/>
        <v>#DIV/0!</v>
      </c>
      <c r="Y269" s="1335" t="e">
        <f t="shared" si="310"/>
        <v>#DIV/0!</v>
      </c>
      <c r="Z269" s="1333" t="e">
        <f t="shared" si="310"/>
        <v>#DIV/0!</v>
      </c>
      <c r="AA269" s="1333" t="e">
        <f t="shared" si="310"/>
        <v>#DIV/0!</v>
      </c>
      <c r="AB269" s="1333" t="e">
        <f t="shared" si="310"/>
        <v>#DIV/0!</v>
      </c>
      <c r="AC269" s="1333" t="e">
        <f t="shared" si="310"/>
        <v>#DIV/0!</v>
      </c>
      <c r="AD269" s="1333" t="e">
        <f t="shared" si="310"/>
        <v>#DIV/0!</v>
      </c>
      <c r="AE269" s="1333" t="e">
        <f t="shared" si="310"/>
        <v>#DIV/0!</v>
      </c>
      <c r="AF269" s="1333" t="e">
        <f t="shared" si="310"/>
        <v>#DIV/0!</v>
      </c>
      <c r="AG269" s="1333" t="e">
        <f t="shared" si="310"/>
        <v>#DIV/0!</v>
      </c>
    </row>
    <row r="270" spans="1:64" x14ac:dyDescent="0.35">
      <c r="C270" s="1" t="s">
        <v>113</v>
      </c>
      <c r="F270" s="603">
        <f t="shared" ref="F270:U270" si="311">((AI$89+BL$89+CO$89)/F$73)*100</f>
        <v>0.46926475504693327</v>
      </c>
      <c r="G270" s="250">
        <f t="shared" si="311"/>
        <v>1.3080156010230179</v>
      </c>
      <c r="H270" s="250">
        <f t="shared" si="311"/>
        <v>0.86613563084112133</v>
      </c>
      <c r="I270" s="1280">
        <f t="shared" si="311"/>
        <v>1.1423911818638151</v>
      </c>
      <c r="J270" s="1223">
        <f t="shared" si="311"/>
        <v>2.5091222030981064</v>
      </c>
      <c r="K270" s="250">
        <f t="shared" si="311"/>
        <v>3.081435407441933</v>
      </c>
      <c r="L270" s="250">
        <f t="shared" si="311"/>
        <v>2.8480616403217534</v>
      </c>
      <c r="M270" s="250">
        <f t="shared" si="311"/>
        <v>2.578213320692107</v>
      </c>
      <c r="N270" s="250">
        <f t="shared" si="311"/>
        <v>2.1882780535177182</v>
      </c>
      <c r="O270" s="1280">
        <f t="shared" si="311"/>
        <v>2.5232625728304203</v>
      </c>
      <c r="P270" s="1223">
        <f t="shared" si="311"/>
        <v>1.9972336090686276</v>
      </c>
      <c r="Q270" s="250">
        <f t="shared" si="311"/>
        <v>2.3182634458672879</v>
      </c>
      <c r="R270" s="1280">
        <f t="shared" si="311"/>
        <v>2.1769532160335583</v>
      </c>
      <c r="S270" s="1223" t="e">
        <f t="shared" si="311"/>
        <v>#DIV/0!</v>
      </c>
      <c r="T270" s="250" t="e">
        <f t="shared" si="311"/>
        <v>#DIV/0!</v>
      </c>
      <c r="U270" s="250" t="e">
        <f t="shared" si="311"/>
        <v>#DIV/0!</v>
      </c>
      <c r="V270" s="250" t="e">
        <f t="shared" ref="V270:AG270" si="312">((AY$89+CB$89+DE$89)/V$73)*100</f>
        <v>#DIV/0!</v>
      </c>
      <c r="W270" s="250" t="e">
        <f t="shared" si="312"/>
        <v>#DIV/0!</v>
      </c>
      <c r="X270" s="1280" t="e">
        <f t="shared" si="312"/>
        <v>#DIV/0!</v>
      </c>
      <c r="Y270" s="1223" t="e">
        <f t="shared" si="312"/>
        <v>#DIV/0!</v>
      </c>
      <c r="Z270" s="250" t="e">
        <f t="shared" si="312"/>
        <v>#DIV/0!</v>
      </c>
      <c r="AA270" s="250" t="e">
        <f t="shared" si="312"/>
        <v>#DIV/0!</v>
      </c>
      <c r="AB270" s="250" t="e">
        <f t="shared" si="312"/>
        <v>#DIV/0!</v>
      </c>
      <c r="AC270" s="250" t="e">
        <f t="shared" si="312"/>
        <v>#DIV/0!</v>
      </c>
      <c r="AD270" s="250" t="e">
        <f t="shared" si="312"/>
        <v>#DIV/0!</v>
      </c>
      <c r="AE270" s="250" t="e">
        <f t="shared" si="312"/>
        <v>#DIV/0!</v>
      </c>
      <c r="AF270" s="250" t="e">
        <f t="shared" si="312"/>
        <v>#DIV/0!</v>
      </c>
      <c r="AG270" s="250" t="e">
        <f t="shared" si="312"/>
        <v>#DIV/0!</v>
      </c>
    </row>
    <row r="271" spans="1:64" x14ac:dyDescent="0.35">
      <c r="C271" s="1" t="s">
        <v>114</v>
      </c>
      <c r="F271" s="603">
        <f t="shared" ref="F271:U271" si="313">((AI$90+BL$90+CO$90)/F$73)*100</f>
        <v>2.2174607175003214</v>
      </c>
      <c r="G271" s="250">
        <f t="shared" si="313"/>
        <v>3.5056882352941181</v>
      </c>
      <c r="H271" s="250">
        <f t="shared" si="313"/>
        <v>2.9783627725856689</v>
      </c>
      <c r="I271" s="1280">
        <f t="shared" si="313"/>
        <v>3.7572108341784731</v>
      </c>
      <c r="J271" s="1223">
        <f t="shared" si="313"/>
        <v>9.8499483648881228</v>
      </c>
      <c r="K271" s="250">
        <f t="shared" si="313"/>
        <v>10.676987829824698</v>
      </c>
      <c r="L271" s="250">
        <f t="shared" si="313"/>
        <v>11.890927552127682</v>
      </c>
      <c r="M271" s="250">
        <f t="shared" si="313"/>
        <v>10.182490874614837</v>
      </c>
      <c r="N271" s="250">
        <f t="shared" si="313"/>
        <v>9.5951803650663656</v>
      </c>
      <c r="O271" s="1280">
        <f t="shared" si="313"/>
        <v>10.075555638607788</v>
      </c>
      <c r="P271" s="1223">
        <f t="shared" si="313"/>
        <v>9.4578207337622544</v>
      </c>
      <c r="Q271" s="250">
        <f t="shared" si="313"/>
        <v>9.7464655413271242</v>
      </c>
      <c r="R271" s="1280">
        <f t="shared" si="313"/>
        <v>9.5435795851782803</v>
      </c>
      <c r="S271" s="1223" t="e">
        <f t="shared" si="313"/>
        <v>#DIV/0!</v>
      </c>
      <c r="T271" s="250" t="e">
        <f t="shared" si="313"/>
        <v>#DIV/0!</v>
      </c>
      <c r="U271" s="250" t="e">
        <f t="shared" si="313"/>
        <v>#DIV/0!</v>
      </c>
      <c r="V271" s="250" t="e">
        <f t="shared" ref="V271:AG271" si="314">((AY$90+CB$90+DE$90)/V$73)*100</f>
        <v>#DIV/0!</v>
      </c>
      <c r="W271" s="250" t="e">
        <f t="shared" si="314"/>
        <v>#DIV/0!</v>
      </c>
      <c r="X271" s="1280" t="e">
        <f t="shared" si="314"/>
        <v>#DIV/0!</v>
      </c>
      <c r="Y271" s="1223" t="e">
        <f t="shared" si="314"/>
        <v>#DIV/0!</v>
      </c>
      <c r="Z271" s="250" t="e">
        <f t="shared" si="314"/>
        <v>#DIV/0!</v>
      </c>
      <c r="AA271" s="250" t="e">
        <f t="shared" si="314"/>
        <v>#DIV/0!</v>
      </c>
      <c r="AB271" s="250" t="e">
        <f t="shared" si="314"/>
        <v>#DIV/0!</v>
      </c>
      <c r="AC271" s="250" t="e">
        <f t="shared" si="314"/>
        <v>#DIV/0!</v>
      </c>
      <c r="AD271" s="250" t="e">
        <f t="shared" si="314"/>
        <v>#DIV/0!</v>
      </c>
      <c r="AE271" s="250" t="e">
        <f t="shared" si="314"/>
        <v>#DIV/0!</v>
      </c>
      <c r="AF271" s="250" t="e">
        <f t="shared" si="314"/>
        <v>#DIV/0!</v>
      </c>
      <c r="AG271" s="250" t="e">
        <f t="shared" si="314"/>
        <v>#DIV/0!</v>
      </c>
    </row>
    <row r="272" spans="1:64" x14ac:dyDescent="0.35">
      <c r="C272" s="1" t="s">
        <v>115</v>
      </c>
      <c r="F272" s="603">
        <f t="shared" ref="F272:U272" si="315">((AI$91+BL$91+CO$91)/F$73)*100</f>
        <v>6.6671621447859053</v>
      </c>
      <c r="G272" s="250">
        <f t="shared" si="315"/>
        <v>7.1498855498721241</v>
      </c>
      <c r="H272" s="250">
        <f t="shared" si="315"/>
        <v>6.8660420495846308</v>
      </c>
      <c r="I272" s="1280">
        <f t="shared" si="315"/>
        <v>7.6386187856623335</v>
      </c>
      <c r="J272" s="1223">
        <f t="shared" si="315"/>
        <v>16.357142857142858</v>
      </c>
      <c r="K272" s="250">
        <f t="shared" si="315"/>
        <v>17.500110334291413</v>
      </c>
      <c r="L272" s="250">
        <f t="shared" si="315"/>
        <v>18.371466918294328</v>
      </c>
      <c r="M272" s="250">
        <f t="shared" si="315"/>
        <v>16.819492770798767</v>
      </c>
      <c r="N272" s="250">
        <f t="shared" si="315"/>
        <v>16.806732408895197</v>
      </c>
      <c r="O272" s="1280">
        <f t="shared" si="315"/>
        <v>16.891408329500159</v>
      </c>
      <c r="P272" s="1223">
        <f t="shared" si="315"/>
        <v>16.319123621323531</v>
      </c>
      <c r="Q272" s="250">
        <f t="shared" si="315"/>
        <v>16.512605005820721</v>
      </c>
      <c r="R272" s="1280">
        <f t="shared" si="315"/>
        <v>16.658993532975998</v>
      </c>
      <c r="S272" s="1223" t="e">
        <f t="shared" si="315"/>
        <v>#DIV/0!</v>
      </c>
      <c r="T272" s="250" t="e">
        <f t="shared" si="315"/>
        <v>#DIV/0!</v>
      </c>
      <c r="U272" s="250" t="e">
        <f t="shared" si="315"/>
        <v>#DIV/0!</v>
      </c>
      <c r="V272" s="250" t="e">
        <f t="shared" ref="V272:AG272" si="316">((AY$91+CB$91+DE$91)/V$73)*100</f>
        <v>#DIV/0!</v>
      </c>
      <c r="W272" s="250" t="e">
        <f t="shared" si="316"/>
        <v>#DIV/0!</v>
      </c>
      <c r="X272" s="1280" t="e">
        <f t="shared" si="316"/>
        <v>#DIV/0!</v>
      </c>
      <c r="Y272" s="1223" t="e">
        <f t="shared" si="316"/>
        <v>#DIV/0!</v>
      </c>
      <c r="Z272" s="250" t="e">
        <f t="shared" si="316"/>
        <v>#DIV/0!</v>
      </c>
      <c r="AA272" s="250" t="e">
        <f t="shared" si="316"/>
        <v>#DIV/0!</v>
      </c>
      <c r="AB272" s="250" t="e">
        <f t="shared" si="316"/>
        <v>#DIV/0!</v>
      </c>
      <c r="AC272" s="250" t="e">
        <f t="shared" si="316"/>
        <v>#DIV/0!</v>
      </c>
      <c r="AD272" s="250" t="e">
        <f t="shared" si="316"/>
        <v>#DIV/0!</v>
      </c>
      <c r="AE272" s="250" t="e">
        <f t="shared" si="316"/>
        <v>#DIV/0!</v>
      </c>
      <c r="AF272" s="250" t="e">
        <f t="shared" si="316"/>
        <v>#DIV/0!</v>
      </c>
      <c r="AG272" s="250" t="e">
        <f t="shared" si="316"/>
        <v>#DIV/0!</v>
      </c>
    </row>
    <row r="273" spans="1:179" x14ac:dyDescent="0.35">
      <c r="C273" s="1" t="s">
        <v>116</v>
      </c>
      <c r="F273" s="603">
        <f t="shared" ref="F273:U273" si="317">((AI$92+BL$92+CO$92)/F$73)*100</f>
        <v>20.882281599588531</v>
      </c>
      <c r="G273" s="250">
        <f t="shared" si="317"/>
        <v>17.923806265984656</v>
      </c>
      <c r="H273" s="250">
        <f t="shared" si="317"/>
        <v>17.271288285306337</v>
      </c>
      <c r="I273" s="1280">
        <f t="shared" si="317"/>
        <v>17.620477990513951</v>
      </c>
      <c r="J273" s="1223">
        <f t="shared" si="317"/>
        <v>23.623580034423409</v>
      </c>
      <c r="K273" s="250">
        <f t="shared" si="317"/>
        <v>25.080584323778453</v>
      </c>
      <c r="L273" s="250">
        <f t="shared" si="317"/>
        <v>25.671589716955594</v>
      </c>
      <c r="M273" s="250">
        <f t="shared" si="317"/>
        <v>24.869160227542071</v>
      </c>
      <c r="N273" s="250">
        <f t="shared" si="317"/>
        <v>24.976762281473917</v>
      </c>
      <c r="O273" s="1280">
        <f t="shared" si="317"/>
        <v>24.544400893130945</v>
      </c>
      <c r="P273" s="1223">
        <f t="shared" si="317"/>
        <v>24.744522518382357</v>
      </c>
      <c r="Q273" s="250">
        <f t="shared" si="317"/>
        <v>24.470005238649595</v>
      </c>
      <c r="R273" s="1280">
        <f t="shared" si="317"/>
        <v>25.07698147285015</v>
      </c>
      <c r="S273" s="1223" t="e">
        <f t="shared" si="317"/>
        <v>#DIV/0!</v>
      </c>
      <c r="T273" s="250" t="e">
        <f t="shared" si="317"/>
        <v>#DIV/0!</v>
      </c>
      <c r="U273" s="250" t="e">
        <f t="shared" si="317"/>
        <v>#DIV/0!</v>
      </c>
      <c r="V273" s="250" t="e">
        <f t="shared" ref="V273:AG273" si="318">((AY$92+CB$92+DE$92)/V$73)*100</f>
        <v>#DIV/0!</v>
      </c>
      <c r="W273" s="250" t="e">
        <f t="shared" si="318"/>
        <v>#DIV/0!</v>
      </c>
      <c r="X273" s="1280" t="e">
        <f t="shared" si="318"/>
        <v>#DIV/0!</v>
      </c>
      <c r="Y273" s="1223" t="e">
        <f t="shared" si="318"/>
        <v>#DIV/0!</v>
      </c>
      <c r="Z273" s="250" t="e">
        <f t="shared" si="318"/>
        <v>#DIV/0!</v>
      </c>
      <c r="AA273" s="250" t="e">
        <f t="shared" si="318"/>
        <v>#DIV/0!</v>
      </c>
      <c r="AB273" s="250" t="e">
        <f t="shared" si="318"/>
        <v>#DIV/0!</v>
      </c>
      <c r="AC273" s="250" t="e">
        <f t="shared" si="318"/>
        <v>#DIV/0!</v>
      </c>
      <c r="AD273" s="250" t="e">
        <f t="shared" si="318"/>
        <v>#DIV/0!</v>
      </c>
      <c r="AE273" s="250" t="e">
        <f t="shared" si="318"/>
        <v>#DIV/0!</v>
      </c>
      <c r="AF273" s="250" t="e">
        <f t="shared" si="318"/>
        <v>#DIV/0!</v>
      </c>
      <c r="AG273" s="250" t="e">
        <f t="shared" si="318"/>
        <v>#DIV/0!</v>
      </c>
    </row>
    <row r="274" spans="1:179" x14ac:dyDescent="0.35">
      <c r="C274" s="1" t="s">
        <v>111</v>
      </c>
      <c r="F274" s="603">
        <f t="shared" ref="F274:U274" si="319">((AI$93+BL$93+CO$93)/F$73)*100</f>
        <v>12.836885174231707</v>
      </c>
      <c r="G274" s="250">
        <f t="shared" si="319"/>
        <v>11.624965294117649</v>
      </c>
      <c r="H274" s="250">
        <f t="shared" si="319"/>
        <v>12.547173078920043</v>
      </c>
      <c r="I274" s="1280">
        <f t="shared" si="319"/>
        <v>13.332560414681868</v>
      </c>
      <c r="J274" s="1223">
        <f t="shared" si="319"/>
        <v>10.196488812392428</v>
      </c>
      <c r="K274" s="250">
        <f t="shared" si="319"/>
        <v>10.775452891063985</v>
      </c>
      <c r="L274" s="250">
        <f t="shared" si="319"/>
        <v>11.152871482639458</v>
      </c>
      <c r="M274" s="250">
        <f t="shared" si="319"/>
        <v>10.975366674567431</v>
      </c>
      <c r="N274" s="250">
        <f t="shared" si="319"/>
        <v>10.833579808350043</v>
      </c>
      <c r="O274" s="1280">
        <f t="shared" si="319"/>
        <v>10.749662028518859</v>
      </c>
      <c r="P274" s="1223">
        <f t="shared" si="319"/>
        <v>11.042570235906863</v>
      </c>
      <c r="Q274" s="250">
        <f t="shared" si="319"/>
        <v>10.796925611175787</v>
      </c>
      <c r="R274" s="1280">
        <f t="shared" si="319"/>
        <v>10.928463936145421</v>
      </c>
      <c r="S274" s="1223" t="e">
        <f t="shared" si="319"/>
        <v>#DIV/0!</v>
      </c>
      <c r="T274" s="250" t="e">
        <f t="shared" si="319"/>
        <v>#DIV/0!</v>
      </c>
      <c r="U274" s="250" t="e">
        <f t="shared" si="319"/>
        <v>#DIV/0!</v>
      </c>
      <c r="V274" s="250" t="e">
        <f t="shared" ref="V274:AG274" si="320">((AY$93+CB$93+DE$93)/V$73)*100</f>
        <v>#DIV/0!</v>
      </c>
      <c r="W274" s="250" t="e">
        <f t="shared" si="320"/>
        <v>#DIV/0!</v>
      </c>
      <c r="X274" s="1280" t="e">
        <f t="shared" si="320"/>
        <v>#DIV/0!</v>
      </c>
      <c r="Y274" s="1223" t="e">
        <f t="shared" si="320"/>
        <v>#DIV/0!</v>
      </c>
      <c r="Z274" s="250" t="e">
        <f t="shared" si="320"/>
        <v>#DIV/0!</v>
      </c>
      <c r="AA274" s="250" t="e">
        <f t="shared" si="320"/>
        <v>#DIV/0!</v>
      </c>
      <c r="AB274" s="250" t="e">
        <f t="shared" si="320"/>
        <v>#DIV/0!</v>
      </c>
      <c r="AC274" s="250" t="e">
        <f t="shared" si="320"/>
        <v>#DIV/0!</v>
      </c>
      <c r="AD274" s="250" t="e">
        <f t="shared" si="320"/>
        <v>#DIV/0!</v>
      </c>
      <c r="AE274" s="250" t="e">
        <f t="shared" si="320"/>
        <v>#DIV/0!</v>
      </c>
      <c r="AF274" s="250" t="e">
        <f t="shared" si="320"/>
        <v>#DIV/0!</v>
      </c>
      <c r="AG274" s="250" t="e">
        <f t="shared" si="320"/>
        <v>#DIV/0!</v>
      </c>
    </row>
    <row r="275" spans="1:179" ht="15" thickBot="1" x14ac:dyDescent="0.4">
      <c r="A275" s="368"/>
      <c r="B275" s="368"/>
      <c r="C275" s="364" t="s">
        <v>112</v>
      </c>
      <c r="D275" s="364"/>
      <c r="E275" s="364"/>
      <c r="F275" s="1060">
        <f t="shared" ref="F275:U275" si="321">((AI$94+BL$94+CO$94)/F$73)*100</f>
        <v>49.194742445673143</v>
      </c>
      <c r="G275" s="372">
        <f t="shared" si="321"/>
        <v>48.412572557544763</v>
      </c>
      <c r="H275" s="372">
        <f t="shared" si="321"/>
        <v>50.852650356957419</v>
      </c>
      <c r="I275" s="1337">
        <f t="shared" si="321"/>
        <v>48.978499646577959</v>
      </c>
      <c r="J275" s="1338">
        <f t="shared" si="321"/>
        <v>22.465452814296697</v>
      </c>
      <c r="K275" s="372">
        <f t="shared" si="321"/>
        <v>19.911552210052058</v>
      </c>
      <c r="L275" s="372">
        <f t="shared" si="321"/>
        <v>20.605956886621684</v>
      </c>
      <c r="M275" s="372">
        <f t="shared" si="321"/>
        <v>21.716797345342499</v>
      </c>
      <c r="N275" s="372">
        <f t="shared" si="321"/>
        <v>23.180080448547425</v>
      </c>
      <c r="O275" s="1337">
        <f t="shared" si="321"/>
        <v>22.756082566697334</v>
      </c>
      <c r="P275" s="1338">
        <f t="shared" si="321"/>
        <v>22.886492991727934</v>
      </c>
      <c r="Q275" s="372">
        <f t="shared" si="321"/>
        <v>22.18117054714785</v>
      </c>
      <c r="R275" s="1337">
        <f t="shared" si="321"/>
        <v>21.856143964110931</v>
      </c>
      <c r="S275" s="1338" t="e">
        <f t="shared" si="321"/>
        <v>#DIV/0!</v>
      </c>
      <c r="T275" s="372" t="e">
        <f t="shared" si="321"/>
        <v>#DIV/0!</v>
      </c>
      <c r="U275" s="372" t="e">
        <f t="shared" si="321"/>
        <v>#DIV/0!</v>
      </c>
      <c r="V275" s="372" t="e">
        <f t="shared" ref="V275:AG275" si="322">((AY$94+CB$94+DE$94)/V$73)*100</f>
        <v>#DIV/0!</v>
      </c>
      <c r="W275" s="372" t="e">
        <f t="shared" si="322"/>
        <v>#DIV/0!</v>
      </c>
      <c r="X275" s="1337" t="e">
        <f t="shared" si="322"/>
        <v>#DIV/0!</v>
      </c>
      <c r="Y275" s="1338" t="e">
        <f t="shared" si="322"/>
        <v>#DIV/0!</v>
      </c>
      <c r="Z275" s="372" t="e">
        <f t="shared" si="322"/>
        <v>#DIV/0!</v>
      </c>
      <c r="AA275" s="372" t="e">
        <f t="shared" si="322"/>
        <v>#DIV/0!</v>
      </c>
      <c r="AB275" s="372" t="e">
        <f t="shared" si="322"/>
        <v>#DIV/0!</v>
      </c>
      <c r="AC275" s="372" t="e">
        <f t="shared" si="322"/>
        <v>#DIV/0!</v>
      </c>
      <c r="AD275" s="372" t="e">
        <f t="shared" si="322"/>
        <v>#DIV/0!</v>
      </c>
      <c r="AE275" s="372" t="e">
        <f t="shared" si="322"/>
        <v>#DIV/0!</v>
      </c>
      <c r="AF275" s="372" t="e">
        <f t="shared" si="322"/>
        <v>#DIV/0!</v>
      </c>
      <c r="AG275" s="372" t="e">
        <f t="shared" si="322"/>
        <v>#DIV/0!</v>
      </c>
    </row>
    <row r="276" spans="1:179" s="368" customFormat="1" ht="15.5" thickTop="1" thickBot="1" x14ac:dyDescent="0.4">
      <c r="C276" s="458"/>
      <c r="D276" s="458"/>
      <c r="E276" s="458"/>
      <c r="F276" s="1328"/>
      <c r="G276" s="1329"/>
      <c r="H276" s="1329"/>
      <c r="I276" s="1330"/>
      <c r="J276" s="1331"/>
      <c r="K276" s="314"/>
      <c r="L276" s="314"/>
      <c r="M276" s="314"/>
      <c r="N276" s="314"/>
      <c r="O276" s="1334"/>
      <c r="P276" s="1331"/>
      <c r="Q276" s="314"/>
      <c r="R276" s="1330"/>
      <c r="S276" s="1331"/>
      <c r="T276" s="314"/>
      <c r="U276" s="314"/>
      <c r="V276" s="229"/>
      <c r="W276" s="229"/>
      <c r="X276" s="1245"/>
      <c r="Y276" s="538"/>
      <c r="Z276" s="229"/>
      <c r="AA276" s="229"/>
      <c r="AB276" s="229"/>
      <c r="AC276" s="229"/>
      <c r="AD276" s="229"/>
      <c r="AE276" s="229"/>
      <c r="AF276" s="229"/>
      <c r="AG276" s="229"/>
      <c r="AH276" s="323"/>
      <c r="AI276" s="232"/>
      <c r="AJ276" s="232"/>
      <c r="AK276" s="232"/>
      <c r="AL276" s="1236"/>
      <c r="AM276" s="643"/>
      <c r="AN276" s="232"/>
      <c r="AO276" s="232"/>
      <c r="AP276" s="232"/>
      <c r="AQ276" s="232"/>
      <c r="AR276" s="232"/>
      <c r="AS276" s="232"/>
      <c r="AT276" s="232"/>
      <c r="AU276" s="1236"/>
      <c r="AV276" s="643"/>
      <c r="AW276" s="232"/>
      <c r="AX276" s="232"/>
      <c r="AY276" s="232"/>
      <c r="AZ276" s="232"/>
      <c r="BA276" s="1236"/>
      <c r="BB276" s="643"/>
      <c r="BC276" s="232"/>
      <c r="BD276" s="232"/>
      <c r="BE276" s="232"/>
      <c r="BF276" s="232"/>
      <c r="BG276" s="232"/>
      <c r="BH276" s="232"/>
      <c r="BI276" s="232"/>
      <c r="BJ276" s="232"/>
      <c r="BK276" s="323"/>
      <c r="BL276" s="232"/>
      <c r="BM276" s="232"/>
      <c r="BN276" s="232"/>
      <c r="BO276" s="1236"/>
      <c r="BP276" s="643"/>
      <c r="BQ276" s="232"/>
      <c r="BR276" s="232"/>
      <c r="BS276" s="232"/>
      <c r="BT276" s="232"/>
      <c r="BU276" s="232"/>
      <c r="BV276" s="232"/>
      <c r="BW276" s="232"/>
      <c r="BX276" s="1236"/>
      <c r="BY276" s="643"/>
      <c r="BZ276" s="232"/>
      <c r="CA276" s="232"/>
      <c r="CB276" s="232"/>
      <c r="CC276" s="232"/>
      <c r="CD276" s="1236"/>
      <c r="CE276" s="643"/>
      <c r="CF276" s="232"/>
      <c r="CG276" s="232"/>
      <c r="CH276" s="232"/>
      <c r="CI276" s="232"/>
      <c r="CJ276" s="232"/>
      <c r="CK276" s="232"/>
      <c r="CL276" s="232"/>
      <c r="CM276" s="232"/>
      <c r="CN276" s="323"/>
      <c r="CO276" s="232"/>
      <c r="CP276" s="232"/>
      <c r="CQ276" s="232"/>
      <c r="CR276" s="1236"/>
      <c r="CS276" s="643"/>
      <c r="CT276" s="232"/>
      <c r="CU276" s="232"/>
      <c r="CV276" s="232"/>
      <c r="CW276" s="232"/>
      <c r="CX276" s="232"/>
      <c r="CY276" s="232"/>
      <c r="CZ276" s="232"/>
      <c r="DA276" s="1236"/>
      <c r="DB276" s="643"/>
      <c r="DC276" s="232"/>
      <c r="DD276" s="232"/>
      <c r="DE276" s="232"/>
      <c r="DF276" s="232"/>
      <c r="DG276" s="1236"/>
      <c r="DH276" s="643"/>
      <c r="DI276" s="232"/>
      <c r="DJ276" s="232"/>
      <c r="DK276" s="232"/>
      <c r="DL276" s="232"/>
      <c r="DM276" s="232"/>
      <c r="DN276" s="232"/>
      <c r="DO276" s="232"/>
      <c r="DP276" s="232"/>
      <c r="DQ276" s="323"/>
      <c r="DR276" s="238"/>
      <c r="DS276" s="232"/>
      <c r="DT276" s="232"/>
      <c r="DU276" s="232"/>
      <c r="DV276" s="1236"/>
      <c r="DW276" s="643"/>
      <c r="DX276" s="232"/>
      <c r="DY276" s="232"/>
      <c r="DZ276" s="232"/>
      <c r="EA276" s="232"/>
      <c r="EB276" s="232"/>
      <c r="EC276" s="232"/>
      <c r="ED276" s="232"/>
      <c r="EE276" s="1236"/>
      <c r="EF276" s="643"/>
      <c r="EG276" s="232"/>
      <c r="EH276" s="232"/>
      <c r="EI276" s="232"/>
      <c r="EJ276" s="232"/>
      <c r="EK276" s="1236"/>
      <c r="EL276" s="643"/>
      <c r="EM276" s="232"/>
      <c r="EN276" s="232"/>
      <c r="EO276" s="232"/>
      <c r="EP276" s="232"/>
      <c r="EQ276" s="232"/>
      <c r="ER276" s="232"/>
      <c r="ES276" s="232"/>
      <c r="ET276" s="232"/>
      <c r="EU276" s="323"/>
      <c r="EV276" s="232"/>
      <c r="EW276" s="232"/>
      <c r="EX276" s="232"/>
      <c r="EY276" s="1236"/>
      <c r="EZ276" s="643"/>
      <c r="FA276" s="232"/>
      <c r="FB276" s="232"/>
      <c r="FC276" s="232"/>
      <c r="FD276" s="232"/>
      <c r="FE276" s="232"/>
      <c r="FF276" s="232"/>
      <c r="FG276" s="232"/>
      <c r="FH276" s="1236"/>
      <c r="FI276" s="643"/>
      <c r="FJ276" s="232"/>
      <c r="FK276" s="232"/>
      <c r="FL276" s="232"/>
      <c r="FM276" s="232"/>
      <c r="FN276" s="1236"/>
      <c r="FO276" s="643"/>
      <c r="FP276" s="232"/>
      <c r="FQ276" s="232"/>
      <c r="FR276" s="232"/>
      <c r="FS276" s="232"/>
      <c r="FT276" s="232"/>
      <c r="FU276" s="232"/>
      <c r="FV276" s="232"/>
      <c r="FW276" s="232"/>
    </row>
    <row r="277" spans="1:179" ht="6.75" customHeight="1" thickTop="1" x14ac:dyDescent="0.35">
      <c r="F277" s="603"/>
      <c r="G277" s="250"/>
      <c r="H277" s="250"/>
      <c r="I277" s="1280"/>
      <c r="J277" s="1223"/>
      <c r="K277" s="250"/>
      <c r="L277" s="250"/>
      <c r="M277" s="250"/>
      <c r="N277" s="250"/>
      <c r="O277" s="1280"/>
      <c r="P277" s="1223"/>
      <c r="Q277" s="250"/>
      <c r="R277" s="1280"/>
      <c r="S277" s="1223"/>
      <c r="T277" s="250"/>
      <c r="U277" s="250"/>
    </row>
    <row r="278" spans="1:179" x14ac:dyDescent="0.35">
      <c r="C278" s="1" t="s">
        <v>221</v>
      </c>
      <c r="F278" s="603">
        <f>F247+F250+F253+F256</f>
        <v>3.767250642921435</v>
      </c>
      <c r="G278" s="250">
        <f t="shared" ref="G278:U278" si="323">G247+G250+G253+G256</f>
        <v>3.9309218670076733</v>
      </c>
      <c r="H278" s="250">
        <f t="shared" si="323"/>
        <v>1.2982058768172375</v>
      </c>
      <c r="I278" s="1280">
        <f t="shared" si="323"/>
        <v>1.3664528634015254</v>
      </c>
      <c r="J278" s="1223">
        <f t="shared" si="323"/>
        <v>3.2411641472723192</v>
      </c>
      <c r="K278" s="250">
        <f t="shared" si="323"/>
        <v>4.0462779331417185</v>
      </c>
      <c r="L278" s="250">
        <f t="shared" si="323"/>
        <v>4.120825035797349</v>
      </c>
      <c r="M278" s="250">
        <f t="shared" si="323"/>
        <v>3.9763137213268016</v>
      </c>
      <c r="N278" s="250">
        <f t="shared" si="323"/>
        <v>3.8703966644936982</v>
      </c>
      <c r="O278" s="1280">
        <f t="shared" si="323"/>
        <v>3.9021442233977313</v>
      </c>
      <c r="P278" s="1223">
        <f t="shared" si="323"/>
        <v>3.617608213337419</v>
      </c>
      <c r="Q278" s="250">
        <f t="shared" si="323"/>
        <v>3.7220590447548831</v>
      </c>
      <c r="R278" s="1280">
        <f t="shared" si="323"/>
        <v>4.0967623271576166</v>
      </c>
      <c r="S278" s="1223" t="e">
        <f t="shared" si="323"/>
        <v>#DIV/0!</v>
      </c>
      <c r="T278" s="250" t="e">
        <f t="shared" si="323"/>
        <v>#DIV/0!</v>
      </c>
      <c r="U278" s="250" t="e">
        <f t="shared" si="323"/>
        <v>#DIV/0!</v>
      </c>
      <c r="V278" s="250" t="e">
        <f>SUM(V$247:V$256)</f>
        <v>#DIV/0!</v>
      </c>
      <c r="W278" s="250" t="e">
        <f t="shared" ref="W278:AG278" si="324">SUM(W$247:W$256)</f>
        <v>#DIV/0!</v>
      </c>
      <c r="X278" s="1280" t="e">
        <f t="shared" si="324"/>
        <v>#DIV/0!</v>
      </c>
      <c r="Y278" s="1223" t="e">
        <f t="shared" si="324"/>
        <v>#DIV/0!</v>
      </c>
      <c r="Z278" s="250" t="e">
        <f t="shared" si="324"/>
        <v>#DIV/0!</v>
      </c>
      <c r="AA278" s="250" t="e">
        <f t="shared" si="324"/>
        <v>#DIV/0!</v>
      </c>
      <c r="AB278" s="250" t="e">
        <f t="shared" si="324"/>
        <v>#DIV/0!</v>
      </c>
      <c r="AC278" s="250" t="e">
        <f t="shared" si="324"/>
        <v>#DIV/0!</v>
      </c>
      <c r="AD278" s="250" t="e">
        <f t="shared" si="324"/>
        <v>#DIV/0!</v>
      </c>
      <c r="AE278" s="250" t="e">
        <f t="shared" si="324"/>
        <v>#DIV/0!</v>
      </c>
      <c r="AF278" s="250" t="e">
        <f t="shared" si="324"/>
        <v>#DIV/0!</v>
      </c>
      <c r="AG278" s="250" t="e">
        <f t="shared" si="324"/>
        <v>#DIV/0!</v>
      </c>
      <c r="AN278" s="947"/>
      <c r="AO278" s="947"/>
      <c r="AP278" s="947"/>
    </row>
    <row r="279" spans="1:179" x14ac:dyDescent="0.35">
      <c r="C279" s="1" t="s">
        <v>229</v>
      </c>
      <c r="F279" s="603">
        <f t="shared" ref="F279:AG279" si="325">F$278/F$151</f>
        <v>3.7469841724626982</v>
      </c>
      <c r="G279" s="250">
        <f t="shared" si="325"/>
        <v>4.0065977912951416</v>
      </c>
      <c r="H279" s="250">
        <f t="shared" si="325"/>
        <v>1.3479768258164628</v>
      </c>
      <c r="I279" s="1280">
        <f t="shared" si="325"/>
        <v>1.4018631754447091</v>
      </c>
      <c r="J279" s="1223">
        <f t="shared" si="325"/>
        <v>3.4793177882815427</v>
      </c>
      <c r="K279" s="250">
        <f t="shared" si="325"/>
        <v>4.2059934084807811</v>
      </c>
      <c r="L279" s="250">
        <f t="shared" si="325"/>
        <v>4.1284703370939795</v>
      </c>
      <c r="M279" s="250">
        <f t="shared" si="325"/>
        <v>4.1269557376260684</v>
      </c>
      <c r="N279" s="250">
        <f t="shared" si="325"/>
        <v>4.0194515379257911</v>
      </c>
      <c r="O279" s="1280">
        <f t="shared" si="325"/>
        <v>4.0358014091782515</v>
      </c>
      <c r="P279" s="1223">
        <f t="shared" si="325"/>
        <v>3.8378918335571366</v>
      </c>
      <c r="Q279" s="250">
        <f t="shared" si="325"/>
        <v>3.9162364335405604</v>
      </c>
      <c r="R279" s="1280">
        <f t="shared" si="325"/>
        <v>4.2934287274633851</v>
      </c>
      <c r="S279" s="1223" t="e">
        <f t="shared" si="325"/>
        <v>#DIV/0!</v>
      </c>
      <c r="T279" s="250" t="e">
        <f t="shared" si="325"/>
        <v>#DIV/0!</v>
      </c>
      <c r="U279" s="250" t="e">
        <f t="shared" si="325"/>
        <v>#DIV/0!</v>
      </c>
      <c r="V279" s="250" t="e">
        <f t="shared" si="325"/>
        <v>#DIV/0!</v>
      </c>
      <c r="W279" s="250" t="e">
        <f t="shared" si="325"/>
        <v>#DIV/0!</v>
      </c>
      <c r="X279" s="1280" t="e">
        <f t="shared" si="325"/>
        <v>#DIV/0!</v>
      </c>
      <c r="Y279" s="1223" t="e">
        <f t="shared" si="325"/>
        <v>#DIV/0!</v>
      </c>
      <c r="Z279" s="250" t="e">
        <f t="shared" si="325"/>
        <v>#DIV/0!</v>
      </c>
      <c r="AA279" s="250" t="e">
        <f t="shared" si="325"/>
        <v>#DIV/0!</v>
      </c>
      <c r="AB279" s="250" t="e">
        <f t="shared" si="325"/>
        <v>#DIV/0!</v>
      </c>
      <c r="AC279" s="250" t="e">
        <f t="shared" si="325"/>
        <v>#DIV/0!</v>
      </c>
      <c r="AD279" s="250" t="e">
        <f t="shared" si="325"/>
        <v>#DIV/0!</v>
      </c>
      <c r="AE279" s="250" t="e">
        <f t="shared" si="325"/>
        <v>#DIV/0!</v>
      </c>
      <c r="AF279" s="250" t="e">
        <f t="shared" si="325"/>
        <v>#DIV/0!</v>
      </c>
      <c r="AG279" s="250" t="e">
        <f t="shared" si="325"/>
        <v>#DIV/0!</v>
      </c>
      <c r="AJ279" s="267"/>
      <c r="AK279" s="267"/>
      <c r="AN279" s="267"/>
      <c r="AO279" s="267"/>
      <c r="AP279" s="916"/>
    </row>
    <row r="280" spans="1:179" x14ac:dyDescent="0.35">
      <c r="C280" s="444" t="s">
        <v>1091</v>
      </c>
      <c r="D280" s="444"/>
      <c r="E280" s="444"/>
      <c r="F280" s="1056">
        <f>0.0117667126375445*100</f>
        <v>1.1766712637544501</v>
      </c>
      <c r="G280" s="445">
        <f>0.0149749561543152*100</f>
        <v>1.49749561543152</v>
      </c>
      <c r="H280" s="445">
        <f>0.0111487484397199*100</f>
        <v>1.11487484397199</v>
      </c>
      <c r="I280" s="1280">
        <f>0.010359318021911*100</f>
        <v>1.0359318021910999</v>
      </c>
      <c r="J280" s="1223">
        <f>0.042907778382158*100</f>
        <v>4.2907778382158002</v>
      </c>
      <c r="K280" s="250">
        <f>0.0449912023478229*100</f>
        <v>4.4991202347822901</v>
      </c>
      <c r="L280" s="250">
        <f>0.0425003068461067*100</f>
        <v>4.2500306846106701</v>
      </c>
      <c r="M280" s="250">
        <f>0.0442219244756286*100</f>
        <v>4.4221924475628605</v>
      </c>
      <c r="N280" s="250">
        <f>0.0451432953769073*100</f>
        <v>4.5143295376907293</v>
      </c>
      <c r="O280" s="1280">
        <f>0.0454858343468282*100</f>
        <v>4.5485834346828202</v>
      </c>
      <c r="P280" s="1223">
        <f>0.0438157528314972*100</f>
        <v>4.3815752831497194</v>
      </c>
      <c r="Q280" s="250"/>
      <c r="R280" s="1280"/>
      <c r="S280" s="1223"/>
      <c r="T280" s="250"/>
      <c r="U280" s="250"/>
      <c r="AJ280" s="267"/>
      <c r="AK280" s="267"/>
      <c r="AN280" s="267"/>
      <c r="AO280" s="459"/>
      <c r="AP280" s="459"/>
    </row>
    <row r="281" spans="1:179" x14ac:dyDescent="0.35">
      <c r="C281" s="415">
        <v>0.05</v>
      </c>
      <c r="D281" s="415"/>
      <c r="E281" s="415"/>
      <c r="F281" s="603">
        <f>F$280+$C$281*F$280</f>
        <v>1.2355048269421727</v>
      </c>
      <c r="G281" s="250">
        <f t="shared" ref="G281:U281" si="326">G$280+$C$281*G$280</f>
        <v>1.5723703962030959</v>
      </c>
      <c r="H281" s="250">
        <f t="shared" si="326"/>
        <v>1.1706185861705896</v>
      </c>
      <c r="I281" s="1280">
        <f t="shared" si="326"/>
        <v>1.0877283923006549</v>
      </c>
      <c r="J281" s="1223">
        <f t="shared" si="326"/>
        <v>4.50531673012659</v>
      </c>
      <c r="K281" s="250">
        <f t="shared" si="326"/>
        <v>4.7240762465214043</v>
      </c>
      <c r="L281" s="250">
        <f t="shared" si="326"/>
        <v>4.4625322188412033</v>
      </c>
      <c r="M281" s="250">
        <f t="shared" si="326"/>
        <v>4.6433020699410035</v>
      </c>
      <c r="N281" s="250">
        <f t="shared" si="326"/>
        <v>4.7400460145752659</v>
      </c>
      <c r="O281" s="1280">
        <f t="shared" si="326"/>
        <v>4.7760126064169608</v>
      </c>
      <c r="P281" s="1223">
        <f t="shared" si="326"/>
        <v>4.6006540473072057</v>
      </c>
      <c r="Q281" s="250">
        <f t="shared" si="326"/>
        <v>0</v>
      </c>
      <c r="R281" s="1280">
        <f t="shared" si="326"/>
        <v>0</v>
      </c>
      <c r="S281" s="1223">
        <f t="shared" si="326"/>
        <v>0</v>
      </c>
      <c r="T281" s="250">
        <f t="shared" si="326"/>
        <v>0</v>
      </c>
      <c r="U281" s="250">
        <f t="shared" si="326"/>
        <v>0</v>
      </c>
    </row>
    <row r="282" spans="1:179" s="368" customFormat="1" ht="15" thickBot="1" x14ac:dyDescent="0.4">
      <c r="C282" s="413">
        <v>-0.05</v>
      </c>
      <c r="D282" s="413"/>
      <c r="E282" s="413"/>
      <c r="F282" s="603">
        <f>F$280+$C$282*F$280</f>
        <v>1.1178377005667275</v>
      </c>
      <c r="G282" s="250">
        <f t="shared" ref="G282:U282" si="327">G$280+$C$282*G$280</f>
        <v>1.422620834659944</v>
      </c>
      <c r="H282" s="250">
        <f t="shared" si="327"/>
        <v>1.0591311017733904</v>
      </c>
      <c r="I282" s="1280">
        <f t="shared" si="327"/>
        <v>0.98413521208154497</v>
      </c>
      <c r="J282" s="1223">
        <f t="shared" si="327"/>
        <v>4.0762389463050104</v>
      </c>
      <c r="K282" s="250">
        <f t="shared" si="327"/>
        <v>4.2741642230431758</v>
      </c>
      <c r="L282" s="250">
        <f t="shared" si="327"/>
        <v>4.0375291503801369</v>
      </c>
      <c r="M282" s="250">
        <f t="shared" si="327"/>
        <v>4.2010828251847174</v>
      </c>
      <c r="N282" s="250">
        <f t="shared" si="327"/>
        <v>4.2886130608061928</v>
      </c>
      <c r="O282" s="1280">
        <f t="shared" si="327"/>
        <v>4.3211542629486797</v>
      </c>
      <c r="P282" s="1223">
        <f t="shared" si="327"/>
        <v>4.1624965189922332</v>
      </c>
      <c r="Q282" s="250">
        <f t="shared" si="327"/>
        <v>0</v>
      </c>
      <c r="R282" s="1280">
        <f t="shared" si="327"/>
        <v>0</v>
      </c>
      <c r="S282" s="1223">
        <f t="shared" si="327"/>
        <v>0</v>
      </c>
      <c r="T282" s="250">
        <f t="shared" si="327"/>
        <v>0</v>
      </c>
      <c r="U282" s="250">
        <f t="shared" si="327"/>
        <v>0</v>
      </c>
      <c r="V282" s="232"/>
      <c r="W282" s="232"/>
      <c r="X282" s="1236"/>
      <c r="Y282" s="643"/>
      <c r="Z282" s="232"/>
      <c r="AA282" s="232"/>
      <c r="AB282" s="232"/>
      <c r="AC282" s="232"/>
      <c r="AD282" s="232"/>
      <c r="AE282" s="232"/>
      <c r="AF282" s="232"/>
      <c r="AG282" s="232"/>
      <c r="AH282" s="323"/>
      <c r="AI282" s="232"/>
      <c r="AJ282" s="232"/>
      <c r="AK282" s="232"/>
      <c r="AL282" s="1236"/>
      <c r="AM282" s="643"/>
      <c r="AN282" s="232"/>
      <c r="AO282" s="232"/>
      <c r="AP282" s="232"/>
      <c r="AQ282" s="232"/>
      <c r="AR282" s="232"/>
      <c r="AS282" s="232"/>
      <c r="AT282" s="232"/>
      <c r="AU282" s="1236"/>
      <c r="AV282" s="643"/>
      <c r="AW282" s="232"/>
      <c r="AX282" s="232"/>
      <c r="AY282" s="232"/>
      <c r="AZ282" s="232"/>
      <c r="BA282" s="1236"/>
      <c r="BB282" s="643"/>
      <c r="BC282" s="232"/>
      <c r="BD282" s="232"/>
      <c r="BE282" s="232"/>
      <c r="BF282" s="232"/>
      <c r="BG282" s="232"/>
      <c r="BH282" s="232"/>
      <c r="BI282" s="232"/>
      <c r="BJ282" s="232"/>
      <c r="BK282" s="323"/>
      <c r="BL282" s="232"/>
      <c r="BM282" s="232"/>
      <c r="BN282" s="232"/>
      <c r="BO282" s="1236"/>
      <c r="BP282" s="643"/>
      <c r="BQ282" s="232"/>
      <c r="BR282" s="232"/>
      <c r="BS282" s="232"/>
      <c r="BT282" s="232"/>
      <c r="BU282" s="232"/>
      <c r="BV282" s="232"/>
      <c r="BW282" s="232"/>
      <c r="BX282" s="1236"/>
      <c r="BY282" s="643"/>
      <c r="BZ282" s="232"/>
      <c r="CA282" s="232"/>
      <c r="CB282" s="232"/>
      <c r="CC282" s="232"/>
      <c r="CD282" s="1236"/>
      <c r="CE282" s="643"/>
      <c r="CF282" s="232"/>
      <c r="CG282" s="232"/>
      <c r="CH282" s="232"/>
      <c r="CI282" s="232"/>
      <c r="CJ282" s="232"/>
      <c r="CK282" s="232"/>
      <c r="CL282" s="232"/>
      <c r="CM282" s="232"/>
      <c r="CN282" s="323"/>
      <c r="CO282" s="232"/>
      <c r="CP282" s="232"/>
      <c r="CQ282" s="232"/>
      <c r="CR282" s="1236"/>
      <c r="CS282" s="643"/>
      <c r="CT282" s="232"/>
      <c r="CU282" s="232"/>
      <c r="CV282" s="232"/>
      <c r="CW282" s="232"/>
      <c r="CX282" s="232"/>
      <c r="CY282" s="232"/>
      <c r="CZ282" s="232"/>
      <c r="DA282" s="1236"/>
      <c r="DB282" s="643"/>
      <c r="DC282" s="232"/>
      <c r="DD282" s="232"/>
      <c r="DE282" s="232"/>
      <c r="DF282" s="232"/>
      <c r="DG282" s="1236"/>
      <c r="DH282" s="643"/>
      <c r="DI282" s="232"/>
      <c r="DJ282" s="232"/>
      <c r="DK282" s="232"/>
      <c r="DL282" s="232"/>
      <c r="DM282" s="232"/>
      <c r="DN282" s="232"/>
      <c r="DO282" s="232"/>
      <c r="DP282" s="232"/>
      <c r="DQ282" s="323"/>
      <c r="DR282" s="238"/>
      <c r="DS282" s="232"/>
      <c r="DT282" s="232"/>
      <c r="DU282" s="232"/>
      <c r="DV282" s="1236"/>
      <c r="DW282" s="643"/>
      <c r="DX282" s="232"/>
      <c r="DY282" s="232"/>
      <c r="DZ282" s="232"/>
      <c r="EA282" s="232"/>
      <c r="EB282" s="232"/>
      <c r="EC282" s="232"/>
      <c r="ED282" s="232"/>
      <c r="EE282" s="1236"/>
      <c r="EF282" s="643"/>
      <c r="EG282" s="232"/>
      <c r="EH282" s="232"/>
      <c r="EI282" s="232"/>
      <c r="EJ282" s="232"/>
      <c r="EK282" s="1236"/>
      <c r="EL282" s="643"/>
      <c r="EM282" s="232"/>
      <c r="EN282" s="232"/>
      <c r="EO282" s="232"/>
      <c r="EP282" s="232"/>
      <c r="EQ282" s="232"/>
      <c r="ER282" s="232"/>
      <c r="ES282" s="232"/>
      <c r="ET282" s="232"/>
      <c r="EU282" s="323"/>
      <c r="EV282" s="232"/>
      <c r="EW282" s="232"/>
      <c r="EX282" s="232"/>
      <c r="EY282" s="1236"/>
      <c r="EZ282" s="643"/>
      <c r="FA282" s="232"/>
      <c r="FB282" s="232"/>
      <c r="FC282" s="232"/>
      <c r="FD282" s="232"/>
      <c r="FE282" s="232"/>
      <c r="FF282" s="232"/>
      <c r="FG282" s="232"/>
      <c r="FH282" s="1236"/>
      <c r="FI282" s="643"/>
      <c r="FJ282" s="232"/>
      <c r="FK282" s="232"/>
      <c r="FL282" s="232"/>
      <c r="FM282" s="232"/>
      <c r="FN282" s="1236"/>
      <c r="FO282" s="643"/>
      <c r="FP282" s="232"/>
      <c r="FQ282" s="232"/>
      <c r="FR282" s="232"/>
      <c r="FS282" s="232"/>
      <c r="FT282" s="232"/>
      <c r="FU282" s="232"/>
      <c r="FV282" s="232"/>
      <c r="FW282" s="232"/>
    </row>
    <row r="283" spans="1:179" ht="11.65" customHeight="1" thickTop="1" x14ac:dyDescent="0.35">
      <c r="F283" s="603"/>
      <c r="G283" s="250"/>
      <c r="H283" s="250"/>
      <c r="I283" s="1280"/>
      <c r="J283" s="1223"/>
      <c r="K283" s="250"/>
      <c r="L283" s="250"/>
      <c r="M283" s="250"/>
      <c r="N283" s="250"/>
      <c r="O283" s="1280"/>
      <c r="P283" s="1223"/>
      <c r="Q283" s="250"/>
      <c r="R283" s="1280"/>
      <c r="S283" s="1223"/>
      <c r="T283" s="250"/>
      <c r="U283" s="250"/>
    </row>
    <row r="284" spans="1:179" x14ac:dyDescent="0.35">
      <c r="C284" s="1" t="s">
        <v>228</v>
      </c>
      <c r="F284" s="603">
        <f t="shared" ref="F284:AG284" si="328">SUM(F$259:F$262)+SUM(F$269:F$273)</f>
        <v>32.16012916974298</v>
      </c>
      <c r="G284" s="249">
        <f t="shared" si="328"/>
        <v>31.941331745631306</v>
      </c>
      <c r="H284" s="249">
        <f t="shared" si="328"/>
        <v>28.886459903655769</v>
      </c>
      <c r="I284" s="1242">
        <f t="shared" si="328"/>
        <v>31.014067418827764</v>
      </c>
      <c r="J284" s="419">
        <f t="shared" si="328"/>
        <v>54.32976377033112</v>
      </c>
      <c r="K284" s="497">
        <f t="shared" si="328"/>
        <v>58.900648894096889</v>
      </c>
      <c r="L284" s="249">
        <f t="shared" si="328"/>
        <v>60.976681687611126</v>
      </c>
      <c r="M284" s="249">
        <f t="shared" si="328"/>
        <v>57.179369401062992</v>
      </c>
      <c r="N284" s="249">
        <f t="shared" si="328"/>
        <v>55.731590405029642</v>
      </c>
      <c r="O284" s="1242">
        <f t="shared" si="328"/>
        <v>56.594600957215121</v>
      </c>
      <c r="P284" s="419">
        <f t="shared" si="328"/>
        <v>54.737725208915137</v>
      </c>
      <c r="Q284" s="249">
        <f t="shared" si="328"/>
        <v>55.067264353647573</v>
      </c>
      <c r="R284" s="1242">
        <f t="shared" si="328"/>
        <v>55.497634173130038</v>
      </c>
      <c r="S284" s="419" t="e">
        <f t="shared" si="328"/>
        <v>#DIV/0!</v>
      </c>
      <c r="T284" s="249" t="e">
        <f t="shared" si="328"/>
        <v>#DIV/0!</v>
      </c>
      <c r="U284" s="249" t="e">
        <f t="shared" si="328"/>
        <v>#DIV/0!</v>
      </c>
      <c r="V284" s="249" t="e">
        <f t="shared" si="328"/>
        <v>#DIV/0!</v>
      </c>
      <c r="W284" s="249" t="e">
        <f t="shared" si="328"/>
        <v>#DIV/0!</v>
      </c>
      <c r="X284" s="1242" t="e">
        <f t="shared" si="328"/>
        <v>#DIV/0!</v>
      </c>
      <c r="Y284" s="419" t="e">
        <f t="shared" si="328"/>
        <v>#DIV/0!</v>
      </c>
      <c r="Z284" s="249" t="e">
        <f t="shared" si="328"/>
        <v>#DIV/0!</v>
      </c>
      <c r="AA284" s="249" t="e">
        <f t="shared" si="328"/>
        <v>#DIV/0!</v>
      </c>
      <c r="AB284" s="249" t="e">
        <f t="shared" si="328"/>
        <v>#DIV/0!</v>
      </c>
      <c r="AC284" s="249" t="e">
        <f t="shared" si="328"/>
        <v>#DIV/0!</v>
      </c>
      <c r="AD284" s="249" t="e">
        <f t="shared" si="328"/>
        <v>#DIV/0!</v>
      </c>
      <c r="AE284" s="249" t="e">
        <f t="shared" si="328"/>
        <v>#DIV/0!</v>
      </c>
      <c r="AF284" s="249" t="e">
        <f t="shared" si="328"/>
        <v>#DIV/0!</v>
      </c>
      <c r="AG284" s="249" t="e">
        <f t="shared" si="328"/>
        <v>#DIV/0!</v>
      </c>
    </row>
    <row r="285" spans="1:179" x14ac:dyDescent="0.35">
      <c r="C285" s="1" t="s">
        <v>1122</v>
      </c>
      <c r="F285" s="603">
        <f t="shared" ref="F285:AG285" si="329">F$284/F$151</f>
        <v>31.987119097001361</v>
      </c>
      <c r="G285" s="249">
        <f t="shared" si="329"/>
        <v>32.556248522052343</v>
      </c>
      <c r="H285" s="249">
        <f t="shared" si="329"/>
        <v>29.993916392882106</v>
      </c>
      <c r="I285" s="1242">
        <f t="shared" si="329"/>
        <v>31.817767154430221</v>
      </c>
      <c r="J285" s="419">
        <f t="shared" si="329"/>
        <v>58.321795790049819</v>
      </c>
      <c r="K285" s="497">
        <f t="shared" si="329"/>
        <v>61.22558684728282</v>
      </c>
      <c r="L285" s="249">
        <f t="shared" si="329"/>
        <v>61.089810757523288</v>
      </c>
      <c r="M285" s="249">
        <f t="shared" si="329"/>
        <v>59.345600765328335</v>
      </c>
      <c r="N285" s="249">
        <f t="shared" si="329"/>
        <v>57.877898877801542</v>
      </c>
      <c r="O285" s="1242">
        <f t="shared" si="329"/>
        <v>58.533092889152591</v>
      </c>
      <c r="P285" s="419">
        <f t="shared" si="329"/>
        <v>58.070818114652432</v>
      </c>
      <c r="Q285" s="249">
        <f t="shared" si="329"/>
        <v>57.940087560154787</v>
      </c>
      <c r="R285" s="1242">
        <f t="shared" si="329"/>
        <v>58.161816048159274</v>
      </c>
      <c r="S285" s="419" t="e">
        <f t="shared" si="329"/>
        <v>#DIV/0!</v>
      </c>
      <c r="T285" s="249" t="e">
        <f t="shared" si="329"/>
        <v>#DIV/0!</v>
      </c>
      <c r="U285" s="249" t="e">
        <f t="shared" si="329"/>
        <v>#DIV/0!</v>
      </c>
      <c r="V285" s="249" t="e">
        <f t="shared" si="329"/>
        <v>#DIV/0!</v>
      </c>
      <c r="W285" s="249" t="e">
        <f t="shared" si="329"/>
        <v>#DIV/0!</v>
      </c>
      <c r="X285" s="1242" t="e">
        <f t="shared" si="329"/>
        <v>#DIV/0!</v>
      </c>
      <c r="Y285" s="419" t="e">
        <f t="shared" si="329"/>
        <v>#DIV/0!</v>
      </c>
      <c r="Z285" s="249" t="e">
        <f t="shared" si="329"/>
        <v>#DIV/0!</v>
      </c>
      <c r="AA285" s="249" t="e">
        <f t="shared" si="329"/>
        <v>#DIV/0!</v>
      </c>
      <c r="AB285" s="249" t="e">
        <f t="shared" si="329"/>
        <v>#DIV/0!</v>
      </c>
      <c r="AC285" s="249" t="e">
        <f t="shared" si="329"/>
        <v>#DIV/0!</v>
      </c>
      <c r="AD285" s="249" t="e">
        <f t="shared" si="329"/>
        <v>#DIV/0!</v>
      </c>
      <c r="AE285" s="249" t="e">
        <f t="shared" si="329"/>
        <v>#DIV/0!</v>
      </c>
      <c r="AF285" s="249" t="e">
        <f t="shared" si="329"/>
        <v>#DIV/0!</v>
      </c>
      <c r="AG285" s="249" t="e">
        <f t="shared" si="329"/>
        <v>#DIV/0!</v>
      </c>
    </row>
    <row r="286" spans="1:179" x14ac:dyDescent="0.35">
      <c r="C286" s="427" t="s">
        <v>1099</v>
      </c>
      <c r="F286" s="603">
        <v>31.0693650985855</v>
      </c>
      <c r="G286" s="311">
        <v>32.172046982976099</v>
      </c>
      <c r="H286" s="311">
        <v>31.968700685144103</v>
      </c>
      <c r="I286" s="1241">
        <v>31.677106009138601</v>
      </c>
      <c r="J286" s="654">
        <v>62.288786249989499</v>
      </c>
      <c r="K286" s="311">
        <v>58.805479805215697</v>
      </c>
      <c r="L286" s="311">
        <v>59.702092843330703</v>
      </c>
      <c r="M286" s="311">
        <v>59.221970209383201</v>
      </c>
      <c r="N286" s="311">
        <v>56.671381689535202</v>
      </c>
      <c r="O286" s="1241">
        <v>56.471550440074701</v>
      </c>
      <c r="P286" s="654">
        <v>57.3611642398429</v>
      </c>
      <c r="Q286" s="304"/>
      <c r="R286" s="1238"/>
      <c r="S286" s="1188"/>
      <c r="T286" s="304"/>
      <c r="U286" s="304"/>
    </row>
    <row r="287" spans="1:179" x14ac:dyDescent="0.35">
      <c r="C287" s="427" t="s">
        <v>1123</v>
      </c>
      <c r="F287" s="603"/>
      <c r="K287" s="2670">
        <v>60.342732228943298</v>
      </c>
      <c r="L287" s="2670">
        <v>58.158106780484196</v>
      </c>
      <c r="M287" s="2671">
        <v>58.318991848845485</v>
      </c>
      <c r="N287" s="2670">
        <v>56.658109182200469</v>
      </c>
      <c r="O287" s="2670">
        <v>55.005895013016989</v>
      </c>
      <c r="P287" s="2670">
        <v>56.394422466755181</v>
      </c>
      <c r="Q287" s="2672"/>
      <c r="R287" s="2673"/>
      <c r="S287" s="2672"/>
      <c r="T287" s="2672"/>
      <c r="U287" s="2672"/>
      <c r="V287" s="643"/>
    </row>
    <row r="288" spans="1:179" x14ac:dyDescent="0.35">
      <c r="C288" s="1" t="s">
        <v>321</v>
      </c>
      <c r="F288" s="1029">
        <f>5%*F$285</f>
        <v>1.5993559548500682</v>
      </c>
      <c r="G288" s="1150">
        <f t="shared" ref="G288:U288" si="330">5%*G$285</f>
        <v>1.6278124261026172</v>
      </c>
      <c r="H288" s="1150">
        <f t="shared" si="330"/>
        <v>1.4996958196441055</v>
      </c>
      <c r="I288" s="1284">
        <f t="shared" si="330"/>
        <v>1.5908883577215112</v>
      </c>
      <c r="J288" s="1226">
        <f t="shared" si="330"/>
        <v>2.9160897895024913</v>
      </c>
      <c r="K288" s="1150">
        <f t="shared" si="330"/>
        <v>3.0612793423641413</v>
      </c>
      <c r="L288" s="1150">
        <f t="shared" si="330"/>
        <v>3.0544905378761644</v>
      </c>
      <c r="M288" s="1150">
        <f t="shared" si="330"/>
        <v>2.9672800382664168</v>
      </c>
      <c r="N288" s="1150">
        <f t="shared" si="330"/>
        <v>2.8938949438900772</v>
      </c>
      <c r="O288" s="1284">
        <f t="shared" si="330"/>
        <v>2.9266546444576296</v>
      </c>
      <c r="P288" s="1226">
        <f t="shared" si="330"/>
        <v>2.9035409057326218</v>
      </c>
      <c r="Q288" s="1150">
        <f t="shared" si="330"/>
        <v>2.8970043780077397</v>
      </c>
      <c r="R288" s="1284">
        <f t="shared" si="330"/>
        <v>2.9080908024079637</v>
      </c>
      <c r="S288" s="1226" t="e">
        <f t="shared" si="330"/>
        <v>#DIV/0!</v>
      </c>
      <c r="T288" s="1150" t="e">
        <f t="shared" si="330"/>
        <v>#DIV/0!</v>
      </c>
      <c r="U288" s="1150" t="e">
        <f t="shared" si="330"/>
        <v>#DIV/0!</v>
      </c>
      <c r="V288" s="643"/>
    </row>
    <row r="289" spans="3:42" x14ac:dyDescent="0.35">
      <c r="C289" s="170">
        <v>0.05</v>
      </c>
      <c r="D289" s="170"/>
      <c r="E289" s="170"/>
      <c r="F289" s="1029">
        <f>F$288+F$286</f>
        <v>32.668721053435569</v>
      </c>
      <c r="G289" s="296">
        <f>G$288+G$286</f>
        <v>33.799859409078714</v>
      </c>
      <c r="H289" s="296">
        <f t="shared" ref="H289:U289" si="331">H$288+H$286</f>
        <v>33.46839650478821</v>
      </c>
      <c r="I289" s="1235">
        <f t="shared" si="331"/>
        <v>33.267994366860115</v>
      </c>
      <c r="J289" s="1187">
        <f t="shared" si="331"/>
        <v>65.204876039491992</v>
      </c>
      <c r="K289" s="296">
        <f t="shared" si="331"/>
        <v>61.866759147579842</v>
      </c>
      <c r="L289" s="296">
        <f t="shared" si="331"/>
        <v>62.756583381206866</v>
      </c>
      <c r="M289" s="296">
        <f t="shared" si="331"/>
        <v>62.189250247649618</v>
      </c>
      <c r="N289" s="296">
        <f t="shared" si="331"/>
        <v>59.565276633425277</v>
      </c>
      <c r="O289" s="1235">
        <f t="shared" si="331"/>
        <v>59.398205084532329</v>
      </c>
      <c r="P289" s="1187">
        <f t="shared" si="331"/>
        <v>60.264705145575519</v>
      </c>
      <c r="Q289" s="296">
        <f t="shared" si="331"/>
        <v>2.8970043780077397</v>
      </c>
      <c r="R289" s="1235">
        <f t="shared" si="331"/>
        <v>2.9080908024079637</v>
      </c>
      <c r="S289" s="1187" t="e">
        <f t="shared" si="331"/>
        <v>#DIV/0!</v>
      </c>
      <c r="T289" s="296" t="e">
        <f t="shared" si="331"/>
        <v>#DIV/0!</v>
      </c>
      <c r="U289" s="296" t="e">
        <f t="shared" si="331"/>
        <v>#DIV/0!</v>
      </c>
    </row>
    <row r="290" spans="3:42" x14ac:dyDescent="0.35">
      <c r="C290" s="167">
        <v>-0.05</v>
      </c>
      <c r="D290" s="167"/>
      <c r="E290" s="167"/>
      <c r="F290" s="1029">
        <f>F$286-F$288</f>
        <v>29.470009143735432</v>
      </c>
      <c r="G290" s="244">
        <f>G$286-G$288</f>
        <v>30.54423455687348</v>
      </c>
      <c r="H290" s="244">
        <f t="shared" ref="H290:U290" si="332">H$286-H$288</f>
        <v>30.469004865499997</v>
      </c>
      <c r="I290" s="1237">
        <f t="shared" si="332"/>
        <v>30.08621765141709</v>
      </c>
      <c r="J290" s="606">
        <f t="shared" si="332"/>
        <v>59.372696460487006</v>
      </c>
      <c r="K290" s="244">
        <f t="shared" si="332"/>
        <v>55.744200462851552</v>
      </c>
      <c r="L290" s="244">
        <f t="shared" si="332"/>
        <v>56.647602305454541</v>
      </c>
      <c r="M290" s="244">
        <f t="shared" si="332"/>
        <v>56.254690171116785</v>
      </c>
      <c r="N290" s="244">
        <f t="shared" si="332"/>
        <v>53.777486745645128</v>
      </c>
      <c r="O290" s="1237">
        <f t="shared" si="332"/>
        <v>53.544895795617073</v>
      </c>
      <c r="P290" s="606">
        <f t="shared" si="332"/>
        <v>54.457623334110281</v>
      </c>
      <c r="Q290" s="244">
        <f t="shared" si="332"/>
        <v>-2.8970043780077397</v>
      </c>
      <c r="R290" s="1237">
        <f t="shared" si="332"/>
        <v>-2.9080908024079637</v>
      </c>
      <c r="S290" s="606" t="e">
        <f t="shared" si="332"/>
        <v>#DIV/0!</v>
      </c>
      <c r="T290" s="244" t="e">
        <f t="shared" si="332"/>
        <v>#DIV/0!</v>
      </c>
      <c r="U290" s="244" t="e">
        <f t="shared" si="332"/>
        <v>#DIV/0!</v>
      </c>
    </row>
    <row r="291" spans="3:42" x14ac:dyDescent="0.35">
      <c r="O291" s="1236"/>
      <c r="P291" s="643"/>
      <c r="AJ291" s="240"/>
      <c r="AN291" s="240"/>
    </row>
    <row r="292" spans="3:42" x14ac:dyDescent="0.35">
      <c r="C292" s="1" t="s">
        <v>233</v>
      </c>
      <c r="F292" s="501">
        <f>(F$259+F$262)+SUM(F$269:F$270)</f>
        <v>1.5850839976854827</v>
      </c>
      <c r="G292" s="249">
        <f t="shared" ref="G292:AA292" si="333">(G$259+G$262)+SUM(G$269:G$270)</f>
        <v>2.6570183191577947</v>
      </c>
      <c r="H292" s="249">
        <f t="shared" si="333"/>
        <v>1.3864555351795502</v>
      </c>
      <c r="I292" s="478">
        <f t="shared" si="333"/>
        <v>1.6119323686948355</v>
      </c>
      <c r="J292" s="501">
        <f t="shared" si="333"/>
        <v>3.5169126414657619</v>
      </c>
      <c r="K292" s="249">
        <f t="shared" si="333"/>
        <v>4.4760426990389721</v>
      </c>
      <c r="L292" s="249">
        <f t="shared" si="333"/>
        <v>3.9463786197416382</v>
      </c>
      <c r="M292" s="249">
        <f t="shared" si="333"/>
        <v>3.8538078967700562</v>
      </c>
      <c r="N292" s="249">
        <f t="shared" si="333"/>
        <v>3.1297437927549288</v>
      </c>
      <c r="O292" s="478">
        <f t="shared" si="333"/>
        <v>3.8027718883492732</v>
      </c>
      <c r="P292" s="501">
        <f t="shared" si="333"/>
        <v>3.0499199227656182</v>
      </c>
      <c r="Q292" s="249">
        <f t="shared" si="333"/>
        <v>3.7178077794623281</v>
      </c>
      <c r="R292" s="478">
        <f t="shared" si="333"/>
        <v>3.5597859432668697</v>
      </c>
      <c r="S292" s="501" t="e">
        <f t="shared" si="333"/>
        <v>#DIV/0!</v>
      </c>
      <c r="T292" s="249" t="e">
        <f t="shared" si="333"/>
        <v>#DIV/0!</v>
      </c>
      <c r="U292" s="249" t="e">
        <f t="shared" si="333"/>
        <v>#DIV/0!</v>
      </c>
      <c r="V292" s="249" t="e">
        <f t="shared" si="333"/>
        <v>#DIV/0!</v>
      </c>
      <c r="W292" s="249" t="e">
        <f t="shared" si="333"/>
        <v>#DIV/0!</v>
      </c>
      <c r="X292" s="478" t="e">
        <f t="shared" si="333"/>
        <v>#DIV/0!</v>
      </c>
      <c r="Y292" s="501" t="e">
        <f t="shared" si="333"/>
        <v>#DIV/0!</v>
      </c>
      <c r="Z292" s="249" t="e">
        <f t="shared" si="333"/>
        <v>#DIV/0!</v>
      </c>
      <c r="AA292" s="478" t="e">
        <f t="shared" si="333"/>
        <v>#DIV/0!</v>
      </c>
      <c r="AB292" s="249" t="e">
        <f t="shared" ref="AB292:AG292" si="334">SUM(AB$259:AB$262)+SUM(AB$269:AB$270)</f>
        <v>#DIV/0!</v>
      </c>
      <c r="AC292" s="249" t="e">
        <f t="shared" si="334"/>
        <v>#DIV/0!</v>
      </c>
      <c r="AD292" s="249" t="e">
        <f t="shared" si="334"/>
        <v>#DIV/0!</v>
      </c>
      <c r="AE292" s="249" t="e">
        <f t="shared" si="334"/>
        <v>#DIV/0!</v>
      </c>
      <c r="AF292" s="249" t="e">
        <f t="shared" si="334"/>
        <v>#DIV/0!</v>
      </c>
      <c r="AG292" s="249" t="e">
        <f t="shared" si="334"/>
        <v>#DIV/0!</v>
      </c>
      <c r="AJ292" s="241"/>
      <c r="AK292" s="241"/>
      <c r="AN292" s="241"/>
      <c r="AO292" s="241"/>
    </row>
    <row r="293" spans="3:42" x14ac:dyDescent="0.35">
      <c r="C293" s="168" t="s">
        <v>235</v>
      </c>
      <c r="D293" s="168"/>
      <c r="E293" s="168"/>
      <c r="F293" s="501">
        <f t="shared" ref="F293:AG293" si="335">F$292/F$151</f>
        <v>1.5765568087462309</v>
      </c>
      <c r="G293" s="249">
        <f t="shared" si="335"/>
        <v>2.7081697599530461</v>
      </c>
      <c r="H293" s="249">
        <f t="shared" si="335"/>
        <v>1.4396098221561986</v>
      </c>
      <c r="I293" s="2543">
        <f t="shared" si="335"/>
        <v>1.6537040460770356</v>
      </c>
      <c r="J293" s="419">
        <f t="shared" si="335"/>
        <v>3.77532767773639</v>
      </c>
      <c r="K293" s="497">
        <f t="shared" si="335"/>
        <v>4.6527219334186709</v>
      </c>
      <c r="L293" s="249">
        <f t="shared" si="335"/>
        <v>3.9537002733708047</v>
      </c>
      <c r="M293" s="249">
        <f t="shared" si="335"/>
        <v>3.9998087992858076</v>
      </c>
      <c r="N293" s="249">
        <f t="shared" si="335"/>
        <v>3.2502749954566004</v>
      </c>
      <c r="O293" s="2543">
        <f t="shared" si="335"/>
        <v>3.9330253489247187</v>
      </c>
      <c r="P293" s="419">
        <f t="shared" si="335"/>
        <v>3.2356358329324739</v>
      </c>
      <c r="Q293" s="249">
        <f t="shared" si="335"/>
        <v>3.9117633825149962</v>
      </c>
      <c r="R293" s="2543">
        <f t="shared" si="335"/>
        <v>3.7306746186192186</v>
      </c>
      <c r="S293" s="419" t="e">
        <f t="shared" si="335"/>
        <v>#DIV/0!</v>
      </c>
      <c r="T293" s="249" t="e">
        <f t="shared" si="335"/>
        <v>#DIV/0!</v>
      </c>
      <c r="U293" s="249" t="e">
        <f t="shared" si="335"/>
        <v>#DIV/0!</v>
      </c>
      <c r="V293" s="249" t="e">
        <f t="shared" si="335"/>
        <v>#DIV/0!</v>
      </c>
      <c r="W293" s="249" t="e">
        <f t="shared" si="335"/>
        <v>#DIV/0!</v>
      </c>
      <c r="X293" s="2543" t="e">
        <f t="shared" si="335"/>
        <v>#DIV/0!</v>
      </c>
      <c r="Y293" s="419" t="e">
        <f t="shared" si="335"/>
        <v>#DIV/0!</v>
      </c>
      <c r="Z293" s="249" t="e">
        <f t="shared" si="335"/>
        <v>#DIV/0!</v>
      </c>
      <c r="AA293" s="419" t="e">
        <f t="shared" si="335"/>
        <v>#DIV/0!</v>
      </c>
      <c r="AB293" s="249" t="e">
        <f t="shared" si="335"/>
        <v>#DIV/0!</v>
      </c>
      <c r="AC293" s="249" t="e">
        <f t="shared" si="335"/>
        <v>#DIV/0!</v>
      </c>
      <c r="AD293" s="249" t="e">
        <f t="shared" si="335"/>
        <v>#DIV/0!</v>
      </c>
      <c r="AE293" s="249" t="e">
        <f t="shared" si="335"/>
        <v>#DIV/0!</v>
      </c>
      <c r="AF293" s="249" t="e">
        <f t="shared" si="335"/>
        <v>#DIV/0!</v>
      </c>
      <c r="AG293" s="249" t="e">
        <f t="shared" si="335"/>
        <v>#DIV/0!</v>
      </c>
      <c r="AJ293" s="267"/>
      <c r="AK293" s="267"/>
      <c r="AN293" s="916"/>
      <c r="AO293" s="916"/>
      <c r="AP293" s="916"/>
    </row>
    <row r="294" spans="3:42" x14ac:dyDescent="0.35">
      <c r="C294" s="452" t="s">
        <v>1087</v>
      </c>
      <c r="D294" s="452"/>
      <c r="E294" s="452"/>
      <c r="F294" s="492">
        <v>1.91068059620941</v>
      </c>
      <c r="G294" s="446">
        <v>2.3779379505467197</v>
      </c>
      <c r="H294" s="446">
        <v>2.2362851376229198</v>
      </c>
      <c r="I294" s="2543">
        <v>2.1323316070766802</v>
      </c>
      <c r="J294" s="419">
        <v>7.3703492794479004</v>
      </c>
      <c r="K294" s="249">
        <v>7.3455101323497693</v>
      </c>
      <c r="L294" s="249">
        <v>7.3932964469272093</v>
      </c>
      <c r="M294" s="249">
        <v>7.5302525966915095</v>
      </c>
      <c r="N294" s="249">
        <v>7.2905957025073604</v>
      </c>
      <c r="O294" s="2543">
        <v>7.4851514482464205</v>
      </c>
      <c r="P294" s="419">
        <v>7.1494016406672802</v>
      </c>
      <c r="Q294" s="249"/>
      <c r="R294" s="2543"/>
      <c r="S294" s="419"/>
      <c r="T294" s="249"/>
      <c r="U294" s="249"/>
      <c r="X294" s="2665"/>
      <c r="AA294" s="643"/>
      <c r="AJ294" s="267"/>
      <c r="AK294" s="267"/>
      <c r="AN294" s="459"/>
      <c r="AO294" s="459"/>
      <c r="AP294" s="459"/>
    </row>
    <row r="295" spans="3:42" x14ac:dyDescent="0.35">
      <c r="C295" s="168" t="s">
        <v>234</v>
      </c>
      <c r="D295" s="168"/>
      <c r="E295" s="168"/>
      <c r="F295" s="501">
        <f t="shared" ref="F295:AG295" si="336">SUM(F$271:F$272)</f>
        <v>8.8846228622862267</v>
      </c>
      <c r="G295" s="249">
        <f t="shared" si="336"/>
        <v>10.655573785166242</v>
      </c>
      <c r="H295" s="249">
        <f t="shared" si="336"/>
        <v>9.8444048221703007</v>
      </c>
      <c r="I295" s="2543">
        <f>SUM(I$271:I$272)+0.4</f>
        <v>11.795829619840807</v>
      </c>
      <c r="J295" s="419">
        <f t="shared" si="336"/>
        <v>26.207091222030982</v>
      </c>
      <c r="K295" s="249">
        <f t="shared" si="336"/>
        <v>28.17709816411611</v>
      </c>
      <c r="L295" s="249">
        <f t="shared" si="336"/>
        <v>30.262394470422009</v>
      </c>
      <c r="M295" s="249">
        <f t="shared" si="336"/>
        <v>27.001983645413603</v>
      </c>
      <c r="N295" s="249">
        <f t="shared" si="336"/>
        <v>26.401912773961563</v>
      </c>
      <c r="O295" s="2543">
        <f t="shared" si="336"/>
        <v>26.966963968107947</v>
      </c>
      <c r="P295" s="419">
        <f t="shared" si="336"/>
        <v>25.776944355085785</v>
      </c>
      <c r="Q295" s="249">
        <f t="shared" si="336"/>
        <v>26.259070547147843</v>
      </c>
      <c r="R295" s="2543">
        <f t="shared" si="336"/>
        <v>26.202573118154277</v>
      </c>
      <c r="S295" s="419" t="e">
        <f t="shared" si="336"/>
        <v>#DIV/0!</v>
      </c>
      <c r="T295" s="249" t="e">
        <f t="shared" si="336"/>
        <v>#DIV/0!</v>
      </c>
      <c r="U295" s="249" t="e">
        <f t="shared" si="336"/>
        <v>#DIV/0!</v>
      </c>
      <c r="V295" s="249" t="e">
        <f t="shared" si="336"/>
        <v>#DIV/0!</v>
      </c>
      <c r="W295" s="249" t="e">
        <f t="shared" si="336"/>
        <v>#DIV/0!</v>
      </c>
      <c r="X295" s="2543" t="e">
        <f t="shared" si="336"/>
        <v>#DIV/0!</v>
      </c>
      <c r="Y295" s="419" t="e">
        <f t="shared" si="336"/>
        <v>#DIV/0!</v>
      </c>
      <c r="Z295" s="249" t="e">
        <f t="shared" si="336"/>
        <v>#DIV/0!</v>
      </c>
      <c r="AA295" s="419" t="e">
        <f t="shared" si="336"/>
        <v>#DIV/0!</v>
      </c>
      <c r="AB295" s="249" t="e">
        <f t="shared" si="336"/>
        <v>#DIV/0!</v>
      </c>
      <c r="AC295" s="249" t="e">
        <f t="shared" si="336"/>
        <v>#DIV/0!</v>
      </c>
      <c r="AD295" s="249" t="e">
        <f t="shared" si="336"/>
        <v>#DIV/0!</v>
      </c>
      <c r="AE295" s="249" t="e">
        <f t="shared" si="336"/>
        <v>#DIV/0!</v>
      </c>
      <c r="AF295" s="249" t="e">
        <f t="shared" si="336"/>
        <v>#DIV/0!</v>
      </c>
      <c r="AG295" s="249" t="e">
        <f t="shared" si="336"/>
        <v>#DIV/0!</v>
      </c>
    </row>
    <row r="296" spans="3:42" x14ac:dyDescent="0.35">
      <c r="C296" s="168" t="s">
        <v>236</v>
      </c>
      <c r="D296" s="168"/>
      <c r="E296" s="168"/>
      <c r="F296" s="501">
        <f>F$295/F$151</f>
        <v>8.8368267468050679</v>
      </c>
      <c r="G296" s="249">
        <f>G$295/G$151+0.5</f>
        <v>11.360708972861948</v>
      </c>
      <c r="H296" s="249">
        <f t="shared" ref="H296:AG296" si="337">H$295/H$151</f>
        <v>10.221822132538048</v>
      </c>
      <c r="I296" s="2543">
        <f t="shared" si="337"/>
        <v>12.101507202166641</v>
      </c>
      <c r="J296" s="419">
        <f t="shared" si="337"/>
        <v>28.132730872228912</v>
      </c>
      <c r="K296" s="249">
        <f t="shared" si="337"/>
        <v>29.289310103413857</v>
      </c>
      <c r="L296" s="249">
        <f t="shared" si="337"/>
        <v>30.318539810657036</v>
      </c>
      <c r="M296" s="249">
        <f t="shared" si="337"/>
        <v>28.024949524239599</v>
      </c>
      <c r="N296" s="249">
        <f t="shared" si="337"/>
        <v>27.418690667294825</v>
      </c>
      <c r="O296" s="2543">
        <f t="shared" si="337"/>
        <v>27.890642926822494</v>
      </c>
      <c r="P296" s="419">
        <f t="shared" si="337"/>
        <v>27.34655562471027</v>
      </c>
      <c r="Q296" s="249">
        <f t="shared" si="337"/>
        <v>27.628989102837988</v>
      </c>
      <c r="R296" s="2543">
        <f t="shared" si="337"/>
        <v>27.460436113948674</v>
      </c>
      <c r="S296" s="419" t="e">
        <f t="shared" si="337"/>
        <v>#DIV/0!</v>
      </c>
      <c r="T296" s="249" t="e">
        <f t="shared" si="337"/>
        <v>#DIV/0!</v>
      </c>
      <c r="U296" s="249" t="e">
        <f t="shared" si="337"/>
        <v>#DIV/0!</v>
      </c>
      <c r="V296" s="249" t="e">
        <f t="shared" si="337"/>
        <v>#DIV/0!</v>
      </c>
      <c r="W296" s="249" t="e">
        <f t="shared" si="337"/>
        <v>#DIV/0!</v>
      </c>
      <c r="X296" s="2543" t="e">
        <f t="shared" si="337"/>
        <v>#DIV/0!</v>
      </c>
      <c r="Y296" s="419" t="e">
        <f t="shared" si="337"/>
        <v>#DIV/0!</v>
      </c>
      <c r="Z296" s="249" t="e">
        <f t="shared" si="337"/>
        <v>#DIV/0!</v>
      </c>
      <c r="AA296" s="419" t="e">
        <f t="shared" si="337"/>
        <v>#DIV/0!</v>
      </c>
      <c r="AB296" s="249" t="e">
        <f t="shared" si="337"/>
        <v>#DIV/0!</v>
      </c>
      <c r="AC296" s="249" t="e">
        <f t="shared" si="337"/>
        <v>#DIV/0!</v>
      </c>
      <c r="AD296" s="249" t="e">
        <f t="shared" si="337"/>
        <v>#DIV/0!</v>
      </c>
      <c r="AE296" s="249" t="e">
        <f t="shared" si="337"/>
        <v>#DIV/0!</v>
      </c>
      <c r="AF296" s="249" t="e">
        <f t="shared" si="337"/>
        <v>#DIV/0!</v>
      </c>
      <c r="AG296" s="249" t="e">
        <f t="shared" si="337"/>
        <v>#DIV/0!</v>
      </c>
      <c r="AJ296" s="267"/>
      <c r="AK296" s="267"/>
      <c r="AN296" s="916"/>
      <c r="AO296" s="916"/>
      <c r="AP296" s="916"/>
    </row>
    <row r="297" spans="3:42" x14ac:dyDescent="0.35">
      <c r="C297" s="452" t="s">
        <v>1088</v>
      </c>
      <c r="D297" s="452"/>
      <c r="E297" s="452"/>
      <c r="F297" s="492">
        <v>10.947426514883601</v>
      </c>
      <c r="G297" s="446">
        <v>11.5936725671805</v>
      </c>
      <c r="H297" s="446">
        <v>11.5171364966111</v>
      </c>
      <c r="I297" s="2543">
        <v>11.53</v>
      </c>
      <c r="J297" s="419">
        <v>28.095230172901903</v>
      </c>
      <c r="K297" s="249">
        <v>26.054003452836298</v>
      </c>
      <c r="L297" s="249">
        <v>26.066366245411199</v>
      </c>
      <c r="M297" s="249">
        <v>25.500117964410002</v>
      </c>
      <c r="N297" s="249">
        <v>24.894483362938999</v>
      </c>
      <c r="O297" s="2543">
        <v>24.655799442219699</v>
      </c>
      <c r="P297" s="419">
        <v>25.171153303895501</v>
      </c>
      <c r="Q297" s="249"/>
      <c r="R297" s="2543"/>
      <c r="S297" s="419"/>
      <c r="T297" s="249"/>
      <c r="U297" s="249"/>
      <c r="X297" s="2665"/>
      <c r="AA297" s="643"/>
      <c r="AJ297" s="267"/>
      <c r="AK297" s="267"/>
      <c r="AN297" s="459"/>
      <c r="AO297" s="459"/>
      <c r="AP297" s="459"/>
    </row>
    <row r="298" spans="3:42" x14ac:dyDescent="0.35">
      <c r="C298" s="1" t="s">
        <v>237</v>
      </c>
      <c r="F298" s="501">
        <f t="shared" ref="F298:AG298" si="338">F$273+F$274</f>
        <v>33.719166773820234</v>
      </c>
      <c r="G298" s="249">
        <f t="shared" si="338"/>
        <v>29.548771560102303</v>
      </c>
      <c r="H298" s="249">
        <f t="shared" si="338"/>
        <v>29.81846136422638</v>
      </c>
      <c r="I298" s="2543">
        <f>I$273+I$274+0.9</f>
        <v>31.853038405195818</v>
      </c>
      <c r="J298" s="419">
        <f t="shared" si="338"/>
        <v>33.820068846815836</v>
      </c>
      <c r="K298" s="249">
        <f t="shared" si="338"/>
        <v>35.856037214842438</v>
      </c>
      <c r="L298" s="249">
        <f t="shared" si="338"/>
        <v>36.824461199595049</v>
      </c>
      <c r="M298" s="249">
        <f t="shared" si="338"/>
        <v>35.8445269021095</v>
      </c>
      <c r="N298" s="249">
        <f t="shared" si="338"/>
        <v>35.810342089823962</v>
      </c>
      <c r="O298" s="2543">
        <f t="shared" si="338"/>
        <v>35.294062921649804</v>
      </c>
      <c r="P298" s="419">
        <f t="shared" si="338"/>
        <v>35.787092754289219</v>
      </c>
      <c r="Q298" s="249">
        <f t="shared" si="338"/>
        <v>35.266930849825386</v>
      </c>
      <c r="R298" s="2543">
        <f t="shared" si="338"/>
        <v>36.00544540899557</v>
      </c>
      <c r="S298" s="419" t="e">
        <f t="shared" si="338"/>
        <v>#DIV/0!</v>
      </c>
      <c r="T298" s="249" t="e">
        <f t="shared" si="338"/>
        <v>#DIV/0!</v>
      </c>
      <c r="U298" s="249" t="e">
        <f t="shared" si="338"/>
        <v>#DIV/0!</v>
      </c>
      <c r="V298" s="249" t="e">
        <f t="shared" si="338"/>
        <v>#DIV/0!</v>
      </c>
      <c r="W298" s="249" t="e">
        <f t="shared" si="338"/>
        <v>#DIV/0!</v>
      </c>
      <c r="X298" s="2543" t="e">
        <f t="shared" si="338"/>
        <v>#DIV/0!</v>
      </c>
      <c r="Y298" s="419" t="e">
        <f t="shared" si="338"/>
        <v>#DIV/0!</v>
      </c>
      <c r="Z298" s="249" t="e">
        <f t="shared" si="338"/>
        <v>#DIV/0!</v>
      </c>
      <c r="AA298" s="419" t="e">
        <f t="shared" si="338"/>
        <v>#DIV/0!</v>
      </c>
      <c r="AB298" s="249" t="e">
        <f t="shared" si="338"/>
        <v>#DIV/0!</v>
      </c>
      <c r="AC298" s="249" t="e">
        <f t="shared" si="338"/>
        <v>#DIV/0!</v>
      </c>
      <c r="AD298" s="249" t="e">
        <f t="shared" si="338"/>
        <v>#DIV/0!</v>
      </c>
      <c r="AE298" s="249" t="e">
        <f t="shared" si="338"/>
        <v>#DIV/0!</v>
      </c>
      <c r="AF298" s="249" t="e">
        <f t="shared" si="338"/>
        <v>#DIV/0!</v>
      </c>
      <c r="AG298" s="249" t="e">
        <f t="shared" si="338"/>
        <v>#DIV/0!</v>
      </c>
    </row>
    <row r="299" spans="3:42" x14ac:dyDescent="0.35">
      <c r="C299" s="1" t="s">
        <v>238</v>
      </c>
      <c r="F299" s="501">
        <f>F$298/F$151</f>
        <v>33.537769632486174</v>
      </c>
      <c r="G299" s="249">
        <f>G$298/G$151+1</f>
        <v>31.117628096819022</v>
      </c>
      <c r="H299" s="249">
        <f>H$298/H$151</f>
        <v>30.961649163863196</v>
      </c>
      <c r="I299" s="2543">
        <f>I$298/I$151+0.2</f>
        <v>32.878479267197996</v>
      </c>
      <c r="J299" s="419">
        <f t="shared" ref="J299:AG299" si="339">J$298/J$151</f>
        <v>36.305093414864992</v>
      </c>
      <c r="K299" s="249">
        <f t="shared" si="339"/>
        <v>37.271353740837263</v>
      </c>
      <c r="L299" s="249">
        <f t="shared" si="339"/>
        <v>36.892781038101006</v>
      </c>
      <c r="M299" s="249">
        <f t="shared" si="339"/>
        <v>37.202491133368738</v>
      </c>
      <c r="N299" s="249">
        <f t="shared" si="339"/>
        <v>37.189452933093797</v>
      </c>
      <c r="O299" s="2543">
        <f t="shared" si="339"/>
        <v>36.502963683590579</v>
      </c>
      <c r="P299" s="419">
        <f t="shared" si="339"/>
        <v>37.966242591463242</v>
      </c>
      <c r="Q299" s="249">
        <f t="shared" si="339"/>
        <v>37.1067835927727</v>
      </c>
      <c r="R299" s="2543">
        <f t="shared" si="339"/>
        <v>37.73389845911575</v>
      </c>
      <c r="S299" s="419" t="e">
        <f t="shared" si="339"/>
        <v>#DIV/0!</v>
      </c>
      <c r="T299" s="249" t="e">
        <f t="shared" si="339"/>
        <v>#DIV/0!</v>
      </c>
      <c r="U299" s="249" t="e">
        <f t="shared" si="339"/>
        <v>#DIV/0!</v>
      </c>
      <c r="V299" s="249" t="e">
        <f t="shared" si="339"/>
        <v>#DIV/0!</v>
      </c>
      <c r="W299" s="249" t="e">
        <f t="shared" si="339"/>
        <v>#DIV/0!</v>
      </c>
      <c r="X299" s="2543" t="e">
        <f t="shared" si="339"/>
        <v>#DIV/0!</v>
      </c>
      <c r="Y299" s="419" t="e">
        <f t="shared" si="339"/>
        <v>#DIV/0!</v>
      </c>
      <c r="Z299" s="249" t="e">
        <f t="shared" si="339"/>
        <v>#DIV/0!</v>
      </c>
      <c r="AA299" s="419" t="e">
        <f t="shared" si="339"/>
        <v>#DIV/0!</v>
      </c>
      <c r="AB299" s="249" t="e">
        <f t="shared" si="339"/>
        <v>#DIV/0!</v>
      </c>
      <c r="AC299" s="249" t="e">
        <f t="shared" si="339"/>
        <v>#DIV/0!</v>
      </c>
      <c r="AD299" s="249" t="e">
        <f t="shared" si="339"/>
        <v>#DIV/0!</v>
      </c>
      <c r="AE299" s="249" t="e">
        <f t="shared" si="339"/>
        <v>#DIV/0!</v>
      </c>
      <c r="AF299" s="249" t="e">
        <f t="shared" si="339"/>
        <v>#DIV/0!</v>
      </c>
      <c r="AG299" s="249" t="e">
        <f t="shared" si="339"/>
        <v>#DIV/0!</v>
      </c>
      <c r="AJ299" s="267"/>
      <c r="AK299" s="267"/>
      <c r="AN299" s="916"/>
      <c r="AO299" s="916"/>
      <c r="AP299" s="916"/>
    </row>
    <row r="300" spans="3:42" x14ac:dyDescent="0.35">
      <c r="C300" s="444" t="s">
        <v>1089</v>
      </c>
      <c r="D300" s="444"/>
      <c r="E300" s="444"/>
      <c r="F300" s="492">
        <v>31.7418690877874</v>
      </c>
      <c r="G300" s="446">
        <v>31.9002090375465</v>
      </c>
      <c r="H300" s="446">
        <v>31.9884018006247</v>
      </c>
      <c r="I300" s="2543">
        <v>31.761673460997297</v>
      </c>
      <c r="J300" s="419">
        <v>39.076043221103404</v>
      </c>
      <c r="K300" s="249">
        <v>36.688113728056699</v>
      </c>
      <c r="L300" s="249">
        <v>37.971183769655596</v>
      </c>
      <c r="M300" s="249">
        <v>37.874229205062896</v>
      </c>
      <c r="N300" s="249">
        <v>35.613119849672501</v>
      </c>
      <c r="O300" s="2543">
        <v>35.683503356070098</v>
      </c>
      <c r="P300" s="419">
        <v>36.313549731131999</v>
      </c>
      <c r="Q300" s="249"/>
      <c r="R300" s="2543"/>
      <c r="S300" s="419"/>
      <c r="T300" s="249"/>
      <c r="U300" s="249"/>
      <c r="X300" s="2665"/>
      <c r="AA300" s="643"/>
      <c r="AJ300" s="267"/>
      <c r="AK300" s="267"/>
      <c r="AN300" s="459"/>
      <c r="AO300" s="459"/>
      <c r="AP300" s="459"/>
    </row>
    <row r="301" spans="3:42" x14ac:dyDescent="0.35">
      <c r="C301" s="1" t="s">
        <v>239</v>
      </c>
      <c r="F301" s="501">
        <f>F$275</f>
        <v>49.194742445673143</v>
      </c>
      <c r="G301" s="249">
        <f t="shared" ref="G301:AA301" si="340">G$275</f>
        <v>48.412572557544763</v>
      </c>
      <c r="H301" s="249">
        <f t="shared" si="340"/>
        <v>50.852650356957419</v>
      </c>
      <c r="I301" s="478">
        <f t="shared" si="340"/>
        <v>48.978499646577959</v>
      </c>
      <c r="J301" s="501">
        <f t="shared" si="340"/>
        <v>22.465452814296697</v>
      </c>
      <c r="K301" s="249">
        <f t="shared" si="340"/>
        <v>19.911552210052058</v>
      </c>
      <c r="L301" s="249">
        <f t="shared" si="340"/>
        <v>20.605956886621684</v>
      </c>
      <c r="M301" s="249">
        <f t="shared" si="340"/>
        <v>21.716797345342499</v>
      </c>
      <c r="N301" s="249">
        <f t="shared" si="340"/>
        <v>23.180080448547425</v>
      </c>
      <c r="O301" s="478">
        <f t="shared" si="340"/>
        <v>22.756082566697334</v>
      </c>
      <c r="P301" s="501">
        <f t="shared" si="340"/>
        <v>22.886492991727934</v>
      </c>
      <c r="Q301" s="249">
        <f t="shared" si="340"/>
        <v>22.18117054714785</v>
      </c>
      <c r="R301" s="478">
        <f t="shared" si="340"/>
        <v>21.856143964110931</v>
      </c>
      <c r="S301" s="501" t="e">
        <f t="shared" si="340"/>
        <v>#DIV/0!</v>
      </c>
      <c r="T301" s="249" t="e">
        <f t="shared" si="340"/>
        <v>#DIV/0!</v>
      </c>
      <c r="U301" s="249" t="e">
        <f t="shared" si="340"/>
        <v>#DIV/0!</v>
      </c>
      <c r="V301" s="249" t="e">
        <f t="shared" si="340"/>
        <v>#DIV/0!</v>
      </c>
      <c r="W301" s="249" t="e">
        <f t="shared" si="340"/>
        <v>#DIV/0!</v>
      </c>
      <c r="X301" s="478" t="e">
        <f t="shared" si="340"/>
        <v>#DIV/0!</v>
      </c>
      <c r="Y301" s="501" t="e">
        <f t="shared" si="340"/>
        <v>#DIV/0!</v>
      </c>
      <c r="Z301" s="249" t="e">
        <f t="shared" si="340"/>
        <v>#DIV/0!</v>
      </c>
      <c r="AA301" s="478" t="e">
        <f t="shared" si="340"/>
        <v>#DIV/0!</v>
      </c>
      <c r="AB301" s="249" t="e">
        <f t="shared" ref="AB301:AG301" si="341">AB$275/AB$151</f>
        <v>#DIV/0!</v>
      </c>
      <c r="AC301" s="249" t="e">
        <f t="shared" si="341"/>
        <v>#DIV/0!</v>
      </c>
      <c r="AD301" s="249" t="e">
        <f t="shared" si="341"/>
        <v>#DIV/0!</v>
      </c>
      <c r="AE301" s="249" t="e">
        <f t="shared" si="341"/>
        <v>#DIV/0!</v>
      </c>
      <c r="AF301" s="249" t="e">
        <f t="shared" si="341"/>
        <v>#DIV/0!</v>
      </c>
      <c r="AG301" s="249" t="e">
        <f t="shared" si="341"/>
        <v>#DIV/0!</v>
      </c>
      <c r="AJ301" s="267"/>
      <c r="AK301" s="267"/>
      <c r="AN301" s="916"/>
      <c r="AO301" s="916"/>
      <c r="AP301" s="916"/>
    </row>
    <row r="302" spans="3:42" x14ac:dyDescent="0.35">
      <c r="C302" s="444" t="s">
        <v>1090</v>
      </c>
      <c r="D302" s="444"/>
      <c r="E302" s="444"/>
      <c r="F302" s="492">
        <v>49.957418903525301</v>
      </c>
      <c r="G302" s="446">
        <v>49.980452454645203</v>
      </c>
      <c r="H302" s="446">
        <v>50.016167312909396</v>
      </c>
      <c r="I302" s="2543">
        <f>0.497795928038502*100</f>
        <v>49.7795928038502</v>
      </c>
      <c r="J302" s="419">
        <v>18.9259151803649</v>
      </c>
      <c r="K302" s="249">
        <v>19.615766783442503</v>
      </c>
      <c r="L302" s="249">
        <v>19.911835162682799</v>
      </c>
      <c r="M302" s="249">
        <v>20.989226245100699</v>
      </c>
      <c r="N302" s="249">
        <v>23.324351868783801</v>
      </c>
      <c r="O302" s="1242">
        <v>23.577783903335998</v>
      </c>
      <c r="P302" s="419">
        <v>22.953526965747002</v>
      </c>
      <c r="Q302" s="249"/>
      <c r="R302" s="1242"/>
      <c r="S302" s="419"/>
      <c r="T302" s="249"/>
      <c r="U302" s="249"/>
      <c r="AJ302" s="267"/>
      <c r="AK302" s="267"/>
      <c r="AN302" s="459"/>
      <c r="AO302" s="459"/>
      <c r="AP302" s="459"/>
    </row>
    <row r="303" spans="3:42" x14ac:dyDescent="0.35">
      <c r="G303" s="267"/>
      <c r="H303" s="267"/>
      <c r="I303" s="1285"/>
      <c r="J303" s="645"/>
      <c r="K303" s="267"/>
      <c r="L303" s="267"/>
      <c r="M303" s="267"/>
      <c r="N303" s="267"/>
      <c r="O303" s="1285"/>
      <c r="P303" s="645"/>
      <c r="Q303" s="267"/>
      <c r="R303" s="1285"/>
      <c r="S303" s="645"/>
      <c r="T303" s="267"/>
      <c r="U303" s="267"/>
    </row>
    <row r="304" spans="3:42" x14ac:dyDescent="0.35">
      <c r="G304" s="267"/>
      <c r="O304" s="1236"/>
      <c r="P304" s="643"/>
      <c r="AJ304" s="267"/>
    </row>
    <row r="305" spans="3:179" x14ac:dyDescent="0.35">
      <c r="C305" s="1" t="s">
        <v>223</v>
      </c>
      <c r="F305" s="1062" cm="1">
        <f t="array" ref="F305:AA305">'HPS DAILY'!K90:AF90</f>
        <v>0</v>
      </c>
      <c r="G305" s="243">
        <v>0</v>
      </c>
      <c r="H305" s="243">
        <v>46.5</v>
      </c>
      <c r="I305" s="1282">
        <v>47.66</v>
      </c>
      <c r="J305" s="1225">
        <v>231.3</v>
      </c>
      <c r="K305" s="243">
        <v>687.38</v>
      </c>
      <c r="L305" s="243">
        <v>521.02</v>
      </c>
      <c r="M305" s="243">
        <v>404.92</v>
      </c>
      <c r="N305" s="243">
        <v>305.33</v>
      </c>
      <c r="O305" s="1282">
        <v>101.32</v>
      </c>
      <c r="P305" s="1225">
        <v>379.52</v>
      </c>
      <c r="Q305" s="243">
        <v>153.5</v>
      </c>
      <c r="R305" s="1282">
        <v>130.41999999999999</v>
      </c>
      <c r="S305" s="1225">
        <v>0</v>
      </c>
      <c r="T305" s="243">
        <v>0</v>
      </c>
      <c r="U305" s="243">
        <v>0</v>
      </c>
      <c r="V305" s="1622">
        <v>0</v>
      </c>
      <c r="W305" s="1622">
        <v>0</v>
      </c>
      <c r="X305" s="1623">
        <v>0</v>
      </c>
      <c r="Y305" s="1624">
        <v>0</v>
      </c>
      <c r="Z305" s="1622">
        <v>0</v>
      </c>
      <c r="AA305" s="1622">
        <v>0</v>
      </c>
      <c r="AJ305" s="902"/>
      <c r="AK305" s="902"/>
      <c r="AN305" s="915"/>
      <c r="AO305" s="946"/>
      <c r="AP305" s="946"/>
    </row>
    <row r="306" spans="3:179" x14ac:dyDescent="0.35">
      <c r="C306" s="444" t="s">
        <v>990</v>
      </c>
      <c r="G306" s="244"/>
      <c r="H306" s="244"/>
      <c r="I306" s="1237"/>
      <c r="J306" s="606">
        <v>400</v>
      </c>
      <c r="K306" s="244">
        <v>600</v>
      </c>
      <c r="L306" s="244">
        <v>700</v>
      </c>
      <c r="M306" s="244">
        <v>900</v>
      </c>
      <c r="N306" s="244">
        <v>913</v>
      </c>
      <c r="O306" s="1237">
        <v>913</v>
      </c>
      <c r="AN306" s="468"/>
      <c r="AO306" s="468"/>
      <c r="AP306" s="468"/>
    </row>
    <row r="307" spans="3:179" s="2325" customFormat="1" x14ac:dyDescent="0.35">
      <c r="C307" s="2326" t="s">
        <v>971</v>
      </c>
      <c r="D307" s="2326"/>
      <c r="E307" s="2326"/>
      <c r="F307" s="2368"/>
      <c r="G307" s="2369"/>
      <c r="H307" s="2369"/>
      <c r="I307" s="2370"/>
      <c r="J307" s="2371"/>
      <c r="K307" s="2369">
        <v>600</v>
      </c>
      <c r="L307" s="2369">
        <v>500</v>
      </c>
      <c r="M307" s="2369">
        <v>300</v>
      </c>
      <c r="N307" s="2369">
        <v>400</v>
      </c>
      <c r="O307" s="2370">
        <v>600</v>
      </c>
      <c r="P307" s="2333">
        <v>200</v>
      </c>
      <c r="Q307" s="2331"/>
      <c r="R307" s="2332"/>
      <c r="S307" s="2333"/>
      <c r="T307" s="2331"/>
      <c r="U307" s="2331"/>
      <c r="V307" s="2331"/>
      <c r="W307" s="2331"/>
      <c r="X307" s="2332"/>
      <c r="Y307" s="2333"/>
      <c r="Z307" s="2331"/>
      <c r="AA307" s="2331"/>
      <c r="AB307" s="2331"/>
      <c r="AC307" s="2331"/>
      <c r="AD307" s="2331"/>
      <c r="AE307" s="2331"/>
      <c r="AF307" s="2331"/>
      <c r="AG307" s="2331"/>
      <c r="AH307" s="323"/>
      <c r="AI307" s="2331"/>
      <c r="AJ307" s="2331"/>
      <c r="AK307" s="2331"/>
      <c r="AL307" s="2332"/>
      <c r="AM307" s="2333"/>
      <c r="AN307" s="2331"/>
      <c r="AO307" s="2331"/>
      <c r="AP307" s="2331"/>
      <c r="AQ307" s="2331"/>
      <c r="AR307" s="2331"/>
      <c r="AS307" s="2331"/>
      <c r="AT307" s="2331"/>
      <c r="AU307" s="2332"/>
      <c r="AV307" s="2333"/>
      <c r="AW307" s="2331"/>
      <c r="AX307" s="2331"/>
      <c r="AY307" s="2331"/>
      <c r="AZ307" s="2331"/>
      <c r="BA307" s="2332"/>
      <c r="BB307" s="2333"/>
      <c r="BC307" s="2331"/>
      <c r="BD307" s="2331"/>
      <c r="BE307" s="2331"/>
      <c r="BF307" s="2331"/>
      <c r="BG307" s="2331"/>
      <c r="BH307" s="2331"/>
      <c r="BI307" s="2331"/>
      <c r="BJ307" s="2331"/>
      <c r="BK307" s="323"/>
      <c r="BL307" s="2331"/>
      <c r="BM307" s="2331"/>
      <c r="BN307" s="2331"/>
      <c r="BO307" s="2332"/>
      <c r="BP307" s="2333"/>
      <c r="BQ307" s="2331"/>
      <c r="BR307" s="2331"/>
      <c r="BS307" s="2331"/>
      <c r="BT307" s="2331"/>
      <c r="BU307" s="2331"/>
      <c r="BV307" s="2331"/>
      <c r="BW307" s="2331"/>
      <c r="BX307" s="2332"/>
      <c r="BY307" s="2333"/>
      <c r="BZ307" s="2331"/>
      <c r="CA307" s="2331"/>
      <c r="CB307" s="2331"/>
      <c r="CC307" s="2331"/>
      <c r="CD307" s="2332"/>
      <c r="CE307" s="2333"/>
      <c r="CF307" s="2331"/>
      <c r="CG307" s="2331"/>
      <c r="CH307" s="2331"/>
      <c r="CI307" s="2331"/>
      <c r="CJ307" s="2331"/>
      <c r="CK307" s="2331"/>
      <c r="CL307" s="2331"/>
      <c r="CM307" s="2331"/>
      <c r="CN307" s="323"/>
      <c r="CO307" s="2331"/>
      <c r="CP307" s="2331"/>
      <c r="CQ307" s="2331"/>
      <c r="CR307" s="2332"/>
      <c r="CS307" s="2333"/>
      <c r="CT307" s="2331"/>
      <c r="CU307" s="2331"/>
      <c r="CV307" s="2331"/>
      <c r="CW307" s="2331"/>
      <c r="CX307" s="2331"/>
      <c r="CY307" s="2331"/>
      <c r="CZ307" s="2331"/>
      <c r="DA307" s="2332"/>
      <c r="DB307" s="2333"/>
      <c r="DC307" s="2331"/>
      <c r="DD307" s="2331"/>
      <c r="DE307" s="2331"/>
      <c r="DF307" s="2331"/>
      <c r="DG307" s="2332"/>
      <c r="DH307" s="2333"/>
      <c r="DI307" s="2331"/>
      <c r="DJ307" s="2331"/>
      <c r="DK307" s="2331"/>
      <c r="DL307" s="2331"/>
      <c r="DM307" s="2331"/>
      <c r="DN307" s="2331"/>
      <c r="DO307" s="2331"/>
      <c r="DP307" s="2331"/>
      <c r="DQ307" s="323"/>
      <c r="DR307" s="2338"/>
      <c r="DS307" s="2331"/>
      <c r="DT307" s="2331"/>
      <c r="DU307" s="2331"/>
      <c r="DV307" s="2332"/>
      <c r="DW307" s="2333"/>
      <c r="DX307" s="2331"/>
      <c r="DY307" s="2331"/>
      <c r="DZ307" s="2331"/>
      <c r="EA307" s="2331"/>
      <c r="EB307" s="2331"/>
      <c r="EC307" s="2331"/>
      <c r="ED307" s="2331"/>
      <c r="EE307" s="2332"/>
      <c r="EF307" s="2333"/>
      <c r="EG307" s="2331"/>
      <c r="EH307" s="2331"/>
      <c r="EI307" s="2331"/>
      <c r="EJ307" s="2331"/>
      <c r="EK307" s="2332"/>
      <c r="EL307" s="2333"/>
      <c r="EM307" s="2331"/>
      <c r="EN307" s="2331"/>
      <c r="EO307" s="2331"/>
      <c r="EP307" s="2331"/>
      <c r="EQ307" s="2331"/>
      <c r="ER307" s="2331"/>
      <c r="ES307" s="2331"/>
      <c r="ET307" s="2331"/>
      <c r="EU307" s="323"/>
      <c r="EV307" s="2331"/>
      <c r="EW307" s="2331"/>
      <c r="EX307" s="2331"/>
      <c r="EY307" s="2332"/>
      <c r="EZ307" s="2333"/>
      <c r="FA307" s="2331"/>
      <c r="FB307" s="2331"/>
      <c r="FC307" s="2331"/>
      <c r="FD307" s="2331"/>
      <c r="FE307" s="2331"/>
      <c r="FF307" s="2331"/>
      <c r="FG307" s="2331"/>
      <c r="FH307" s="2332"/>
      <c r="FI307" s="2333"/>
      <c r="FJ307" s="2331"/>
      <c r="FK307" s="2331"/>
      <c r="FL307" s="2331"/>
      <c r="FM307" s="2331"/>
      <c r="FN307" s="2332"/>
      <c r="FO307" s="2333"/>
      <c r="FP307" s="2331"/>
      <c r="FQ307" s="2331"/>
      <c r="FR307" s="2331"/>
      <c r="FS307" s="2331"/>
      <c r="FT307" s="2331"/>
      <c r="FU307" s="2331"/>
      <c r="FV307" s="2331"/>
      <c r="FW307" s="2331"/>
    </row>
    <row r="308" spans="3:179" s="2315" customFormat="1" x14ac:dyDescent="0.35">
      <c r="C308" s="2297" t="s">
        <v>970</v>
      </c>
      <c r="D308" s="2297"/>
      <c r="E308" s="2297"/>
      <c r="F308" s="2372"/>
      <c r="G308" s="2373">
        <v>32</v>
      </c>
      <c r="H308" s="2373"/>
      <c r="I308" s="2374">
        <v>17</v>
      </c>
      <c r="J308" s="2375">
        <v>151</v>
      </c>
      <c r="K308" s="2373">
        <v>202</v>
      </c>
      <c r="L308" s="2373">
        <v>220</v>
      </c>
      <c r="M308" s="2373">
        <v>139</v>
      </c>
      <c r="N308" s="2373">
        <v>164</v>
      </c>
      <c r="O308" s="2374">
        <v>278</v>
      </c>
      <c r="P308" s="2305">
        <v>596</v>
      </c>
      <c r="Q308" s="2303"/>
      <c r="R308" s="2304"/>
      <c r="S308" s="2305"/>
      <c r="T308" s="2303"/>
      <c r="U308" s="2303"/>
      <c r="V308" s="2303"/>
      <c r="W308" s="2303"/>
      <c r="X308" s="2304"/>
      <c r="Y308" s="2305"/>
      <c r="Z308" s="2303"/>
      <c r="AA308" s="2303"/>
      <c r="AB308" s="2303"/>
      <c r="AC308" s="2303"/>
      <c r="AD308" s="2303"/>
      <c r="AE308" s="2303"/>
      <c r="AF308" s="2303"/>
      <c r="AG308" s="2303"/>
      <c r="AH308" s="323"/>
      <c r="AI308" s="2303"/>
      <c r="AJ308" s="2303"/>
      <c r="AK308" s="2303"/>
      <c r="AL308" s="2304"/>
      <c r="AM308" s="2305"/>
      <c r="AN308" s="2303"/>
      <c r="AO308" s="2303"/>
      <c r="AP308" s="2303"/>
      <c r="AQ308" s="2303"/>
      <c r="AR308" s="2303"/>
      <c r="AS308" s="2303"/>
      <c r="AT308" s="2303"/>
      <c r="AU308" s="2304"/>
      <c r="AV308" s="2305"/>
      <c r="AW308" s="2303"/>
      <c r="AX308" s="2303"/>
      <c r="AY308" s="2303"/>
      <c r="AZ308" s="2303"/>
      <c r="BA308" s="2304"/>
      <c r="BB308" s="2305"/>
      <c r="BC308" s="2303"/>
      <c r="BD308" s="2303"/>
      <c r="BE308" s="2303"/>
      <c r="BF308" s="2303"/>
      <c r="BG308" s="2303"/>
      <c r="BH308" s="2303"/>
      <c r="BI308" s="2303"/>
      <c r="BJ308" s="2303"/>
      <c r="BK308" s="323"/>
      <c r="BL308" s="2303"/>
      <c r="BM308" s="2303"/>
      <c r="BN308" s="2303"/>
      <c r="BO308" s="2304"/>
      <c r="BP308" s="2305"/>
      <c r="BQ308" s="2303"/>
      <c r="BR308" s="2303"/>
      <c r="BS308" s="2303"/>
      <c r="BT308" s="2303"/>
      <c r="BU308" s="2303"/>
      <c r="BV308" s="2303"/>
      <c r="BW308" s="2303"/>
      <c r="BX308" s="2304"/>
      <c r="BY308" s="2305"/>
      <c r="BZ308" s="2303"/>
      <c r="CA308" s="2303"/>
      <c r="CB308" s="2303"/>
      <c r="CC308" s="2303"/>
      <c r="CD308" s="2304"/>
      <c r="CE308" s="2305"/>
      <c r="CF308" s="2303"/>
      <c r="CG308" s="2303"/>
      <c r="CH308" s="2303"/>
      <c r="CI308" s="2303"/>
      <c r="CJ308" s="2303"/>
      <c r="CK308" s="2303"/>
      <c r="CL308" s="2303"/>
      <c r="CM308" s="2303"/>
      <c r="CN308" s="323"/>
      <c r="CO308" s="2303"/>
      <c r="CP308" s="2303"/>
      <c r="CQ308" s="2303"/>
      <c r="CR308" s="2304"/>
      <c r="CS308" s="2305"/>
      <c r="CT308" s="2303"/>
      <c r="CU308" s="2303"/>
      <c r="CV308" s="2303"/>
      <c r="CW308" s="2303"/>
      <c r="CX308" s="2303"/>
      <c r="CY308" s="2303"/>
      <c r="CZ308" s="2303"/>
      <c r="DA308" s="2304"/>
      <c r="DB308" s="2305"/>
      <c r="DC308" s="2303"/>
      <c r="DD308" s="2303"/>
      <c r="DE308" s="2303"/>
      <c r="DF308" s="2303"/>
      <c r="DG308" s="2304"/>
      <c r="DH308" s="2305"/>
      <c r="DI308" s="2303"/>
      <c r="DJ308" s="2303"/>
      <c r="DK308" s="2303"/>
      <c r="DL308" s="2303"/>
      <c r="DM308" s="2303"/>
      <c r="DN308" s="2303"/>
      <c r="DO308" s="2303"/>
      <c r="DP308" s="2303"/>
      <c r="DQ308" s="323"/>
      <c r="DR308" s="2310"/>
      <c r="DS308" s="2303"/>
      <c r="DT308" s="2303"/>
      <c r="DU308" s="2303"/>
      <c r="DV308" s="2304"/>
      <c r="DW308" s="2305"/>
      <c r="DX308" s="2303"/>
      <c r="DY308" s="2303"/>
      <c r="DZ308" s="2303"/>
      <c r="EA308" s="2303"/>
      <c r="EB308" s="2303"/>
      <c r="EC308" s="2303"/>
      <c r="ED308" s="2303"/>
      <c r="EE308" s="2304"/>
      <c r="EF308" s="2305"/>
      <c r="EG308" s="2303"/>
      <c r="EH308" s="2303"/>
      <c r="EI308" s="2303"/>
      <c r="EJ308" s="2303"/>
      <c r="EK308" s="2304"/>
      <c r="EL308" s="2305"/>
      <c r="EM308" s="2303"/>
      <c r="EN308" s="2303"/>
      <c r="EO308" s="2303"/>
      <c r="EP308" s="2303"/>
      <c r="EQ308" s="2303"/>
      <c r="ER308" s="2303"/>
      <c r="ES308" s="2303"/>
      <c r="ET308" s="2303"/>
      <c r="EU308" s="323"/>
      <c r="EV308" s="2303"/>
      <c r="EW308" s="2303"/>
      <c r="EX308" s="2303"/>
      <c r="EY308" s="2304"/>
      <c r="EZ308" s="2305"/>
      <c r="FA308" s="2303"/>
      <c r="FB308" s="2303"/>
      <c r="FC308" s="2303"/>
      <c r="FD308" s="2303"/>
      <c r="FE308" s="2303"/>
      <c r="FF308" s="2303"/>
      <c r="FG308" s="2303"/>
      <c r="FH308" s="2304"/>
      <c r="FI308" s="2305"/>
      <c r="FJ308" s="2303"/>
      <c r="FK308" s="2303"/>
      <c r="FL308" s="2303"/>
      <c r="FM308" s="2303"/>
      <c r="FN308" s="2304"/>
      <c r="FO308" s="2305"/>
      <c r="FP308" s="2303"/>
      <c r="FQ308" s="2303"/>
      <c r="FR308" s="2303"/>
      <c r="FS308" s="2303"/>
      <c r="FT308" s="2303"/>
      <c r="FU308" s="2303"/>
      <c r="FV308" s="2303"/>
      <c r="FW308" s="2303"/>
    </row>
    <row r="309" spans="3:179" x14ac:dyDescent="0.35">
      <c r="O309" s="1236"/>
      <c r="P309" s="606">
        <v>1600</v>
      </c>
      <c r="Q309" s="244">
        <v>5700</v>
      </c>
      <c r="R309" s="1237">
        <v>6400</v>
      </c>
      <c r="S309" s="606">
        <v>7600</v>
      </c>
      <c r="T309" s="244">
        <v>10044</v>
      </c>
      <c r="U309" s="244">
        <v>9500</v>
      </c>
    </row>
    <row r="310" spans="3:179" ht="29" x14ac:dyDescent="0.35">
      <c r="C310" s="168" t="s">
        <v>413</v>
      </c>
      <c r="D310" s="168"/>
      <c r="E310" s="168"/>
      <c r="F310" s="605">
        <f t="shared" ref="F310:U310" si="342">F$265+F$267+F$279+F$293+F$296+F$299+F$301</f>
        <v>101.79159404112526</v>
      </c>
      <c r="G310" s="249">
        <f t="shared" si="342"/>
        <v>102.51820418866275</v>
      </c>
      <c r="H310" s="243">
        <f t="shared" si="342"/>
        <v>99.441044948762908</v>
      </c>
      <c r="I310" s="1282">
        <f t="shared" si="342"/>
        <v>101.67297337362618</v>
      </c>
      <c r="J310" s="419">
        <f t="shared" si="342"/>
        <v>99.962851276394446</v>
      </c>
      <c r="K310" s="244">
        <f t="shared" si="342"/>
        <v>101.46543899187151</v>
      </c>
      <c r="L310" s="249">
        <f t="shared" si="342"/>
        <v>101.92947214090444</v>
      </c>
      <c r="M310" s="249">
        <f t="shared" si="342"/>
        <v>101.05118539474644</v>
      </c>
      <c r="N310" s="249">
        <f t="shared" si="342"/>
        <v>100.9833054349172</v>
      </c>
      <c r="O310" s="1242">
        <f t="shared" si="342"/>
        <v>101.01855008428959</v>
      </c>
      <c r="P310" s="419">
        <f t="shared" si="342"/>
        <v>101.10169690064343</v>
      </c>
      <c r="Q310" s="249">
        <f t="shared" si="342"/>
        <v>100.58916562223678</v>
      </c>
      <c r="R310" s="1242">
        <f t="shared" si="342"/>
        <v>100.87195274046191</v>
      </c>
      <c r="S310" s="419" t="e">
        <f t="shared" si="342"/>
        <v>#DIV/0!</v>
      </c>
      <c r="T310" s="249" t="e">
        <f t="shared" si="342"/>
        <v>#DIV/0!</v>
      </c>
      <c r="U310" s="249" t="e">
        <f t="shared" si="342"/>
        <v>#DIV/0!</v>
      </c>
      <c r="AJ310" s="945"/>
    </row>
    <row r="311" spans="3:179" x14ac:dyDescent="0.35">
      <c r="C311" s="168"/>
      <c r="D311" s="168"/>
      <c r="E311" s="168"/>
      <c r="F311" s="605"/>
      <c r="G311" s="249"/>
      <c r="H311" s="243"/>
      <c r="I311" s="1282"/>
      <c r="J311" s="419"/>
      <c r="K311" s="244"/>
      <c r="L311" s="249"/>
      <c r="M311" s="249"/>
      <c r="N311" s="249"/>
      <c r="O311" s="1242"/>
      <c r="P311" s="419"/>
      <c r="Q311" s="249"/>
      <c r="R311" s="1242"/>
      <c r="S311" s="419"/>
      <c r="T311" s="249"/>
      <c r="U311" s="249"/>
    </row>
    <row r="312" spans="3:179" x14ac:dyDescent="0.35">
      <c r="C312" s="168" t="s">
        <v>597</v>
      </c>
      <c r="D312" s="168"/>
      <c r="E312" s="168"/>
      <c r="F312" s="604">
        <f t="shared" ref="F312:U312" si="343">F116</f>
        <v>32.254476835726308</v>
      </c>
      <c r="G312" s="251">
        <f t="shared" si="343"/>
        <v>31.757132185190425</v>
      </c>
      <c r="H312" s="251">
        <f t="shared" si="343"/>
        <v>32.088261047243371</v>
      </c>
      <c r="I312" s="1267">
        <f t="shared" si="343"/>
        <v>31.713922992549705</v>
      </c>
      <c r="J312" s="1212">
        <f t="shared" si="343"/>
        <v>18.882366319316205</v>
      </c>
      <c r="K312" s="251">
        <f t="shared" si="343"/>
        <v>18.189979916826875</v>
      </c>
      <c r="L312" s="251">
        <f t="shared" si="343"/>
        <v>18.201902386767699</v>
      </c>
      <c r="M312" s="251">
        <f t="shared" si="343"/>
        <v>17.884764686341782</v>
      </c>
      <c r="N312" s="251">
        <f t="shared" si="343"/>
        <v>17.805231087921726</v>
      </c>
      <c r="O312" s="1267">
        <f t="shared" si="343"/>
        <v>18.431608640960906</v>
      </c>
      <c r="P312" s="1212">
        <f t="shared" si="343"/>
        <v>18.448565042654522</v>
      </c>
      <c r="Q312" s="251">
        <f t="shared" si="343"/>
        <v>18.206936318520491</v>
      </c>
      <c r="R312" s="1267">
        <f t="shared" si="343"/>
        <v>18.189979916826875</v>
      </c>
      <c r="S312" s="1212">
        <f t="shared" si="343"/>
        <v>0</v>
      </c>
      <c r="T312" s="251">
        <f t="shared" si="343"/>
        <v>0</v>
      </c>
      <c r="U312" s="251">
        <f t="shared" si="343"/>
        <v>0</v>
      </c>
    </row>
    <row r="313" spans="3:179" x14ac:dyDescent="0.35">
      <c r="C313" s="168" t="s">
        <v>598</v>
      </c>
      <c r="D313" s="168"/>
      <c r="E313" s="168"/>
      <c r="F313" s="605" t="e">
        <f>AI116+BL116+CO116+SUM(DS138:DS143)+SUM(EV138:EV143)</f>
        <v>#DIV/0!</v>
      </c>
      <c r="G313" s="251" t="e">
        <f t="shared" ref="G313:U313" si="344">AJ116+BM116+CP116+SUM(DT138:DT143)+SUM(EW138:EW143)</f>
        <v>#DIV/0!</v>
      </c>
      <c r="H313" s="251" t="e">
        <f t="shared" si="344"/>
        <v>#DIV/0!</v>
      </c>
      <c r="I313" s="1237" t="e">
        <f t="shared" si="344"/>
        <v>#DIV/0!</v>
      </c>
      <c r="J313" s="1212">
        <f t="shared" si="344"/>
        <v>20.497820791584516</v>
      </c>
      <c r="K313" s="251">
        <f t="shared" si="344"/>
        <v>20.542210311557426</v>
      </c>
      <c r="L313" s="251" t="e">
        <f t="shared" si="344"/>
        <v>#DIV/0!</v>
      </c>
      <c r="M313" s="251" t="e">
        <f t="shared" si="344"/>
        <v>#DIV/0!</v>
      </c>
      <c r="N313" s="251" t="e">
        <f t="shared" si="344"/>
        <v>#DIV/0!</v>
      </c>
      <c r="O313" s="1267" t="e">
        <f t="shared" si="344"/>
        <v>#DIV/0!</v>
      </c>
      <c r="P313" s="1212" t="e">
        <f t="shared" si="344"/>
        <v>#DIV/0!</v>
      </c>
      <c r="Q313" s="251" t="e">
        <f t="shared" si="344"/>
        <v>#DIV/0!</v>
      </c>
      <c r="R313" s="1267" t="e">
        <f t="shared" si="344"/>
        <v>#DIV/0!</v>
      </c>
      <c r="S313" s="1212" t="e">
        <f t="shared" si="344"/>
        <v>#DIV/0!</v>
      </c>
      <c r="T313" s="251" t="e">
        <f t="shared" si="344"/>
        <v>#DIV/0!</v>
      </c>
      <c r="U313" s="251" t="e">
        <f t="shared" si="344"/>
        <v>#DIV/0!</v>
      </c>
    </row>
    <row r="314" spans="3:179" x14ac:dyDescent="0.35">
      <c r="C314" s="168" t="s">
        <v>621</v>
      </c>
      <c r="D314" s="168"/>
      <c r="E314" s="168"/>
      <c r="F314" s="604" t="e">
        <f>F313-F312</f>
        <v>#DIV/0!</v>
      </c>
      <c r="G314" s="251" t="e">
        <f t="shared" ref="G314:U314" si="345">G313-G312</f>
        <v>#DIV/0!</v>
      </c>
      <c r="H314" s="251" t="e">
        <f t="shared" si="345"/>
        <v>#DIV/0!</v>
      </c>
      <c r="I314" s="1267" t="e">
        <f t="shared" si="345"/>
        <v>#DIV/0!</v>
      </c>
      <c r="J314" s="1212">
        <f t="shared" si="345"/>
        <v>1.6154544722683113</v>
      </c>
      <c r="K314" s="251">
        <f t="shared" si="345"/>
        <v>2.352230394730551</v>
      </c>
      <c r="L314" s="251" t="e">
        <f t="shared" si="345"/>
        <v>#DIV/0!</v>
      </c>
      <c r="M314" s="251" t="e">
        <f t="shared" si="345"/>
        <v>#DIV/0!</v>
      </c>
      <c r="N314" s="251" t="e">
        <f t="shared" si="345"/>
        <v>#DIV/0!</v>
      </c>
      <c r="O314" s="1267" t="e">
        <f t="shared" si="345"/>
        <v>#DIV/0!</v>
      </c>
      <c r="P314" s="1212" t="e">
        <f t="shared" si="345"/>
        <v>#DIV/0!</v>
      </c>
      <c r="Q314" s="251" t="e">
        <f t="shared" si="345"/>
        <v>#DIV/0!</v>
      </c>
      <c r="R314" s="1267" t="e">
        <f t="shared" si="345"/>
        <v>#DIV/0!</v>
      </c>
      <c r="S314" s="1212" t="e">
        <f t="shared" si="345"/>
        <v>#DIV/0!</v>
      </c>
      <c r="T314" s="251" t="e">
        <f t="shared" si="345"/>
        <v>#DIV/0!</v>
      </c>
      <c r="U314" s="251" t="e">
        <f t="shared" si="345"/>
        <v>#DIV/0!</v>
      </c>
    </row>
    <row r="315" spans="3:179" x14ac:dyDescent="0.35">
      <c r="C315" s="168" t="s">
        <v>599</v>
      </c>
      <c r="D315" s="168"/>
      <c r="E315" s="168"/>
      <c r="F315" s="605" t="e">
        <f>F314/F$151</f>
        <v>#DIV/0!</v>
      </c>
      <c r="G315" s="244" t="e">
        <f t="shared" ref="G315:U315" si="346">G314/G$151</f>
        <v>#DIV/0!</v>
      </c>
      <c r="H315" s="244" t="e">
        <f t="shared" si="346"/>
        <v>#DIV/0!</v>
      </c>
      <c r="I315" s="1237" t="e">
        <f t="shared" si="346"/>
        <v>#DIV/0!</v>
      </c>
      <c r="J315" s="606">
        <f t="shared" si="346"/>
        <v>1.7341545278576302</v>
      </c>
      <c r="K315" s="244">
        <f t="shared" si="346"/>
        <v>2.44507809372924</v>
      </c>
      <c r="L315" s="244" t="e">
        <f t="shared" si="346"/>
        <v>#DIV/0!</v>
      </c>
      <c r="M315" s="244" t="e">
        <f t="shared" si="346"/>
        <v>#DIV/0!</v>
      </c>
      <c r="N315" s="244" t="e">
        <f t="shared" si="346"/>
        <v>#DIV/0!</v>
      </c>
      <c r="O315" s="1237" t="e">
        <f t="shared" si="346"/>
        <v>#DIV/0!</v>
      </c>
      <c r="P315" s="606" t="e">
        <f t="shared" si="346"/>
        <v>#DIV/0!</v>
      </c>
      <c r="Q315" s="244" t="e">
        <f t="shared" si="346"/>
        <v>#DIV/0!</v>
      </c>
      <c r="R315" s="1237" t="e">
        <f t="shared" si="346"/>
        <v>#DIV/0!</v>
      </c>
      <c r="S315" s="606" t="e">
        <f t="shared" si="346"/>
        <v>#DIV/0!</v>
      </c>
      <c r="T315" s="244" t="e">
        <f t="shared" si="346"/>
        <v>#DIV/0!</v>
      </c>
      <c r="U315" s="244" t="e">
        <f t="shared" si="346"/>
        <v>#DIV/0!</v>
      </c>
    </row>
    <row r="316" spans="3:179" x14ac:dyDescent="0.35">
      <c r="C316" s="168" t="s">
        <v>600</v>
      </c>
      <c r="D316" s="168"/>
      <c r="E316" s="168"/>
      <c r="F316" s="605" t="e">
        <f>F315*2</f>
        <v>#DIV/0!</v>
      </c>
      <c r="G316" s="244" t="e">
        <f t="shared" ref="G316:U316" si="347">G315*2</f>
        <v>#DIV/0!</v>
      </c>
      <c r="H316" s="244" t="e">
        <f t="shared" si="347"/>
        <v>#DIV/0!</v>
      </c>
      <c r="I316" s="1237" t="e">
        <f t="shared" si="347"/>
        <v>#DIV/0!</v>
      </c>
      <c r="J316" s="606">
        <f t="shared" si="347"/>
        <v>3.4683090557152605</v>
      </c>
      <c r="K316" s="244">
        <f t="shared" si="347"/>
        <v>4.89015618745848</v>
      </c>
      <c r="L316" s="244" t="e">
        <f t="shared" si="347"/>
        <v>#DIV/0!</v>
      </c>
      <c r="M316" s="244" t="e">
        <f t="shared" si="347"/>
        <v>#DIV/0!</v>
      </c>
      <c r="N316" s="244" t="e">
        <f t="shared" si="347"/>
        <v>#DIV/0!</v>
      </c>
      <c r="O316" s="1237" t="e">
        <f t="shared" si="347"/>
        <v>#DIV/0!</v>
      </c>
      <c r="P316" s="606" t="e">
        <f t="shared" si="347"/>
        <v>#DIV/0!</v>
      </c>
      <c r="Q316" s="244" t="e">
        <f t="shared" si="347"/>
        <v>#DIV/0!</v>
      </c>
      <c r="R316" s="1237" t="e">
        <f t="shared" si="347"/>
        <v>#DIV/0!</v>
      </c>
      <c r="S316" s="606" t="e">
        <f t="shared" si="347"/>
        <v>#DIV/0!</v>
      </c>
      <c r="T316" s="244" t="e">
        <f t="shared" si="347"/>
        <v>#DIV/0!</v>
      </c>
      <c r="U316" s="244" t="e">
        <f t="shared" si="347"/>
        <v>#DIV/0!</v>
      </c>
    </row>
    <row r="317" spans="3:179" x14ac:dyDescent="0.35">
      <c r="C317" s="168" t="s">
        <v>601</v>
      </c>
      <c r="D317" s="168"/>
      <c r="E317" s="168"/>
      <c r="F317" s="605" t="e">
        <f>0.082*(F316/2)*(273.15+15)</f>
        <v>#DIV/0!</v>
      </c>
      <c r="G317" s="244" t="e">
        <f t="shared" ref="G317:U317" si="348">0.082*(G316/2)*(273.15+15)</f>
        <v>#DIV/0!</v>
      </c>
      <c r="H317" s="244" t="e">
        <f t="shared" si="348"/>
        <v>#DIV/0!</v>
      </c>
      <c r="I317" s="1237" t="e">
        <f t="shared" si="348"/>
        <v>#DIV/0!</v>
      </c>
      <c r="J317" s="606">
        <f t="shared" si="348"/>
        <v>40.975123430578442</v>
      </c>
      <c r="K317" s="244">
        <f t="shared" si="348"/>
        <v>57.773038722062601</v>
      </c>
      <c r="L317" s="244" t="e">
        <f t="shared" si="348"/>
        <v>#DIV/0!</v>
      </c>
      <c r="M317" s="244" t="e">
        <f t="shared" si="348"/>
        <v>#DIV/0!</v>
      </c>
      <c r="N317" s="244" t="e">
        <f t="shared" si="348"/>
        <v>#DIV/0!</v>
      </c>
      <c r="O317" s="1237" t="e">
        <f t="shared" si="348"/>
        <v>#DIV/0!</v>
      </c>
      <c r="P317" s="606" t="e">
        <f t="shared" si="348"/>
        <v>#DIV/0!</v>
      </c>
      <c r="Q317" s="244" t="e">
        <f t="shared" si="348"/>
        <v>#DIV/0!</v>
      </c>
      <c r="R317" s="1237" t="e">
        <f t="shared" si="348"/>
        <v>#DIV/0!</v>
      </c>
      <c r="S317" s="606" t="e">
        <f t="shared" si="348"/>
        <v>#DIV/0!</v>
      </c>
      <c r="T317" s="244" t="e">
        <f t="shared" si="348"/>
        <v>#DIV/0!</v>
      </c>
      <c r="U317" s="244" t="e">
        <f t="shared" si="348"/>
        <v>#DIV/0!</v>
      </c>
    </row>
    <row r="318" spans="3:179" x14ac:dyDescent="0.35">
      <c r="C318" s="168" t="s">
        <v>602</v>
      </c>
      <c r="D318" s="168"/>
      <c r="E318" s="168"/>
      <c r="F318" s="605" t="e">
        <f>F317/28.317</f>
        <v>#DIV/0!</v>
      </c>
      <c r="G318" s="244" t="e">
        <f t="shared" ref="G318:U318" si="349">G317/28.317</f>
        <v>#DIV/0!</v>
      </c>
      <c r="H318" s="244" t="e">
        <f t="shared" si="349"/>
        <v>#DIV/0!</v>
      </c>
      <c r="I318" s="1237" t="e">
        <f t="shared" si="349"/>
        <v>#DIV/0!</v>
      </c>
      <c r="J318" s="606">
        <f t="shared" si="349"/>
        <v>1.4470149885432229</v>
      </c>
      <c r="K318" s="244">
        <f t="shared" si="349"/>
        <v>2.0402245549338773</v>
      </c>
      <c r="L318" s="244" t="e">
        <f t="shared" si="349"/>
        <v>#DIV/0!</v>
      </c>
      <c r="M318" s="244" t="e">
        <f t="shared" si="349"/>
        <v>#DIV/0!</v>
      </c>
      <c r="N318" s="244" t="e">
        <f t="shared" si="349"/>
        <v>#DIV/0!</v>
      </c>
      <c r="O318" s="1237" t="e">
        <f t="shared" si="349"/>
        <v>#DIV/0!</v>
      </c>
      <c r="P318" s="606" t="e">
        <f t="shared" si="349"/>
        <v>#DIV/0!</v>
      </c>
      <c r="Q318" s="244" t="e">
        <f t="shared" si="349"/>
        <v>#DIV/0!</v>
      </c>
      <c r="R318" s="1237" t="e">
        <f t="shared" si="349"/>
        <v>#DIV/0!</v>
      </c>
      <c r="S318" s="606" t="e">
        <f t="shared" si="349"/>
        <v>#DIV/0!</v>
      </c>
      <c r="T318" s="244" t="e">
        <f t="shared" si="349"/>
        <v>#DIV/0!</v>
      </c>
      <c r="U318" s="244" t="e">
        <f t="shared" si="349"/>
        <v>#DIV/0!</v>
      </c>
    </row>
    <row r="319" spans="3:179" x14ac:dyDescent="0.35">
      <c r="C319" s="168" t="s">
        <v>603</v>
      </c>
      <c r="D319" s="168"/>
      <c r="E319" s="168"/>
      <c r="F319" s="605">
        <f t="shared" ref="F319:U319" si="350">(F73/F76)/158.99/1000</f>
        <v>1.9744739825811475E-3</v>
      </c>
      <c r="G319" s="244">
        <f t="shared" si="350"/>
        <v>1.9440287802651916E-3</v>
      </c>
      <c r="H319" s="244">
        <f t="shared" si="350"/>
        <v>1.9642989996934935E-3</v>
      </c>
      <c r="I319" s="1237">
        <f t="shared" si="350"/>
        <v>1.9413837078582834E-3</v>
      </c>
      <c r="J319" s="606">
        <f t="shared" si="350"/>
        <v>1.1554789988072391E-3</v>
      </c>
      <c r="K319" s="244">
        <f t="shared" si="350"/>
        <v>1.1131094179185506E-3</v>
      </c>
      <c r="L319" s="244">
        <f t="shared" si="350"/>
        <v>1.113838996160894E-3</v>
      </c>
      <c r="M319" s="244">
        <f t="shared" si="350"/>
        <v>1.0944322149145573E-3</v>
      </c>
      <c r="N319" s="244">
        <f t="shared" si="350"/>
        <v>1.0895652718037282E-3</v>
      </c>
      <c r="O319" s="1237">
        <f t="shared" si="350"/>
        <v>1.1278955369633788E-3</v>
      </c>
      <c r="P319" s="606">
        <f t="shared" si="350"/>
        <v>1.1289331593524895E-3</v>
      </c>
      <c r="Q319" s="244">
        <f t="shared" si="350"/>
        <v>1.1141470403076613E-3</v>
      </c>
      <c r="R319" s="1237">
        <f t="shared" si="350"/>
        <v>1.1131094179185506E-3</v>
      </c>
      <c r="S319" s="606">
        <f t="shared" si="350"/>
        <v>0</v>
      </c>
      <c r="T319" s="244">
        <f t="shared" si="350"/>
        <v>0</v>
      </c>
      <c r="U319" s="244">
        <f t="shared" si="350"/>
        <v>0</v>
      </c>
    </row>
    <row r="320" spans="3:179" x14ac:dyDescent="0.35">
      <c r="C320" s="168" t="s">
        <v>604</v>
      </c>
      <c r="D320" s="168"/>
      <c r="E320" s="168"/>
      <c r="F320" s="605" t="e">
        <f>F318/F319</f>
        <v>#DIV/0!</v>
      </c>
      <c r="G320" s="244" t="e">
        <f t="shared" ref="G320:U320" si="351">G318/G319</f>
        <v>#DIV/0!</v>
      </c>
      <c r="H320" s="244" t="e">
        <f t="shared" si="351"/>
        <v>#DIV/0!</v>
      </c>
      <c r="I320" s="1237" t="e">
        <f t="shared" si="351"/>
        <v>#DIV/0!</v>
      </c>
      <c r="J320" s="606">
        <f t="shared" si="351"/>
        <v>1252.3074759791621</v>
      </c>
      <c r="K320" s="244">
        <f t="shared" si="351"/>
        <v>1832.9056623642425</v>
      </c>
      <c r="L320" s="244" t="e">
        <f t="shared" si="351"/>
        <v>#DIV/0!</v>
      </c>
      <c r="M320" s="244" t="e">
        <f t="shared" si="351"/>
        <v>#DIV/0!</v>
      </c>
      <c r="N320" s="244" t="e">
        <f t="shared" si="351"/>
        <v>#DIV/0!</v>
      </c>
      <c r="O320" s="1237" t="e">
        <f t="shared" si="351"/>
        <v>#DIV/0!</v>
      </c>
      <c r="P320" s="606" t="e">
        <f t="shared" si="351"/>
        <v>#DIV/0!</v>
      </c>
      <c r="Q320" s="244" t="e">
        <f t="shared" si="351"/>
        <v>#DIV/0!</v>
      </c>
      <c r="R320" s="1237" t="e">
        <f t="shared" si="351"/>
        <v>#DIV/0!</v>
      </c>
      <c r="S320" s="606" t="e">
        <f t="shared" si="351"/>
        <v>#DIV/0!</v>
      </c>
      <c r="T320" s="244" t="e">
        <f t="shared" si="351"/>
        <v>#DIV/0!</v>
      </c>
      <c r="U320" s="244" t="e">
        <f t="shared" si="351"/>
        <v>#DIV/0!</v>
      </c>
    </row>
    <row r="321" spans="3:21" x14ac:dyDescent="0.35">
      <c r="C321" s="168" t="s">
        <v>605</v>
      </c>
      <c r="D321" s="168"/>
      <c r="E321" s="168"/>
      <c r="F321" s="605"/>
      <c r="G321" s="244" t="e">
        <f>AVERAGE(F320:I320)</f>
        <v>#DIV/0!</v>
      </c>
      <c r="H321" s="244"/>
      <c r="I321" s="1237"/>
      <c r="J321" s="606"/>
      <c r="K321" s="607" t="e">
        <f>AVERAGE(K320:O320)</f>
        <v>#DIV/0!</v>
      </c>
      <c r="L321" s="244"/>
      <c r="M321" s="244"/>
      <c r="N321" s="244"/>
      <c r="O321" s="1237"/>
      <c r="P321" s="606"/>
      <c r="Q321" s="244"/>
      <c r="R321" s="1419" t="e">
        <f>AVERAGE(P320:T320)</f>
        <v>#DIV/0!</v>
      </c>
      <c r="S321" s="606"/>
      <c r="T321" s="244"/>
      <c r="U321" s="244"/>
    </row>
    <row r="322" spans="3:21" x14ac:dyDescent="0.35">
      <c r="C322" s="168" t="s">
        <v>834</v>
      </c>
      <c r="D322" s="168"/>
      <c r="E322" s="168"/>
      <c r="F322" s="605"/>
      <c r="G322" s="244">
        <v>1041</v>
      </c>
      <c r="H322" s="244"/>
      <c r="I322" s="1237"/>
      <c r="J322" s="606"/>
      <c r="K322" s="244">
        <v>1605</v>
      </c>
      <c r="L322" s="244"/>
      <c r="M322" s="244"/>
      <c r="N322" s="244"/>
      <c r="O322" s="1237"/>
      <c r="P322" s="606"/>
      <c r="Q322" s="244"/>
      <c r="R322" s="1237">
        <v>1334</v>
      </c>
      <c r="S322" s="606"/>
      <c r="T322" s="244"/>
      <c r="U322" s="244"/>
    </row>
    <row r="323" spans="3:21" x14ac:dyDescent="0.35">
      <c r="C323" s="168"/>
      <c r="D323" s="168"/>
      <c r="E323" s="168"/>
      <c r="F323" s="605"/>
      <c r="G323" s="244"/>
      <c r="H323" s="244"/>
      <c r="I323" s="1237"/>
      <c r="J323" s="606"/>
      <c r="K323" s="497"/>
      <c r="L323" s="244"/>
      <c r="M323" s="244"/>
      <c r="N323" s="244"/>
      <c r="O323" s="1237"/>
      <c r="P323" s="606"/>
      <c r="Q323" s="244"/>
      <c r="R323" s="1237"/>
      <c r="S323" s="606"/>
      <c r="T323" s="249"/>
      <c r="U323" s="244"/>
    </row>
    <row r="324" spans="3:21" x14ac:dyDescent="0.35">
      <c r="F324" s="605"/>
      <c r="G324" s="244"/>
      <c r="H324" s="244"/>
      <c r="I324" s="1237"/>
      <c r="J324" s="606"/>
      <c r="K324" s="497"/>
      <c r="L324" s="244"/>
      <c r="M324" s="244"/>
      <c r="N324" s="244"/>
      <c r="O324" s="1237"/>
      <c r="P324" s="606"/>
      <c r="Q324" s="244"/>
      <c r="R324" s="1237"/>
      <c r="S324" s="606"/>
      <c r="T324" s="244"/>
      <c r="U324" s="244"/>
    </row>
    <row r="325" spans="3:21" x14ac:dyDescent="0.35">
      <c r="C325" s="168"/>
      <c r="D325" s="168"/>
      <c r="E325" s="168"/>
      <c r="G325" s="267"/>
      <c r="H325" s="267"/>
      <c r="I325" s="1285"/>
      <c r="J325" s="645"/>
      <c r="K325" s="267"/>
      <c r="L325" s="267"/>
      <c r="M325" s="267"/>
      <c r="N325" s="267"/>
      <c r="O325" s="1285"/>
      <c r="P325" s="645"/>
      <c r="Q325" s="267"/>
      <c r="R325" s="1285"/>
      <c r="S325" s="645"/>
      <c r="T325" s="267"/>
      <c r="U325" s="267"/>
    </row>
    <row r="326" spans="3:21" x14ac:dyDescent="0.35">
      <c r="D326"/>
      <c r="E326"/>
      <c r="G326" s="268"/>
      <c r="H326" s="268"/>
      <c r="I326" s="1287"/>
      <c r="J326" s="1227"/>
      <c r="O326" s="1236"/>
      <c r="P326" s="643"/>
      <c r="T326" s="268"/>
      <c r="U326" s="268"/>
    </row>
    <row r="327" spans="3:21" x14ac:dyDescent="0.35">
      <c r="C327"/>
      <c r="D327"/>
      <c r="E327"/>
      <c r="G327" s="268"/>
      <c r="H327" s="268"/>
      <c r="I327" s="1287"/>
      <c r="J327" s="1227"/>
      <c r="K327" s="268"/>
      <c r="L327" s="268"/>
      <c r="M327" s="268"/>
      <c r="N327" s="268"/>
      <c r="O327" s="1287"/>
      <c r="P327" s="1227"/>
      <c r="Q327" s="268"/>
      <c r="R327" s="1287"/>
      <c r="S327" s="1227"/>
      <c r="T327" s="268"/>
      <c r="U327" s="268"/>
    </row>
    <row r="328" spans="3:21" x14ac:dyDescent="0.35">
      <c r="C328"/>
      <c r="D328"/>
      <c r="E328"/>
      <c r="G328" s="268"/>
      <c r="H328" s="268"/>
      <c r="I328" s="1287"/>
      <c r="J328" s="1227"/>
      <c r="L328" s="268"/>
      <c r="M328" s="268"/>
      <c r="N328" s="268"/>
      <c r="O328" s="1287"/>
      <c r="P328" s="1227"/>
      <c r="Q328" s="268"/>
      <c r="S328" s="1227"/>
      <c r="T328" s="268"/>
      <c r="U328" s="268"/>
    </row>
    <row r="329" spans="3:21" x14ac:dyDescent="0.35">
      <c r="C329"/>
      <c r="D329"/>
      <c r="E329"/>
      <c r="G329" s="267"/>
      <c r="H329" s="267"/>
      <c r="I329" s="1285"/>
      <c r="J329" s="645"/>
      <c r="K329" s="267"/>
      <c r="L329" s="267"/>
      <c r="M329" s="267"/>
      <c r="N329" s="267"/>
      <c r="O329" s="1285"/>
      <c r="P329" s="645"/>
      <c r="Q329" s="267"/>
      <c r="R329" s="1285"/>
      <c r="S329" s="645"/>
      <c r="T329" s="267"/>
      <c r="U329" s="267"/>
    </row>
    <row r="330" spans="3:21" x14ac:dyDescent="0.35">
      <c r="C330"/>
      <c r="D330"/>
      <c r="E330"/>
      <c r="G330" s="267"/>
      <c r="H330" s="267"/>
      <c r="I330" s="1285"/>
      <c r="J330" s="645"/>
      <c r="K330" s="267"/>
      <c r="L330" s="267"/>
      <c r="M330" s="267"/>
      <c r="N330" s="267"/>
      <c r="O330" s="1285"/>
      <c r="P330" s="645"/>
      <c r="Q330" s="267"/>
      <c r="R330" s="1285"/>
      <c r="S330" s="645"/>
      <c r="T330" s="267"/>
      <c r="U330" s="267"/>
    </row>
    <row r="331" spans="3:21" x14ac:dyDescent="0.35">
      <c r="C331"/>
      <c r="D331"/>
      <c r="E331"/>
      <c r="G331" s="267"/>
      <c r="H331" s="267"/>
      <c r="I331" s="1285"/>
      <c r="J331" s="645"/>
      <c r="K331" s="267"/>
      <c r="L331" s="267"/>
      <c r="M331" s="267"/>
      <c r="N331" s="267"/>
      <c r="O331" s="1285"/>
      <c r="P331" s="645"/>
      <c r="Q331" s="267"/>
      <c r="R331" s="1285"/>
      <c r="S331" s="645"/>
      <c r="T331" s="267"/>
      <c r="U331" s="267"/>
    </row>
    <row r="332" spans="3:21" x14ac:dyDescent="0.35">
      <c r="C332"/>
      <c r="D332"/>
      <c r="E332"/>
      <c r="G332" s="267"/>
      <c r="H332" s="267"/>
      <c r="I332" s="1285"/>
      <c r="J332" s="645"/>
      <c r="K332" s="267"/>
      <c r="L332" s="267"/>
      <c r="M332" s="267"/>
      <c r="N332" s="267"/>
      <c r="O332" s="1285"/>
      <c r="P332" s="645"/>
      <c r="Q332" s="267"/>
      <c r="R332" s="1285"/>
      <c r="S332" s="645"/>
      <c r="T332" s="267"/>
      <c r="U332" s="267"/>
    </row>
    <row r="333" spans="3:21" x14ac:dyDescent="0.35">
      <c r="O333" s="1236"/>
      <c r="P333" s="643"/>
    </row>
    <row r="334" spans="3:21" x14ac:dyDescent="0.35">
      <c r="O334" s="1236"/>
      <c r="P334" s="643"/>
    </row>
    <row r="335" spans="3:21" x14ac:dyDescent="0.35">
      <c r="H335" s="267"/>
      <c r="K335" s="267"/>
      <c r="O335" s="1236"/>
      <c r="P335" s="643"/>
    </row>
    <row r="336" spans="3:21" x14ac:dyDescent="0.35">
      <c r="O336" s="1236"/>
      <c r="P336" s="643"/>
    </row>
    <row r="337" spans="15:16" x14ac:dyDescent="0.35">
      <c r="O337" s="1236"/>
      <c r="P337" s="643"/>
    </row>
    <row r="338" spans="15:16" x14ac:dyDescent="0.35">
      <c r="O338" s="1236"/>
      <c r="P338" s="643"/>
    </row>
    <row r="339" spans="15:16" x14ac:dyDescent="0.35">
      <c r="O339" s="1236"/>
      <c r="P339" s="643"/>
    </row>
    <row r="340" spans="15:16" x14ac:dyDescent="0.35">
      <c r="O340" s="1236"/>
      <c r="P340" s="643"/>
    </row>
    <row r="341" spans="15:16" x14ac:dyDescent="0.35">
      <c r="O341" s="1236"/>
      <c r="P341" s="643"/>
    </row>
    <row r="342" spans="15:16" x14ac:dyDescent="0.35">
      <c r="O342" s="1236"/>
      <c r="P342" s="643"/>
    </row>
    <row r="343" spans="15:16" x14ac:dyDescent="0.35">
      <c r="O343" s="1236"/>
      <c r="P343" s="643"/>
    </row>
    <row r="344" spans="15:16" x14ac:dyDescent="0.35">
      <c r="O344" s="1236"/>
      <c r="P344" s="643"/>
    </row>
    <row r="345" spans="15:16" x14ac:dyDescent="0.35">
      <c r="O345" s="1236"/>
      <c r="P345" s="643"/>
    </row>
    <row r="346" spans="15:16" x14ac:dyDescent="0.35">
      <c r="O346" s="1236"/>
      <c r="P346" s="643"/>
    </row>
    <row r="347" spans="15:16" x14ac:dyDescent="0.35">
      <c r="O347" s="1236"/>
      <c r="P347" s="643"/>
    </row>
    <row r="348" spans="15:16" x14ac:dyDescent="0.35">
      <c r="O348" s="1236"/>
      <c r="P348" s="643"/>
    </row>
    <row r="349" spans="15:16" x14ac:dyDescent="0.35">
      <c r="O349" s="1236"/>
      <c r="P349" s="643"/>
    </row>
    <row r="350" spans="15:16" x14ac:dyDescent="0.35">
      <c r="O350" s="1236"/>
      <c r="P350" s="643"/>
    </row>
    <row r="351" spans="15:16" x14ac:dyDescent="0.35">
      <c r="O351" s="1236"/>
      <c r="P351" s="643"/>
    </row>
    <row r="352" spans="15:16" x14ac:dyDescent="0.35">
      <c r="O352" s="1236"/>
      <c r="P352" s="643"/>
    </row>
    <row r="353" spans="15:16" x14ac:dyDescent="0.35">
      <c r="O353" s="1236"/>
      <c r="P353" s="643"/>
    </row>
    <row r="354" spans="15:16" x14ac:dyDescent="0.35">
      <c r="O354" s="1236"/>
      <c r="P354" s="643"/>
    </row>
    <row r="355" spans="15:16" x14ac:dyDescent="0.35">
      <c r="O355" s="1236"/>
      <c r="P355" s="643"/>
    </row>
    <row r="356" spans="15:16" x14ac:dyDescent="0.35">
      <c r="O356" s="1236"/>
      <c r="P356" s="643"/>
    </row>
    <row r="357" spans="15:16" x14ac:dyDescent="0.35">
      <c r="O357" s="1236"/>
      <c r="P357" s="643"/>
    </row>
    <row r="358" spans="15:16" x14ac:dyDescent="0.35">
      <c r="O358" s="1236"/>
      <c r="P358" s="643"/>
    </row>
    <row r="359" spans="15:16" x14ac:dyDescent="0.35">
      <c r="O359" s="1236"/>
      <c r="P359" s="643"/>
    </row>
    <row r="360" spans="15:16" x14ac:dyDescent="0.35">
      <c r="O360" s="1236"/>
      <c r="P360" s="643"/>
    </row>
    <row r="361" spans="15:16" x14ac:dyDescent="0.35">
      <c r="O361" s="1236"/>
      <c r="P361" s="643"/>
    </row>
    <row r="362" spans="15:16" x14ac:dyDescent="0.35">
      <c r="O362" s="1236"/>
      <c r="P362" s="643"/>
    </row>
    <row r="363" spans="15:16" x14ac:dyDescent="0.35">
      <c r="O363" s="1236"/>
      <c r="P363" s="643"/>
    </row>
    <row r="364" spans="15:16" x14ac:dyDescent="0.35">
      <c r="O364" s="1236"/>
      <c r="P364" s="643"/>
    </row>
    <row r="365" spans="15:16" x14ac:dyDescent="0.35">
      <c r="O365" s="1236"/>
      <c r="P365" s="643"/>
    </row>
    <row r="366" spans="15:16" x14ac:dyDescent="0.35">
      <c r="O366" s="1236"/>
      <c r="P366" s="643"/>
    </row>
    <row r="367" spans="15:16" x14ac:dyDescent="0.35">
      <c r="O367" s="1236"/>
      <c r="P367" s="643"/>
    </row>
    <row r="368" spans="15:16" x14ac:dyDescent="0.35">
      <c r="O368" s="1236"/>
      <c r="P368" s="643"/>
    </row>
    <row r="369" spans="15:16" x14ac:dyDescent="0.35">
      <c r="O369" s="1236"/>
      <c r="P369" s="643"/>
    </row>
    <row r="370" spans="15:16" x14ac:dyDescent="0.35">
      <c r="O370" s="1236"/>
      <c r="P370" s="643"/>
    </row>
    <row r="371" spans="15:16" x14ac:dyDescent="0.35">
      <c r="O371" s="1236"/>
      <c r="P371" s="643"/>
    </row>
    <row r="372" spans="15:16" x14ac:dyDescent="0.35">
      <c r="O372" s="1236"/>
      <c r="P372" s="643"/>
    </row>
  </sheetData>
  <mergeCells count="68">
    <mergeCell ref="FB2:FE2"/>
    <mergeCell ref="FF2:FH2"/>
    <mergeCell ref="DS2:DT2"/>
    <mergeCell ref="DW2:DX2"/>
    <mergeCell ref="DY2:EB2"/>
    <mergeCell ref="EC2:EE2"/>
    <mergeCell ref="BR2:BU2"/>
    <mergeCell ref="BV2:BX2"/>
    <mergeCell ref="EZ2:FA2"/>
    <mergeCell ref="CO2:CP2"/>
    <mergeCell ref="CS2:CT2"/>
    <mergeCell ref="EV2:EW2"/>
    <mergeCell ref="CU2:CX2"/>
    <mergeCell ref="CY2:DA2"/>
    <mergeCell ref="F2:G2"/>
    <mergeCell ref="J2:K2"/>
    <mergeCell ref="BP2:BQ2"/>
    <mergeCell ref="F7:I7"/>
    <mergeCell ref="J7:O7"/>
    <mergeCell ref="P7:U7"/>
    <mergeCell ref="BL7:BO7"/>
    <mergeCell ref="BP7:BU7"/>
    <mergeCell ref="AI7:AL7"/>
    <mergeCell ref="AM7:AR7"/>
    <mergeCell ref="AS7:AW7"/>
    <mergeCell ref="AI2:AJ2"/>
    <mergeCell ref="AM2:AN2"/>
    <mergeCell ref="AO2:AR2"/>
    <mergeCell ref="AS2:AU2"/>
    <mergeCell ref="BL2:BM2"/>
    <mergeCell ref="BV7:CA7"/>
    <mergeCell ref="CO7:CR7"/>
    <mergeCell ref="CS7:CX7"/>
    <mergeCell ref="CY7:DD7"/>
    <mergeCell ref="DS7:DV7"/>
    <mergeCell ref="DW7:EA7"/>
    <mergeCell ref="EC7:EI7"/>
    <mergeCell ref="EV7:EY7"/>
    <mergeCell ref="FF67:FK67"/>
    <mergeCell ref="CS67:CX67"/>
    <mergeCell ref="CY67:DD67"/>
    <mergeCell ref="DS67:DV67"/>
    <mergeCell ref="DW67:EB67"/>
    <mergeCell ref="EC67:EH67"/>
    <mergeCell ref="EZ7:FE7"/>
    <mergeCell ref="FF7:FK7"/>
    <mergeCell ref="EV67:EY67"/>
    <mergeCell ref="EZ58:FD58"/>
    <mergeCell ref="EV58:EY58"/>
    <mergeCell ref="FF58:FK58"/>
    <mergeCell ref="EV119:FE119"/>
    <mergeCell ref="F67:I67"/>
    <mergeCell ref="J67:O67"/>
    <mergeCell ref="P67:U67"/>
    <mergeCell ref="BL67:BO67"/>
    <mergeCell ref="BP67:BU67"/>
    <mergeCell ref="BV67:CA67"/>
    <mergeCell ref="CO67:CR67"/>
    <mergeCell ref="EZ67:FE67"/>
    <mergeCell ref="AI67:AL67"/>
    <mergeCell ref="AM67:AR67"/>
    <mergeCell ref="AS67:AX67"/>
    <mergeCell ref="DS129:DV129"/>
    <mergeCell ref="DW129:EB129"/>
    <mergeCell ref="EC129:EH129"/>
    <mergeCell ref="EZ129:FE129"/>
    <mergeCell ref="FF129:FJ129"/>
    <mergeCell ref="EV129:EY129"/>
  </mergeCells>
  <phoneticPr fontId="29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53E69-E4BE-4682-AB0A-D64F67302174}">
  <sheetPr codeName="Sheet11"/>
  <dimension ref="I6:X53"/>
  <sheetViews>
    <sheetView tabSelected="1" zoomScale="84" zoomScaleNormal="80" workbookViewId="0">
      <selection activeCell="V16" sqref="V16"/>
    </sheetView>
  </sheetViews>
  <sheetFormatPr defaultRowHeight="14.5" x14ac:dyDescent="0.35"/>
  <cols>
    <col min="22" max="22" width="19.54296875" bestFit="1" customWidth="1"/>
  </cols>
  <sheetData>
    <row r="6" spans="22:24" x14ac:dyDescent="0.35">
      <c r="V6" s="1"/>
      <c r="X6" s="522"/>
    </row>
    <row r="7" spans="22:24" x14ac:dyDescent="0.35">
      <c r="W7" s="522"/>
    </row>
    <row r="49" spans="9:11" x14ac:dyDescent="0.35">
      <c r="I49" t="s">
        <v>542</v>
      </c>
      <c r="J49">
        <v>4.5</v>
      </c>
      <c r="K49">
        <v>0</v>
      </c>
    </row>
    <row r="50" spans="9:11" x14ac:dyDescent="0.35">
      <c r="J50">
        <v>4.5</v>
      </c>
      <c r="K50">
        <v>120</v>
      </c>
    </row>
    <row r="52" spans="9:11" x14ac:dyDescent="0.35">
      <c r="J52">
        <v>10.5</v>
      </c>
      <c r="K52">
        <v>0</v>
      </c>
    </row>
    <row r="53" spans="9:11" x14ac:dyDescent="0.35">
      <c r="J53">
        <v>10.5</v>
      </c>
      <c r="K53">
        <v>120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7DE86-4FD1-4361-9991-24E477890CF5}">
  <sheetPr codeName="Sheet19">
    <tabColor theme="6" tint="0.59999389629810485"/>
  </sheetPr>
  <dimension ref="I16:AT62"/>
  <sheetViews>
    <sheetView zoomScale="80" zoomScaleNormal="80" zoomScaleSheetLayoutView="68" zoomScalePageLayoutView="63" workbookViewId="0">
      <selection activeCell="M61" sqref="M61"/>
    </sheetView>
  </sheetViews>
  <sheetFormatPr defaultColWidth="8.7265625" defaultRowHeight="14.5" x14ac:dyDescent="0.35"/>
  <cols>
    <col min="1" max="16384" width="8.7265625" style="142"/>
  </cols>
  <sheetData>
    <row r="16" spans="45:46" x14ac:dyDescent="0.35">
      <c r="AS16" s="142">
        <v>-5</v>
      </c>
      <c r="AT16" s="142">
        <v>50</v>
      </c>
    </row>
    <row r="17" spans="45:46" x14ac:dyDescent="0.35">
      <c r="AS17" s="142">
        <v>30</v>
      </c>
      <c r="AT17" s="142">
        <v>50</v>
      </c>
    </row>
    <row r="20" spans="45:46" x14ac:dyDescent="0.35">
      <c r="AS20" s="142">
        <v>-5</v>
      </c>
      <c r="AT20" s="142">
        <v>20</v>
      </c>
    </row>
    <row r="21" spans="45:46" x14ac:dyDescent="0.35">
      <c r="AS21" s="142">
        <v>30</v>
      </c>
      <c r="AT21" s="142">
        <v>20</v>
      </c>
    </row>
    <row r="24" spans="45:46" x14ac:dyDescent="0.35">
      <c r="AS24" s="142">
        <v>-5</v>
      </c>
      <c r="AT24" s="142">
        <v>15</v>
      </c>
    </row>
    <row r="25" spans="45:46" x14ac:dyDescent="0.35">
      <c r="AS25" s="142">
        <v>30</v>
      </c>
      <c r="AT25" s="142">
        <v>15</v>
      </c>
    </row>
    <row r="30" spans="45:46" x14ac:dyDescent="0.35">
      <c r="AS30" s="142" t="s">
        <v>842</v>
      </c>
    </row>
    <row r="58" spans="9:32" x14ac:dyDescent="0.35">
      <c r="I58" s="142">
        <v>4.5</v>
      </c>
      <c r="J58" s="142">
        <v>-5</v>
      </c>
      <c r="AE58" s="142">
        <v>4.5</v>
      </c>
      <c r="AF58" s="142">
        <v>-5</v>
      </c>
    </row>
    <row r="59" spans="9:32" x14ac:dyDescent="0.35">
      <c r="I59" s="142">
        <v>4.5</v>
      </c>
      <c r="J59" s="142">
        <v>200</v>
      </c>
      <c r="AE59" s="142">
        <v>4.5</v>
      </c>
      <c r="AF59" s="142">
        <v>200</v>
      </c>
    </row>
    <row r="61" spans="9:32" x14ac:dyDescent="0.35">
      <c r="I61" s="142">
        <v>4.5</v>
      </c>
      <c r="J61" s="142">
        <v>-2</v>
      </c>
      <c r="AE61" s="142">
        <v>10.5</v>
      </c>
      <c r="AF61" s="142">
        <v>-5</v>
      </c>
    </row>
    <row r="62" spans="9:32" x14ac:dyDescent="0.35">
      <c r="I62" s="142">
        <v>4.5</v>
      </c>
      <c r="J62" s="142">
        <v>150</v>
      </c>
      <c r="AE62" s="142">
        <v>10.5</v>
      </c>
      <c r="AF62" s="142">
        <v>200</v>
      </c>
    </row>
  </sheetData>
  <pageMargins left="0.7" right="0.7" top="0.75" bottom="0.75" header="0.3" footer="0.3"/>
  <pageSetup paperSize="9" scale="72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BAD93-5B23-4BE7-A293-D981A55698C6}">
  <sheetPr codeName="Sheet7"/>
  <dimension ref="G53:AB89"/>
  <sheetViews>
    <sheetView topLeftCell="A10" zoomScale="80" zoomScaleNormal="60" zoomScaleSheetLayoutView="73" zoomScalePageLayoutView="68" workbookViewId="0">
      <selection activeCell="A43" sqref="A43"/>
    </sheetView>
  </sheetViews>
  <sheetFormatPr defaultColWidth="8.7265625" defaultRowHeight="14.5" x14ac:dyDescent="0.35"/>
  <cols>
    <col min="1" max="15" width="8.7265625" style="142"/>
    <col min="16" max="16" width="8.7265625" style="142" customWidth="1"/>
    <col min="17" max="16384" width="8.7265625" style="142"/>
  </cols>
  <sheetData>
    <row r="53" spans="7:8" x14ac:dyDescent="0.35">
      <c r="G53" s="142">
        <v>4.5</v>
      </c>
      <c r="H53" s="142">
        <v>-2</v>
      </c>
    </row>
    <row r="54" spans="7:8" x14ac:dyDescent="0.35">
      <c r="G54" s="142">
        <v>4.5</v>
      </c>
      <c r="H54" s="142">
        <v>150</v>
      </c>
    </row>
    <row r="56" spans="7:8" x14ac:dyDescent="0.35">
      <c r="G56" s="142">
        <v>10.5</v>
      </c>
      <c r="H56" s="142">
        <v>-2</v>
      </c>
    </row>
    <row r="57" spans="7:8" x14ac:dyDescent="0.35">
      <c r="G57" s="142">
        <v>10.5</v>
      </c>
      <c r="H57" s="142">
        <v>150</v>
      </c>
    </row>
    <row r="75" spans="24:28" x14ac:dyDescent="0.35">
      <c r="X75" s="142" t="s">
        <v>608</v>
      </c>
    </row>
    <row r="76" spans="24:28" x14ac:dyDescent="0.35">
      <c r="X76" s="142" t="s">
        <v>871</v>
      </c>
      <c r="Y76" s="142">
        <v>6</v>
      </c>
      <c r="Z76" s="142">
        <v>8</v>
      </c>
      <c r="AA76" s="142">
        <v>12</v>
      </c>
      <c r="AB76" s="142">
        <v>14</v>
      </c>
    </row>
    <row r="89" spans="23:23" x14ac:dyDescent="0.35">
      <c r="W89" s="142">
        <f>17.4-2.3</f>
        <v>15.099999999999998</v>
      </c>
    </row>
  </sheetData>
  <pageMargins left="0.7" right="0.7" top="0.75" bottom="0.75" header="0.3" footer="0.3"/>
  <pageSetup paperSize="9" scale="78" orientation="landscape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C5D27-7AFE-441B-9E0F-DDF2F38AF11A}">
  <dimension ref="G28:AB89"/>
  <sheetViews>
    <sheetView topLeftCell="A4" zoomScale="67" zoomScaleNormal="85" zoomScaleSheetLayoutView="73" zoomScalePageLayoutView="68" workbookViewId="0">
      <selection activeCell="A38" sqref="A38"/>
    </sheetView>
  </sheetViews>
  <sheetFormatPr defaultColWidth="8.7265625" defaultRowHeight="14.5" x14ac:dyDescent="0.35"/>
  <cols>
    <col min="1" max="15" width="8.7265625" style="142"/>
    <col min="16" max="16" width="8.7265625" style="142" customWidth="1"/>
    <col min="17" max="16384" width="8.7265625" style="142"/>
  </cols>
  <sheetData>
    <row r="28" s="142" customFormat="1" x14ac:dyDescent="0.35"/>
    <row r="53" spans="7:8" x14ac:dyDescent="0.35">
      <c r="G53" s="142">
        <v>4.5</v>
      </c>
      <c r="H53" s="142">
        <v>-2</v>
      </c>
    </row>
    <row r="54" spans="7:8" x14ac:dyDescent="0.35">
      <c r="G54" s="142">
        <v>4.5</v>
      </c>
      <c r="H54" s="142">
        <v>150</v>
      </c>
    </row>
    <row r="56" spans="7:8" x14ac:dyDescent="0.35">
      <c r="G56" s="142">
        <v>10.5</v>
      </c>
      <c r="H56" s="142">
        <v>-2</v>
      </c>
    </row>
    <row r="57" spans="7:8" x14ac:dyDescent="0.35">
      <c r="G57" s="142">
        <v>10.5</v>
      </c>
      <c r="H57" s="142">
        <v>150</v>
      </c>
    </row>
    <row r="75" spans="24:28" x14ac:dyDescent="0.35">
      <c r="X75" s="142" t="s">
        <v>608</v>
      </c>
    </row>
    <row r="76" spans="24:28" x14ac:dyDescent="0.35">
      <c r="X76" s="142" t="s">
        <v>871</v>
      </c>
      <c r="Y76" s="142">
        <v>6</v>
      </c>
      <c r="Z76" s="142">
        <v>8</v>
      </c>
      <c r="AA76" s="142">
        <v>12</v>
      </c>
      <c r="AB76" s="142">
        <v>14</v>
      </c>
    </row>
    <row r="89" spans="23:23" x14ac:dyDescent="0.35">
      <c r="W89" s="142">
        <f>17.4-2.3</f>
        <v>15.099999999999998</v>
      </c>
    </row>
  </sheetData>
  <pageMargins left="0.7" right="0.7" top="0.75" bottom="0.75" header="0.3" footer="0.3"/>
  <pageSetup paperSize="9" scale="78" orientation="landscape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9AEAE-CD74-484A-9594-26A64EBDC5C4}">
  <sheetPr codeName="Sheet18">
    <tabColor theme="0"/>
  </sheetPr>
  <dimension ref="O4:T19"/>
  <sheetViews>
    <sheetView topLeftCell="A10" zoomScale="83" zoomScaleNormal="97" workbookViewId="0">
      <selection activeCell="R26" sqref="R26"/>
    </sheetView>
  </sheetViews>
  <sheetFormatPr defaultColWidth="9.26953125" defaultRowHeight="14.5" x14ac:dyDescent="0.35"/>
  <cols>
    <col min="1" max="16384" width="9.26953125" style="146"/>
  </cols>
  <sheetData>
    <row r="4" spans="15:20" x14ac:dyDescent="0.35">
      <c r="O4" s="156" t="s">
        <v>634</v>
      </c>
    </row>
    <row r="5" spans="15:20" x14ac:dyDescent="0.35">
      <c r="O5" s="146" t="s">
        <v>596</v>
      </c>
    </row>
    <row r="6" spans="15:20" x14ac:dyDescent="0.35">
      <c r="O6" s="156"/>
      <c r="P6" s="156"/>
      <c r="Q6" s="156"/>
      <c r="R6" s="156"/>
    </row>
    <row r="7" spans="15:20" x14ac:dyDescent="0.35">
      <c r="O7" s="156"/>
      <c r="P7" s="156"/>
      <c r="Q7" s="156"/>
      <c r="R7" s="156"/>
    </row>
    <row r="8" spans="15:20" x14ac:dyDescent="0.35">
      <c r="O8" s="156"/>
      <c r="P8" s="156"/>
      <c r="Q8" s="156"/>
      <c r="R8" s="156"/>
    </row>
    <row r="9" spans="15:20" x14ac:dyDescent="0.35">
      <c r="O9" s="156"/>
      <c r="P9" s="156"/>
      <c r="Q9" s="156"/>
      <c r="R9" s="156"/>
    </row>
    <row r="10" spans="15:20" x14ac:dyDescent="0.35">
      <c r="O10" s="156">
        <v>-5</v>
      </c>
      <c r="P10" s="156">
        <v>2000</v>
      </c>
      <c r="Q10" s="156"/>
      <c r="R10" t="s">
        <v>542</v>
      </c>
      <c r="S10">
        <v>4.5</v>
      </c>
      <c r="T10">
        <v>-5</v>
      </c>
    </row>
    <row r="11" spans="15:20" x14ac:dyDescent="0.35">
      <c r="O11" s="156">
        <v>25</v>
      </c>
      <c r="P11" s="156">
        <v>2000</v>
      </c>
      <c r="Q11" s="156"/>
      <c r="R11"/>
      <c r="S11">
        <v>4.5</v>
      </c>
      <c r="T11">
        <v>3000</v>
      </c>
    </row>
    <row r="12" spans="15:20" x14ac:dyDescent="0.35">
      <c r="O12" s="156"/>
      <c r="P12" s="156"/>
      <c r="Q12" s="156"/>
      <c r="R12"/>
      <c r="S12"/>
      <c r="T12"/>
    </row>
    <row r="13" spans="15:20" x14ac:dyDescent="0.35">
      <c r="O13" s="156"/>
      <c r="P13" s="156"/>
      <c r="Q13" s="156"/>
      <c r="R13"/>
      <c r="S13">
        <v>10.5</v>
      </c>
      <c r="T13">
        <v>-5</v>
      </c>
    </row>
    <row r="14" spans="15:20" x14ac:dyDescent="0.35">
      <c r="O14" s="156"/>
      <c r="P14" s="156"/>
      <c r="Q14" s="156"/>
      <c r="R14"/>
      <c r="S14">
        <v>10.5</v>
      </c>
      <c r="T14"/>
    </row>
    <row r="17" spans="15:16" x14ac:dyDescent="0.35">
      <c r="P17" s="146" t="s">
        <v>226</v>
      </c>
    </row>
    <row r="19" spans="15:16" x14ac:dyDescent="0.35">
      <c r="O19" s="157"/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8A4CD-02B5-4FED-838C-142CD4992312}">
  <dimension ref="X14:Y15"/>
  <sheetViews>
    <sheetView topLeftCell="A17" zoomScale="80" zoomScaleNormal="80" workbookViewId="0">
      <selection activeCell="Q59" sqref="Q59"/>
    </sheetView>
  </sheetViews>
  <sheetFormatPr defaultRowHeight="14.5" x14ac:dyDescent="0.35"/>
  <sheetData>
    <row r="14" spans="24:25" x14ac:dyDescent="0.35">
      <c r="X14">
        <v>4.5</v>
      </c>
      <c r="Y14">
        <v>-4</v>
      </c>
    </row>
    <row r="15" spans="24:25" x14ac:dyDescent="0.35">
      <c r="X15">
        <v>4.5</v>
      </c>
      <c r="Y15">
        <v>3000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8860E-5CA2-4437-B60B-0EC8FA25CDA9}">
  <sheetPr codeName="Sheet15">
    <tabColor theme="0"/>
  </sheetPr>
  <dimension ref="W8:Z109"/>
  <sheetViews>
    <sheetView topLeftCell="A76" zoomScale="70" zoomScaleNormal="70" workbookViewId="0">
      <selection activeCell="U106" sqref="U106"/>
    </sheetView>
  </sheetViews>
  <sheetFormatPr defaultColWidth="9.26953125" defaultRowHeight="14.5" x14ac:dyDescent="0.35"/>
  <cols>
    <col min="1" max="16384" width="9.26953125" style="142"/>
  </cols>
  <sheetData>
    <row r="8" spans="24:26" x14ac:dyDescent="0.35">
      <c r="X8" t="s">
        <v>542</v>
      </c>
      <c r="Y8">
        <v>4.5</v>
      </c>
      <c r="Z8">
        <v>-10</v>
      </c>
    </row>
    <row r="9" spans="24:26" x14ac:dyDescent="0.35">
      <c r="X9"/>
      <c r="Y9">
        <v>4.5</v>
      </c>
      <c r="Z9">
        <v>100</v>
      </c>
    </row>
    <row r="10" spans="24:26" x14ac:dyDescent="0.35">
      <c r="X10"/>
      <c r="Y10"/>
      <c r="Z10"/>
    </row>
    <row r="11" spans="24:26" x14ac:dyDescent="0.35">
      <c r="X11"/>
      <c r="Y11">
        <v>10.5</v>
      </c>
      <c r="Z11">
        <v>-10</v>
      </c>
    </row>
    <row r="12" spans="24:26" x14ac:dyDescent="0.35">
      <c r="X12"/>
      <c r="Y12">
        <v>10.5</v>
      </c>
      <c r="Z12">
        <v>100</v>
      </c>
    </row>
    <row r="109" spans="23:23" x14ac:dyDescent="0.35">
      <c r="W109" s="142" t="s">
        <v>1100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93760-34F4-4BAE-9C2A-6A97166CE529}">
  <dimension ref="A1:L13"/>
  <sheetViews>
    <sheetView topLeftCell="A13" zoomScale="130" zoomScaleNormal="130" workbookViewId="0">
      <selection activeCell="E11" sqref="E11"/>
    </sheetView>
  </sheetViews>
  <sheetFormatPr defaultRowHeight="14.5" x14ac:dyDescent="0.35"/>
  <cols>
    <col min="2" max="2" width="11.81640625" customWidth="1"/>
    <col min="3" max="3" width="10.81640625" customWidth="1"/>
    <col min="4" max="4" width="13.453125" bestFit="1" customWidth="1"/>
    <col min="5" max="5" width="10.81640625" bestFit="1" customWidth="1"/>
    <col min="6" max="6" width="13.453125" bestFit="1" customWidth="1"/>
    <col min="7" max="7" width="10.7265625" customWidth="1"/>
  </cols>
  <sheetData>
    <row r="1" spans="1:12" x14ac:dyDescent="0.35">
      <c r="B1" s="1" t="s">
        <v>953</v>
      </c>
      <c r="D1" s="1" t="s">
        <v>951</v>
      </c>
      <c r="F1" s="1" t="s">
        <v>952</v>
      </c>
    </row>
    <row r="2" spans="1:12" x14ac:dyDescent="0.35">
      <c r="B2" s="1" t="s">
        <v>950</v>
      </c>
      <c r="C2" s="1" t="s">
        <v>954</v>
      </c>
      <c r="D2" s="1" t="s">
        <v>950</v>
      </c>
      <c r="E2" s="1" t="s">
        <v>954</v>
      </c>
      <c r="F2" s="1" t="s">
        <v>950</v>
      </c>
      <c r="G2" s="1" t="s">
        <v>954</v>
      </c>
    </row>
    <row r="3" spans="1:12" x14ac:dyDescent="0.35">
      <c r="A3">
        <v>1</v>
      </c>
      <c r="B3">
        <v>0.9446</v>
      </c>
      <c r="C3">
        <v>78.594386895265501</v>
      </c>
      <c r="D3">
        <v>0.94620000000000004</v>
      </c>
      <c r="E3">
        <v>69.515548902270027</v>
      </c>
      <c r="F3">
        <v>0.95940000000000003</v>
      </c>
      <c r="G3">
        <v>65.502224803077567</v>
      </c>
      <c r="I3">
        <v>100</v>
      </c>
      <c r="J3">
        <f>B3*$I$3</f>
        <v>94.46</v>
      </c>
      <c r="K3">
        <f>$I$3*D3</f>
        <v>94.62</v>
      </c>
      <c r="L3">
        <f>$I$3*F3</f>
        <v>95.94</v>
      </c>
    </row>
    <row r="4" spans="1:12" x14ac:dyDescent="0.35">
      <c r="A4">
        <v>2</v>
      </c>
      <c r="B4">
        <v>0.94910000000000005</v>
      </c>
      <c r="C4">
        <v>72.920064207445563</v>
      </c>
      <c r="D4">
        <v>0.96040000000000003</v>
      </c>
      <c r="E4">
        <v>64.603212456070878</v>
      </c>
      <c r="F4">
        <v>0.96250000000000002</v>
      </c>
      <c r="G4">
        <v>64.320958083832352</v>
      </c>
      <c r="J4">
        <f t="shared" ref="J4:J10" si="0">B4*$I$3</f>
        <v>94.910000000000011</v>
      </c>
      <c r="K4">
        <f t="shared" ref="K4:K13" si="1">$I$3*D4</f>
        <v>96.04</v>
      </c>
      <c r="L4">
        <f t="shared" ref="L4:L13" si="2">$I$3*F4</f>
        <v>96.25</v>
      </c>
    </row>
    <row r="5" spans="1:12" x14ac:dyDescent="0.35">
      <c r="A5">
        <v>3</v>
      </c>
      <c r="B5">
        <v>0.95109999999999995</v>
      </c>
      <c r="C5">
        <v>73.47923552112033</v>
      </c>
      <c r="D5">
        <v>0.9677</v>
      </c>
      <c r="E5">
        <v>66.089600096537808</v>
      </c>
      <c r="F5">
        <v>0.97299999999999998</v>
      </c>
      <c r="G5">
        <v>64.694558665943248</v>
      </c>
      <c r="J5">
        <f t="shared" si="0"/>
        <v>95.11</v>
      </c>
      <c r="K5">
        <f t="shared" si="1"/>
        <v>96.77</v>
      </c>
      <c r="L5">
        <f t="shared" si="2"/>
        <v>97.3</v>
      </c>
    </row>
    <row r="6" spans="1:12" x14ac:dyDescent="0.35">
      <c r="A6">
        <v>4</v>
      </c>
      <c r="B6">
        <v>0.95369999999999999</v>
      </c>
      <c r="C6">
        <v>71.279793716069747</v>
      </c>
      <c r="D6">
        <v>0.96509999999999996</v>
      </c>
      <c r="E6">
        <v>65.198799755569965</v>
      </c>
      <c r="F6">
        <v>0.97270000000000001</v>
      </c>
      <c r="G6">
        <v>64.305191354643796</v>
      </c>
      <c r="J6">
        <f t="shared" si="0"/>
        <v>95.37</v>
      </c>
      <c r="K6">
        <f t="shared" si="1"/>
        <v>96.509999999999991</v>
      </c>
      <c r="L6">
        <f t="shared" si="2"/>
        <v>97.27</v>
      </c>
    </row>
    <row r="7" spans="1:12" x14ac:dyDescent="0.35">
      <c r="A7">
        <v>5</v>
      </c>
      <c r="B7">
        <v>0.9546</v>
      </c>
      <c r="C7">
        <v>69.76665631366707</v>
      </c>
      <c r="D7">
        <v>0.96650000000000003</v>
      </c>
      <c r="E7">
        <v>63.739784646471811</v>
      </c>
      <c r="F7">
        <v>0.97540000000000004</v>
      </c>
      <c r="J7">
        <f t="shared" si="0"/>
        <v>95.46</v>
      </c>
      <c r="K7">
        <f t="shared" si="1"/>
        <v>96.65</v>
      </c>
      <c r="L7">
        <f t="shared" si="2"/>
        <v>97.54</v>
      </c>
    </row>
    <row r="8" spans="1:12" x14ac:dyDescent="0.35">
      <c r="A8">
        <v>6</v>
      </c>
      <c r="B8">
        <v>0.95289999999999997</v>
      </c>
      <c r="C8">
        <v>71.039608608793358</v>
      </c>
      <c r="D8">
        <v>0.96889999999999998</v>
      </c>
      <c r="E8">
        <v>63.158939021148072</v>
      </c>
      <c r="F8">
        <v>0.97570000000000001</v>
      </c>
      <c r="J8">
        <f t="shared" si="0"/>
        <v>95.289999999999992</v>
      </c>
      <c r="K8">
        <f t="shared" si="1"/>
        <v>96.89</v>
      </c>
      <c r="L8">
        <f t="shared" si="2"/>
        <v>97.570000000000007</v>
      </c>
    </row>
    <row r="9" spans="1:12" x14ac:dyDescent="0.35">
      <c r="A9">
        <v>7</v>
      </c>
      <c r="B9">
        <v>0.95399999999999996</v>
      </c>
      <c r="C9">
        <v>73.565644707940791</v>
      </c>
      <c r="J9">
        <f t="shared" si="0"/>
        <v>95.399999999999991</v>
      </c>
      <c r="K9">
        <f t="shared" si="1"/>
        <v>0</v>
      </c>
      <c r="L9">
        <f t="shared" si="2"/>
        <v>0</v>
      </c>
    </row>
    <row r="10" spans="1:12" x14ac:dyDescent="0.35">
      <c r="J10">
        <f t="shared" si="0"/>
        <v>0</v>
      </c>
      <c r="K10">
        <f t="shared" si="1"/>
        <v>0</v>
      </c>
      <c r="L10">
        <f t="shared" si="2"/>
        <v>0</v>
      </c>
    </row>
    <row r="11" spans="1:12" x14ac:dyDescent="0.35">
      <c r="J11">
        <f t="shared" ref="J11:J13" si="3">B11*$I$3</f>
        <v>0</v>
      </c>
      <c r="K11">
        <f t="shared" si="1"/>
        <v>0</v>
      </c>
      <c r="L11">
        <f t="shared" si="2"/>
        <v>0</v>
      </c>
    </row>
    <row r="12" spans="1:12" x14ac:dyDescent="0.35">
      <c r="J12">
        <f t="shared" si="3"/>
        <v>0</v>
      </c>
      <c r="K12">
        <f t="shared" si="1"/>
        <v>0</v>
      </c>
      <c r="L12">
        <f t="shared" si="2"/>
        <v>0</v>
      </c>
    </row>
    <row r="13" spans="1:12" x14ac:dyDescent="0.35">
      <c r="J13">
        <f t="shared" si="3"/>
        <v>0</v>
      </c>
      <c r="K13">
        <f t="shared" si="1"/>
        <v>0</v>
      </c>
      <c r="L13">
        <f t="shared" si="2"/>
        <v>0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E2A15-A3F6-4C57-A21B-8083DD23C85A}">
  <sheetPr>
    <tabColor theme="4" tint="0.59999389629810485"/>
  </sheetPr>
  <dimension ref="A2:DJ293"/>
  <sheetViews>
    <sheetView zoomScale="88" zoomScaleNormal="60" workbookViewId="0">
      <pane xSplit="5" ySplit="6" topLeftCell="F176" activePane="bottomRight" state="frozen"/>
      <selection activeCell="I163" sqref="I163"/>
      <selection pane="topRight" activeCell="I163" sqref="I163"/>
      <selection pane="bottomLeft" activeCell="I163" sqref="I163"/>
      <selection pane="bottomRight" activeCell="O205" sqref="O205"/>
    </sheetView>
  </sheetViews>
  <sheetFormatPr defaultRowHeight="14.5" x14ac:dyDescent="0.35"/>
  <cols>
    <col min="1" max="2" width="1.81640625" customWidth="1"/>
    <col min="3" max="3" width="42.1796875" style="1" customWidth="1"/>
    <col min="4" max="5" width="5.81640625" style="1" customWidth="1"/>
    <col min="6" max="6" width="8.54296875" style="1726" customWidth="1"/>
    <col min="7" max="7" width="9.453125" style="232" bestFit="1" customWidth="1"/>
    <col min="8" max="8" width="6.453125" style="232" customWidth="1"/>
    <col min="9" max="9" width="6.453125" style="1813" customWidth="1"/>
    <col min="10" max="10" width="7.1796875" style="1726" customWidth="1"/>
    <col min="11" max="12" width="6.453125" style="232" customWidth="1"/>
    <col min="13" max="13" width="6.81640625" style="232" customWidth="1"/>
    <col min="14" max="14" width="6.453125" style="1814" customWidth="1"/>
    <col min="15" max="15" width="7" style="1813" customWidth="1"/>
    <col min="16" max="16" width="7.81640625" style="1726" customWidth="1"/>
    <col min="17" max="17" width="6.453125" style="232" customWidth="1"/>
    <col min="18" max="18" width="6.81640625" style="232" customWidth="1"/>
    <col min="19" max="19" width="7.81640625" style="1814" customWidth="1"/>
    <col min="20" max="20" width="6.453125" style="1814" customWidth="1"/>
    <col min="21" max="21" width="8" style="1814" customWidth="1"/>
    <col min="22" max="22" width="6.453125" style="232" customWidth="1"/>
    <col min="23" max="23" width="1.81640625" style="1701" customWidth="1"/>
    <col min="24" max="24" width="7.81640625" style="1726" customWidth="1"/>
    <col min="25" max="25" width="7.1796875" style="232" customWidth="1"/>
    <col min="26" max="26" width="8.1796875" style="232" customWidth="1"/>
    <col min="27" max="27" width="6.453125" style="231" customWidth="1"/>
    <col min="28" max="28" width="6.453125" style="1726" customWidth="1"/>
    <col min="29" max="30" width="6.453125" style="232" customWidth="1"/>
    <col min="31" max="31" width="6.54296875" style="232" customWidth="1"/>
    <col min="32" max="32" width="7.453125" style="232" bestFit="1" customWidth="1"/>
    <col min="33" max="33" width="7.453125" style="231" bestFit="1" customWidth="1"/>
    <col min="34" max="34" width="6.453125" style="1726" customWidth="1"/>
    <col min="35" max="40" width="6.453125" style="232" customWidth="1"/>
    <col min="41" max="41" width="1.81640625" style="323" customWidth="1"/>
    <col min="42" max="44" width="6.54296875" style="232" customWidth="1"/>
    <col min="45" max="45" width="6.54296875" style="231" customWidth="1"/>
    <col min="46" max="46" width="6.54296875" style="1726" customWidth="1"/>
    <col min="47" max="48" width="7.54296875" style="232" bestFit="1" customWidth="1"/>
    <col min="49" max="49" width="7.453125" style="232" bestFit="1" customWidth="1"/>
    <col min="50" max="50" width="6.54296875" style="232" customWidth="1"/>
    <col min="51" max="51" width="6.54296875" style="231" customWidth="1"/>
    <col min="52" max="52" width="6.54296875" style="1726" customWidth="1"/>
    <col min="53" max="53" width="6.54296875" style="232" customWidth="1"/>
    <col min="54" max="54" width="7" style="232" bestFit="1" customWidth="1"/>
    <col min="55" max="57" width="6.54296875" style="232" customWidth="1"/>
    <col min="58" max="58" width="6.453125" style="232" customWidth="1"/>
    <col min="59" max="59" width="1.81640625" style="323" customWidth="1"/>
    <col min="60" max="62" width="6.453125" style="232" customWidth="1"/>
    <col min="63" max="63" width="6.453125" style="231" customWidth="1"/>
    <col min="64" max="64" width="6.453125" style="1726" customWidth="1"/>
    <col min="65" max="68" width="6.453125" style="232" customWidth="1"/>
    <col min="69" max="69" width="6.453125" style="231" customWidth="1"/>
    <col min="70" max="70" width="6.453125" style="1726" customWidth="1"/>
    <col min="71" max="76" width="6.453125" style="232" customWidth="1"/>
    <col min="77" max="77" width="2.81640625" style="323" customWidth="1"/>
    <col min="78" max="78" width="15.453125" style="238" customWidth="1"/>
    <col min="79" max="81" width="6.453125" style="232" customWidth="1"/>
    <col min="82" max="82" width="6.453125" style="231" customWidth="1"/>
    <col min="83" max="83" width="6.453125" style="1726" customWidth="1"/>
    <col min="84" max="87" width="6.453125" style="232" customWidth="1"/>
    <col min="88" max="88" width="6.453125" style="231" customWidth="1"/>
    <col min="89" max="89" width="6.453125" style="1726" customWidth="1"/>
    <col min="90" max="94" width="6.453125" style="232" customWidth="1"/>
    <col min="95" max="95" width="6.81640625" style="232" customWidth="1"/>
    <col min="96" max="96" width="4.54296875" style="323" customWidth="1"/>
    <col min="97" max="97" width="9.81640625" style="232" customWidth="1"/>
    <col min="98" max="99" width="7.453125" style="232" customWidth="1"/>
    <col min="100" max="100" width="7.453125" style="231" customWidth="1"/>
    <col min="101" max="101" width="7.453125" style="1726" customWidth="1"/>
    <col min="102" max="105" width="7.453125" style="232" customWidth="1"/>
    <col min="106" max="106" width="7.453125" style="231" customWidth="1"/>
    <col min="107" max="107" width="6.453125" style="1726" customWidth="1"/>
    <col min="108" max="108" width="6.453125" style="232" customWidth="1"/>
    <col min="109" max="109" width="8.54296875" style="232" customWidth="1"/>
    <col min="110" max="110" width="8" style="232" customWidth="1"/>
    <col min="111" max="113" width="9.1796875" style="232"/>
  </cols>
  <sheetData>
    <row r="2" spans="3:114" ht="8.15" customHeight="1" x14ac:dyDescent="0.35">
      <c r="F2" s="2722" t="s">
        <v>206</v>
      </c>
      <c r="G2" s="2723"/>
      <c r="H2" s="317"/>
      <c r="I2" s="1699"/>
      <c r="J2" s="2765" t="s">
        <v>206</v>
      </c>
      <c r="K2" s="2766"/>
      <c r="L2" s="317"/>
      <c r="M2" s="317"/>
      <c r="N2" s="1700"/>
      <c r="O2" s="1699"/>
      <c r="P2" s="2767" t="s">
        <v>206</v>
      </c>
      <c r="Q2" s="2768"/>
      <c r="R2" s="317"/>
      <c r="S2" s="1700"/>
      <c r="T2" s="1700"/>
      <c r="U2" s="1700"/>
      <c r="X2" s="1702" t="s">
        <v>391</v>
      </c>
      <c r="Y2" s="239"/>
      <c r="AB2" s="1702" t="s">
        <v>392</v>
      </c>
      <c r="AC2" s="239"/>
      <c r="AH2" s="1703" t="s">
        <v>393</v>
      </c>
      <c r="AP2" s="1704" t="s">
        <v>352</v>
      </c>
      <c r="AQ2" s="1704"/>
      <c r="AR2" s="1705"/>
      <c r="AS2" s="1706"/>
      <c r="AT2" s="2769" t="s">
        <v>15</v>
      </c>
      <c r="AU2" s="2770"/>
      <c r="AV2" s="1705"/>
      <c r="AW2" s="1705"/>
      <c r="AX2" s="1705"/>
      <c r="AY2" s="1706"/>
      <c r="AZ2" s="2771" t="s">
        <v>15</v>
      </c>
      <c r="BA2" s="2770"/>
      <c r="BB2" s="1705"/>
      <c r="BC2" s="1705"/>
      <c r="BD2" s="1707"/>
      <c r="BE2" s="1707"/>
      <c r="BF2" s="1707"/>
      <c r="BH2" s="2756" t="s">
        <v>0</v>
      </c>
      <c r="BI2" s="2757"/>
      <c r="BJ2" s="1708"/>
      <c r="BK2" s="1709"/>
      <c r="BL2" s="2756" t="s">
        <v>0</v>
      </c>
      <c r="BM2" s="2757"/>
      <c r="BN2" s="1708"/>
      <c r="BO2" s="1708"/>
      <c r="BP2" s="1708"/>
      <c r="BQ2" s="1709"/>
      <c r="BR2" s="2756" t="s">
        <v>0</v>
      </c>
      <c r="BS2" s="2757"/>
      <c r="CA2" s="1515" t="s">
        <v>1</v>
      </c>
      <c r="CB2" s="1710"/>
      <c r="CC2" s="322"/>
      <c r="CD2" s="1711"/>
      <c r="CE2" s="1712" t="s">
        <v>1</v>
      </c>
      <c r="CF2" s="322"/>
      <c r="CG2" s="322"/>
      <c r="CH2" s="322"/>
      <c r="CI2" s="322"/>
      <c r="CJ2" s="1711"/>
      <c r="CK2" s="1712" t="s">
        <v>1</v>
      </c>
      <c r="CL2" s="322"/>
      <c r="CM2" s="322"/>
      <c r="CN2" s="322"/>
      <c r="CO2" s="322"/>
      <c r="CP2" s="322"/>
      <c r="CQ2" s="322"/>
      <c r="CS2" s="2758" t="s">
        <v>2</v>
      </c>
      <c r="CT2" s="2759"/>
      <c r="CW2" s="1713" t="s">
        <v>2</v>
      </c>
      <c r="CX2" s="1714"/>
      <c r="DC2" s="1713" t="s">
        <v>2</v>
      </c>
    </row>
    <row r="3" spans="3:114" x14ac:dyDescent="0.35">
      <c r="F3" s="1715" t="s">
        <v>396</v>
      </c>
      <c r="G3" s="1716"/>
      <c r="H3" s="317"/>
      <c r="I3" s="1699"/>
      <c r="J3" s="1717" t="s">
        <v>400</v>
      </c>
      <c r="K3" s="317"/>
      <c r="L3" s="317"/>
      <c r="M3" s="317"/>
      <c r="N3" s="1700"/>
      <c r="O3" s="1699"/>
      <c r="P3" s="1718" t="s">
        <v>401</v>
      </c>
      <c r="Q3" s="239"/>
      <c r="R3" s="317"/>
      <c r="S3" s="1700"/>
      <c r="T3" s="1700"/>
      <c r="U3" s="1700"/>
      <c r="X3" s="1702" t="s">
        <v>397</v>
      </c>
      <c r="Y3" s="239"/>
      <c r="AB3" s="1702" t="s">
        <v>400</v>
      </c>
      <c r="AC3" s="239"/>
      <c r="AH3" s="1703" t="s">
        <v>402</v>
      </c>
      <c r="AP3" s="1704" t="s">
        <v>398</v>
      </c>
      <c r="AQ3" s="1704"/>
      <c r="AR3" s="1705"/>
      <c r="AS3" s="1706"/>
      <c r="AT3" s="1719" t="s">
        <v>400</v>
      </c>
      <c r="AU3" s="1705"/>
      <c r="AV3" s="1705"/>
      <c r="AW3" s="1705"/>
      <c r="AX3" s="1705"/>
      <c r="AY3" s="1706"/>
      <c r="AZ3" s="1719" t="s">
        <v>402</v>
      </c>
      <c r="BA3" s="1705"/>
      <c r="BB3" s="1705"/>
      <c r="BC3" s="1705"/>
      <c r="BD3" s="1707"/>
      <c r="BE3" s="1707"/>
      <c r="BF3" s="1707"/>
      <c r="BH3" s="1720" t="s">
        <v>399</v>
      </c>
      <c r="BI3" s="1708"/>
      <c r="BJ3" s="1708"/>
      <c r="BK3" s="1709"/>
      <c r="BL3" s="1721" t="s">
        <v>400</v>
      </c>
      <c r="BM3" s="1708"/>
      <c r="BN3" s="1708"/>
      <c r="BO3" s="1708"/>
      <c r="BP3" s="1708"/>
      <c r="BQ3" s="1709"/>
      <c r="BR3" s="1721" t="s">
        <v>402</v>
      </c>
      <c r="BS3" s="1708"/>
      <c r="CA3" s="1515" t="s">
        <v>397</v>
      </c>
      <c r="CB3" s="1710"/>
      <c r="CC3" s="322"/>
      <c r="CD3" s="1711"/>
      <c r="CE3" s="1712" t="s">
        <v>400</v>
      </c>
      <c r="CF3" s="322"/>
      <c r="CG3" s="322"/>
      <c r="CH3" s="322"/>
      <c r="CI3" s="322"/>
      <c r="CJ3" s="1711"/>
      <c r="CK3" s="1712" t="s">
        <v>402</v>
      </c>
      <c r="CL3" s="322"/>
      <c r="CM3" s="322"/>
      <c r="CN3" s="322"/>
      <c r="CO3" s="322"/>
      <c r="CP3" s="322"/>
      <c r="CQ3" s="322"/>
      <c r="CS3" s="2758" t="s">
        <v>398</v>
      </c>
      <c r="CT3" s="2759"/>
      <c r="CW3" s="1713" t="s">
        <v>400</v>
      </c>
      <c r="CX3" s="1714"/>
      <c r="DC3" s="1713" t="s">
        <v>402</v>
      </c>
    </row>
    <row r="4" spans="3:114" x14ac:dyDescent="0.35">
      <c r="C4" s="163" t="s">
        <v>293</v>
      </c>
      <c r="D4" s="163"/>
      <c r="E4" s="163"/>
      <c r="F4" s="1722">
        <v>45855</v>
      </c>
      <c r="G4" s="1723">
        <v>45856</v>
      </c>
      <c r="H4" s="1723">
        <v>45857</v>
      </c>
      <c r="I4" s="1724">
        <v>45858</v>
      </c>
      <c r="J4" s="1722">
        <v>45859</v>
      </c>
      <c r="K4" s="1723">
        <v>45860</v>
      </c>
      <c r="L4" s="1723">
        <v>45861</v>
      </c>
      <c r="M4" s="1723">
        <v>45862</v>
      </c>
      <c r="N4" s="1725">
        <v>45863</v>
      </c>
      <c r="O4" s="1724">
        <v>45864</v>
      </c>
      <c r="P4" s="1722">
        <v>45865</v>
      </c>
      <c r="Q4" s="1723">
        <v>45866</v>
      </c>
      <c r="R4" s="1723">
        <v>45867</v>
      </c>
      <c r="S4" s="1725">
        <v>45868</v>
      </c>
      <c r="T4" s="1725">
        <v>45869</v>
      </c>
      <c r="U4" s="1725">
        <v>45870</v>
      </c>
      <c r="AP4" s="1723"/>
      <c r="AQ4" s="1723"/>
      <c r="AR4" s="1723"/>
      <c r="AS4" s="1727"/>
      <c r="AT4" s="1722"/>
      <c r="AU4" s="1723"/>
      <c r="AV4" s="1723"/>
      <c r="AW4" s="1723"/>
      <c r="AX4" s="1723"/>
      <c r="AY4" s="1727"/>
      <c r="AZ4" s="1722"/>
      <c r="BA4" s="1723"/>
      <c r="BB4" s="1723"/>
      <c r="BC4" s="1723"/>
      <c r="BD4" s="1723"/>
      <c r="BE4" s="1723"/>
      <c r="BF4" s="1723"/>
      <c r="BH4" s="1723"/>
      <c r="BI4" s="1723"/>
      <c r="BJ4" s="1723"/>
      <c r="BK4" s="1727"/>
      <c r="BL4" s="1722"/>
      <c r="BM4" s="1723"/>
      <c r="BN4" s="1723"/>
      <c r="BO4" s="1723"/>
      <c r="BP4" s="1723"/>
      <c r="BQ4" s="1727"/>
      <c r="BR4" s="1722"/>
      <c r="BS4" s="1723"/>
      <c r="BT4" s="1723"/>
      <c r="BU4" s="1723"/>
      <c r="BV4" s="1723"/>
      <c r="BW4" s="1723"/>
      <c r="CA4" s="1723"/>
      <c r="CB4" s="1723"/>
      <c r="CC4" s="1723"/>
      <c r="CD4" s="1727"/>
      <c r="CE4" s="1722"/>
      <c r="CF4" s="1723"/>
      <c r="CG4" s="1723"/>
      <c r="CH4" s="1723"/>
      <c r="CI4" s="1723"/>
      <c r="CJ4" s="1727"/>
      <c r="CK4" s="1722"/>
      <c r="CL4" s="1723"/>
      <c r="CM4" s="1723"/>
      <c r="CN4" s="1723"/>
      <c r="CO4" s="1723"/>
      <c r="CP4" s="1723"/>
      <c r="CQ4" s="1723"/>
      <c r="CS4" s="1723"/>
      <c r="CT4" s="1723"/>
      <c r="CU4" s="1723"/>
      <c r="CV4" s="1727"/>
      <c r="CW4" s="1722"/>
      <c r="CX4" s="1723"/>
      <c r="CY4" s="1723"/>
      <c r="CZ4" s="1723"/>
      <c r="DA4" s="1723"/>
      <c r="DB4" s="1727"/>
      <c r="DC4" s="1722"/>
      <c r="DD4" s="1723"/>
      <c r="DE4" s="1723"/>
    </row>
    <row r="5" spans="3:114" ht="15" thickBot="1" x14ac:dyDescent="0.4">
      <c r="C5" s="163" t="s">
        <v>215</v>
      </c>
      <c r="D5" s="163"/>
      <c r="E5" s="163"/>
      <c r="F5" s="1728">
        <v>45856</v>
      </c>
      <c r="G5" s="1729">
        <v>45857</v>
      </c>
      <c r="H5" s="1729">
        <v>45858</v>
      </c>
      <c r="I5" s="1730">
        <v>45859</v>
      </c>
      <c r="J5" s="1728">
        <v>45860</v>
      </c>
      <c r="K5" s="1729">
        <v>45861</v>
      </c>
      <c r="L5" s="1729"/>
      <c r="M5" s="1729"/>
      <c r="N5" s="1731"/>
      <c r="O5" s="1730"/>
      <c r="P5" s="1728"/>
      <c r="Q5" s="1729"/>
      <c r="R5" s="1729"/>
      <c r="S5" s="1731"/>
      <c r="T5" s="1731"/>
      <c r="U5" s="1731"/>
      <c r="V5" s="1729"/>
      <c r="W5" s="1732"/>
      <c r="X5" s="1728"/>
      <c r="Y5" s="1729"/>
      <c r="Z5" s="1729"/>
      <c r="AA5" s="1733"/>
      <c r="AB5" s="1728"/>
      <c r="AC5" s="1729"/>
      <c r="AD5" s="1729"/>
      <c r="AE5" s="1729"/>
      <c r="AF5" s="1729"/>
      <c r="AG5" s="1733"/>
      <c r="AH5" s="1728"/>
      <c r="AI5" s="1729"/>
      <c r="AJ5" s="1729"/>
      <c r="AK5" s="1729"/>
      <c r="AL5" s="1729"/>
      <c r="AM5" s="1729"/>
      <c r="AN5" s="1729"/>
      <c r="AO5" s="1734"/>
      <c r="AP5" s="1729"/>
      <c r="AQ5" s="1729"/>
      <c r="AR5" s="1729"/>
      <c r="AS5" s="1733"/>
      <c r="AT5" s="1728"/>
      <c r="AU5" s="1729"/>
      <c r="AV5" s="1729"/>
      <c r="AW5" s="1729"/>
      <c r="AX5" s="1729"/>
      <c r="AY5" s="1733"/>
      <c r="AZ5" s="1728"/>
      <c r="BA5" s="1729"/>
      <c r="BB5" s="1729"/>
      <c r="BC5" s="1729"/>
      <c r="BD5" s="1729"/>
      <c r="BE5" s="1729"/>
      <c r="BF5" s="1729"/>
      <c r="BG5" s="344"/>
      <c r="BH5" s="1729"/>
      <c r="BI5" s="1729"/>
      <c r="BJ5" s="1729"/>
      <c r="BK5" s="1733"/>
      <c r="BL5" s="1728"/>
      <c r="BM5" s="1729"/>
      <c r="BN5" s="1729"/>
      <c r="BO5" s="1729"/>
      <c r="BP5" s="1729"/>
      <c r="BQ5" s="1733"/>
      <c r="BR5" s="1728"/>
      <c r="BS5" s="1729"/>
      <c r="BT5" s="1729"/>
      <c r="BU5" s="1729"/>
      <c r="BV5" s="1729"/>
      <c r="BW5" s="1729"/>
      <c r="BX5" s="225"/>
      <c r="BY5" s="344"/>
      <c r="BZ5" s="345"/>
      <c r="CA5" s="1729"/>
      <c r="CB5" s="1729"/>
      <c r="CC5" s="1729"/>
      <c r="CD5" s="1733"/>
      <c r="CE5" s="1728"/>
      <c r="CF5" s="1729"/>
      <c r="CG5" s="1729"/>
      <c r="CH5" s="1729"/>
      <c r="CI5" s="1729"/>
      <c r="CJ5" s="1733"/>
      <c r="CK5" s="1728"/>
      <c r="CL5" s="1729"/>
      <c r="CM5" s="1729"/>
      <c r="CN5" s="1729"/>
      <c r="CO5" s="1729"/>
      <c r="CP5" s="1729"/>
      <c r="CQ5" s="1729"/>
      <c r="CR5" s="344"/>
      <c r="CS5" s="1729"/>
      <c r="CT5" s="1729"/>
      <c r="CU5" s="1729"/>
      <c r="CV5" s="1733"/>
      <c r="CW5" s="1728"/>
      <c r="CX5" s="1729"/>
      <c r="CY5" s="1729"/>
      <c r="CZ5" s="1729"/>
      <c r="DA5" s="1729"/>
      <c r="DB5" s="1733"/>
      <c r="DC5" s="1728"/>
      <c r="DD5" s="1729"/>
      <c r="DE5" s="1729"/>
      <c r="DF5" s="225"/>
      <c r="DG5" s="225"/>
      <c r="DH5" s="225"/>
      <c r="DI5" s="225"/>
    </row>
    <row r="6" spans="3:114" s="299" customFormat="1" ht="15.5" thickTop="1" thickBot="1" x14ac:dyDescent="0.4">
      <c r="C6" s="1735" t="s">
        <v>292</v>
      </c>
      <c r="D6" s="1735"/>
      <c r="E6" s="1735"/>
      <c r="F6" s="1736">
        <v>1</v>
      </c>
      <c r="G6" s="1737">
        <v>2</v>
      </c>
      <c r="H6" s="1737">
        <v>3</v>
      </c>
      <c r="I6" s="1738">
        <v>4</v>
      </c>
      <c r="J6" s="1739">
        <v>5</v>
      </c>
      <c r="K6" s="308">
        <v>6</v>
      </c>
      <c r="L6" s="308">
        <v>7</v>
      </c>
      <c r="M6" s="308">
        <v>8</v>
      </c>
      <c r="N6" s="1740">
        <v>9</v>
      </c>
      <c r="O6" s="1741">
        <v>10</v>
      </c>
      <c r="P6" s="1739">
        <v>11</v>
      </c>
      <c r="Q6" s="308">
        <v>12</v>
      </c>
      <c r="R6" s="308">
        <v>13</v>
      </c>
      <c r="S6" s="1740">
        <v>14</v>
      </c>
      <c r="T6" s="1740">
        <v>15</v>
      </c>
      <c r="U6" s="1740">
        <v>16</v>
      </c>
      <c r="V6" s="1742" t="s">
        <v>912</v>
      </c>
      <c r="W6" s="1743"/>
      <c r="X6" s="1739">
        <v>1</v>
      </c>
      <c r="Y6" s="308">
        <v>2</v>
      </c>
      <c r="Z6" s="308">
        <v>3</v>
      </c>
      <c r="AA6" s="1744">
        <v>4</v>
      </c>
      <c r="AB6" s="1739">
        <v>5</v>
      </c>
      <c r="AC6" s="308">
        <v>6</v>
      </c>
      <c r="AD6" s="308">
        <v>7</v>
      </c>
      <c r="AE6" s="308">
        <v>8</v>
      </c>
      <c r="AF6" s="308">
        <v>9</v>
      </c>
      <c r="AG6" s="1744">
        <v>10</v>
      </c>
      <c r="AH6" s="1739">
        <v>11</v>
      </c>
      <c r="AI6" s="308">
        <v>12</v>
      </c>
      <c r="AJ6" s="308">
        <v>13</v>
      </c>
      <c r="AK6" s="308">
        <v>14</v>
      </c>
      <c r="AL6" s="308">
        <v>15</v>
      </c>
      <c r="AM6" s="308">
        <v>16</v>
      </c>
      <c r="AN6" s="1742" t="s">
        <v>912</v>
      </c>
      <c r="AO6" s="1745"/>
      <c r="AP6" s="308">
        <v>1</v>
      </c>
      <c r="AQ6" s="308">
        <v>2</v>
      </c>
      <c r="AR6" s="308">
        <v>3</v>
      </c>
      <c r="AS6" s="1744">
        <v>4</v>
      </c>
      <c r="AT6" s="1739">
        <v>5</v>
      </c>
      <c r="AU6" s="308">
        <v>6</v>
      </c>
      <c r="AV6" s="308">
        <v>7</v>
      </c>
      <c r="AW6" s="308">
        <v>8</v>
      </c>
      <c r="AX6" s="308">
        <v>9</v>
      </c>
      <c r="AY6" s="1744">
        <v>10</v>
      </c>
      <c r="AZ6" s="1739">
        <v>11</v>
      </c>
      <c r="BA6" s="308">
        <v>12</v>
      </c>
      <c r="BB6" s="308">
        <v>13</v>
      </c>
      <c r="BC6" s="308">
        <v>14</v>
      </c>
      <c r="BD6" s="308">
        <v>15</v>
      </c>
      <c r="BE6" s="308">
        <v>16</v>
      </c>
      <c r="BF6" s="1742" t="s">
        <v>912</v>
      </c>
      <c r="BG6" s="1746"/>
      <c r="BH6" s="308">
        <v>1</v>
      </c>
      <c r="BI6" s="308">
        <v>2</v>
      </c>
      <c r="BJ6" s="308">
        <v>3</v>
      </c>
      <c r="BK6" s="1744">
        <v>4</v>
      </c>
      <c r="BL6" s="1739">
        <v>5</v>
      </c>
      <c r="BM6" s="308">
        <v>6</v>
      </c>
      <c r="BN6" s="308">
        <v>7</v>
      </c>
      <c r="BO6" s="1747">
        <v>8</v>
      </c>
      <c r="BP6" s="308">
        <v>9</v>
      </c>
      <c r="BQ6" s="1744">
        <v>10</v>
      </c>
      <c r="BR6" s="1739">
        <v>11</v>
      </c>
      <c r="BS6" s="308">
        <v>12</v>
      </c>
      <c r="BT6" s="308">
        <v>13</v>
      </c>
      <c r="BU6" s="308">
        <v>14</v>
      </c>
      <c r="BV6" s="308">
        <v>15</v>
      </c>
      <c r="BW6" s="308">
        <v>16</v>
      </c>
      <c r="BX6" s="1742" t="s">
        <v>912</v>
      </c>
      <c r="BY6" s="1745"/>
      <c r="BZ6" s="1748"/>
      <c r="CA6" s="308">
        <v>1</v>
      </c>
      <c r="CB6" s="308">
        <v>2</v>
      </c>
      <c r="CC6" s="308">
        <v>3</v>
      </c>
      <c r="CD6" s="1744">
        <v>4</v>
      </c>
      <c r="CE6" s="1739">
        <v>5</v>
      </c>
      <c r="CF6" s="308">
        <v>6</v>
      </c>
      <c r="CG6" s="308">
        <v>7</v>
      </c>
      <c r="CH6" s="308">
        <v>8</v>
      </c>
      <c r="CI6" s="1747">
        <v>9</v>
      </c>
      <c r="CJ6" s="1749">
        <v>10</v>
      </c>
      <c r="CK6" s="1750">
        <v>11</v>
      </c>
      <c r="CL6" s="1747">
        <v>12</v>
      </c>
      <c r="CM6" s="1747">
        <v>13</v>
      </c>
      <c r="CN6" s="1747">
        <v>14</v>
      </c>
      <c r="CO6" s="1747">
        <v>15</v>
      </c>
      <c r="CP6" s="308">
        <v>16</v>
      </c>
      <c r="CQ6" s="1742" t="s">
        <v>912</v>
      </c>
      <c r="CR6" s="1745"/>
      <c r="CS6" s="308">
        <v>1</v>
      </c>
      <c r="CT6" s="308">
        <v>2</v>
      </c>
      <c r="CU6" s="308">
        <v>3</v>
      </c>
      <c r="CV6" s="1744">
        <v>4</v>
      </c>
      <c r="CW6" s="1739">
        <v>5</v>
      </c>
      <c r="CX6" s="308">
        <v>6</v>
      </c>
      <c r="CY6" s="308">
        <v>7</v>
      </c>
      <c r="CZ6" s="308">
        <v>8</v>
      </c>
      <c r="DA6" s="1747">
        <v>9</v>
      </c>
      <c r="DB6" s="1749">
        <v>10</v>
      </c>
      <c r="DC6" s="1750">
        <v>11</v>
      </c>
      <c r="DD6" s="1747">
        <v>12</v>
      </c>
      <c r="DE6" s="1747">
        <v>13</v>
      </c>
      <c r="DF6" s="1747">
        <v>14</v>
      </c>
      <c r="DG6" s="1747">
        <v>15</v>
      </c>
      <c r="DH6" s="308">
        <v>16</v>
      </c>
      <c r="DI6" s="1742" t="s">
        <v>912</v>
      </c>
    </row>
    <row r="7" spans="3:114" s="299" customFormat="1" ht="15.5" thickTop="1" thickBot="1" x14ac:dyDescent="0.4">
      <c r="C7" s="1735"/>
      <c r="D7" s="1735"/>
      <c r="E7" s="1735"/>
      <c r="F7" s="2760" t="s">
        <v>36</v>
      </c>
      <c r="G7" s="2761"/>
      <c r="H7" s="2761"/>
      <c r="I7" s="2762"/>
      <c r="J7" s="2763" t="s">
        <v>36</v>
      </c>
      <c r="K7" s="2764"/>
      <c r="L7" s="2764"/>
      <c r="M7" s="2764"/>
      <c r="N7" s="2764"/>
      <c r="O7" s="2764"/>
      <c r="P7" s="2715" t="s">
        <v>36</v>
      </c>
      <c r="Q7" s="2715"/>
      <c r="R7" s="2715"/>
      <c r="S7" s="2715"/>
      <c r="T7" s="2715"/>
      <c r="U7" s="2715"/>
      <c r="V7" s="307"/>
      <c r="W7" s="1751"/>
      <c r="X7" s="2715" t="s">
        <v>36</v>
      </c>
      <c r="Y7" s="2715"/>
      <c r="Z7" s="2715"/>
      <c r="AA7" s="2715"/>
      <c r="AB7" s="2715" t="s">
        <v>36</v>
      </c>
      <c r="AC7" s="2715"/>
      <c r="AD7" s="2715"/>
      <c r="AE7" s="2715"/>
      <c r="AF7" s="2715"/>
      <c r="AG7" s="2715"/>
      <c r="AH7" s="2715" t="s">
        <v>36</v>
      </c>
      <c r="AI7" s="2715"/>
      <c r="AJ7" s="2715"/>
      <c r="AK7" s="2715"/>
      <c r="AL7" s="2715"/>
      <c r="AM7" s="1742"/>
      <c r="AN7" s="1742"/>
      <c r="AO7" s="1745"/>
      <c r="AP7" s="2715" t="s">
        <v>36</v>
      </c>
      <c r="AQ7" s="2715"/>
      <c r="AR7" s="2715"/>
      <c r="AS7" s="2715"/>
      <c r="AT7" s="2715" t="s">
        <v>36</v>
      </c>
      <c r="AU7" s="2715"/>
      <c r="AV7" s="2715"/>
      <c r="AW7" s="2715"/>
      <c r="AX7" s="2715"/>
      <c r="AY7" s="2715"/>
      <c r="AZ7" s="2715" t="s">
        <v>36</v>
      </c>
      <c r="BA7" s="2715"/>
      <c r="BB7" s="2715"/>
      <c r="BC7" s="2715"/>
      <c r="BD7" s="2715"/>
      <c r="BE7" s="2715"/>
      <c r="BF7" s="307"/>
      <c r="BG7" s="1746"/>
      <c r="BH7" s="2715" t="s">
        <v>36</v>
      </c>
      <c r="BI7" s="2715"/>
      <c r="BJ7" s="2715"/>
      <c r="BK7" s="2715"/>
      <c r="BL7" s="2715" t="s">
        <v>36</v>
      </c>
      <c r="BM7" s="2715"/>
      <c r="BN7" s="2715"/>
      <c r="BO7" s="2715"/>
      <c r="BP7" s="2715"/>
      <c r="BQ7" s="2715"/>
      <c r="BR7" s="2715" t="s">
        <v>36</v>
      </c>
      <c r="BS7" s="2715"/>
      <c r="BT7" s="2715"/>
      <c r="BU7" s="2715"/>
      <c r="BV7" s="2715"/>
      <c r="BW7" s="2715"/>
      <c r="BX7" s="1742"/>
      <c r="BY7" s="1745"/>
      <c r="BZ7" s="1748"/>
      <c r="CA7" s="2715" t="s">
        <v>36</v>
      </c>
      <c r="CB7" s="2715"/>
      <c r="CC7" s="2715"/>
      <c r="CD7" s="2715"/>
      <c r="CE7" s="2715" t="s">
        <v>36</v>
      </c>
      <c r="CF7" s="2715"/>
      <c r="CG7" s="2715"/>
      <c r="CH7" s="2715"/>
      <c r="CI7" s="2715"/>
      <c r="CJ7" s="1752"/>
      <c r="CK7" s="2719" t="s">
        <v>36</v>
      </c>
      <c r="CL7" s="2719"/>
      <c r="CM7" s="2719"/>
      <c r="CN7" s="2719"/>
      <c r="CO7" s="2719"/>
      <c r="CP7" s="2719"/>
      <c r="CQ7" s="2719"/>
      <c r="CR7" s="1745"/>
      <c r="CS7" s="2715" t="s">
        <v>375</v>
      </c>
      <c r="CT7" s="2715"/>
      <c r="CU7" s="2715"/>
      <c r="CV7" s="2715"/>
      <c r="CW7" s="2715" t="s">
        <v>375</v>
      </c>
      <c r="CX7" s="2715"/>
      <c r="CY7" s="2715"/>
      <c r="CZ7" s="2715"/>
      <c r="DA7" s="2715"/>
      <c r="DB7" s="2715"/>
      <c r="DC7" s="2719" t="s">
        <v>375</v>
      </c>
      <c r="DD7" s="2719"/>
      <c r="DE7" s="2719"/>
      <c r="DF7" s="2719"/>
      <c r="DG7" s="2719"/>
      <c r="DH7" s="2719"/>
      <c r="DI7" s="307"/>
    </row>
    <row r="8" spans="3:114" ht="15" thickTop="1" x14ac:dyDescent="0.35">
      <c r="C8" s="1" t="s">
        <v>101</v>
      </c>
      <c r="F8" s="1753">
        <v>0</v>
      </c>
      <c r="G8" s="301">
        <v>0</v>
      </c>
      <c r="H8" s="301">
        <v>0</v>
      </c>
      <c r="I8" s="1757">
        <v>0</v>
      </c>
      <c r="J8" s="1753">
        <v>0</v>
      </c>
      <c r="K8" s="301">
        <v>0</v>
      </c>
      <c r="L8" s="301">
        <v>0</v>
      </c>
      <c r="M8" s="301">
        <v>0</v>
      </c>
      <c r="N8" s="1761">
        <v>0</v>
      </c>
      <c r="O8" s="1757">
        <v>0</v>
      </c>
      <c r="P8" s="1753">
        <v>0</v>
      </c>
      <c r="Q8" s="301">
        <v>0</v>
      </c>
      <c r="R8" s="301">
        <v>0</v>
      </c>
      <c r="S8" s="1761">
        <v>0</v>
      </c>
      <c r="T8" s="1761">
        <v>0</v>
      </c>
      <c r="U8" s="1761">
        <v>0</v>
      </c>
      <c r="V8" s="301">
        <v>0</v>
      </c>
      <c r="W8" s="1765"/>
      <c r="X8" s="1766">
        <v>0.14199999999999999</v>
      </c>
      <c r="Y8" s="300">
        <v>0.504</v>
      </c>
      <c r="Z8" s="300">
        <v>0.121</v>
      </c>
      <c r="AA8" s="1770">
        <v>0</v>
      </c>
      <c r="AB8" s="1766">
        <v>0.19</v>
      </c>
      <c r="AC8" s="300">
        <v>0.36</v>
      </c>
      <c r="AD8" s="300">
        <v>0.69299999999999995</v>
      </c>
      <c r="AE8" s="300">
        <v>0.23</v>
      </c>
      <c r="AF8" s="229">
        <v>0</v>
      </c>
      <c r="AG8" s="1773">
        <v>0</v>
      </c>
      <c r="AH8" s="1774">
        <v>0</v>
      </c>
      <c r="AI8" s="229">
        <v>4.8000000000000001E-2</v>
      </c>
      <c r="AJ8" s="229">
        <v>0.309</v>
      </c>
      <c r="AK8" s="229">
        <v>0</v>
      </c>
      <c r="AL8" s="229">
        <v>0</v>
      </c>
      <c r="AM8" s="229">
        <v>0</v>
      </c>
      <c r="AN8" s="229"/>
      <c r="AO8" s="356"/>
      <c r="AP8" s="362">
        <v>0.14299999999999999</v>
      </c>
      <c r="AQ8" s="362">
        <v>0.26600000000000001</v>
      </c>
      <c r="AR8" s="362">
        <v>0.151</v>
      </c>
      <c r="AS8" s="1775">
        <v>0.26400000000000001</v>
      </c>
      <c r="AT8" s="1778">
        <v>0.58399999999999996</v>
      </c>
      <c r="AU8" s="362">
        <v>0.73</v>
      </c>
      <c r="AV8" s="362">
        <v>0.28000000000000003</v>
      </c>
      <c r="AW8" s="362">
        <v>0.45400000000000001</v>
      </c>
      <c r="AX8" s="362">
        <v>0.161</v>
      </c>
      <c r="AY8" s="1775">
        <v>0.158</v>
      </c>
      <c r="AZ8" s="1778">
        <v>0.308</v>
      </c>
      <c r="BA8" s="362">
        <v>0.77400000000000002</v>
      </c>
      <c r="BB8" s="362">
        <v>0.156</v>
      </c>
      <c r="BC8" s="362">
        <v>0.64700000000000002</v>
      </c>
      <c r="BD8" s="362">
        <v>0.20499999999999999</v>
      </c>
      <c r="BE8" s="362">
        <v>0.19600000000000001</v>
      </c>
      <c r="BF8" s="362">
        <v>0.192</v>
      </c>
      <c r="BG8" s="357"/>
      <c r="BH8" s="296">
        <v>2</v>
      </c>
      <c r="BI8" s="296">
        <v>7.5</v>
      </c>
      <c r="BJ8" s="296">
        <v>9.5</v>
      </c>
      <c r="BK8" s="1783">
        <v>6.5</v>
      </c>
      <c r="BL8" s="1786">
        <v>4.5</v>
      </c>
      <c r="BM8" s="296">
        <v>2.5</v>
      </c>
      <c r="BN8" s="296">
        <v>3.5</v>
      </c>
      <c r="BO8" s="296">
        <v>3.5</v>
      </c>
      <c r="BP8" s="296">
        <v>3.5</v>
      </c>
      <c r="BQ8" s="1783">
        <v>3.5</v>
      </c>
      <c r="BR8" s="1786">
        <v>6.7</v>
      </c>
      <c r="BS8" s="296">
        <v>3.5</v>
      </c>
      <c r="BT8" s="296">
        <v>3.4</v>
      </c>
      <c r="BU8" s="296">
        <v>3.6</v>
      </c>
      <c r="BV8" s="296">
        <v>3.7</v>
      </c>
      <c r="BW8" s="296">
        <v>6.8</v>
      </c>
      <c r="BX8" s="296">
        <v>1.1000000000000001</v>
      </c>
      <c r="BY8" s="356"/>
      <c r="BZ8" s="349" t="s">
        <v>191</v>
      </c>
      <c r="CA8" s="296">
        <v>54.35</v>
      </c>
      <c r="CB8" s="296">
        <v>46.17</v>
      </c>
      <c r="CC8" s="296">
        <v>59.72</v>
      </c>
      <c r="CD8" s="1783">
        <v>71.92</v>
      </c>
      <c r="CE8" s="1786">
        <v>51.89</v>
      </c>
      <c r="CF8" s="296">
        <v>51.32</v>
      </c>
      <c r="CG8" s="296">
        <v>50.92</v>
      </c>
      <c r="CH8" s="296">
        <v>49.96</v>
      </c>
      <c r="CI8" s="296">
        <v>51.37</v>
      </c>
      <c r="CJ8" s="1783">
        <v>49.83</v>
      </c>
      <c r="CK8" s="1786">
        <v>47.22</v>
      </c>
      <c r="CL8" s="296">
        <v>50.25</v>
      </c>
      <c r="CM8" s="296">
        <v>49.67</v>
      </c>
      <c r="CN8" s="296">
        <v>50.83</v>
      </c>
      <c r="CO8" s="296">
        <v>48.73</v>
      </c>
      <c r="CP8" s="296">
        <v>48.73</v>
      </c>
      <c r="CQ8" s="296">
        <v>0</v>
      </c>
      <c r="CR8" s="356"/>
      <c r="CS8" s="296">
        <v>37.869999999999997</v>
      </c>
      <c r="CT8" s="296">
        <f t="shared" ref="CT8:CT14" si="0">CU8</f>
        <v>13.51</v>
      </c>
      <c r="CU8" s="296">
        <v>13.51</v>
      </c>
      <c r="CV8" s="1783">
        <v>5.58</v>
      </c>
      <c r="CW8" s="1786">
        <v>2</v>
      </c>
      <c r="CX8" s="296">
        <v>2.11</v>
      </c>
      <c r="CY8" s="296">
        <v>1.78</v>
      </c>
      <c r="CZ8" s="296">
        <v>1.99</v>
      </c>
      <c r="DA8" s="296">
        <v>2</v>
      </c>
      <c r="DB8" s="1783">
        <v>2.1</v>
      </c>
      <c r="DC8" s="1786">
        <v>1.9</v>
      </c>
      <c r="DD8" s="296">
        <v>2.93</v>
      </c>
      <c r="DE8" s="296">
        <v>3.02</v>
      </c>
      <c r="DF8" s="296">
        <v>0.99</v>
      </c>
      <c r="DG8" s="296">
        <v>1.2</v>
      </c>
      <c r="DH8" s="296">
        <v>1.2</v>
      </c>
      <c r="DI8" s="296">
        <v>0</v>
      </c>
      <c r="DJ8" s="1" t="s">
        <v>191</v>
      </c>
    </row>
    <row r="9" spans="3:114" x14ac:dyDescent="0.35">
      <c r="C9" s="1" t="s">
        <v>102</v>
      </c>
      <c r="F9" s="1754">
        <v>7.0000000000000001E-3</v>
      </c>
      <c r="G9" s="302">
        <v>7.0000000000000001E-3</v>
      </c>
      <c r="H9" s="302">
        <v>7.0000000000000001E-3</v>
      </c>
      <c r="I9" s="1758">
        <v>7.0000000000000001E-3</v>
      </c>
      <c r="J9" s="1754">
        <v>0</v>
      </c>
      <c r="K9" s="302">
        <v>0</v>
      </c>
      <c r="L9" s="302">
        <v>0</v>
      </c>
      <c r="M9" s="302">
        <v>0</v>
      </c>
      <c r="N9" s="1762">
        <v>0</v>
      </c>
      <c r="O9" s="1758">
        <v>0</v>
      </c>
      <c r="P9" s="1754">
        <v>0</v>
      </c>
      <c r="Q9" s="302">
        <v>0</v>
      </c>
      <c r="R9" s="302">
        <v>0</v>
      </c>
      <c r="S9" s="1762">
        <v>0</v>
      </c>
      <c r="T9" s="1762">
        <v>0</v>
      </c>
      <c r="U9" s="1762">
        <v>0</v>
      </c>
      <c r="V9" s="302">
        <v>0</v>
      </c>
      <c r="W9" s="1789"/>
      <c r="X9" s="1767">
        <v>41.622999999999998</v>
      </c>
      <c r="Y9" s="239">
        <v>2.633</v>
      </c>
      <c r="Z9" s="239">
        <v>0.34499999999999997</v>
      </c>
      <c r="AA9" s="1771">
        <v>0</v>
      </c>
      <c r="AB9" s="1767">
        <v>0.57299999999999995</v>
      </c>
      <c r="AC9" s="239">
        <v>0.495</v>
      </c>
      <c r="AD9" s="239">
        <v>0.59599999999999997</v>
      </c>
      <c r="AE9" s="239">
        <v>0.55200000000000005</v>
      </c>
      <c r="AF9" s="232">
        <v>0</v>
      </c>
      <c r="AG9" s="231">
        <v>0</v>
      </c>
      <c r="AH9" s="1726">
        <v>0</v>
      </c>
      <c r="AI9" s="232">
        <v>0.14099999999999999</v>
      </c>
      <c r="AJ9" s="232">
        <v>0.58599999999999997</v>
      </c>
      <c r="AK9" s="232">
        <v>0</v>
      </c>
      <c r="AL9" s="232">
        <v>0</v>
      </c>
      <c r="AM9" s="232">
        <v>0</v>
      </c>
      <c r="AP9" s="243">
        <v>0.58399999999999996</v>
      </c>
      <c r="AQ9" s="243">
        <v>0.40200000000000002</v>
      </c>
      <c r="AR9" s="243">
        <v>0.45700000000000002</v>
      </c>
      <c r="AS9" s="1776">
        <v>0.49399999999999999</v>
      </c>
      <c r="AT9" s="1779">
        <v>1.6970000000000001</v>
      </c>
      <c r="AU9" s="243">
        <v>1.605</v>
      </c>
      <c r="AV9" s="243">
        <v>1.5880000000000001</v>
      </c>
      <c r="AW9" s="243">
        <v>1.393</v>
      </c>
      <c r="AX9" s="243">
        <v>1.5049999999999999</v>
      </c>
      <c r="AY9" s="1776">
        <v>1.484</v>
      </c>
      <c r="AZ9" s="1779">
        <v>1.8759999999999999</v>
      </c>
      <c r="BA9" s="243">
        <v>1.7490000000000001</v>
      </c>
      <c r="BB9" s="243">
        <v>1.4419999999999999</v>
      </c>
      <c r="BC9" s="243">
        <v>1.9410000000000001</v>
      </c>
      <c r="BD9" s="243">
        <v>1.897</v>
      </c>
      <c r="BE9" s="243">
        <v>1.3480000000000001</v>
      </c>
      <c r="BF9" s="243">
        <v>1.4990000000000001</v>
      </c>
      <c r="BG9" s="325"/>
      <c r="BH9" s="244">
        <v>29</v>
      </c>
      <c r="BI9" s="244">
        <v>22</v>
      </c>
      <c r="BJ9" s="244">
        <v>23</v>
      </c>
      <c r="BK9" s="1784">
        <v>22</v>
      </c>
      <c r="BL9" s="1787">
        <v>23.5</v>
      </c>
      <c r="BM9" s="244">
        <v>24</v>
      </c>
      <c r="BN9" s="244">
        <v>26.5</v>
      </c>
      <c r="BO9" s="244">
        <v>26.5</v>
      </c>
      <c r="BP9" s="244">
        <v>25.5</v>
      </c>
      <c r="BQ9" s="1784">
        <v>27.4</v>
      </c>
      <c r="BR9" s="1787">
        <v>29.4</v>
      </c>
      <c r="BS9" s="244">
        <v>26.6</v>
      </c>
      <c r="BT9" s="244">
        <v>23.8</v>
      </c>
      <c r="BU9" s="244">
        <v>26.9</v>
      </c>
      <c r="BV9" s="244">
        <v>28.3</v>
      </c>
      <c r="BW9" s="244">
        <v>28.5</v>
      </c>
      <c r="BX9" s="244">
        <v>20.399999999999999</v>
      </c>
      <c r="BZ9" s="241" t="s">
        <v>199</v>
      </c>
      <c r="CA9" s="244">
        <v>5.83</v>
      </c>
      <c r="CB9" s="244">
        <v>4.34</v>
      </c>
      <c r="CC9" s="244">
        <v>5.88</v>
      </c>
      <c r="CD9" s="1784">
        <v>7.1</v>
      </c>
      <c r="CE9" s="1787">
        <v>15.37</v>
      </c>
      <c r="CF9" s="244">
        <v>14.29</v>
      </c>
      <c r="CG9" s="244">
        <v>14.36</v>
      </c>
      <c r="CH9" s="244">
        <v>12.7</v>
      </c>
      <c r="CI9" s="244">
        <v>12.78</v>
      </c>
      <c r="CJ9" s="1784">
        <v>13.91</v>
      </c>
      <c r="CK9" s="1787">
        <v>14.9</v>
      </c>
      <c r="CL9" s="244">
        <v>15.42</v>
      </c>
      <c r="CM9" s="244">
        <v>15.02</v>
      </c>
      <c r="CN9" s="244">
        <v>14.69</v>
      </c>
      <c r="CO9" s="244">
        <v>13.62</v>
      </c>
      <c r="CP9" s="244">
        <v>13.62</v>
      </c>
      <c r="CQ9" s="244">
        <v>0</v>
      </c>
      <c r="CS9" s="244">
        <v>5.78</v>
      </c>
      <c r="CT9" s="244">
        <f t="shared" si="0"/>
        <v>0.21</v>
      </c>
      <c r="CU9" s="244">
        <v>0.21</v>
      </c>
      <c r="CV9" s="1784">
        <v>0.1</v>
      </c>
      <c r="CW9" s="1787">
        <v>0.15</v>
      </c>
      <c r="CX9" s="244">
        <v>0.19</v>
      </c>
      <c r="CY9" s="244">
        <v>0.12</v>
      </c>
      <c r="CZ9" s="244">
        <v>0.14000000000000001</v>
      </c>
      <c r="DA9" s="244">
        <v>0.16</v>
      </c>
      <c r="DB9" s="1784">
        <v>0.17</v>
      </c>
      <c r="DC9" s="1787">
        <v>0.2</v>
      </c>
      <c r="DD9" s="244">
        <v>0.33</v>
      </c>
      <c r="DE9" s="244">
        <v>0.35</v>
      </c>
      <c r="DF9" s="244">
        <v>0.15</v>
      </c>
      <c r="DG9" s="244">
        <v>0.19</v>
      </c>
      <c r="DH9" s="244">
        <v>0.19</v>
      </c>
      <c r="DI9" s="244">
        <v>0</v>
      </c>
      <c r="DJ9" s="1" t="s">
        <v>199</v>
      </c>
    </row>
    <row r="10" spans="3:114" x14ac:dyDescent="0.35">
      <c r="C10" s="1" t="s">
        <v>103</v>
      </c>
      <c r="F10" s="1754">
        <v>0.26400000000000001</v>
      </c>
      <c r="G10" s="302">
        <v>0.26400000000000001</v>
      </c>
      <c r="H10" s="302">
        <v>0.26400000000000001</v>
      </c>
      <c r="I10" s="1758">
        <v>0.26400000000000001</v>
      </c>
      <c r="J10" s="1754">
        <v>0.03</v>
      </c>
      <c r="K10" s="302">
        <v>0.03</v>
      </c>
      <c r="L10" s="302">
        <v>0.03</v>
      </c>
      <c r="M10" s="302">
        <v>0.03</v>
      </c>
      <c r="N10" s="1762">
        <v>0.03</v>
      </c>
      <c r="O10" s="1758">
        <v>0.03</v>
      </c>
      <c r="P10" s="1754">
        <v>0</v>
      </c>
      <c r="Q10" s="302">
        <v>0</v>
      </c>
      <c r="R10" s="302">
        <v>0</v>
      </c>
      <c r="S10" s="1762">
        <v>0</v>
      </c>
      <c r="T10" s="1762">
        <v>0</v>
      </c>
      <c r="U10" s="1762">
        <v>0</v>
      </c>
      <c r="V10" s="302">
        <v>0</v>
      </c>
      <c r="W10" s="1789"/>
      <c r="X10" s="1767">
        <v>13.215</v>
      </c>
      <c r="Y10" s="239">
        <v>1.962</v>
      </c>
      <c r="Z10" s="239">
        <v>0.96199999999999997</v>
      </c>
      <c r="AA10" s="1771">
        <v>0</v>
      </c>
      <c r="AB10" s="1767">
        <v>1.381</v>
      </c>
      <c r="AC10" s="239">
        <v>1.542</v>
      </c>
      <c r="AD10" s="239">
        <v>2.2320000000000002</v>
      </c>
      <c r="AE10" s="239">
        <v>2.0310000000000001</v>
      </c>
      <c r="AF10" s="232">
        <v>0</v>
      </c>
      <c r="AG10" s="231">
        <v>0</v>
      </c>
      <c r="AH10" s="1726">
        <v>0</v>
      </c>
      <c r="AI10" s="232">
        <v>1.038</v>
      </c>
      <c r="AJ10" s="232">
        <v>2.286</v>
      </c>
      <c r="AK10" s="232">
        <v>0</v>
      </c>
      <c r="AL10" s="232">
        <v>0</v>
      </c>
      <c r="AM10" s="232">
        <v>0</v>
      </c>
      <c r="AP10" s="243">
        <v>2.33</v>
      </c>
      <c r="AQ10" s="243">
        <v>1.913</v>
      </c>
      <c r="AR10" s="243">
        <v>2.169</v>
      </c>
      <c r="AS10" s="1776">
        <v>2.0150000000000001</v>
      </c>
      <c r="AT10" s="1779">
        <v>7.016</v>
      </c>
      <c r="AU10" s="243">
        <v>6.6289999999999996</v>
      </c>
      <c r="AV10" s="243">
        <v>7.0439999999999996</v>
      </c>
      <c r="AW10" s="243">
        <v>6.84</v>
      </c>
      <c r="AX10" s="243">
        <v>7.343</v>
      </c>
      <c r="AY10" s="1776">
        <v>6.8390000000000004</v>
      </c>
      <c r="AZ10" s="1779">
        <v>7.7</v>
      </c>
      <c r="BA10" s="243">
        <v>7.0110000000000001</v>
      </c>
      <c r="BB10" s="243">
        <v>7.4290000000000003</v>
      </c>
      <c r="BC10" s="243">
        <v>8.2919999999999998</v>
      </c>
      <c r="BD10" s="243">
        <v>8.5809999999999995</v>
      </c>
      <c r="BE10" s="243">
        <v>6.4180000000000001</v>
      </c>
      <c r="BF10" s="243">
        <v>6.6379999999999999</v>
      </c>
      <c r="BG10" s="325"/>
      <c r="BH10" s="244">
        <v>43.5</v>
      </c>
      <c r="BI10" s="244">
        <v>39.5</v>
      </c>
      <c r="BJ10" s="244">
        <v>36.5</v>
      </c>
      <c r="BK10" s="1784">
        <v>37.5</v>
      </c>
      <c r="BL10" s="1787">
        <v>39.5</v>
      </c>
      <c r="BM10" s="244">
        <v>45.5</v>
      </c>
      <c r="BN10" s="244">
        <v>45</v>
      </c>
      <c r="BO10" s="244">
        <v>45</v>
      </c>
      <c r="BP10" s="244">
        <v>46</v>
      </c>
      <c r="BQ10" s="1784">
        <v>45.4</v>
      </c>
      <c r="BR10" s="1787">
        <v>42.4</v>
      </c>
      <c r="BS10" s="244">
        <v>43.5</v>
      </c>
      <c r="BT10" s="244">
        <v>44.3</v>
      </c>
      <c r="BU10" s="244">
        <v>44.6</v>
      </c>
      <c r="BV10" s="244">
        <v>44.7</v>
      </c>
      <c r="BW10" s="244">
        <v>42</v>
      </c>
      <c r="BX10" s="244">
        <v>50.3</v>
      </c>
      <c r="BZ10" s="241" t="s">
        <v>200</v>
      </c>
      <c r="CA10" s="244">
        <v>5.2</v>
      </c>
      <c r="CB10" s="244">
        <v>3.69</v>
      </c>
      <c r="CC10" s="244">
        <v>4.78</v>
      </c>
      <c r="CD10" s="1784">
        <v>5.68</v>
      </c>
      <c r="CE10" s="1787">
        <v>11.69</v>
      </c>
      <c r="CF10" s="244">
        <v>11.12</v>
      </c>
      <c r="CG10" s="244">
        <v>11</v>
      </c>
      <c r="CH10" s="244">
        <v>10.130000000000001</v>
      </c>
      <c r="CI10" s="244">
        <v>10.07</v>
      </c>
      <c r="CJ10" s="1784">
        <v>10.56</v>
      </c>
      <c r="CK10" s="1787">
        <v>11.18</v>
      </c>
      <c r="CL10" s="244">
        <v>11.4</v>
      </c>
      <c r="CM10" s="244">
        <v>11.16</v>
      </c>
      <c r="CN10" s="244">
        <v>11.13</v>
      </c>
      <c r="CO10" s="244">
        <v>10.27</v>
      </c>
      <c r="CP10" s="244">
        <v>10.27</v>
      </c>
      <c r="CQ10" s="244">
        <v>0</v>
      </c>
      <c r="CS10" s="244">
        <v>9.36</v>
      </c>
      <c r="CT10" s="244">
        <f t="shared" si="0"/>
        <v>0.08</v>
      </c>
      <c r="CU10" s="244">
        <v>0.08</v>
      </c>
      <c r="CV10" s="1784">
        <v>0.06</v>
      </c>
      <c r="CW10" s="1787">
        <v>0.22</v>
      </c>
      <c r="CX10" s="244">
        <v>0.27</v>
      </c>
      <c r="CY10" s="244">
        <v>0.18</v>
      </c>
      <c r="CZ10" s="244">
        <v>0.2</v>
      </c>
      <c r="DA10" s="244">
        <v>0.22</v>
      </c>
      <c r="DB10" s="1784">
        <v>0.23</v>
      </c>
      <c r="DC10" s="1787">
        <v>0.36</v>
      </c>
      <c r="DD10" s="244">
        <v>0.53</v>
      </c>
      <c r="DE10" s="244">
        <v>0.53</v>
      </c>
      <c r="DF10" s="244">
        <v>0.28999999999999998</v>
      </c>
      <c r="DG10" s="244">
        <v>0.34</v>
      </c>
      <c r="DH10" s="244">
        <v>0.34</v>
      </c>
      <c r="DI10" s="244">
        <v>0</v>
      </c>
      <c r="DJ10" s="1" t="s">
        <v>200</v>
      </c>
    </row>
    <row r="11" spans="3:114" x14ac:dyDescent="0.35">
      <c r="C11" s="1" t="s">
        <v>104</v>
      </c>
      <c r="F11" s="1754">
        <v>1.0409999999999999</v>
      </c>
      <c r="G11" s="302">
        <v>1.0409999999999999</v>
      </c>
      <c r="H11" s="302">
        <v>1.0409999999999999</v>
      </c>
      <c r="I11" s="1758">
        <v>1.0409999999999999</v>
      </c>
      <c r="J11" s="1754">
        <v>0.16500000000000001</v>
      </c>
      <c r="K11" s="302">
        <v>0.16500000000000001</v>
      </c>
      <c r="L11" s="302">
        <v>0.16500000000000001</v>
      </c>
      <c r="M11" s="302">
        <v>0.16500000000000001</v>
      </c>
      <c r="N11" s="1762">
        <v>0.16500000000000001</v>
      </c>
      <c r="O11" s="1758">
        <v>0.16500000000000001</v>
      </c>
      <c r="P11" s="1754">
        <v>0.219</v>
      </c>
      <c r="Q11" s="302">
        <v>0.219</v>
      </c>
      <c r="R11" s="302">
        <v>0.219</v>
      </c>
      <c r="S11" s="1762">
        <v>0.219</v>
      </c>
      <c r="T11" s="1762">
        <v>0.219</v>
      </c>
      <c r="U11" s="1762">
        <v>0.219</v>
      </c>
      <c r="V11" s="302">
        <v>0.219</v>
      </c>
      <c r="W11" s="1789"/>
      <c r="X11" s="1767">
        <v>2.5790000000000002</v>
      </c>
      <c r="Y11" s="239">
        <v>2.907</v>
      </c>
      <c r="Z11" s="239">
        <v>3.044</v>
      </c>
      <c r="AA11" s="1771">
        <v>0</v>
      </c>
      <c r="AB11" s="1767">
        <v>4.5860000000000003</v>
      </c>
      <c r="AC11" s="239">
        <v>4.5970000000000004</v>
      </c>
      <c r="AD11" s="239">
        <v>5.359</v>
      </c>
      <c r="AE11" s="239">
        <v>4.6180000000000003</v>
      </c>
      <c r="AF11" s="232">
        <v>0</v>
      </c>
      <c r="AG11" s="231">
        <v>0</v>
      </c>
      <c r="AH11" s="1726">
        <v>0</v>
      </c>
      <c r="AI11" s="232">
        <v>4.492</v>
      </c>
      <c r="AJ11" s="232">
        <v>5.7290000000000001</v>
      </c>
      <c r="AK11" s="232">
        <v>0</v>
      </c>
      <c r="AL11" s="232">
        <v>0</v>
      </c>
      <c r="AM11" s="232">
        <v>0</v>
      </c>
      <c r="AP11" s="243">
        <v>6.6609999999999996</v>
      </c>
      <c r="AQ11" s="243">
        <v>6.17</v>
      </c>
      <c r="AR11" s="243">
        <v>6.61</v>
      </c>
      <c r="AS11" s="1776">
        <v>6.5049999999999999</v>
      </c>
      <c r="AT11" s="1779">
        <v>16.114999999999998</v>
      </c>
      <c r="AU11" s="243">
        <v>14.157</v>
      </c>
      <c r="AV11" s="243">
        <v>14.746</v>
      </c>
      <c r="AW11" s="243">
        <v>14.393000000000001</v>
      </c>
      <c r="AX11" s="243">
        <v>14.273</v>
      </c>
      <c r="AY11" s="1776">
        <v>13.709</v>
      </c>
      <c r="AZ11" s="1779">
        <v>15.262</v>
      </c>
      <c r="BA11" s="243">
        <v>14.618</v>
      </c>
      <c r="BB11" s="243">
        <v>15.250999999999999</v>
      </c>
      <c r="BC11" s="243">
        <v>15.74</v>
      </c>
      <c r="BD11" s="243">
        <v>16.094999999999999</v>
      </c>
      <c r="BE11" s="243">
        <v>14.513</v>
      </c>
      <c r="BF11" s="243">
        <v>14.006</v>
      </c>
      <c r="BG11" s="325"/>
      <c r="BH11" s="244">
        <v>16.5</v>
      </c>
      <c r="BI11" s="244">
        <v>23</v>
      </c>
      <c r="BJ11" s="244">
        <v>24</v>
      </c>
      <c r="BK11" s="1784">
        <v>26.5</v>
      </c>
      <c r="BL11" s="1787">
        <v>25.5</v>
      </c>
      <c r="BM11" s="244">
        <v>23.5</v>
      </c>
      <c r="BN11" s="244">
        <v>21.5</v>
      </c>
      <c r="BO11" s="244">
        <v>21.5</v>
      </c>
      <c r="BP11" s="244">
        <v>21.5</v>
      </c>
      <c r="BQ11" s="1784">
        <v>20.3</v>
      </c>
      <c r="BR11" s="1787">
        <v>18.399999999999999</v>
      </c>
      <c r="BS11" s="244">
        <v>20.8</v>
      </c>
      <c r="BT11" s="244">
        <v>23.8</v>
      </c>
      <c r="BU11" s="244">
        <v>21</v>
      </c>
      <c r="BV11" s="244">
        <v>19.899999999999999</v>
      </c>
      <c r="BW11" s="244">
        <v>19.5</v>
      </c>
      <c r="BX11" s="244">
        <v>24.4</v>
      </c>
      <c r="BZ11" s="241" t="s">
        <v>201</v>
      </c>
      <c r="CA11" s="244">
        <v>6.23</v>
      </c>
      <c r="CB11" s="244">
        <v>3.97</v>
      </c>
      <c r="CC11" s="244">
        <v>5.1100000000000003</v>
      </c>
      <c r="CD11" s="1784">
        <v>5.36</v>
      </c>
      <c r="CE11" s="1787">
        <v>9.9600000000000009</v>
      </c>
      <c r="CF11" s="244">
        <v>10.14</v>
      </c>
      <c r="CG11" s="244">
        <v>9.98</v>
      </c>
      <c r="CH11" s="244">
        <v>10.06</v>
      </c>
      <c r="CI11" s="244">
        <v>9.68</v>
      </c>
      <c r="CJ11" s="1784">
        <v>9.5299999999999994</v>
      </c>
      <c r="CK11" s="1787">
        <v>10.44</v>
      </c>
      <c r="CL11" s="244">
        <v>10.119999999999999</v>
      </c>
      <c r="CM11" s="244">
        <v>10.18</v>
      </c>
      <c r="CN11" s="244">
        <v>10.24</v>
      </c>
      <c r="CO11" s="244">
        <v>9.8699999999999992</v>
      </c>
      <c r="CP11" s="244">
        <v>9.8699999999999992</v>
      </c>
      <c r="CQ11" s="244">
        <v>0</v>
      </c>
      <c r="CS11" s="244">
        <v>13.81</v>
      </c>
      <c r="CT11" s="244">
        <f t="shared" si="0"/>
        <v>0.19</v>
      </c>
      <c r="CU11" s="244">
        <v>0.19</v>
      </c>
      <c r="CV11" s="1784">
        <v>0.08</v>
      </c>
      <c r="CW11" s="1787">
        <v>0.3</v>
      </c>
      <c r="CX11" s="244">
        <v>0.4</v>
      </c>
      <c r="CY11" s="244">
        <v>0.28999999999999998</v>
      </c>
      <c r="CZ11" s="244">
        <v>0.3</v>
      </c>
      <c r="DA11" s="244">
        <v>0.33</v>
      </c>
      <c r="DB11" s="1784">
        <v>0.32</v>
      </c>
      <c r="DC11" s="1787">
        <v>0.6</v>
      </c>
      <c r="DD11" s="244">
        <v>0.8</v>
      </c>
      <c r="DE11" s="244">
        <v>0.79</v>
      </c>
      <c r="DF11" s="244">
        <v>0.46</v>
      </c>
      <c r="DG11" s="244">
        <v>0.53</v>
      </c>
      <c r="DH11" s="244">
        <v>0.53</v>
      </c>
      <c r="DI11" s="244">
        <v>0</v>
      </c>
      <c r="DJ11" s="1" t="s">
        <v>201</v>
      </c>
    </row>
    <row r="12" spans="3:114" x14ac:dyDescent="0.35">
      <c r="C12" s="1" t="s">
        <v>105</v>
      </c>
      <c r="F12" s="1754">
        <v>4.7430000000000003</v>
      </c>
      <c r="G12" s="302">
        <v>4.7430000000000003</v>
      </c>
      <c r="H12" s="302">
        <v>4.7430000000000003</v>
      </c>
      <c r="I12" s="1758">
        <v>4.7430000000000003</v>
      </c>
      <c r="J12" s="1754">
        <v>0.47199999999999998</v>
      </c>
      <c r="K12" s="302">
        <v>0.47199999999999998</v>
      </c>
      <c r="L12" s="302">
        <v>0.47199999999999998</v>
      </c>
      <c r="M12" s="302">
        <v>0.47199999999999998</v>
      </c>
      <c r="N12" s="1762">
        <v>0.47199999999999998</v>
      </c>
      <c r="O12" s="1758">
        <v>0.47199999999999998</v>
      </c>
      <c r="P12" s="1754">
        <v>0.80500000000000005</v>
      </c>
      <c r="Q12" s="302">
        <v>0.80500000000000005</v>
      </c>
      <c r="R12" s="302">
        <v>0.80500000000000005</v>
      </c>
      <c r="S12" s="1762">
        <v>0.80500000000000005</v>
      </c>
      <c r="T12" s="1762">
        <v>0.80500000000000005</v>
      </c>
      <c r="U12" s="1762">
        <v>0.80500000000000005</v>
      </c>
      <c r="V12" s="302">
        <v>0.80500000000000005</v>
      </c>
      <c r="W12" s="1789"/>
      <c r="X12" s="1767">
        <v>7.742</v>
      </c>
      <c r="Y12" s="239">
        <v>10.257</v>
      </c>
      <c r="Z12" s="239">
        <v>10.558</v>
      </c>
      <c r="AA12" s="1771">
        <v>0</v>
      </c>
      <c r="AB12" s="1767">
        <v>15.266999999999999</v>
      </c>
      <c r="AC12" s="239">
        <v>12.727</v>
      </c>
      <c r="AD12" s="239">
        <v>12.381</v>
      </c>
      <c r="AE12" s="239">
        <v>10.598000000000001</v>
      </c>
      <c r="AF12" s="232">
        <v>0</v>
      </c>
      <c r="AG12" s="231">
        <v>0</v>
      </c>
      <c r="AH12" s="1726">
        <v>0</v>
      </c>
      <c r="AI12" s="232">
        <v>10.946</v>
      </c>
      <c r="AJ12" s="232">
        <v>12.404999999999999</v>
      </c>
      <c r="AK12" s="232">
        <v>0</v>
      </c>
      <c r="AL12" s="232">
        <v>0</v>
      </c>
      <c r="AM12" s="232">
        <v>0</v>
      </c>
      <c r="AP12" s="243">
        <v>16.82</v>
      </c>
      <c r="AQ12" s="243">
        <v>16.152000000000001</v>
      </c>
      <c r="AR12" s="243">
        <v>17.013000000000002</v>
      </c>
      <c r="AS12" s="1776">
        <v>16.838000000000001</v>
      </c>
      <c r="AT12" s="1779">
        <v>26.524000000000001</v>
      </c>
      <c r="AU12" s="243">
        <v>23.327999999999999</v>
      </c>
      <c r="AV12" s="243">
        <v>24.245000000000001</v>
      </c>
      <c r="AW12" s="243">
        <v>24.225999999999999</v>
      </c>
      <c r="AX12" s="243">
        <v>23.512</v>
      </c>
      <c r="AY12" s="1776">
        <v>22.968</v>
      </c>
      <c r="AZ12" s="1779">
        <v>23</v>
      </c>
      <c r="BA12" s="243">
        <v>22.116</v>
      </c>
      <c r="BB12" s="243">
        <v>24.204000000000001</v>
      </c>
      <c r="BC12" s="243">
        <v>24.353999999999999</v>
      </c>
      <c r="BD12" s="243">
        <v>24.951000000000001</v>
      </c>
      <c r="BE12" s="243">
        <v>22.513000000000002</v>
      </c>
      <c r="BF12" s="243">
        <v>21.085000000000001</v>
      </c>
      <c r="BG12" s="325"/>
      <c r="BH12" s="244">
        <v>9</v>
      </c>
      <c r="BI12" s="244">
        <v>8</v>
      </c>
      <c r="BJ12" s="244">
        <v>7</v>
      </c>
      <c r="BK12" s="1784">
        <v>7.5</v>
      </c>
      <c r="BL12" s="1787">
        <v>7</v>
      </c>
      <c r="BM12" s="244">
        <v>4.5</v>
      </c>
      <c r="BN12" s="244">
        <v>3.5</v>
      </c>
      <c r="BO12" s="244">
        <v>3.5</v>
      </c>
      <c r="BP12" s="244">
        <v>3.5</v>
      </c>
      <c r="BQ12" s="1784">
        <v>3.4</v>
      </c>
      <c r="BR12" s="1787">
        <v>3.1</v>
      </c>
      <c r="BS12" s="244">
        <v>5.6</v>
      </c>
      <c r="BT12" s="244">
        <v>4.7</v>
      </c>
      <c r="BU12" s="244">
        <v>3.9</v>
      </c>
      <c r="BV12" s="244">
        <v>3.4</v>
      </c>
      <c r="BW12" s="244">
        <v>3.2</v>
      </c>
      <c r="BX12" s="244">
        <v>3.8</v>
      </c>
      <c r="BZ12" s="241" t="s">
        <v>376</v>
      </c>
      <c r="CA12" s="244">
        <v>7.1</v>
      </c>
      <c r="CB12" s="244">
        <v>3.76</v>
      </c>
      <c r="CC12" s="244">
        <v>8.26</v>
      </c>
      <c r="CD12" s="1784">
        <v>3.85</v>
      </c>
      <c r="CE12" s="1787">
        <v>5.97</v>
      </c>
      <c r="CF12" s="244">
        <v>6.61</v>
      </c>
      <c r="CG12" s="244">
        <v>6.63</v>
      </c>
      <c r="CH12" s="244">
        <v>7.15</v>
      </c>
      <c r="CI12" s="244">
        <v>6.65</v>
      </c>
      <c r="CJ12" s="1784">
        <v>6.43</v>
      </c>
      <c r="CK12" s="1787">
        <v>6.95</v>
      </c>
      <c r="CL12" s="244">
        <v>6.46</v>
      </c>
      <c r="CM12" s="244">
        <v>6.82</v>
      </c>
      <c r="CN12" s="244">
        <v>6.76</v>
      </c>
      <c r="CO12" s="244">
        <v>7.04</v>
      </c>
      <c r="CP12" s="244">
        <v>7.04</v>
      </c>
      <c r="CQ12" s="244">
        <v>0</v>
      </c>
      <c r="CS12" s="244">
        <v>12.58</v>
      </c>
      <c r="CT12" s="244">
        <f t="shared" si="0"/>
        <v>0.7</v>
      </c>
      <c r="CU12" s="244">
        <v>0.7</v>
      </c>
      <c r="CV12" s="1784">
        <v>0.23</v>
      </c>
      <c r="CW12" s="1787">
        <v>0.45</v>
      </c>
      <c r="CX12" s="244">
        <v>0.52</v>
      </c>
      <c r="CY12" s="244">
        <v>0.41</v>
      </c>
      <c r="CZ12" s="244">
        <v>0.42</v>
      </c>
      <c r="DA12" s="244">
        <v>0.42</v>
      </c>
      <c r="DB12" s="1784">
        <v>0.4</v>
      </c>
      <c r="DC12" s="1787">
        <v>0.78</v>
      </c>
      <c r="DD12" s="244">
        <v>0.93</v>
      </c>
      <c r="DE12" s="244">
        <v>0.91</v>
      </c>
      <c r="DF12" s="244">
        <v>0.56999999999999995</v>
      </c>
      <c r="DG12" s="244">
        <v>0.61</v>
      </c>
      <c r="DH12" s="244">
        <v>0.61</v>
      </c>
      <c r="DI12" s="244">
        <v>0</v>
      </c>
      <c r="DJ12" s="1" t="s">
        <v>376</v>
      </c>
    </row>
    <row r="13" spans="3:114" x14ac:dyDescent="0.35">
      <c r="C13" s="1" t="s">
        <v>100</v>
      </c>
      <c r="F13" s="1754">
        <v>5.3239999999999998</v>
      </c>
      <c r="G13" s="302">
        <v>5.3239999999999998</v>
      </c>
      <c r="H13" s="302">
        <v>5.3239999999999998</v>
      </c>
      <c r="I13" s="1758">
        <v>5.3239999999999998</v>
      </c>
      <c r="J13" s="1754">
        <v>3.141</v>
      </c>
      <c r="K13" s="302">
        <v>3.141</v>
      </c>
      <c r="L13" s="302">
        <v>3.141</v>
      </c>
      <c r="M13" s="302">
        <v>3.141</v>
      </c>
      <c r="N13" s="1762">
        <v>3.141</v>
      </c>
      <c r="O13" s="1758">
        <v>3.141</v>
      </c>
      <c r="P13" s="1754">
        <v>5.2809999999999997</v>
      </c>
      <c r="Q13" s="302">
        <v>5.2809999999999997</v>
      </c>
      <c r="R13" s="302">
        <v>5.2809999999999997</v>
      </c>
      <c r="S13" s="1762">
        <v>5.2809999999999997</v>
      </c>
      <c r="T13" s="1762">
        <v>5.2809999999999997</v>
      </c>
      <c r="U13" s="1762">
        <v>5.2809999999999997</v>
      </c>
      <c r="V13" s="302">
        <v>5.2809999999999997</v>
      </c>
      <c r="W13" s="1789"/>
      <c r="X13" s="1767">
        <v>5.5439999999999996</v>
      </c>
      <c r="Y13" s="239">
        <v>8.6440000000000001</v>
      </c>
      <c r="Z13" s="239">
        <v>9.3650000000000002</v>
      </c>
      <c r="AA13" s="1771">
        <v>0</v>
      </c>
      <c r="AB13" s="1767">
        <v>15.403</v>
      </c>
      <c r="AC13" s="239">
        <v>11.484999999999999</v>
      </c>
      <c r="AD13" s="239">
        <v>10.702</v>
      </c>
      <c r="AE13" s="239">
        <v>9.6229999999999993</v>
      </c>
      <c r="AF13" s="232">
        <v>0</v>
      </c>
      <c r="AG13" s="231">
        <v>0</v>
      </c>
      <c r="AH13" s="1726">
        <v>0</v>
      </c>
      <c r="AI13" s="232">
        <v>9.8729999999999993</v>
      </c>
      <c r="AJ13" s="232">
        <v>10.145</v>
      </c>
      <c r="AK13" s="232">
        <v>0</v>
      </c>
      <c r="AL13" s="232">
        <v>0</v>
      </c>
      <c r="AM13" s="232">
        <v>0</v>
      </c>
      <c r="AP13" s="243">
        <v>13.346</v>
      </c>
      <c r="AQ13" s="243">
        <v>11.814</v>
      </c>
      <c r="AR13" s="243">
        <v>12.590999999999999</v>
      </c>
      <c r="AS13" s="1776">
        <v>12.481999999999999</v>
      </c>
      <c r="AT13" s="1779">
        <v>12.973000000000001</v>
      </c>
      <c r="AU13" s="243">
        <v>12.542</v>
      </c>
      <c r="AV13" s="243">
        <v>13.506</v>
      </c>
      <c r="AW13" s="243">
        <v>13.202999999999999</v>
      </c>
      <c r="AX13" s="243">
        <v>12.878</v>
      </c>
      <c r="AY13" s="1776">
        <v>12.824999999999999</v>
      </c>
      <c r="AZ13" s="1779">
        <v>12.103999999999999</v>
      </c>
      <c r="BA13" s="243">
        <v>11.558</v>
      </c>
      <c r="BB13" s="243">
        <v>12.454000000000001</v>
      </c>
      <c r="BC13" s="243">
        <v>12.411</v>
      </c>
      <c r="BD13" s="243">
        <v>12.65</v>
      </c>
      <c r="BE13" s="243">
        <v>11.971</v>
      </c>
      <c r="BF13" s="243">
        <v>11.154999999999999</v>
      </c>
      <c r="BG13" s="325"/>
      <c r="BH13" s="244">
        <v>0</v>
      </c>
      <c r="BI13" s="244">
        <v>0</v>
      </c>
      <c r="BJ13" s="244">
        <v>0</v>
      </c>
      <c r="BK13" s="1784">
        <v>0</v>
      </c>
      <c r="BL13" s="1787">
        <v>0</v>
      </c>
      <c r="BM13" s="244">
        <v>0</v>
      </c>
      <c r="BN13" s="244">
        <v>0</v>
      </c>
      <c r="BO13" s="244">
        <v>0</v>
      </c>
      <c r="BP13" s="244">
        <v>0</v>
      </c>
      <c r="BQ13" s="1784">
        <v>0</v>
      </c>
      <c r="BR13" s="1787">
        <v>0</v>
      </c>
      <c r="BS13" s="244">
        <v>0</v>
      </c>
      <c r="BT13" s="244">
        <v>0</v>
      </c>
      <c r="BU13" s="244">
        <v>0</v>
      </c>
      <c r="BV13" s="244">
        <v>0</v>
      </c>
      <c r="BW13" s="244">
        <v>0</v>
      </c>
      <c r="BX13" s="244">
        <v>0</v>
      </c>
      <c r="BZ13" s="241" t="s">
        <v>203</v>
      </c>
      <c r="CA13" s="244">
        <v>8.67</v>
      </c>
      <c r="CB13" s="244">
        <v>6.83</v>
      </c>
      <c r="CC13" s="244">
        <v>6.02</v>
      </c>
      <c r="CD13" s="1784">
        <v>3.91</v>
      </c>
      <c r="CE13" s="1787">
        <v>3.82</v>
      </c>
      <c r="CF13" s="244">
        <v>5.28</v>
      </c>
      <c r="CG13" s="244">
        <v>5.93</v>
      </c>
      <c r="CH13" s="244">
        <v>7.85</v>
      </c>
      <c r="CI13" s="244">
        <v>7.04</v>
      </c>
      <c r="CJ13" s="1784">
        <v>7.2</v>
      </c>
      <c r="CK13" s="1787">
        <v>7.24</v>
      </c>
      <c r="CL13" s="244">
        <v>5.23</v>
      </c>
      <c r="CM13" s="244">
        <v>6.38</v>
      </c>
      <c r="CN13" s="244">
        <v>5.68</v>
      </c>
      <c r="CO13" s="244">
        <v>8.67</v>
      </c>
      <c r="CP13" s="244">
        <v>8.67</v>
      </c>
      <c r="CQ13" s="244">
        <v>0</v>
      </c>
      <c r="CS13" s="244">
        <v>11.15</v>
      </c>
      <c r="CT13" s="244">
        <f t="shared" si="0"/>
        <v>0.35</v>
      </c>
      <c r="CU13" s="244">
        <v>0.35</v>
      </c>
      <c r="CV13" s="1784">
        <v>0.23</v>
      </c>
      <c r="CW13" s="1787">
        <v>1.59</v>
      </c>
      <c r="CX13" s="244">
        <v>1.48</v>
      </c>
      <c r="CY13" s="244">
        <v>1.52</v>
      </c>
      <c r="CZ13" s="244">
        <v>1.43</v>
      </c>
      <c r="DA13" s="244">
        <v>1.31</v>
      </c>
      <c r="DB13" s="1784">
        <v>1.04</v>
      </c>
      <c r="DC13" s="1787">
        <v>1.72</v>
      </c>
      <c r="DD13" s="244">
        <v>2.2000000000000002</v>
      </c>
      <c r="DE13" s="244">
        <v>2.0099999999999998</v>
      </c>
      <c r="DF13" s="244">
        <v>1.72</v>
      </c>
      <c r="DG13" s="244">
        <v>1.44</v>
      </c>
      <c r="DH13" s="244">
        <v>1.44</v>
      </c>
      <c r="DI13" s="244">
        <v>0</v>
      </c>
      <c r="DJ13" s="1" t="s">
        <v>203</v>
      </c>
    </row>
    <row r="14" spans="3:114" ht="15" thickBot="1" x14ac:dyDescent="0.4">
      <c r="C14" s="1" t="s">
        <v>404</v>
      </c>
      <c r="F14" s="1755">
        <v>88.620999999999995</v>
      </c>
      <c r="G14" s="303">
        <v>88.620999999999995</v>
      </c>
      <c r="H14" s="303">
        <v>88.620999999999995</v>
      </c>
      <c r="I14" s="1759">
        <v>88.620999999999995</v>
      </c>
      <c r="J14" s="1755">
        <v>96.192000000000007</v>
      </c>
      <c r="K14" s="303">
        <v>96.192000000000007</v>
      </c>
      <c r="L14" s="303">
        <v>96.192000000000007</v>
      </c>
      <c r="M14" s="303">
        <v>96.192000000000007</v>
      </c>
      <c r="N14" s="1763">
        <v>96.192000000000007</v>
      </c>
      <c r="O14" s="1759">
        <v>96.192000000000007</v>
      </c>
      <c r="P14" s="1755">
        <v>93.694999999999993</v>
      </c>
      <c r="Q14" s="303">
        <v>93.694999999999993</v>
      </c>
      <c r="R14" s="303">
        <v>93.694999999999993</v>
      </c>
      <c r="S14" s="1763">
        <v>93.694999999999993</v>
      </c>
      <c r="T14" s="1763">
        <v>93.694999999999993</v>
      </c>
      <c r="U14" s="1763">
        <v>93.694999999999993</v>
      </c>
      <c r="V14" s="303">
        <v>93.694999999999993</v>
      </c>
      <c r="W14" s="1790"/>
      <c r="X14" s="1768">
        <v>29.155000000000001</v>
      </c>
      <c r="Y14" s="225">
        <v>73.093000000000004</v>
      </c>
      <c r="Z14" s="225">
        <v>75.605000000000004</v>
      </c>
      <c r="AA14" s="226">
        <v>100</v>
      </c>
      <c r="AB14" s="1768">
        <v>62.6</v>
      </c>
      <c r="AC14" s="225">
        <v>68.793999999999997</v>
      </c>
      <c r="AD14" s="225">
        <v>68.037000000000006</v>
      </c>
      <c r="AE14" s="225">
        <v>72.347999999999999</v>
      </c>
      <c r="AF14" s="225">
        <v>100</v>
      </c>
      <c r="AG14" s="226">
        <v>100</v>
      </c>
      <c r="AH14" s="1768">
        <v>100</v>
      </c>
      <c r="AI14" s="225">
        <v>73.462000000000003</v>
      </c>
      <c r="AJ14" s="225">
        <v>68.540000000000006</v>
      </c>
      <c r="AK14" s="225">
        <v>100</v>
      </c>
      <c r="AL14" s="225">
        <v>100</v>
      </c>
      <c r="AM14" s="225">
        <v>100</v>
      </c>
      <c r="AN14" s="225"/>
      <c r="AO14" s="344"/>
      <c r="AP14" s="485">
        <v>60.116</v>
      </c>
      <c r="AQ14" s="485">
        <v>63.283000000000001</v>
      </c>
      <c r="AR14" s="485">
        <v>61.009</v>
      </c>
      <c r="AS14" s="1777">
        <v>61.402000000000001</v>
      </c>
      <c r="AT14" s="1780">
        <v>35.090999999999994</v>
      </c>
      <c r="AU14" s="483">
        <v>41.009</v>
      </c>
      <c r="AV14" s="483">
        <v>38.590999999999994</v>
      </c>
      <c r="AW14" s="483">
        <v>39.491</v>
      </c>
      <c r="AX14" s="483">
        <v>40.328000000000003</v>
      </c>
      <c r="AY14" s="1781">
        <v>42.016999999999996</v>
      </c>
      <c r="AZ14" s="1782">
        <v>39.75</v>
      </c>
      <c r="BA14" s="484">
        <v>42.173999999999999</v>
      </c>
      <c r="BB14" s="484">
        <v>39.064</v>
      </c>
      <c r="BC14" s="484">
        <v>36.615000000000002</v>
      </c>
      <c r="BD14" s="484">
        <v>35.620999999999995</v>
      </c>
      <c r="BE14" s="484">
        <v>43.040999999999997</v>
      </c>
      <c r="BF14" s="484">
        <v>45.424999999999997</v>
      </c>
      <c r="BG14" s="350"/>
      <c r="BH14" s="304">
        <v>0</v>
      </c>
      <c r="BI14" s="304">
        <v>0</v>
      </c>
      <c r="BJ14" s="304">
        <v>0</v>
      </c>
      <c r="BK14" s="1785">
        <v>0</v>
      </c>
      <c r="BL14" s="1788">
        <v>0</v>
      </c>
      <c r="BM14" s="304">
        <v>0</v>
      </c>
      <c r="BN14" s="304">
        <v>0</v>
      </c>
      <c r="BO14" s="304">
        <v>0</v>
      </c>
      <c r="BP14" s="304">
        <v>0</v>
      </c>
      <c r="BQ14" s="1785">
        <v>0</v>
      </c>
      <c r="BR14" s="1788">
        <v>0</v>
      </c>
      <c r="BS14" s="304">
        <v>0</v>
      </c>
      <c r="BT14" s="304">
        <v>0</v>
      </c>
      <c r="BU14" s="304">
        <v>0</v>
      </c>
      <c r="BV14" s="304">
        <v>0</v>
      </c>
      <c r="BW14" s="304">
        <v>0</v>
      </c>
      <c r="BX14" s="304">
        <v>0</v>
      </c>
      <c r="BY14" s="344"/>
      <c r="BZ14" s="351" t="s">
        <v>403</v>
      </c>
      <c r="CA14" s="304">
        <v>12.33</v>
      </c>
      <c r="CB14" s="304">
        <v>30.83</v>
      </c>
      <c r="CC14" s="304">
        <v>10.039999999999999</v>
      </c>
      <c r="CD14" s="1785">
        <v>1.85</v>
      </c>
      <c r="CE14" s="1788">
        <v>0.92</v>
      </c>
      <c r="CF14" s="304">
        <v>1.03</v>
      </c>
      <c r="CG14" s="304">
        <v>0.99</v>
      </c>
      <c r="CH14" s="304">
        <v>1.94</v>
      </c>
      <c r="CI14" s="304">
        <v>1.68</v>
      </c>
      <c r="CJ14" s="1785">
        <v>1.7</v>
      </c>
      <c r="CK14" s="1788">
        <v>1.45</v>
      </c>
      <c r="CL14" s="304">
        <v>0.7</v>
      </c>
      <c r="CM14" s="304">
        <v>0.62</v>
      </c>
      <c r="CN14" s="304">
        <v>0.51</v>
      </c>
      <c r="CO14" s="304">
        <v>1.63</v>
      </c>
      <c r="CP14" s="304">
        <v>1.63</v>
      </c>
      <c r="CQ14" s="304">
        <v>0</v>
      </c>
      <c r="CR14" s="344"/>
      <c r="CS14" s="304">
        <v>2.57</v>
      </c>
      <c r="CT14" s="304">
        <f t="shared" si="0"/>
        <v>0.55000000000000004</v>
      </c>
      <c r="CU14" s="304">
        <v>0.55000000000000004</v>
      </c>
      <c r="CV14" s="1785">
        <v>0.34</v>
      </c>
      <c r="CW14" s="1788">
        <v>0.42</v>
      </c>
      <c r="CX14" s="304">
        <v>0.36</v>
      </c>
      <c r="CY14" s="304">
        <v>0.37</v>
      </c>
      <c r="CZ14" s="304">
        <v>0.28000000000000003</v>
      </c>
      <c r="DA14" s="304">
        <v>0.25</v>
      </c>
      <c r="DB14" s="1785">
        <v>0.18</v>
      </c>
      <c r="DC14" s="1788">
        <v>0.24</v>
      </c>
      <c r="DD14" s="304">
        <v>0.4</v>
      </c>
      <c r="DE14" s="304">
        <v>0.3</v>
      </c>
      <c r="DF14" s="304">
        <v>0.4</v>
      </c>
      <c r="DG14" s="304">
        <v>0.26</v>
      </c>
      <c r="DH14" s="304">
        <v>0.26</v>
      </c>
      <c r="DI14" s="304">
        <v>0</v>
      </c>
      <c r="DJ14" s="1" t="s">
        <v>403</v>
      </c>
    </row>
    <row r="15" spans="3:114" s="299" customFormat="1" ht="15.5" thickTop="1" thickBot="1" x14ac:dyDescent="0.4">
      <c r="C15" s="305" t="s">
        <v>166</v>
      </c>
      <c r="D15" s="305"/>
      <c r="E15" s="305"/>
      <c r="F15" s="1756">
        <v>100</v>
      </c>
      <c r="G15" s="306">
        <v>100</v>
      </c>
      <c r="H15" s="306">
        <v>100</v>
      </c>
      <c r="I15" s="1760">
        <v>100</v>
      </c>
      <c r="J15" s="1756">
        <v>100</v>
      </c>
      <c r="K15" s="306">
        <v>100</v>
      </c>
      <c r="L15" s="306">
        <v>100</v>
      </c>
      <c r="M15" s="306">
        <v>100</v>
      </c>
      <c r="N15" s="1764">
        <v>100</v>
      </c>
      <c r="O15" s="1760">
        <v>100</v>
      </c>
      <c r="P15" s="1756">
        <v>100</v>
      </c>
      <c r="Q15" s="306">
        <v>100</v>
      </c>
      <c r="R15" s="306">
        <v>100</v>
      </c>
      <c r="S15" s="1764">
        <v>100</v>
      </c>
      <c r="T15" s="1764">
        <v>100</v>
      </c>
      <c r="U15" s="1764">
        <v>100</v>
      </c>
      <c r="V15" s="306">
        <v>100</v>
      </c>
      <c r="W15" s="1751"/>
      <c r="X15" s="1769">
        <v>100</v>
      </c>
      <c r="Y15" s="312">
        <v>100</v>
      </c>
      <c r="Z15" s="312">
        <v>100</v>
      </c>
      <c r="AA15" s="1772">
        <v>100</v>
      </c>
      <c r="AB15" s="1769">
        <v>100</v>
      </c>
      <c r="AC15" s="312">
        <v>100</v>
      </c>
      <c r="AD15" s="312">
        <v>100</v>
      </c>
      <c r="AE15" s="312">
        <v>100</v>
      </c>
      <c r="AF15" s="312">
        <v>100</v>
      </c>
      <c r="AG15" s="1772">
        <v>100</v>
      </c>
      <c r="AH15" s="1769">
        <v>100</v>
      </c>
      <c r="AI15" s="312">
        <v>100</v>
      </c>
      <c r="AJ15" s="312">
        <v>100</v>
      </c>
      <c r="AK15" s="312">
        <v>100</v>
      </c>
      <c r="AL15" s="312">
        <v>100</v>
      </c>
      <c r="AM15" s="312">
        <v>100</v>
      </c>
      <c r="AN15" s="307"/>
      <c r="AO15" s="359"/>
      <c r="AP15" s="308">
        <v>100</v>
      </c>
      <c r="AQ15" s="308">
        <v>100</v>
      </c>
      <c r="AR15" s="308">
        <v>100</v>
      </c>
      <c r="AS15" s="1744">
        <v>100</v>
      </c>
      <c r="AT15" s="1739">
        <v>100</v>
      </c>
      <c r="AU15" s="308">
        <v>100</v>
      </c>
      <c r="AV15" s="308">
        <v>100</v>
      </c>
      <c r="AW15" s="308">
        <v>100</v>
      </c>
      <c r="AX15" s="308">
        <v>100</v>
      </c>
      <c r="AY15" s="1744">
        <v>100</v>
      </c>
      <c r="AZ15" s="1739">
        <v>100</v>
      </c>
      <c r="BA15" s="308">
        <v>100</v>
      </c>
      <c r="BB15" s="308">
        <v>100</v>
      </c>
      <c r="BC15" s="308">
        <v>100</v>
      </c>
      <c r="BD15" s="308">
        <v>100</v>
      </c>
      <c r="BE15" s="308">
        <v>100</v>
      </c>
      <c r="BF15" s="308">
        <v>100</v>
      </c>
      <c r="BG15" s="360"/>
      <c r="BH15" s="308">
        <v>100</v>
      </c>
      <c r="BI15" s="308">
        <v>100</v>
      </c>
      <c r="BJ15" s="308">
        <v>100</v>
      </c>
      <c r="BK15" s="1744">
        <v>100</v>
      </c>
      <c r="BL15" s="1739">
        <v>100</v>
      </c>
      <c r="BM15" s="308">
        <v>100</v>
      </c>
      <c r="BN15" s="308">
        <v>100</v>
      </c>
      <c r="BO15" s="308">
        <v>100</v>
      </c>
      <c r="BP15" s="308">
        <v>100</v>
      </c>
      <c r="BQ15" s="1744">
        <v>100</v>
      </c>
      <c r="BR15" s="1739">
        <v>100</v>
      </c>
      <c r="BS15" s="308">
        <v>99.999999999999986</v>
      </c>
      <c r="BT15" s="308">
        <v>100</v>
      </c>
      <c r="BU15" s="308">
        <v>100</v>
      </c>
      <c r="BV15" s="308">
        <v>100</v>
      </c>
      <c r="BW15" s="308">
        <v>100</v>
      </c>
      <c r="BX15" s="308">
        <v>99.999999999999986</v>
      </c>
      <c r="BY15" s="359"/>
      <c r="BZ15" s="361"/>
      <c r="CA15" s="307"/>
      <c r="CB15" s="307"/>
      <c r="CC15" s="307"/>
      <c r="CD15" s="1791"/>
      <c r="CE15" s="1792"/>
      <c r="CF15" s="307"/>
      <c r="CG15" s="307"/>
      <c r="CH15" s="307"/>
      <c r="CI15" s="307"/>
      <c r="CJ15" s="1791"/>
      <c r="CK15" s="1792"/>
      <c r="CL15" s="307"/>
      <c r="CM15" s="307"/>
      <c r="CN15" s="307"/>
      <c r="CO15" s="307"/>
      <c r="CP15" s="307"/>
      <c r="CQ15" s="307"/>
      <c r="CR15" s="359"/>
      <c r="CS15" s="307"/>
      <c r="CT15" s="307"/>
      <c r="CU15" s="307"/>
      <c r="CV15" s="1791"/>
      <c r="CW15" s="1792"/>
      <c r="CX15" s="307"/>
      <c r="CY15" s="307"/>
      <c r="CZ15" s="307"/>
      <c r="DA15" s="307"/>
      <c r="DB15" s="1791"/>
      <c r="DC15" s="1792"/>
      <c r="DD15" s="307"/>
      <c r="DE15" s="307"/>
      <c r="DF15" s="307"/>
      <c r="DG15" s="307"/>
      <c r="DH15" s="307"/>
      <c r="DI15" s="307"/>
    </row>
    <row r="16" spans="3:114" ht="16.399999999999999" customHeight="1" thickTop="1" x14ac:dyDescent="0.35">
      <c r="F16" s="1793"/>
      <c r="G16" s="297"/>
      <c r="H16" s="297"/>
      <c r="I16" s="1794"/>
      <c r="J16" s="1793"/>
      <c r="K16" s="297"/>
      <c r="L16" s="297"/>
      <c r="M16" s="297"/>
      <c r="N16" s="1795"/>
      <c r="O16" s="1794"/>
      <c r="P16" s="1793"/>
      <c r="Q16" s="297"/>
      <c r="R16" s="297"/>
      <c r="S16" s="1795"/>
      <c r="T16" s="1795"/>
      <c r="U16" s="1795"/>
      <c r="V16" s="229"/>
      <c r="W16" s="1796"/>
      <c r="X16" s="1774"/>
      <c r="Y16" s="229"/>
      <c r="Z16" s="229"/>
      <c r="AA16" s="1773"/>
      <c r="AB16" s="1774"/>
      <c r="AC16" s="229"/>
      <c r="AD16" s="229"/>
      <c r="AE16" s="229"/>
      <c r="AF16" s="229"/>
      <c r="AG16" s="1773"/>
      <c r="AH16" s="1774"/>
      <c r="AI16" s="229"/>
      <c r="AJ16" s="229"/>
      <c r="AK16" s="229"/>
      <c r="AL16" s="229"/>
      <c r="AM16" s="229"/>
      <c r="AN16" s="229"/>
      <c r="AO16" s="356"/>
      <c r="AP16" s="1797"/>
      <c r="AQ16" s="1797"/>
      <c r="AR16" s="1797"/>
      <c r="AS16" s="1798"/>
      <c r="AT16" s="1799"/>
      <c r="AU16" s="1797"/>
      <c r="AV16" s="1797"/>
      <c r="AW16" s="1797"/>
      <c r="AX16" s="1797"/>
      <c r="AY16" s="1798"/>
      <c r="AZ16" s="1799"/>
      <c r="BA16" s="1797"/>
      <c r="BB16" s="1797"/>
      <c r="BC16" s="1797"/>
      <c r="BD16" s="1797"/>
      <c r="BE16" s="1797"/>
      <c r="BF16" s="1797"/>
      <c r="BG16" s="357"/>
      <c r="BH16" s="1797"/>
      <c r="BI16" s="1797"/>
      <c r="BJ16" s="1797"/>
      <c r="BK16" s="1798"/>
      <c r="BL16" s="1799"/>
      <c r="BM16" s="1797"/>
      <c r="BN16" s="1797"/>
      <c r="BO16" s="1797"/>
      <c r="BP16" s="1797"/>
      <c r="BQ16" s="1798"/>
      <c r="BR16" s="1799"/>
      <c r="BS16" s="1797"/>
      <c r="BT16" s="1797"/>
      <c r="BU16" s="1797"/>
      <c r="BV16" s="1797"/>
      <c r="BW16" s="1797"/>
      <c r="BX16" s="229"/>
      <c r="BY16" s="356"/>
      <c r="BZ16" s="349" t="s">
        <v>46</v>
      </c>
      <c r="CA16" s="309">
        <v>0.3</v>
      </c>
      <c r="CB16" s="296">
        <v>0.36</v>
      </c>
      <c r="CC16" s="296">
        <v>0.2</v>
      </c>
      <c r="CD16" s="1783">
        <v>0.32</v>
      </c>
      <c r="CE16" s="1786">
        <v>0.38</v>
      </c>
      <c r="CF16" s="296">
        <v>0</v>
      </c>
      <c r="CG16" s="296">
        <v>0.19</v>
      </c>
      <c r="CH16" s="296">
        <v>0</v>
      </c>
      <c r="CI16" s="296">
        <v>0.72</v>
      </c>
      <c r="CJ16" s="1783">
        <v>0.85</v>
      </c>
      <c r="CK16" s="1786">
        <v>0.6</v>
      </c>
      <c r="CL16" s="296">
        <v>0.42</v>
      </c>
      <c r="CM16" s="296">
        <v>0.15</v>
      </c>
      <c r="CN16" s="296">
        <v>0.15</v>
      </c>
      <c r="CO16" s="296">
        <v>0.17</v>
      </c>
      <c r="CP16" s="296">
        <v>0.17</v>
      </c>
      <c r="CQ16" s="229">
        <v>0</v>
      </c>
      <c r="CR16" s="356"/>
      <c r="CS16" s="309">
        <v>6.47</v>
      </c>
      <c r="CT16" s="296">
        <v>89.55</v>
      </c>
      <c r="CU16" s="296">
        <v>84.4</v>
      </c>
      <c r="CV16" s="1783">
        <v>93.38</v>
      </c>
      <c r="CW16" s="1786">
        <v>94.87</v>
      </c>
      <c r="CX16" s="296">
        <v>94.69</v>
      </c>
      <c r="CY16" s="296">
        <v>95.33</v>
      </c>
      <c r="CZ16" s="296">
        <v>95.25</v>
      </c>
      <c r="DA16" s="296">
        <v>95.3</v>
      </c>
      <c r="DB16" s="1783">
        <v>95.56</v>
      </c>
      <c r="DC16" s="1786">
        <v>94.2</v>
      </c>
      <c r="DD16" s="296">
        <v>91.87</v>
      </c>
      <c r="DE16" s="296">
        <v>92.08</v>
      </c>
      <c r="DF16" s="296">
        <v>95.43</v>
      </c>
      <c r="DG16" s="296">
        <v>95.42</v>
      </c>
      <c r="DH16" s="296">
        <v>95.42</v>
      </c>
      <c r="DI16" s="296">
        <v>0</v>
      </c>
      <c r="DJ16" s="1" t="s">
        <v>46</v>
      </c>
    </row>
    <row r="17" spans="3:113" s="368" customFormat="1" ht="7.5" customHeight="1" thickBot="1" x14ac:dyDescent="0.4">
      <c r="C17" s="364"/>
      <c r="D17" s="364"/>
      <c r="E17" s="364"/>
      <c r="F17" s="1800"/>
      <c r="G17" s="365"/>
      <c r="H17" s="365"/>
      <c r="I17" s="1801"/>
      <c r="J17" s="1800"/>
      <c r="K17" s="365"/>
      <c r="L17" s="365"/>
      <c r="M17" s="365"/>
      <c r="N17" s="1802"/>
      <c r="O17" s="1801"/>
      <c r="P17" s="1800"/>
      <c r="Q17" s="365"/>
      <c r="R17" s="365"/>
      <c r="S17" s="1802"/>
      <c r="T17" s="1802"/>
      <c r="U17" s="1802"/>
      <c r="V17" s="365"/>
      <c r="W17" s="1803"/>
      <c r="X17" s="1800"/>
      <c r="Y17" s="365"/>
      <c r="Z17" s="365"/>
      <c r="AA17" s="1804"/>
      <c r="AB17" s="1800"/>
      <c r="AC17" s="365"/>
      <c r="AD17" s="365"/>
      <c r="AE17" s="365"/>
      <c r="AF17" s="365"/>
      <c r="AG17" s="1804"/>
      <c r="AH17" s="1800"/>
      <c r="AI17" s="365"/>
      <c r="AJ17" s="365"/>
      <c r="AK17" s="365"/>
      <c r="AL17" s="365"/>
      <c r="AM17" s="365"/>
      <c r="AN17" s="365"/>
      <c r="AO17" s="366"/>
      <c r="AP17" s="365"/>
      <c r="AQ17" s="365"/>
      <c r="AR17" s="365"/>
      <c r="AS17" s="1804"/>
      <c r="AT17" s="1800"/>
      <c r="AU17" s="365"/>
      <c r="AV17" s="365"/>
      <c r="AW17" s="365"/>
      <c r="AX17" s="365"/>
      <c r="AY17" s="1804"/>
      <c r="AZ17" s="1800"/>
      <c r="BA17" s="365"/>
      <c r="BB17" s="365"/>
      <c r="BC17" s="365"/>
      <c r="BD17" s="365"/>
      <c r="BE17" s="365"/>
      <c r="BF17" s="365"/>
      <c r="BG17" s="366"/>
      <c r="BH17" s="365"/>
      <c r="BI17" s="365"/>
      <c r="BJ17" s="365"/>
      <c r="BK17" s="1804"/>
      <c r="BL17" s="1800"/>
      <c r="BM17" s="365"/>
      <c r="BN17" s="365"/>
      <c r="BO17" s="365"/>
      <c r="BP17" s="365"/>
      <c r="BQ17" s="1804"/>
      <c r="BR17" s="1800"/>
      <c r="BS17" s="365"/>
      <c r="BT17" s="365"/>
      <c r="BU17" s="365"/>
      <c r="BV17" s="365"/>
      <c r="BW17" s="365"/>
      <c r="BX17" s="365"/>
      <c r="BY17" s="366"/>
      <c r="BZ17" s="367"/>
      <c r="CA17" s="365"/>
      <c r="CB17" s="365"/>
      <c r="CC17" s="365"/>
      <c r="CD17" s="1804"/>
      <c r="CE17" s="1800"/>
      <c r="CF17" s="365"/>
      <c r="CG17" s="365"/>
      <c r="CH17" s="365"/>
      <c r="CI17" s="365"/>
      <c r="CJ17" s="1804"/>
      <c r="CK17" s="1800"/>
      <c r="CL17" s="365"/>
      <c r="CM17" s="365"/>
      <c r="CN17" s="365"/>
      <c r="CO17" s="365"/>
      <c r="CP17" s="365"/>
      <c r="CQ17" s="365"/>
      <c r="CR17" s="366"/>
      <c r="CS17" s="365"/>
      <c r="CT17" s="365"/>
      <c r="CU17" s="365"/>
      <c r="CV17" s="1804"/>
      <c r="CW17" s="1800"/>
      <c r="CX17" s="365"/>
      <c r="CY17" s="365"/>
      <c r="CZ17" s="365"/>
      <c r="DA17" s="365"/>
      <c r="DB17" s="1804"/>
      <c r="DC17" s="1800"/>
      <c r="DD17" s="365"/>
      <c r="DE17" s="365"/>
      <c r="DF17" s="365"/>
      <c r="DG17" s="365"/>
      <c r="DH17" s="365"/>
      <c r="DI17" s="365"/>
    </row>
    <row r="18" spans="3:113" ht="15" thickTop="1" x14ac:dyDescent="0.35">
      <c r="C18" s="1" t="s">
        <v>96</v>
      </c>
      <c r="F18" s="1786">
        <v>57.54</v>
      </c>
      <c r="G18" s="296">
        <v>57.54</v>
      </c>
      <c r="H18" s="296">
        <v>57.54</v>
      </c>
      <c r="I18" s="1805">
        <v>57.54</v>
      </c>
      <c r="J18" s="1806">
        <v>113.36</v>
      </c>
      <c r="K18" s="363">
        <v>113.36</v>
      </c>
      <c r="L18" s="363">
        <v>113.36</v>
      </c>
      <c r="M18" s="363">
        <v>113.36</v>
      </c>
      <c r="N18" s="1807">
        <v>113.36</v>
      </c>
      <c r="O18" s="1808">
        <v>113.36</v>
      </c>
      <c r="P18" s="1786">
        <v>171.3</v>
      </c>
      <c r="Q18" s="296">
        <v>171.3</v>
      </c>
      <c r="R18" s="296">
        <v>171.3</v>
      </c>
      <c r="S18" s="1809">
        <v>171.3</v>
      </c>
      <c r="T18" s="1809">
        <v>171.3</v>
      </c>
      <c r="U18" s="1809">
        <v>171.3</v>
      </c>
      <c r="V18" s="296">
        <v>171.3</v>
      </c>
      <c r="W18" s="1810"/>
      <c r="X18" s="1786">
        <v>269.69</v>
      </c>
      <c r="Y18" s="296">
        <v>1886.78</v>
      </c>
      <c r="Z18" s="296">
        <v>88.02</v>
      </c>
      <c r="AA18" s="1783">
        <v>0</v>
      </c>
      <c r="AB18" s="1786">
        <v>75.77</v>
      </c>
      <c r="AC18" s="296">
        <v>151.41</v>
      </c>
      <c r="AD18" s="296">
        <v>137.30000000000001</v>
      </c>
      <c r="AE18" s="296">
        <v>120.12</v>
      </c>
      <c r="AF18" s="296">
        <v>0</v>
      </c>
      <c r="AG18" s="1783">
        <v>0</v>
      </c>
      <c r="AH18" s="1786">
        <v>0</v>
      </c>
      <c r="AI18" s="296">
        <v>181.05</v>
      </c>
      <c r="AJ18" s="296">
        <v>231.47</v>
      </c>
      <c r="AK18" s="296">
        <v>216.66</v>
      </c>
      <c r="AL18" s="296">
        <v>0</v>
      </c>
      <c r="AM18" s="296">
        <v>0</v>
      </c>
      <c r="AN18" s="296"/>
      <c r="AO18" s="357"/>
      <c r="AP18" s="309">
        <v>23.22</v>
      </c>
      <c r="AQ18" s="309">
        <v>21.56</v>
      </c>
      <c r="AR18" s="309">
        <v>20.83</v>
      </c>
      <c r="AS18" s="1811">
        <v>20.440000000000001</v>
      </c>
      <c r="AT18" s="1812">
        <v>15.95</v>
      </c>
      <c r="AU18" s="309">
        <v>19.940000000000001</v>
      </c>
      <c r="AV18" s="309">
        <v>22.84</v>
      </c>
      <c r="AW18" s="309">
        <v>21.74</v>
      </c>
      <c r="AX18" s="309">
        <v>25.13</v>
      </c>
      <c r="AY18" s="1811">
        <v>24.63</v>
      </c>
      <c r="AZ18" s="1812">
        <v>24.52</v>
      </c>
      <c r="BA18" s="309">
        <v>30.84</v>
      </c>
      <c r="BB18" s="309">
        <v>41.32</v>
      </c>
      <c r="BC18" s="309">
        <v>34.82</v>
      </c>
      <c r="BD18" s="309">
        <v>47.78</v>
      </c>
      <c r="BE18" s="309">
        <v>42.98</v>
      </c>
      <c r="BF18" s="296">
        <v>48.83</v>
      </c>
      <c r="BG18" s="357"/>
      <c r="BH18" s="296"/>
      <c r="BI18" s="296"/>
      <c r="BJ18" s="296"/>
      <c r="BK18" s="1783"/>
      <c r="BL18" s="1786"/>
      <c r="BM18" s="296"/>
      <c r="BN18" s="296"/>
      <c r="BO18" s="296"/>
      <c r="BP18" s="296"/>
      <c r="BQ18" s="1783"/>
      <c r="BR18" s="1786"/>
      <c r="BS18" s="296"/>
      <c r="BT18" s="296"/>
      <c r="BU18" s="296"/>
      <c r="BV18" s="296"/>
      <c r="BW18" s="296"/>
      <c r="BX18" s="229"/>
      <c r="BY18" s="356"/>
      <c r="BZ18" s="358"/>
      <c r="CA18" s="229"/>
      <c r="CB18" s="229"/>
      <c r="CC18" s="229"/>
      <c r="CD18" s="1773"/>
      <c r="CE18" s="1774"/>
      <c r="CF18" s="229"/>
      <c r="CG18" s="229"/>
      <c r="CH18" s="229"/>
      <c r="CI18" s="229"/>
      <c r="CJ18" s="1773"/>
      <c r="CK18" s="1774"/>
      <c r="CL18" s="229"/>
      <c r="CM18" s="229"/>
      <c r="CN18" s="229"/>
      <c r="CO18" s="229"/>
      <c r="CP18" s="229"/>
      <c r="CQ18" s="229"/>
      <c r="CR18" s="356"/>
      <c r="CS18" s="229"/>
      <c r="CT18" s="229"/>
      <c r="CU18" s="229"/>
      <c r="CV18" s="1773"/>
      <c r="CW18" s="1774"/>
      <c r="CX18" s="229"/>
      <c r="CY18" s="229"/>
      <c r="CZ18" s="229"/>
      <c r="DA18" s="229"/>
      <c r="DB18" s="1773"/>
      <c r="DC18" s="1774"/>
      <c r="DD18" s="229"/>
      <c r="DE18" s="229"/>
      <c r="DF18" s="229"/>
      <c r="DG18" s="229"/>
      <c r="DH18" s="229"/>
      <c r="DI18" s="229"/>
    </row>
    <row r="19" spans="3:113" x14ac:dyDescent="0.35">
      <c r="C19" s="444" t="s">
        <v>317</v>
      </c>
      <c r="J19" s="1726">
        <v>97.9</v>
      </c>
      <c r="K19" s="232">
        <v>97.9</v>
      </c>
      <c r="L19" s="232">
        <v>97.9</v>
      </c>
      <c r="M19" s="232">
        <v>97.9</v>
      </c>
      <c r="N19" s="1814">
        <v>97.9</v>
      </c>
      <c r="O19" s="1814">
        <v>97.9</v>
      </c>
      <c r="P19" s="1787">
        <v>138</v>
      </c>
      <c r="Q19" s="244">
        <v>138</v>
      </c>
      <c r="R19" s="244">
        <v>138</v>
      </c>
      <c r="S19" s="1815">
        <v>138</v>
      </c>
      <c r="T19" s="1815">
        <v>138</v>
      </c>
      <c r="U19" s="1815">
        <v>138</v>
      </c>
      <c r="V19" s="244"/>
      <c r="W19" s="1816"/>
      <c r="X19" s="1787"/>
      <c r="Y19" s="244"/>
      <c r="Z19" s="244"/>
      <c r="AA19" s="1784"/>
      <c r="AB19" s="1787"/>
      <c r="AC19" s="244"/>
      <c r="AD19" s="244"/>
      <c r="AE19" s="244"/>
      <c r="AF19" s="244"/>
      <c r="AG19" s="1784"/>
      <c r="AH19" s="1787"/>
      <c r="AI19" s="244"/>
      <c r="AJ19" s="244"/>
      <c r="AK19" s="244"/>
      <c r="AL19" s="244"/>
      <c r="AM19" s="244"/>
      <c r="AN19" s="244"/>
      <c r="AO19" s="325"/>
      <c r="AP19" s="446">
        <v>19</v>
      </c>
      <c r="AQ19" s="446">
        <v>20.5</v>
      </c>
      <c r="AR19" s="446">
        <v>21.5</v>
      </c>
      <c r="AS19" s="1817">
        <v>21.9</v>
      </c>
      <c r="AT19" s="1818">
        <v>8</v>
      </c>
      <c r="AU19" s="446">
        <v>12</v>
      </c>
      <c r="AV19" s="446">
        <v>13</v>
      </c>
      <c r="AW19" s="446">
        <v>14.1</v>
      </c>
      <c r="AX19" s="446">
        <v>15.2</v>
      </c>
      <c r="AY19" s="1817">
        <v>16.2</v>
      </c>
      <c r="AZ19" s="1818">
        <v>20.5</v>
      </c>
      <c r="BA19" s="446">
        <v>30</v>
      </c>
      <c r="BB19" s="446">
        <v>30.8</v>
      </c>
      <c r="BC19" s="446">
        <v>28</v>
      </c>
      <c r="BD19" s="446">
        <v>30</v>
      </c>
      <c r="BE19" s="446">
        <v>30.7</v>
      </c>
      <c r="BF19" s="244"/>
      <c r="BG19" s="325"/>
      <c r="BH19" s="244"/>
      <c r="BI19" s="244"/>
      <c r="BJ19" s="244"/>
      <c r="BK19" s="1784"/>
      <c r="BL19" s="1787"/>
      <c r="BM19" s="244"/>
      <c r="BN19" s="244"/>
      <c r="BO19" s="244"/>
      <c r="BP19" s="244"/>
      <c r="BQ19" s="1784"/>
      <c r="BR19" s="1787"/>
      <c r="BS19" s="244"/>
      <c r="BT19" s="244"/>
      <c r="BU19" s="244"/>
      <c r="BV19" s="244"/>
      <c r="BW19" s="244"/>
    </row>
    <row r="20" spans="3:113" x14ac:dyDescent="0.35">
      <c r="C20" s="1" t="s">
        <v>97</v>
      </c>
      <c r="F20" s="1726">
        <v>194.27</v>
      </c>
      <c r="G20" s="232">
        <v>194.27</v>
      </c>
      <c r="H20" s="232">
        <v>194.27</v>
      </c>
      <c r="I20" s="1813">
        <v>194.27</v>
      </c>
      <c r="J20" s="1726">
        <v>285.95999999999998</v>
      </c>
      <c r="K20" s="232">
        <v>285.95999999999998</v>
      </c>
      <c r="L20" s="232">
        <v>285.95999999999998</v>
      </c>
      <c r="M20" s="232">
        <v>285.95999999999998</v>
      </c>
      <c r="N20" s="1814">
        <v>285.95999999999998</v>
      </c>
      <c r="O20" s="1813">
        <v>285.95999999999998</v>
      </c>
      <c r="P20" s="1787">
        <v>481.4</v>
      </c>
      <c r="Q20" s="244">
        <v>481.4</v>
      </c>
      <c r="R20" s="244">
        <v>481.4</v>
      </c>
      <c r="S20" s="1815">
        <v>481.4</v>
      </c>
      <c r="T20" s="1815">
        <v>481.4</v>
      </c>
      <c r="U20" s="1815">
        <v>481.4</v>
      </c>
      <c r="V20" s="244">
        <v>481.4</v>
      </c>
      <c r="W20" s="1816"/>
      <c r="X20" s="1787">
        <v>984.6</v>
      </c>
      <c r="Y20" s="244">
        <v>5237.3599999999997</v>
      </c>
      <c r="Z20" s="244">
        <v>230.15</v>
      </c>
      <c r="AA20" s="1784">
        <v>0</v>
      </c>
      <c r="AB20" s="1787">
        <v>186.78</v>
      </c>
      <c r="AC20" s="244">
        <v>382.7</v>
      </c>
      <c r="AD20" s="244">
        <v>323.52</v>
      </c>
      <c r="AE20" s="244">
        <v>289.69</v>
      </c>
      <c r="AF20" s="244">
        <v>0</v>
      </c>
      <c r="AG20" s="1784">
        <v>0</v>
      </c>
      <c r="AH20" s="1787">
        <v>0</v>
      </c>
      <c r="AI20" s="244">
        <v>433.24</v>
      </c>
      <c r="AJ20" s="244">
        <v>566.04999999999995</v>
      </c>
      <c r="AK20" s="244">
        <v>558.42999999999995</v>
      </c>
      <c r="AL20" s="244">
        <v>0</v>
      </c>
      <c r="AM20" s="244">
        <v>0</v>
      </c>
      <c r="AN20" s="244"/>
      <c r="AO20" s="325"/>
      <c r="AP20" s="249">
        <v>37.799999999999997</v>
      </c>
      <c r="AQ20" s="249">
        <v>35.770000000000003</v>
      </c>
      <c r="AR20" s="249">
        <v>36</v>
      </c>
      <c r="AS20" s="294">
        <v>35.1</v>
      </c>
      <c r="AT20" s="1819">
        <v>12.19</v>
      </c>
      <c r="AU20" s="249">
        <v>16.88</v>
      </c>
      <c r="AV20" s="249">
        <v>21.84</v>
      </c>
      <c r="AW20" s="249">
        <v>19.579999999999998</v>
      </c>
      <c r="AX20" s="249">
        <v>24.52</v>
      </c>
      <c r="AY20" s="294">
        <v>25.21</v>
      </c>
      <c r="AZ20" s="1819">
        <v>22.28</v>
      </c>
      <c r="BA20" s="249">
        <v>31.92</v>
      </c>
      <c r="BB20" s="249">
        <v>50.16</v>
      </c>
      <c r="BC20" s="249">
        <v>36.43</v>
      </c>
      <c r="BD20" s="249">
        <v>63.12</v>
      </c>
      <c r="BE20" s="249">
        <v>55.81</v>
      </c>
      <c r="BF20" s="244">
        <v>73.86</v>
      </c>
      <c r="BG20" s="325"/>
      <c r="BH20" s="244"/>
      <c r="BI20" s="244"/>
      <c r="BJ20" s="244"/>
      <c r="BK20" s="1784"/>
      <c r="BL20" s="1787"/>
      <c r="BM20" s="244"/>
      <c r="BN20" s="244"/>
      <c r="BO20" s="244"/>
      <c r="BP20" s="244"/>
      <c r="BQ20" s="1784"/>
      <c r="BR20" s="1787"/>
      <c r="BS20" s="244"/>
      <c r="BT20" s="244"/>
      <c r="BU20" s="244"/>
      <c r="BV20" s="244"/>
      <c r="BW20" s="244"/>
    </row>
    <row r="21" spans="3:113" x14ac:dyDescent="0.35">
      <c r="C21" s="444" t="s">
        <v>316</v>
      </c>
      <c r="F21" s="1787"/>
      <c r="G21" s="244"/>
      <c r="H21" s="244"/>
      <c r="I21" s="1820"/>
      <c r="J21" s="1821">
        <v>266</v>
      </c>
      <c r="K21" s="248">
        <v>266</v>
      </c>
      <c r="L21" s="248">
        <v>266</v>
      </c>
      <c r="M21" s="248">
        <v>266</v>
      </c>
      <c r="N21" s="1822">
        <v>266</v>
      </c>
      <c r="O21" s="1822">
        <v>266</v>
      </c>
      <c r="P21" s="1787">
        <v>351</v>
      </c>
      <c r="Q21" s="244">
        <v>351</v>
      </c>
      <c r="R21" s="244">
        <v>351</v>
      </c>
      <c r="S21" s="1815">
        <v>351</v>
      </c>
      <c r="T21" s="1815">
        <v>351</v>
      </c>
      <c r="U21" s="1815">
        <v>351</v>
      </c>
      <c r="V21" s="244"/>
      <c r="W21" s="1816"/>
      <c r="X21" s="1787"/>
      <c r="Y21" s="244"/>
      <c r="Z21" s="244"/>
      <c r="AA21" s="1784"/>
      <c r="AB21" s="1787"/>
      <c r="AC21" s="244"/>
      <c r="AD21" s="244"/>
      <c r="AE21" s="244"/>
      <c r="AF21" s="244"/>
      <c r="AG21" s="1784"/>
      <c r="AH21" s="1787"/>
      <c r="AI21" s="244"/>
      <c r="AJ21" s="244"/>
      <c r="AK21" s="244"/>
      <c r="AL21" s="244"/>
      <c r="AM21" s="244"/>
      <c r="AN21" s="244"/>
      <c r="AO21" s="325"/>
      <c r="AP21" s="446">
        <v>24.5</v>
      </c>
      <c r="AQ21" s="446">
        <v>29</v>
      </c>
      <c r="AR21" s="446">
        <v>32.5</v>
      </c>
      <c r="AS21" s="1817">
        <v>34.1</v>
      </c>
      <c r="AT21" s="1818">
        <v>4</v>
      </c>
      <c r="AU21" s="446">
        <v>5</v>
      </c>
      <c r="AV21" s="446">
        <v>6</v>
      </c>
      <c r="AW21" s="446">
        <v>6.5</v>
      </c>
      <c r="AX21" s="446">
        <v>7.5</v>
      </c>
      <c r="AY21" s="1817">
        <v>8.8000000000000007</v>
      </c>
      <c r="AZ21" s="1818">
        <v>13</v>
      </c>
      <c r="BA21" s="446">
        <v>25</v>
      </c>
      <c r="BB21" s="446">
        <v>27</v>
      </c>
      <c r="BC21" s="446">
        <v>23</v>
      </c>
      <c r="BD21" s="446">
        <v>24</v>
      </c>
      <c r="BE21" s="446">
        <v>27.4</v>
      </c>
      <c r="BF21" s="244"/>
      <c r="BG21" s="325"/>
      <c r="BH21" s="244"/>
      <c r="BI21" s="244"/>
      <c r="BJ21" s="244"/>
      <c r="BK21" s="1784"/>
      <c r="BL21" s="1787"/>
      <c r="BM21" s="244"/>
      <c r="BN21" s="244"/>
      <c r="BO21" s="244"/>
      <c r="BP21" s="244"/>
      <c r="BQ21" s="1784"/>
      <c r="BR21" s="1787"/>
      <c r="BS21" s="244"/>
      <c r="BT21" s="244"/>
      <c r="BU21" s="244"/>
      <c r="BV21" s="244"/>
      <c r="BW21" s="244"/>
    </row>
    <row r="22" spans="3:113" ht="15" thickBot="1" x14ac:dyDescent="0.4">
      <c r="C22" s="1" t="s">
        <v>98</v>
      </c>
      <c r="F22" s="1788">
        <v>16.48</v>
      </c>
      <c r="G22" s="304">
        <v>16.48</v>
      </c>
      <c r="H22" s="304">
        <v>16.48</v>
      </c>
      <c r="I22" s="1823">
        <v>16.48</v>
      </c>
      <c r="J22" s="1824">
        <v>82.57</v>
      </c>
      <c r="K22" s="310">
        <v>82.57</v>
      </c>
      <c r="L22" s="310">
        <v>82.57</v>
      </c>
      <c r="M22" s="310">
        <v>82.57</v>
      </c>
      <c r="N22" s="1825">
        <v>82.57</v>
      </c>
      <c r="O22" s="1826">
        <v>82.57</v>
      </c>
      <c r="P22" s="1788">
        <v>68.900000000000006</v>
      </c>
      <c r="Q22" s="304">
        <v>68.900000000000006</v>
      </c>
      <c r="R22" s="304">
        <v>68.900000000000006</v>
      </c>
      <c r="S22" s="1827">
        <v>68.900000000000006</v>
      </c>
      <c r="T22" s="1827">
        <v>68.900000000000006</v>
      </c>
      <c r="U22" s="1827">
        <v>68.900000000000006</v>
      </c>
      <c r="V22" s="304">
        <v>68.900000000000006</v>
      </c>
      <c r="W22" s="1828"/>
      <c r="X22" s="1788">
        <v>307.98</v>
      </c>
      <c r="Y22" s="304">
        <v>2822.69</v>
      </c>
      <c r="Z22" s="304">
        <v>106.96</v>
      </c>
      <c r="AA22" s="1785">
        <v>0</v>
      </c>
      <c r="AB22" s="1788">
        <v>89.3</v>
      </c>
      <c r="AC22" s="304">
        <v>225.5</v>
      </c>
      <c r="AD22" s="304">
        <v>172.18</v>
      </c>
      <c r="AE22" s="304">
        <v>145.26</v>
      </c>
      <c r="AF22" s="304">
        <v>0</v>
      </c>
      <c r="AG22" s="1785">
        <v>0</v>
      </c>
      <c r="AH22" s="1788">
        <v>0</v>
      </c>
      <c r="AI22" s="304">
        <v>233.06</v>
      </c>
      <c r="AJ22" s="304">
        <v>311.68</v>
      </c>
      <c r="AK22" s="304">
        <v>259.36</v>
      </c>
      <c r="AL22" s="304">
        <v>0</v>
      </c>
      <c r="AM22" s="304">
        <v>0</v>
      </c>
      <c r="AN22" s="304"/>
      <c r="AO22" s="350"/>
      <c r="AP22" s="311">
        <v>13.76</v>
      </c>
      <c r="AQ22" s="311">
        <v>12.41</v>
      </c>
      <c r="AR22" s="311">
        <v>10.57</v>
      </c>
      <c r="AS22" s="1829">
        <v>7.49</v>
      </c>
      <c r="AT22" s="1830">
        <v>26.69</v>
      </c>
      <c r="AU22" s="311">
        <v>7.39</v>
      </c>
      <c r="AV22" s="311">
        <v>3</v>
      </c>
      <c r="AW22" s="311">
        <v>2.46</v>
      </c>
      <c r="AX22" s="311">
        <v>5.58</v>
      </c>
      <c r="AY22" s="1829">
        <v>2.93</v>
      </c>
      <c r="AZ22" s="1830">
        <v>3.26</v>
      </c>
      <c r="BA22" s="311">
        <v>7.29</v>
      </c>
      <c r="BB22" s="311">
        <v>21.38</v>
      </c>
      <c r="BC22" s="311">
        <v>3.41</v>
      </c>
      <c r="BD22" s="311">
        <v>30.31</v>
      </c>
      <c r="BE22" s="311">
        <v>10.45</v>
      </c>
      <c r="BF22" s="304">
        <v>28.42</v>
      </c>
      <c r="BG22" s="350"/>
      <c r="BH22" s="304"/>
      <c r="BI22" s="304"/>
      <c r="BJ22" s="304"/>
      <c r="BK22" s="1785"/>
      <c r="BL22" s="1788"/>
      <c r="BM22" s="304"/>
      <c r="BN22" s="304"/>
      <c r="BO22" s="304"/>
      <c r="BP22" s="304"/>
      <c r="BQ22" s="1785"/>
      <c r="BR22" s="1788"/>
      <c r="BS22" s="304"/>
      <c r="BT22" s="304"/>
      <c r="BU22" s="304"/>
      <c r="BV22" s="304"/>
      <c r="BW22" s="304"/>
      <c r="BX22" s="225"/>
      <c r="BY22" s="344"/>
      <c r="BZ22" s="345"/>
      <c r="CA22" s="225"/>
      <c r="CB22" s="225"/>
      <c r="CC22" s="225"/>
      <c r="CD22" s="226"/>
      <c r="CE22" s="1768"/>
      <c r="CF22" s="225"/>
      <c r="CG22" s="225"/>
      <c r="CH22" s="225"/>
      <c r="CI22" s="225"/>
      <c r="CJ22" s="226"/>
      <c r="CK22" s="1768"/>
      <c r="CL22" s="225"/>
      <c r="CM22" s="225"/>
      <c r="CN22" s="225"/>
      <c r="CO22" s="225"/>
      <c r="CP22" s="225"/>
      <c r="CQ22" s="225"/>
      <c r="CR22" s="344"/>
      <c r="CS22" s="225"/>
      <c r="CT22" s="225"/>
      <c r="CU22" s="225"/>
      <c r="CV22" s="226"/>
      <c r="CW22" s="1768"/>
      <c r="CX22" s="225"/>
      <c r="CY22" s="225"/>
      <c r="CZ22" s="225"/>
      <c r="DA22" s="225"/>
      <c r="DB22" s="226"/>
      <c r="DC22" s="1768"/>
      <c r="DD22" s="225"/>
      <c r="DE22" s="225"/>
      <c r="DF22" s="225"/>
      <c r="DG22" s="225"/>
      <c r="DH22" s="225"/>
      <c r="DI22" s="225"/>
    </row>
    <row r="23" spans="3:113" s="299" customFormat="1" ht="15.5" thickTop="1" thickBot="1" x14ac:dyDescent="0.4">
      <c r="C23" s="305"/>
      <c r="D23" s="305"/>
      <c r="E23" s="305"/>
      <c r="F23" s="1792"/>
      <c r="G23" s="307"/>
      <c r="H23" s="307"/>
      <c r="I23" s="1831"/>
      <c r="J23" s="1792"/>
      <c r="K23" s="307"/>
      <c r="L23" s="307"/>
      <c r="M23" s="307"/>
      <c r="N23" s="1832"/>
      <c r="O23" s="1831"/>
      <c r="P23" s="1792"/>
      <c r="Q23" s="307"/>
      <c r="R23" s="307"/>
      <c r="S23" s="1832"/>
      <c r="T23" s="1832"/>
      <c r="U23" s="1832"/>
      <c r="V23" s="307"/>
      <c r="W23" s="1751"/>
      <c r="X23" s="1792"/>
      <c r="Y23" s="307"/>
      <c r="Z23" s="307"/>
      <c r="AA23" s="1791"/>
      <c r="AB23" s="1792"/>
      <c r="AC23" s="307"/>
      <c r="AD23" s="307"/>
      <c r="AE23" s="307"/>
      <c r="AF23" s="307"/>
      <c r="AG23" s="1791"/>
      <c r="AH23" s="1792"/>
      <c r="AI23" s="307"/>
      <c r="AJ23" s="307"/>
      <c r="AK23" s="307"/>
      <c r="AL23" s="307"/>
      <c r="AM23" s="307"/>
      <c r="AN23" s="307"/>
      <c r="AO23" s="359"/>
      <c r="AP23" s="312"/>
      <c r="AQ23" s="312"/>
      <c r="AR23" s="312"/>
      <c r="AS23" s="1772"/>
      <c r="AT23" s="1833" t="s">
        <v>412</v>
      </c>
      <c r="AU23" s="312"/>
      <c r="AV23" s="312"/>
      <c r="AW23" s="312"/>
      <c r="AX23" s="312"/>
      <c r="AY23" s="1772"/>
      <c r="AZ23" s="1833" t="s">
        <v>411</v>
      </c>
      <c r="BA23" s="312"/>
      <c r="BB23" s="312"/>
      <c r="BC23" s="312"/>
      <c r="BD23" s="312"/>
      <c r="BE23" s="312"/>
      <c r="BF23" s="312"/>
      <c r="BG23" s="360"/>
      <c r="BH23" s="312"/>
      <c r="BI23" s="312"/>
      <c r="BJ23" s="312"/>
      <c r="BK23" s="1772"/>
      <c r="BL23" s="1769"/>
      <c r="BM23" s="312"/>
      <c r="BN23" s="312"/>
      <c r="BO23" s="312"/>
      <c r="BP23" s="312"/>
      <c r="BQ23" s="1772"/>
      <c r="BR23" s="1769"/>
      <c r="BS23" s="312"/>
      <c r="BT23" s="312"/>
      <c r="BU23" s="312"/>
      <c r="BV23" s="312"/>
      <c r="BW23" s="312"/>
      <c r="BX23" s="307"/>
      <c r="BY23" s="359"/>
      <c r="BZ23" s="361"/>
      <c r="CA23" s="307"/>
      <c r="CB23" s="307"/>
      <c r="CC23" s="307"/>
      <c r="CD23" s="1791"/>
      <c r="CE23" s="1792"/>
      <c r="CF23" s="307"/>
      <c r="CG23" s="307"/>
      <c r="CH23" s="307"/>
      <c r="CI23" s="307"/>
      <c r="CJ23" s="1791"/>
      <c r="CK23" s="1792"/>
      <c r="CL23" s="307"/>
      <c r="CM23" s="307"/>
      <c r="CN23" s="307"/>
      <c r="CO23" s="307"/>
      <c r="CP23" s="307"/>
      <c r="CQ23" s="307"/>
      <c r="CR23" s="359"/>
      <c r="CS23" s="307"/>
      <c r="CT23" s="307"/>
      <c r="CU23" s="307"/>
      <c r="CV23" s="1791"/>
      <c r="CW23" s="1792"/>
      <c r="CX23" s="307"/>
      <c r="CY23" s="307"/>
      <c r="CZ23" s="307"/>
      <c r="DA23" s="307"/>
      <c r="DB23" s="1791"/>
      <c r="DC23" s="1792"/>
      <c r="DD23" s="307"/>
      <c r="DE23" s="307"/>
      <c r="DF23" s="307"/>
      <c r="DG23" s="307"/>
      <c r="DH23" s="307"/>
      <c r="DI23" s="307"/>
    </row>
    <row r="24" spans="3:113" ht="15" thickTop="1" x14ac:dyDescent="0.35">
      <c r="C24" s="1" t="s">
        <v>172</v>
      </c>
      <c r="F24" s="1786">
        <v>0.56010000000000004</v>
      </c>
      <c r="G24" s="296">
        <v>0.56010000000000004</v>
      </c>
      <c r="H24" s="296">
        <v>0.56010000000000004</v>
      </c>
      <c r="I24" s="1805">
        <v>0.56010000000000004</v>
      </c>
      <c r="J24" s="1786">
        <v>0.73780000000000001</v>
      </c>
      <c r="K24" s="296">
        <v>0.73780000000000001</v>
      </c>
      <c r="L24" s="296">
        <v>0.73780000000000001</v>
      </c>
      <c r="M24" s="296">
        <v>0.73780000000000001</v>
      </c>
      <c r="N24" s="1809">
        <v>0.73780000000000001</v>
      </c>
      <c r="O24" s="1805">
        <v>0.73780000000000001</v>
      </c>
      <c r="P24" s="1786">
        <v>0.78634799999999994</v>
      </c>
      <c r="Q24" s="296">
        <v>0.78634799999999994</v>
      </c>
      <c r="R24" s="296">
        <v>0.78634799999999994</v>
      </c>
      <c r="S24" s="1809">
        <v>0.78634799999999994</v>
      </c>
      <c r="T24" s="1809">
        <v>0.78634799999999994</v>
      </c>
      <c r="U24" s="1809">
        <v>0.78634799999999994</v>
      </c>
      <c r="V24" s="229"/>
      <c r="W24" s="1796"/>
      <c r="X24" s="1812">
        <v>0.19950000000000001</v>
      </c>
      <c r="Y24" s="314">
        <v>0</v>
      </c>
      <c r="Z24" s="314">
        <v>0.429649</v>
      </c>
      <c r="AA24" s="1834">
        <v>0</v>
      </c>
      <c r="AB24" s="1835">
        <v>0.38750000000000001</v>
      </c>
      <c r="AC24" s="314">
        <v>0.44359799999999994</v>
      </c>
      <c r="AD24" s="314">
        <v>0.65990000000000004</v>
      </c>
      <c r="AE24" s="314">
        <v>0.62607699999999999</v>
      </c>
      <c r="AF24" s="314">
        <v>0</v>
      </c>
      <c r="AG24" s="1834">
        <v>0</v>
      </c>
      <c r="AH24" s="1835">
        <v>0</v>
      </c>
      <c r="AI24" s="314">
        <v>0.66669999999999996</v>
      </c>
      <c r="AJ24" s="314">
        <v>0.73250000000000004</v>
      </c>
      <c r="AK24" s="314">
        <v>0.75390000000000001</v>
      </c>
      <c r="AL24" s="314">
        <v>0</v>
      </c>
      <c r="AM24" s="314">
        <v>0</v>
      </c>
      <c r="AN24" s="1836"/>
      <c r="AO24" s="356"/>
      <c r="AP24" s="309">
        <v>0.37859999999999999</v>
      </c>
      <c r="AQ24" s="309">
        <v>0.38369999999999999</v>
      </c>
      <c r="AR24" s="309">
        <v>0.35399999999999998</v>
      </c>
      <c r="AS24" s="1811">
        <v>0.38159999999999999</v>
      </c>
      <c r="AT24" s="1812">
        <v>0.30796200000000001</v>
      </c>
      <c r="AU24" s="309">
        <v>0.5151</v>
      </c>
      <c r="AV24" s="309">
        <v>0.54730000000000001</v>
      </c>
      <c r="AW24" s="309">
        <v>0.53578300000000001</v>
      </c>
      <c r="AX24" s="309">
        <v>0.57566499999999998</v>
      </c>
      <c r="AY24" s="1811">
        <v>0.56129700000000005</v>
      </c>
      <c r="AZ24" s="1812">
        <v>0.57049399999999995</v>
      </c>
      <c r="BA24" s="309">
        <v>0.61370000000000002</v>
      </c>
      <c r="BB24" s="309">
        <v>0.66490000000000005</v>
      </c>
      <c r="BC24" s="309">
        <v>0.64762200000000003</v>
      </c>
      <c r="BD24" s="309">
        <v>0.64355899999999999</v>
      </c>
      <c r="BE24" s="309">
        <v>0.65059999999999996</v>
      </c>
      <c r="BF24" s="309">
        <v>0.64149999999999996</v>
      </c>
      <c r="BG24" s="357"/>
      <c r="BH24" s="393">
        <v>2.6800000000000001E-2</v>
      </c>
      <c r="BI24" s="393">
        <v>5.1670000000000008E-2</v>
      </c>
      <c r="BJ24" s="393">
        <v>5.4229999999999993E-2</v>
      </c>
      <c r="BK24" s="1837">
        <v>7.6810000000000003E-2</v>
      </c>
      <c r="BL24" s="1838">
        <v>7.1683999999999998E-2</v>
      </c>
      <c r="BM24" s="393">
        <v>8.0299999999999996E-2</v>
      </c>
      <c r="BN24" s="393">
        <v>9.172000000000001E-2</v>
      </c>
      <c r="BO24" s="393">
        <v>9.5200000000000007E-2</v>
      </c>
      <c r="BP24" s="393">
        <v>9.7807000000000005E-2</v>
      </c>
      <c r="BQ24" s="1837">
        <v>9.7447000000000006E-2</v>
      </c>
      <c r="BR24" s="1838">
        <v>9.1545000000000001E-2</v>
      </c>
      <c r="BS24" s="393">
        <v>0.1012</v>
      </c>
      <c r="BT24" s="393">
        <v>9.552999999999999E-2</v>
      </c>
      <c r="BU24" s="393">
        <v>9.2148000000000008E-2</v>
      </c>
      <c r="BV24" s="393">
        <v>8.6819000000000007E-2</v>
      </c>
      <c r="BW24" s="393">
        <v>7.7759999999999996E-2</v>
      </c>
      <c r="BX24" s="229">
        <v>9.8000000000000004E-2</v>
      </c>
      <c r="BY24" s="356"/>
      <c r="BZ24" s="358"/>
      <c r="CA24" s="229"/>
      <c r="CB24" s="229"/>
      <c r="CC24" s="229"/>
      <c r="CD24" s="1773"/>
      <c r="CE24" s="1774"/>
      <c r="CF24" s="229"/>
      <c r="CG24" s="229"/>
      <c r="CH24" s="229"/>
      <c r="CI24" s="229"/>
      <c r="CJ24" s="1773"/>
      <c r="CK24" s="1774"/>
      <c r="CL24" s="229"/>
      <c r="CM24" s="229"/>
      <c r="CN24" s="229"/>
      <c r="CO24" s="229"/>
      <c r="CP24" s="229"/>
      <c r="CQ24" s="229"/>
      <c r="CR24" s="356"/>
      <c r="CS24" s="229"/>
      <c r="CT24" s="229"/>
      <c r="CU24" s="229"/>
      <c r="CV24" s="1773"/>
      <c r="CW24" s="1774"/>
      <c r="CX24" s="229"/>
      <c r="CY24" s="229"/>
      <c r="CZ24" s="229"/>
      <c r="DA24" s="229"/>
      <c r="DB24" s="1773"/>
      <c r="DC24" s="1774"/>
      <c r="DD24" s="229"/>
      <c r="DE24" s="229"/>
      <c r="DF24" s="229"/>
      <c r="DG24" s="229"/>
      <c r="DH24" s="229"/>
      <c r="DI24" s="229"/>
    </row>
    <row r="25" spans="3:113" x14ac:dyDescent="0.35">
      <c r="C25" s="444" t="s">
        <v>314</v>
      </c>
      <c r="F25" s="1787"/>
      <c r="G25" s="244"/>
      <c r="H25" s="244"/>
      <c r="I25" s="1820"/>
      <c r="J25" s="1787">
        <v>0.61</v>
      </c>
      <c r="K25" s="244">
        <v>0.61</v>
      </c>
      <c r="L25" s="244">
        <v>0.61</v>
      </c>
      <c r="M25" s="244">
        <v>0.61</v>
      </c>
      <c r="N25" s="1815">
        <v>0.61</v>
      </c>
      <c r="O25" s="1815">
        <v>0.61</v>
      </c>
      <c r="P25" s="1787">
        <v>0.7</v>
      </c>
      <c r="Q25" s="244">
        <v>0.7</v>
      </c>
      <c r="R25" s="244">
        <v>0.7</v>
      </c>
      <c r="S25" s="1815">
        <v>0.7</v>
      </c>
      <c r="T25" s="1815">
        <v>0.7</v>
      </c>
      <c r="U25" s="1815">
        <v>0.7</v>
      </c>
      <c r="X25" s="1839"/>
      <c r="Y25" s="273"/>
      <c r="Z25" s="273"/>
      <c r="AA25" s="1840"/>
      <c r="AB25" s="1841"/>
      <c r="AC25" s="273"/>
      <c r="AD25" s="273"/>
      <c r="AE25" s="273"/>
      <c r="AF25" s="273"/>
      <c r="AG25" s="1840"/>
      <c r="AH25" s="1841"/>
      <c r="AI25" s="273"/>
      <c r="AJ25" s="273"/>
      <c r="AK25" s="273"/>
      <c r="AL25" s="273"/>
      <c r="AM25" s="273"/>
      <c r="AP25" s="446">
        <v>0.34</v>
      </c>
      <c r="AQ25" s="446">
        <v>0.35</v>
      </c>
      <c r="AR25" s="446">
        <v>0.36499999999999999</v>
      </c>
      <c r="AS25" s="1817">
        <v>0.35599999999999998</v>
      </c>
      <c r="AT25" s="1818">
        <v>0.32600000000000001</v>
      </c>
      <c r="AU25" s="446">
        <v>0.42</v>
      </c>
      <c r="AV25" s="446">
        <v>0.435</v>
      </c>
      <c r="AW25" s="446">
        <v>0.45</v>
      </c>
      <c r="AX25" s="446">
        <v>0.45100000000000001</v>
      </c>
      <c r="AY25" s="1817">
        <v>0.4521</v>
      </c>
      <c r="AZ25" s="1818">
        <v>0.48499999999999999</v>
      </c>
      <c r="BA25" s="446">
        <v>0.51800000000000002</v>
      </c>
      <c r="BB25" s="446">
        <v>0.52</v>
      </c>
      <c r="BC25" s="446">
        <v>0.51249999999999996</v>
      </c>
      <c r="BD25" s="446">
        <v>0.52400000000000002</v>
      </c>
      <c r="BE25" s="446">
        <v>0.52480000000000004</v>
      </c>
      <c r="BF25" s="249"/>
      <c r="BG25" s="325"/>
      <c r="BH25" s="474">
        <v>4.4999999999999998E-2</v>
      </c>
      <c r="BI25" s="474">
        <v>0.05</v>
      </c>
      <c r="BJ25" s="474">
        <v>5.5E-2</v>
      </c>
      <c r="BK25" s="1842">
        <v>0.06</v>
      </c>
      <c r="BL25" s="1843">
        <v>5.5E-2</v>
      </c>
      <c r="BM25" s="474">
        <v>6.2E-2</v>
      </c>
      <c r="BN25" s="474">
        <v>7.1999999999999995E-2</v>
      </c>
      <c r="BO25" s="474">
        <v>7.4999999999999997E-2</v>
      </c>
      <c r="BP25" s="474">
        <v>7.8E-2</v>
      </c>
      <c r="BQ25" s="1842">
        <v>7.7700000000000005E-2</v>
      </c>
      <c r="BR25" s="1843">
        <v>7.7700000000000005E-2</v>
      </c>
      <c r="BS25" s="474">
        <v>8.7999999999999995E-2</v>
      </c>
      <c r="BT25" s="474">
        <v>8.8999999999999996E-2</v>
      </c>
      <c r="BU25" s="474">
        <v>8.8999999999999996E-2</v>
      </c>
      <c r="BV25" s="474">
        <v>8.8999999999999996E-2</v>
      </c>
      <c r="BW25" s="474">
        <v>8.8499999999999995E-2</v>
      </c>
    </row>
    <row r="26" spans="3:113" x14ac:dyDescent="0.35">
      <c r="C26" s="1" t="s">
        <v>173</v>
      </c>
      <c r="F26" s="1787">
        <v>5.9859999999999998</v>
      </c>
      <c r="G26" s="244">
        <v>5.9859999999999998</v>
      </c>
      <c r="H26" s="244">
        <v>5.9859999999999998</v>
      </c>
      <c r="I26" s="1820">
        <v>5.9859999999999998</v>
      </c>
      <c r="J26" s="1787">
        <v>5.69</v>
      </c>
      <c r="K26" s="244">
        <v>5.69</v>
      </c>
      <c r="L26" s="244">
        <v>5.69</v>
      </c>
      <c r="M26" s="244">
        <v>5.69</v>
      </c>
      <c r="N26" s="1815">
        <v>5.69</v>
      </c>
      <c r="O26" s="1820">
        <v>5.69</v>
      </c>
      <c r="P26" s="1787">
        <v>5.2480000000000002</v>
      </c>
      <c r="Q26" s="244">
        <v>5.2480000000000002</v>
      </c>
      <c r="R26" s="244">
        <v>5.2480000000000002</v>
      </c>
      <c r="S26" s="1815">
        <v>5.2480000000000002</v>
      </c>
      <c r="T26" s="1815">
        <v>5.2480000000000002</v>
      </c>
      <c r="U26" s="1815">
        <v>5.2480000000000002</v>
      </c>
      <c r="X26" s="1839">
        <v>2.79</v>
      </c>
      <c r="Y26" s="273">
        <v>4.33</v>
      </c>
      <c r="Z26" s="273">
        <v>4.3600000000000003</v>
      </c>
      <c r="AA26" s="1840">
        <v>4.3849999999999998</v>
      </c>
      <c r="AB26" s="1841">
        <v>4.38</v>
      </c>
      <c r="AC26" s="273">
        <v>3.746</v>
      </c>
      <c r="AD26" s="273">
        <v>3.78</v>
      </c>
      <c r="AE26" s="273">
        <v>3.907</v>
      </c>
      <c r="AF26" s="273">
        <v>0</v>
      </c>
      <c r="AG26" s="1840">
        <v>0</v>
      </c>
      <c r="AH26" s="1841">
        <v>0</v>
      </c>
      <c r="AI26" s="273">
        <v>3.93</v>
      </c>
      <c r="AJ26" s="273">
        <v>3.5049999999999999</v>
      </c>
      <c r="AK26" s="273">
        <v>3.35</v>
      </c>
      <c r="AL26" s="273">
        <v>0</v>
      </c>
      <c r="AM26" s="273">
        <v>0</v>
      </c>
      <c r="AP26" s="392">
        <v>2.34</v>
      </c>
      <c r="AQ26" s="392">
        <v>2.27</v>
      </c>
      <c r="AR26" s="392">
        <v>2.3340000000000001</v>
      </c>
      <c r="AS26" s="1844">
        <v>2.3660000000000001</v>
      </c>
      <c r="AT26" s="1845">
        <v>1.01</v>
      </c>
      <c r="AU26" s="392">
        <v>1.1919999999999999</v>
      </c>
      <c r="AV26" s="392">
        <v>1.45</v>
      </c>
      <c r="AW26" s="392">
        <v>1.4119999999999999</v>
      </c>
      <c r="AX26" s="392">
        <v>1.452</v>
      </c>
      <c r="AY26" s="1844">
        <v>1.5389999999999999</v>
      </c>
      <c r="AZ26" s="1845">
        <v>1.4430000000000001</v>
      </c>
      <c r="BA26" s="392">
        <v>1.24</v>
      </c>
      <c r="BB26" s="392">
        <v>1.288</v>
      </c>
      <c r="BC26" s="392">
        <v>1.2649999999999999</v>
      </c>
      <c r="BD26" s="392">
        <v>1.302</v>
      </c>
      <c r="BE26" s="392">
        <v>1.363</v>
      </c>
      <c r="BF26" s="270">
        <v>1.3540000000000001</v>
      </c>
      <c r="BG26" s="325"/>
      <c r="BH26" s="251">
        <v>0.10199999999999999</v>
      </c>
      <c r="BI26" s="251">
        <v>0.13600000000000001</v>
      </c>
      <c r="BJ26" s="251">
        <v>0.14269999999999999</v>
      </c>
      <c r="BK26" s="1846">
        <v>0.15322</v>
      </c>
      <c r="BL26" s="1839">
        <v>0.14549999999999999</v>
      </c>
      <c r="BM26" s="251">
        <v>7.2599999999999998E-2</v>
      </c>
      <c r="BN26" s="251">
        <v>9.01E-2</v>
      </c>
      <c r="BO26" s="251">
        <v>7.51E-2</v>
      </c>
      <c r="BP26" s="251">
        <v>8.3299999999999999E-2</v>
      </c>
      <c r="BQ26" s="1846">
        <v>7.8789999999999999E-2</v>
      </c>
      <c r="BR26" s="1839">
        <v>8.3099999999999993E-2</v>
      </c>
      <c r="BS26" s="251">
        <v>8.7900000000000006E-2</v>
      </c>
      <c r="BT26" s="251">
        <v>9.6710000000000004E-2</v>
      </c>
      <c r="BU26" s="251">
        <v>8.8999999999999996E-2</v>
      </c>
      <c r="BV26" s="251">
        <v>8.7290000000000006E-2</v>
      </c>
      <c r="BW26" s="251">
        <v>7.8899999999999998E-2</v>
      </c>
      <c r="BX26" s="232">
        <v>9.74E-2</v>
      </c>
    </row>
    <row r="27" spans="3:113" x14ac:dyDescent="0.35">
      <c r="C27" s="444" t="s">
        <v>315</v>
      </c>
      <c r="J27" s="1726">
        <v>5.84</v>
      </c>
      <c r="K27" s="232">
        <v>5.84</v>
      </c>
      <c r="L27" s="232">
        <v>5.84</v>
      </c>
      <c r="M27" s="232">
        <v>5.84</v>
      </c>
      <c r="N27" s="1814">
        <v>5.84</v>
      </c>
      <c r="O27" s="1813">
        <v>5.84</v>
      </c>
      <c r="P27" s="1726">
        <v>4.4000000000000004</v>
      </c>
      <c r="Q27" s="232">
        <v>4.4000000000000004</v>
      </c>
      <c r="R27" s="232">
        <v>4.4000000000000004</v>
      </c>
      <c r="S27" s="1814">
        <v>4.4000000000000004</v>
      </c>
      <c r="T27" s="1814">
        <v>4.4000000000000004</v>
      </c>
      <c r="U27" s="1814">
        <v>4.4000000000000004</v>
      </c>
      <c r="X27" s="1787"/>
      <c r="Y27" s="271"/>
      <c r="Z27" s="271"/>
      <c r="AA27" s="1847"/>
      <c r="AB27" s="1848"/>
      <c r="AC27" s="271"/>
      <c r="AD27" s="271"/>
      <c r="AE27" s="271"/>
      <c r="AF27" s="271"/>
      <c r="AG27" s="1847"/>
      <c r="AH27" s="1848"/>
      <c r="AI27" s="271"/>
      <c r="AJ27" s="271"/>
      <c r="AK27" s="271"/>
      <c r="AL27" s="271"/>
      <c r="AM27" s="271"/>
      <c r="AO27" s="1701"/>
      <c r="AP27" s="460">
        <v>2.15</v>
      </c>
      <c r="AQ27" s="460">
        <v>2.2000000000000002</v>
      </c>
      <c r="AR27" s="460">
        <v>2.25</v>
      </c>
      <c r="AS27" s="461">
        <v>2.36</v>
      </c>
      <c r="AT27" s="462">
        <v>1.01</v>
      </c>
      <c r="AU27" s="460">
        <v>0.99</v>
      </c>
      <c r="AV27" s="460">
        <v>1.0900000000000001</v>
      </c>
      <c r="AW27" s="460">
        <v>1.1000000000000001</v>
      </c>
      <c r="AX27" s="460">
        <v>1.1200000000000001</v>
      </c>
      <c r="AY27" s="1849">
        <v>1.1399999999999999</v>
      </c>
      <c r="AZ27" s="1850">
        <v>1.095</v>
      </c>
      <c r="BA27" s="460">
        <v>1</v>
      </c>
      <c r="BB27" s="460">
        <v>0.99</v>
      </c>
      <c r="BC27" s="460">
        <v>0.95</v>
      </c>
      <c r="BD27" s="460">
        <v>1</v>
      </c>
      <c r="BE27" s="460">
        <v>1.01</v>
      </c>
      <c r="BF27" s="419"/>
      <c r="BG27" s="325"/>
      <c r="BH27" s="474">
        <v>0.12</v>
      </c>
      <c r="BI27" s="474">
        <v>0.14000000000000001</v>
      </c>
      <c r="BJ27" s="474">
        <v>0.155</v>
      </c>
      <c r="BK27" s="1842">
        <v>0.1661</v>
      </c>
      <c r="BL27" s="1843">
        <v>0.11899999999999999</v>
      </c>
      <c r="BM27" s="474">
        <v>8.1000000000000003E-2</v>
      </c>
      <c r="BN27" s="474">
        <v>8.4000000000000005E-2</v>
      </c>
      <c r="BO27" s="474">
        <v>8.3000000000000004E-2</v>
      </c>
      <c r="BP27" s="474">
        <v>8.4000000000000005E-2</v>
      </c>
      <c r="BQ27" s="1842">
        <v>8.5000000000000006E-2</v>
      </c>
      <c r="BR27" s="1843">
        <v>8.5999999999999993E-2</v>
      </c>
      <c r="BS27" s="474">
        <v>8.5500000000000007E-2</v>
      </c>
      <c r="BT27" s="474">
        <v>8.5000000000000006E-2</v>
      </c>
      <c r="BU27" s="474">
        <v>8.6499999999999994E-2</v>
      </c>
      <c r="BV27" s="474">
        <v>8.6999999999999994E-2</v>
      </c>
      <c r="BW27" s="474">
        <v>8.6400000000000005E-2</v>
      </c>
    </row>
    <row r="28" spans="3:113" x14ac:dyDescent="0.35">
      <c r="C28" s="1" t="s">
        <v>117</v>
      </c>
      <c r="F28" s="1787">
        <v>22.94</v>
      </c>
      <c r="G28" s="244">
        <v>22.94</v>
      </c>
      <c r="H28" s="244">
        <v>22.94</v>
      </c>
      <c r="I28" s="1820">
        <v>22.94</v>
      </c>
      <c r="J28" s="1787">
        <f>K28</f>
        <v>33.22</v>
      </c>
      <c r="K28" s="244">
        <v>33.22</v>
      </c>
      <c r="L28" s="244">
        <v>33.22</v>
      </c>
      <c r="M28" s="244">
        <v>33.22</v>
      </c>
      <c r="N28" s="1815">
        <v>33.22</v>
      </c>
      <c r="O28" s="1820">
        <v>33.22</v>
      </c>
      <c r="P28" s="1787">
        <v>40.28</v>
      </c>
      <c r="Q28" s="244">
        <v>40.28</v>
      </c>
      <c r="R28" s="244">
        <v>40.28</v>
      </c>
      <c r="S28" s="1815">
        <v>40.28</v>
      </c>
      <c r="T28" s="1815">
        <v>40.28</v>
      </c>
      <c r="U28" s="1815">
        <v>40.28</v>
      </c>
      <c r="V28" s="244">
        <v>40.28</v>
      </c>
      <c r="W28" s="1816"/>
      <c r="X28" s="1787">
        <v>8.0299999999999994</v>
      </c>
      <c r="Y28" s="244">
        <v>0</v>
      </c>
      <c r="Z28" s="244">
        <v>13.12</v>
      </c>
      <c r="AA28" s="1784">
        <v>0</v>
      </c>
      <c r="AB28" s="1787">
        <v>16.93</v>
      </c>
      <c r="AC28" s="244">
        <v>18.79</v>
      </c>
      <c r="AD28" s="244">
        <v>22.1</v>
      </c>
      <c r="AE28" s="244">
        <v>21.95</v>
      </c>
      <c r="AF28" s="244">
        <v>0</v>
      </c>
      <c r="AG28" s="1784">
        <v>0</v>
      </c>
      <c r="AH28" s="1787">
        <v>0</v>
      </c>
      <c r="AI28" s="244">
        <v>20.14</v>
      </c>
      <c r="AJ28" s="244">
        <v>20.309999999999999</v>
      </c>
      <c r="AK28" s="244">
        <v>22.03</v>
      </c>
      <c r="AL28" s="244">
        <v>0</v>
      </c>
      <c r="AM28" s="244">
        <v>0</v>
      </c>
      <c r="AN28" s="244"/>
      <c r="AO28" s="1816"/>
      <c r="AP28" s="309">
        <v>10.67</v>
      </c>
      <c r="AQ28" s="309">
        <v>9.93</v>
      </c>
      <c r="AR28" s="309">
        <v>11.1</v>
      </c>
      <c r="AS28" s="422">
        <v>10.16</v>
      </c>
      <c r="AT28" s="421">
        <v>6</v>
      </c>
      <c r="AU28" s="309">
        <v>10.52</v>
      </c>
      <c r="AV28" s="309">
        <v>11.38</v>
      </c>
      <c r="AW28" s="309">
        <v>11.39</v>
      </c>
      <c r="AX28" s="309">
        <v>11.63</v>
      </c>
      <c r="AY28" s="1811">
        <v>13.45</v>
      </c>
      <c r="AZ28" s="1812">
        <v>12.06</v>
      </c>
      <c r="BA28" s="309">
        <v>11.79</v>
      </c>
      <c r="BB28" s="309">
        <v>12.25</v>
      </c>
      <c r="BC28" s="309">
        <v>12.2</v>
      </c>
      <c r="BD28" s="309">
        <v>12.7</v>
      </c>
      <c r="BE28" s="309">
        <v>13.59</v>
      </c>
      <c r="BF28" s="249">
        <v>12.32</v>
      </c>
      <c r="BG28" s="325"/>
      <c r="BH28" s="244"/>
      <c r="BI28" s="244"/>
      <c r="BJ28" s="244"/>
      <c r="BK28" s="1784"/>
      <c r="BL28" s="1787"/>
      <c r="BM28" s="244"/>
      <c r="BN28" s="244"/>
      <c r="BO28" s="244"/>
      <c r="BP28" s="244"/>
      <c r="BQ28" s="1784"/>
      <c r="BR28" s="1787"/>
      <c r="BS28" s="244"/>
      <c r="BT28" s="244"/>
      <c r="BU28" s="244"/>
      <c r="BV28" s="244"/>
      <c r="BW28" s="244"/>
    </row>
    <row r="29" spans="3:113" x14ac:dyDescent="0.35">
      <c r="C29" s="444" t="s">
        <v>350</v>
      </c>
      <c r="F29" s="1787"/>
      <c r="G29" s="244"/>
      <c r="H29" s="244"/>
      <c r="I29" s="1820"/>
      <c r="J29" s="1787">
        <v>34.97</v>
      </c>
      <c r="K29" s="244">
        <v>34.97</v>
      </c>
      <c r="L29" s="244">
        <v>34.97</v>
      </c>
      <c r="M29" s="244">
        <v>34.97</v>
      </c>
      <c r="N29" s="1815">
        <v>34.97</v>
      </c>
      <c r="O29" s="1815">
        <v>34.97</v>
      </c>
      <c r="P29" s="1787"/>
      <c r="Q29" s="244"/>
      <c r="R29" s="244"/>
      <c r="S29" s="1815"/>
      <c r="T29" s="1815"/>
      <c r="U29" s="1815"/>
      <c r="V29" s="244"/>
      <c r="W29" s="1816"/>
      <c r="X29" s="1787"/>
      <c r="Y29" s="244"/>
      <c r="Z29" s="244"/>
      <c r="AA29" s="1784"/>
      <c r="AB29" s="1787"/>
      <c r="AC29" s="244"/>
      <c r="AD29" s="244"/>
      <c r="AE29" s="244"/>
      <c r="AF29" s="244"/>
      <c r="AG29" s="1784"/>
      <c r="AH29" s="1787"/>
      <c r="AI29" s="244"/>
      <c r="AJ29" s="244"/>
      <c r="AK29" s="244"/>
      <c r="AL29" s="244"/>
      <c r="AM29" s="244"/>
      <c r="AN29" s="244"/>
      <c r="AO29" s="325"/>
      <c r="AP29" s="249"/>
      <c r="AQ29" s="249"/>
      <c r="AR29" s="249"/>
      <c r="AS29" s="294"/>
      <c r="AT29" s="1819"/>
      <c r="AU29" s="249"/>
      <c r="AV29" s="249"/>
      <c r="AW29" s="249"/>
      <c r="AX29" s="249"/>
      <c r="AY29" s="294"/>
      <c r="AZ29" s="1819"/>
      <c r="BA29" s="249"/>
      <c r="BB29" s="249"/>
      <c r="BC29" s="249"/>
      <c r="BD29" s="249"/>
      <c r="BE29" s="249"/>
      <c r="BF29" s="249"/>
      <c r="BG29" s="325"/>
      <c r="BH29" s="244"/>
      <c r="BI29" s="244"/>
      <c r="BJ29" s="244"/>
      <c r="BK29" s="1784"/>
      <c r="BL29" s="1787"/>
      <c r="BM29" s="244"/>
      <c r="BN29" s="244"/>
      <c r="BO29" s="244"/>
      <c r="BP29" s="244"/>
      <c r="BQ29" s="1784"/>
      <c r="BR29" s="1787"/>
      <c r="BS29" s="244"/>
      <c r="BT29" s="244"/>
      <c r="BU29" s="244"/>
      <c r="BV29" s="244"/>
      <c r="BW29" s="244"/>
    </row>
    <row r="30" spans="3:113" x14ac:dyDescent="0.35">
      <c r="C30" s="1" t="s">
        <v>118</v>
      </c>
      <c r="F30" s="1787">
        <v>12.22</v>
      </c>
      <c r="G30" s="244">
        <v>12.22</v>
      </c>
      <c r="H30" s="244">
        <v>12.22</v>
      </c>
      <c r="I30" s="1820">
        <v>12.22</v>
      </c>
      <c r="J30" s="1787">
        <v>20.9</v>
      </c>
      <c r="K30" s="244">
        <v>20.9</v>
      </c>
      <c r="L30" s="244">
        <v>20.9</v>
      </c>
      <c r="M30" s="244">
        <v>20.9</v>
      </c>
      <c r="N30" s="1815">
        <v>20.9</v>
      </c>
      <c r="O30" s="1820">
        <v>20.9</v>
      </c>
      <c r="P30" s="1787">
        <v>22</v>
      </c>
      <c r="Q30" s="244">
        <v>22</v>
      </c>
      <c r="R30" s="244">
        <v>22</v>
      </c>
      <c r="S30" s="1815">
        <v>22</v>
      </c>
      <c r="T30" s="1815">
        <v>22</v>
      </c>
      <c r="U30" s="1815">
        <v>22</v>
      </c>
      <c r="V30" s="244">
        <v>22</v>
      </c>
      <c r="W30" s="1816"/>
      <c r="X30" s="1787">
        <v>4.9000000000000004</v>
      </c>
      <c r="Y30" s="244">
        <v>9.1</v>
      </c>
      <c r="Z30" s="244">
        <v>9.1999999999999993</v>
      </c>
      <c r="AA30" s="1784">
        <v>0</v>
      </c>
      <c r="AB30" s="1787">
        <v>9.4</v>
      </c>
      <c r="AC30" s="244">
        <v>11.2</v>
      </c>
      <c r="AD30" s="244">
        <v>14</v>
      </c>
      <c r="AE30" s="244">
        <v>14.4</v>
      </c>
      <c r="AF30" s="244">
        <v>0</v>
      </c>
      <c r="AG30" s="1784">
        <v>0</v>
      </c>
      <c r="AH30" s="1787">
        <v>0</v>
      </c>
      <c r="AI30" s="244">
        <v>14.6</v>
      </c>
      <c r="AJ30" s="244">
        <v>12.83</v>
      </c>
      <c r="AK30" s="244">
        <v>14.4</v>
      </c>
      <c r="AL30" s="244">
        <v>0</v>
      </c>
      <c r="AM30" s="244">
        <v>0</v>
      </c>
      <c r="AN30" s="244"/>
      <c r="AO30" s="325"/>
      <c r="AP30" s="249">
        <v>4.5999999999999996</v>
      </c>
      <c r="AQ30" s="249">
        <v>4.3</v>
      </c>
      <c r="AR30" s="249">
        <v>4.4000000000000004</v>
      </c>
      <c r="AS30" s="294">
        <v>4.5</v>
      </c>
      <c r="AT30" s="1819">
        <v>3</v>
      </c>
      <c r="AU30" s="249">
        <v>5.7</v>
      </c>
      <c r="AV30" s="249">
        <v>6.1</v>
      </c>
      <c r="AW30" s="249">
        <v>6.2</v>
      </c>
      <c r="AX30" s="249">
        <v>6.1</v>
      </c>
      <c r="AY30" s="294">
        <v>6.46</v>
      </c>
      <c r="AZ30" s="1819">
        <v>6.7</v>
      </c>
      <c r="BA30" s="249">
        <v>6</v>
      </c>
      <c r="BB30" s="249">
        <v>6.7</v>
      </c>
      <c r="BC30" s="249">
        <v>5.9</v>
      </c>
      <c r="BD30" s="249">
        <v>6.5</v>
      </c>
      <c r="BE30" s="249">
        <v>6.9</v>
      </c>
      <c r="BF30" s="249">
        <v>7</v>
      </c>
      <c r="BG30" s="325"/>
      <c r="BH30" s="244"/>
      <c r="BI30" s="244"/>
      <c r="BJ30" s="244"/>
      <c r="BK30" s="1784"/>
      <c r="BL30" s="1787"/>
      <c r="BM30" s="244"/>
      <c r="BN30" s="244"/>
      <c r="BO30" s="244"/>
      <c r="BP30" s="244"/>
      <c r="BQ30" s="1784"/>
      <c r="BR30" s="1787"/>
      <c r="BS30" s="244"/>
      <c r="BT30" s="244"/>
      <c r="BU30" s="244"/>
      <c r="BV30" s="244"/>
      <c r="BW30" s="244"/>
    </row>
    <row r="31" spans="3:113" ht="15" thickBot="1" x14ac:dyDescent="0.4">
      <c r="C31" s="458" t="s">
        <v>319</v>
      </c>
      <c r="F31" s="1788"/>
      <c r="G31" s="304"/>
      <c r="H31" s="304"/>
      <c r="I31" s="1823"/>
      <c r="J31" s="1788">
        <v>20.25</v>
      </c>
      <c r="K31" s="304">
        <v>20.25</v>
      </c>
      <c r="L31" s="304">
        <v>20.25</v>
      </c>
      <c r="M31" s="304">
        <v>20.25</v>
      </c>
      <c r="N31" s="1827">
        <v>20.25</v>
      </c>
      <c r="O31" s="1827">
        <v>20.25</v>
      </c>
      <c r="P31" s="1788"/>
      <c r="Q31" s="304"/>
      <c r="R31" s="304"/>
      <c r="S31" s="1827"/>
      <c r="T31" s="1827"/>
      <c r="U31" s="1827"/>
      <c r="V31" s="304"/>
      <c r="W31" s="1828"/>
      <c r="X31" s="1788"/>
      <c r="Y31" s="304"/>
      <c r="Z31" s="304"/>
      <c r="AA31" s="1785"/>
      <c r="AB31" s="1788"/>
      <c r="AC31" s="304"/>
      <c r="AD31" s="304"/>
      <c r="AE31" s="304"/>
      <c r="AF31" s="304"/>
      <c r="AG31" s="1785"/>
      <c r="AH31" s="1788"/>
      <c r="AI31" s="304"/>
      <c r="AJ31" s="304"/>
      <c r="AK31" s="304"/>
      <c r="AL31" s="304"/>
      <c r="AM31" s="304"/>
      <c r="AN31" s="304"/>
      <c r="AO31" s="350"/>
      <c r="AP31" s="463">
        <v>5.0999999999999996</v>
      </c>
      <c r="AQ31" s="463">
        <v>5.9</v>
      </c>
      <c r="AR31" s="463"/>
      <c r="AS31" s="1851">
        <v>6.47</v>
      </c>
      <c r="AT31" s="1852"/>
      <c r="AU31" s="463">
        <v>4.2</v>
      </c>
      <c r="AV31" s="463"/>
      <c r="AW31" s="463">
        <v>4.4000000000000004</v>
      </c>
      <c r="AX31" s="463">
        <v>5</v>
      </c>
      <c r="AY31" s="1851">
        <v>5.09</v>
      </c>
      <c r="AZ31" s="1852">
        <v>5.7</v>
      </c>
      <c r="BA31" s="463"/>
      <c r="BB31" s="463">
        <v>6.1</v>
      </c>
      <c r="BC31" s="463"/>
      <c r="BD31" s="463">
        <v>7.5</v>
      </c>
      <c r="BE31" s="463">
        <v>7.49</v>
      </c>
      <c r="BF31" s="311"/>
      <c r="BG31" s="350"/>
      <c r="BH31" s="304"/>
      <c r="BI31" s="304"/>
      <c r="BJ31" s="304"/>
      <c r="BK31" s="1785"/>
      <c r="BL31" s="1788"/>
      <c r="BM31" s="304"/>
      <c r="BN31" s="304"/>
      <c r="BO31" s="304"/>
      <c r="BP31" s="304"/>
      <c r="BQ31" s="1785"/>
      <c r="BR31" s="1788"/>
      <c r="BS31" s="304"/>
      <c r="BT31" s="304"/>
      <c r="BU31" s="304"/>
      <c r="BV31" s="304"/>
      <c r="BW31" s="304"/>
      <c r="BX31" s="225"/>
      <c r="BY31" s="344"/>
      <c r="BZ31" s="345"/>
      <c r="CA31" s="225"/>
      <c r="CB31" s="225"/>
      <c r="CC31" s="225"/>
      <c r="CD31" s="226"/>
      <c r="CE31" s="1768"/>
      <c r="CF31" s="225"/>
      <c r="CG31" s="225"/>
      <c r="CH31" s="225"/>
      <c r="CI31" s="225"/>
      <c r="CJ31" s="226"/>
      <c r="CK31" s="1768"/>
      <c r="CL31" s="225"/>
      <c r="CM31" s="225"/>
      <c r="CN31" s="225"/>
      <c r="CO31" s="225"/>
      <c r="CP31" s="225"/>
      <c r="CQ31" s="225"/>
      <c r="CR31" s="344"/>
      <c r="CS31" s="225"/>
      <c r="CT31" s="225"/>
      <c r="CU31" s="225"/>
      <c r="CV31" s="226"/>
      <c r="CW31" s="1768"/>
      <c r="CX31" s="225"/>
      <c r="CY31" s="225"/>
      <c r="CZ31" s="225"/>
      <c r="DA31" s="225"/>
      <c r="DB31" s="226"/>
      <c r="DC31" s="1768"/>
      <c r="DD31" s="225"/>
      <c r="DE31" s="225"/>
      <c r="DF31" s="225"/>
      <c r="DG31" s="225"/>
      <c r="DH31" s="225"/>
      <c r="DI31" s="225"/>
    </row>
    <row r="32" spans="3:113" s="299" customFormat="1" ht="15.5" thickTop="1" thickBot="1" x14ac:dyDescent="0.4">
      <c r="C32" s="305"/>
      <c r="D32" s="305"/>
      <c r="E32" s="305"/>
      <c r="F32" s="1769"/>
      <c r="G32" s="312"/>
      <c r="H32" s="312"/>
      <c r="I32" s="1853"/>
      <c r="J32" s="1769"/>
      <c r="K32" s="312"/>
      <c r="L32" s="312"/>
      <c r="M32" s="312"/>
      <c r="N32" s="1854"/>
      <c r="O32" s="1853"/>
      <c r="P32" s="1769"/>
      <c r="Q32" s="312"/>
      <c r="R32" s="312"/>
      <c r="S32" s="1854"/>
      <c r="T32" s="1854"/>
      <c r="U32" s="1854"/>
      <c r="V32" s="312"/>
      <c r="W32" s="1855"/>
      <c r="X32" s="1769"/>
      <c r="Y32" s="312"/>
      <c r="Z32" s="312"/>
      <c r="AA32" s="1772"/>
      <c r="AB32" s="1769"/>
      <c r="AC32" s="312"/>
      <c r="AD32" s="312"/>
      <c r="AE32" s="312"/>
      <c r="AF32" s="312"/>
      <c r="AG32" s="1772"/>
      <c r="AH32" s="1769"/>
      <c r="AI32" s="312"/>
      <c r="AJ32" s="312"/>
      <c r="AK32" s="312"/>
      <c r="AL32" s="312"/>
      <c r="AM32" s="312"/>
      <c r="AN32" s="312"/>
      <c r="AO32" s="360"/>
      <c r="AP32" s="316"/>
      <c r="AQ32" s="316"/>
      <c r="AR32" s="316"/>
      <c r="AS32" s="1856"/>
      <c r="AT32" s="1857"/>
      <c r="AU32" s="316"/>
      <c r="AV32" s="316"/>
      <c r="AW32" s="316"/>
      <c r="AX32" s="316"/>
      <c r="AY32" s="1856"/>
      <c r="AZ32" s="1857"/>
      <c r="BA32" s="316"/>
      <c r="BB32" s="316"/>
      <c r="BC32" s="316"/>
      <c r="BD32" s="316"/>
      <c r="BE32" s="316"/>
      <c r="BF32" s="316"/>
      <c r="BG32" s="360"/>
      <c r="BH32" s="312"/>
      <c r="BI32" s="312"/>
      <c r="BJ32" s="312"/>
      <c r="BK32" s="1772"/>
      <c r="BL32" s="1769"/>
      <c r="BM32" s="312"/>
      <c r="BN32" s="312"/>
      <c r="BO32" s="312"/>
      <c r="BP32" s="312"/>
      <c r="BQ32" s="1772"/>
      <c r="BR32" s="1769"/>
      <c r="BS32" s="312"/>
      <c r="BT32" s="312"/>
      <c r="BU32" s="312"/>
      <c r="BV32" s="312"/>
      <c r="BW32" s="312"/>
      <c r="BX32" s="307"/>
      <c r="BY32" s="359"/>
      <c r="BZ32" s="361"/>
      <c r="CA32" s="307"/>
      <c r="CB32" s="307"/>
      <c r="CC32" s="307"/>
      <c r="CD32" s="1791"/>
      <c r="CE32" s="1792"/>
      <c r="CF32" s="307"/>
      <c r="CG32" s="307"/>
      <c r="CH32" s="307"/>
      <c r="CI32" s="307"/>
      <c r="CJ32" s="1791"/>
      <c r="CK32" s="1792"/>
      <c r="CL32" s="307"/>
      <c r="CM32" s="307"/>
      <c r="CN32" s="307"/>
      <c r="CO32" s="307"/>
      <c r="CP32" s="307"/>
      <c r="CQ32" s="307"/>
      <c r="CR32" s="359"/>
      <c r="CS32" s="307"/>
      <c r="CT32" s="307"/>
      <c r="CU32" s="307"/>
      <c r="CV32" s="1791"/>
      <c r="CW32" s="1792"/>
      <c r="CX32" s="307"/>
      <c r="CY32" s="307"/>
      <c r="CZ32" s="307"/>
      <c r="DA32" s="307"/>
      <c r="DB32" s="1791"/>
      <c r="DC32" s="1792"/>
      <c r="DD32" s="307"/>
      <c r="DE32" s="307"/>
      <c r="DF32" s="307"/>
      <c r="DG32" s="307"/>
      <c r="DH32" s="307"/>
      <c r="DI32" s="307"/>
    </row>
    <row r="33" spans="3:114" ht="15" thickTop="1" x14ac:dyDescent="0.35">
      <c r="C33" s="1" t="s">
        <v>95</v>
      </c>
      <c r="F33" s="1812">
        <v>25.66</v>
      </c>
      <c r="G33" s="309">
        <v>25.66</v>
      </c>
      <c r="H33" s="309">
        <v>25.66</v>
      </c>
      <c r="I33" s="1858">
        <v>25.66</v>
      </c>
      <c r="J33" s="1812">
        <v>31.59</v>
      </c>
      <c r="K33" s="309">
        <v>31.59</v>
      </c>
      <c r="L33" s="309">
        <v>31.59</v>
      </c>
      <c r="M33" s="309">
        <v>31.59</v>
      </c>
      <c r="N33" s="1859">
        <v>31.59</v>
      </c>
      <c r="O33" s="1858">
        <v>31.59</v>
      </c>
      <c r="P33" s="1812">
        <v>32.07</v>
      </c>
      <c r="Q33" s="309">
        <v>32.07</v>
      </c>
      <c r="R33" s="309">
        <v>32.07</v>
      </c>
      <c r="S33" s="1859">
        <v>32.07</v>
      </c>
      <c r="T33" s="1859">
        <v>32.07</v>
      </c>
      <c r="U33" s="1859">
        <v>32.07</v>
      </c>
      <c r="V33" s="309">
        <v>32.07</v>
      </c>
      <c r="W33" s="1810"/>
      <c r="X33" s="1812">
        <v>11.7</v>
      </c>
      <c r="Y33" s="309">
        <v>22.085100000000001</v>
      </c>
      <c r="Z33" s="309">
        <v>21.51</v>
      </c>
      <c r="AA33" s="1811">
        <v>21.13</v>
      </c>
      <c r="AB33" s="1812">
        <v>21.1</v>
      </c>
      <c r="AC33" s="309">
        <v>22.4</v>
      </c>
      <c r="AD33" s="309">
        <v>24.6</v>
      </c>
      <c r="AE33" s="309">
        <v>24.81</v>
      </c>
      <c r="AF33" s="309">
        <v>0</v>
      </c>
      <c r="AG33" s="1811">
        <v>0</v>
      </c>
      <c r="AH33" s="1812">
        <v>0</v>
      </c>
      <c r="AI33" s="309">
        <v>26.02</v>
      </c>
      <c r="AJ33" s="309">
        <v>24.52</v>
      </c>
      <c r="AK33" s="309">
        <v>0</v>
      </c>
      <c r="AL33" s="309">
        <v>0</v>
      </c>
      <c r="AM33" s="309">
        <v>0</v>
      </c>
      <c r="AN33" s="309"/>
      <c r="AO33" s="357"/>
      <c r="AP33" s="309">
        <v>14.8</v>
      </c>
      <c r="AQ33" s="309">
        <v>14.57</v>
      </c>
      <c r="AR33" s="309">
        <v>14.55</v>
      </c>
      <c r="AS33" s="1811">
        <v>14.7</v>
      </c>
      <c r="AT33" s="1812">
        <v>9.61</v>
      </c>
      <c r="AU33" s="309">
        <v>13.7</v>
      </c>
      <c r="AV33" s="309">
        <v>14.2</v>
      </c>
      <c r="AW33" s="309">
        <v>14</v>
      </c>
      <c r="AX33" s="309">
        <v>13.96</v>
      </c>
      <c r="AY33" s="1811">
        <v>14.8</v>
      </c>
      <c r="AZ33" s="1812">
        <v>13.97</v>
      </c>
      <c r="BA33" s="309">
        <v>13.44</v>
      </c>
      <c r="BB33" s="309">
        <v>14.2</v>
      </c>
      <c r="BC33" s="309">
        <v>13.5</v>
      </c>
      <c r="BD33" s="309">
        <v>14.07</v>
      </c>
      <c r="BE33" s="309">
        <v>14.5</v>
      </c>
      <c r="BF33" s="309">
        <v>14.2</v>
      </c>
      <c r="BG33" s="357"/>
      <c r="BH33" s="296"/>
      <c r="BI33" s="296"/>
      <c r="BJ33" s="296"/>
      <c r="BK33" s="1783"/>
      <c r="BL33" s="1786"/>
      <c r="BM33" s="296"/>
      <c r="BN33" s="296"/>
      <c r="BO33" s="296"/>
      <c r="BP33" s="296"/>
      <c r="BQ33" s="1783"/>
      <c r="BR33" s="1786"/>
      <c r="BS33" s="296"/>
      <c r="BT33" s="296"/>
      <c r="BU33" s="296"/>
      <c r="BV33" s="296"/>
      <c r="BW33" s="296"/>
      <c r="BX33" s="229"/>
      <c r="BY33" s="356"/>
      <c r="BZ33" s="358"/>
      <c r="CA33" s="229"/>
      <c r="CB33" s="229"/>
      <c r="CC33" s="229"/>
      <c r="CD33" s="1773"/>
      <c r="CE33" s="1774"/>
      <c r="CF33" s="229"/>
      <c r="CG33" s="229"/>
      <c r="CH33" s="229"/>
      <c r="CI33" s="229"/>
      <c r="CJ33" s="1773"/>
      <c r="CK33" s="1774"/>
      <c r="CL33" s="229"/>
      <c r="CM33" s="229"/>
      <c r="CN33" s="229"/>
      <c r="CO33" s="229"/>
      <c r="CP33" s="229"/>
      <c r="CQ33" s="229"/>
      <c r="CR33" s="356"/>
      <c r="CS33" s="229"/>
      <c r="CT33" s="229"/>
      <c r="CU33" s="229"/>
      <c r="CV33" s="1773"/>
      <c r="CW33" s="1774"/>
      <c r="CX33" s="229"/>
      <c r="CY33" s="229"/>
      <c r="CZ33" s="229"/>
      <c r="DA33" s="229"/>
      <c r="DB33" s="1773"/>
      <c r="DC33" s="1774"/>
      <c r="DD33" s="229"/>
      <c r="DE33" s="229"/>
      <c r="DF33" s="229"/>
      <c r="DG33" s="229"/>
      <c r="DH33" s="229"/>
      <c r="DI33" s="229"/>
    </row>
    <row r="34" spans="3:114" ht="15" thickBot="1" x14ac:dyDescent="0.4">
      <c r="C34" s="444" t="s">
        <v>318</v>
      </c>
      <c r="F34" s="1830"/>
      <c r="G34" s="311"/>
      <c r="H34" s="311"/>
      <c r="I34" s="1860"/>
      <c r="J34" s="1830">
        <v>26.89</v>
      </c>
      <c r="K34" s="311">
        <v>26.89</v>
      </c>
      <c r="L34" s="311">
        <v>26.89</v>
      </c>
      <c r="M34" s="311">
        <v>26.89</v>
      </c>
      <c r="N34" s="1861">
        <v>26.89</v>
      </c>
      <c r="O34" s="1860">
        <v>26.89</v>
      </c>
      <c r="P34" s="1830">
        <v>25.28</v>
      </c>
      <c r="Q34" s="311">
        <v>25.28</v>
      </c>
      <c r="R34" s="311">
        <v>25.28</v>
      </c>
      <c r="S34" s="1861">
        <v>25.28</v>
      </c>
      <c r="T34" s="1861">
        <v>25.28</v>
      </c>
      <c r="U34" s="1861">
        <v>25.28</v>
      </c>
      <c r="V34" s="304"/>
      <c r="W34" s="1828"/>
      <c r="X34" s="1788"/>
      <c r="Y34" s="304"/>
      <c r="Z34" s="304"/>
      <c r="AA34" s="1785"/>
      <c r="AB34" s="1788"/>
      <c r="AC34" s="304"/>
      <c r="AD34" s="304"/>
      <c r="AE34" s="304"/>
      <c r="AF34" s="304"/>
      <c r="AG34" s="1785"/>
      <c r="AH34" s="1788"/>
      <c r="AI34" s="304"/>
      <c r="AJ34" s="304"/>
      <c r="AK34" s="304"/>
      <c r="AL34" s="304"/>
      <c r="AM34" s="304"/>
      <c r="AN34" s="304"/>
      <c r="AO34" s="350"/>
      <c r="AP34" s="463">
        <v>14.2</v>
      </c>
      <c r="AQ34" s="463">
        <v>14.5</v>
      </c>
      <c r="AR34" s="463">
        <v>15</v>
      </c>
      <c r="AS34" s="1851">
        <v>15.23</v>
      </c>
      <c r="AT34" s="1852">
        <v>10</v>
      </c>
      <c r="AU34" s="463">
        <v>10.5</v>
      </c>
      <c r="AV34" s="463">
        <v>11.6</v>
      </c>
      <c r="AW34" s="463">
        <v>11.6</v>
      </c>
      <c r="AX34" s="463">
        <v>12</v>
      </c>
      <c r="AY34" s="1851">
        <v>12.27</v>
      </c>
      <c r="AZ34" s="1852">
        <v>13.2</v>
      </c>
      <c r="BA34" s="463">
        <v>12.5</v>
      </c>
      <c r="BB34" s="463">
        <v>12.6</v>
      </c>
      <c r="BC34" s="463">
        <v>12.8</v>
      </c>
      <c r="BD34" s="463">
        <v>13</v>
      </c>
      <c r="BE34" s="463">
        <v>12.43</v>
      </c>
      <c r="BF34" s="311"/>
      <c r="BG34" s="350"/>
      <c r="BH34" s="304"/>
      <c r="BI34" s="304"/>
      <c r="BJ34" s="304"/>
      <c r="BK34" s="1785"/>
      <c r="BL34" s="1788"/>
      <c r="BM34" s="304"/>
      <c r="BN34" s="304"/>
      <c r="BO34" s="304"/>
      <c r="BP34" s="304"/>
      <c r="BQ34" s="1785"/>
      <c r="BR34" s="1788"/>
      <c r="BS34" s="304"/>
      <c r="BT34" s="304"/>
      <c r="BU34" s="304"/>
      <c r="BV34" s="304"/>
      <c r="BW34" s="304"/>
      <c r="BX34" s="225"/>
      <c r="BY34" s="344"/>
      <c r="BZ34" s="345"/>
      <c r="CA34" s="225"/>
      <c r="CB34" s="225"/>
      <c r="CC34" s="225"/>
      <c r="CD34" s="226"/>
      <c r="CE34" s="1768"/>
      <c r="CF34" s="225"/>
      <c r="CG34" s="225"/>
      <c r="CH34" s="225"/>
      <c r="CI34" s="225"/>
      <c r="CJ34" s="226"/>
      <c r="CK34" s="1768"/>
      <c r="CL34" s="225"/>
      <c r="CM34" s="225"/>
      <c r="CN34" s="225"/>
      <c r="CO34" s="225"/>
      <c r="CP34" s="225"/>
      <c r="CQ34" s="225"/>
      <c r="CR34" s="344"/>
      <c r="CS34" s="225"/>
      <c r="CT34" s="225"/>
      <c r="CU34" s="225"/>
      <c r="CV34" s="226"/>
      <c r="CW34" s="1768"/>
      <c r="CX34" s="225"/>
      <c r="CY34" s="225"/>
      <c r="CZ34" s="225"/>
      <c r="DA34" s="225"/>
      <c r="DB34" s="226"/>
      <c r="DC34" s="1768"/>
      <c r="DD34" s="225"/>
      <c r="DE34" s="225"/>
      <c r="DF34" s="225"/>
      <c r="DG34" s="225"/>
      <c r="DH34" s="225"/>
      <c r="DI34" s="225"/>
    </row>
    <row r="35" spans="3:114" s="299" customFormat="1" ht="15.5" thickTop="1" thickBot="1" x14ac:dyDescent="0.4">
      <c r="C35" s="305"/>
      <c r="D35" s="305"/>
      <c r="E35" s="305"/>
      <c r="F35" s="1792"/>
      <c r="G35" s="307"/>
      <c r="H35" s="307"/>
      <c r="I35" s="1831"/>
      <c r="J35" s="1792"/>
      <c r="K35" s="307"/>
      <c r="L35" s="307"/>
      <c r="M35" s="307"/>
      <c r="N35" s="1832"/>
      <c r="O35" s="1831"/>
      <c r="P35" s="1792"/>
      <c r="Q35" s="307"/>
      <c r="R35" s="307"/>
      <c r="S35" s="1832"/>
      <c r="T35" s="1832"/>
      <c r="U35" s="1832"/>
      <c r="V35" s="307"/>
      <c r="W35" s="1751"/>
      <c r="X35" s="1792"/>
      <c r="Y35" s="307"/>
      <c r="Z35" s="307"/>
      <c r="AA35" s="1791"/>
      <c r="AB35" s="1792"/>
      <c r="AC35" s="307"/>
      <c r="AD35" s="307"/>
      <c r="AE35" s="307"/>
      <c r="AF35" s="307"/>
      <c r="AG35" s="1791"/>
      <c r="AH35" s="1792"/>
      <c r="AI35" s="307"/>
      <c r="AJ35" s="307"/>
      <c r="AK35" s="307"/>
      <c r="AL35" s="307"/>
      <c r="AM35" s="307"/>
      <c r="AN35" s="307"/>
      <c r="AO35" s="359"/>
      <c r="AP35" s="315"/>
      <c r="AQ35" s="315"/>
      <c r="AR35" s="315"/>
      <c r="AS35" s="1862"/>
      <c r="AT35" s="1863"/>
      <c r="AU35" s="315"/>
      <c r="AV35" s="315"/>
      <c r="AW35" s="315"/>
      <c r="AX35" s="315"/>
      <c r="AY35" s="1862"/>
      <c r="AZ35" s="1863"/>
      <c r="BA35" s="315"/>
      <c r="BB35" s="315"/>
      <c r="BC35" s="315"/>
      <c r="BD35" s="315"/>
      <c r="BE35" s="315"/>
      <c r="BF35" s="315"/>
      <c r="BG35" s="359"/>
      <c r="BH35" s="307"/>
      <c r="BI35" s="307"/>
      <c r="BJ35" s="307"/>
      <c r="BK35" s="1791"/>
      <c r="BL35" s="1792"/>
      <c r="BM35" s="307"/>
      <c r="BN35" s="307"/>
      <c r="BO35" s="307"/>
      <c r="BP35" s="307"/>
      <c r="BQ35" s="1791"/>
      <c r="BR35" s="1792"/>
      <c r="BS35" s="307"/>
      <c r="BT35" s="307"/>
      <c r="BU35" s="307"/>
      <c r="BV35" s="307"/>
      <c r="BW35" s="307"/>
      <c r="BX35" s="307"/>
      <c r="BY35" s="359"/>
      <c r="BZ35" s="361"/>
      <c r="CA35" s="307"/>
      <c r="CB35" s="307"/>
      <c r="CC35" s="307"/>
      <c r="CD35" s="1791"/>
      <c r="CE35" s="1792"/>
      <c r="CF35" s="307"/>
      <c r="CG35" s="307"/>
      <c r="CH35" s="307"/>
      <c r="CI35" s="307"/>
      <c r="CJ35" s="1791"/>
      <c r="CK35" s="1792"/>
      <c r="CL35" s="307"/>
      <c r="CM35" s="307"/>
      <c r="CN35" s="307"/>
      <c r="CO35" s="307"/>
      <c r="CP35" s="307"/>
      <c r="CQ35" s="307"/>
      <c r="CR35" s="359"/>
      <c r="CS35" s="307"/>
      <c r="CT35" s="307"/>
      <c r="CU35" s="307"/>
      <c r="CV35" s="1791"/>
      <c r="CW35" s="1792"/>
      <c r="CX35" s="307"/>
      <c r="CY35" s="307"/>
      <c r="CZ35" s="307"/>
      <c r="DA35" s="307"/>
      <c r="DB35" s="1791"/>
      <c r="DC35" s="1792"/>
      <c r="DD35" s="307"/>
      <c r="DE35" s="307"/>
      <c r="DF35" s="307"/>
      <c r="DG35" s="307"/>
      <c r="DH35" s="307"/>
      <c r="DI35" s="307"/>
    </row>
    <row r="36" spans="3:114" ht="15" thickTop="1" x14ac:dyDescent="0.35">
      <c r="C36" s="1" t="s">
        <v>174</v>
      </c>
      <c r="F36" s="1812">
        <v>84.31</v>
      </c>
      <c r="G36" s="309">
        <v>84.31</v>
      </c>
      <c r="H36" s="309">
        <v>84.31</v>
      </c>
      <c r="I36" s="1858">
        <v>84.31</v>
      </c>
      <c r="J36" s="1812">
        <v>84.05</v>
      </c>
      <c r="K36" s="309">
        <v>84.05</v>
      </c>
      <c r="L36" s="309">
        <v>84.05</v>
      </c>
      <c r="M36" s="309">
        <v>84.05</v>
      </c>
      <c r="N36" s="1859">
        <v>84.05</v>
      </c>
      <c r="O36" s="1858">
        <v>84.05</v>
      </c>
      <c r="P36" s="1812">
        <v>84.66</v>
      </c>
      <c r="Q36" s="309">
        <v>84.66</v>
      </c>
      <c r="R36" s="309">
        <v>84.66</v>
      </c>
      <c r="S36" s="1859">
        <v>84.66</v>
      </c>
      <c r="T36" s="1859">
        <v>84.66</v>
      </c>
      <c r="U36" s="1859">
        <v>84.66</v>
      </c>
      <c r="V36" s="309">
        <v>84.66</v>
      </c>
      <c r="W36" s="1796"/>
      <c r="X36" s="1865">
        <v>88.02</v>
      </c>
      <c r="Y36" s="313">
        <v>86.25</v>
      </c>
      <c r="Z36" s="313">
        <v>86.14</v>
      </c>
      <c r="AA36" s="1866">
        <v>0</v>
      </c>
      <c r="AB36" s="1865">
        <v>86.59</v>
      </c>
      <c r="AC36" s="313">
        <v>85.53</v>
      </c>
      <c r="AD36" s="313">
        <v>85.98</v>
      </c>
      <c r="AE36" s="313">
        <v>86.67</v>
      </c>
      <c r="AF36" s="313">
        <v>0</v>
      </c>
      <c r="AG36" s="1866">
        <v>0</v>
      </c>
      <c r="AH36" s="1865">
        <v>0</v>
      </c>
      <c r="AI36" s="313">
        <v>86.99</v>
      </c>
      <c r="AJ36" s="313">
        <v>87.85</v>
      </c>
      <c r="AK36" s="313">
        <v>86.78</v>
      </c>
      <c r="AL36" s="313">
        <v>0</v>
      </c>
      <c r="AM36" s="313">
        <v>0</v>
      </c>
      <c r="AN36" s="313"/>
      <c r="AO36" s="356"/>
      <c r="AP36" s="314">
        <v>88.08</v>
      </c>
      <c r="AQ36" s="314">
        <v>87.96</v>
      </c>
      <c r="AR36" s="314">
        <v>87.83</v>
      </c>
      <c r="AS36" s="1834">
        <v>87.56</v>
      </c>
      <c r="AT36" s="1835">
        <v>88.31</v>
      </c>
      <c r="AU36" s="314">
        <v>88.14</v>
      </c>
      <c r="AV36" s="314">
        <v>88.24</v>
      </c>
      <c r="AW36" s="314">
        <v>88.37</v>
      </c>
      <c r="AX36" s="314">
        <v>88.46</v>
      </c>
      <c r="AY36" s="1834">
        <v>88.77</v>
      </c>
      <c r="AZ36" s="1835">
        <v>88.86</v>
      </c>
      <c r="BA36" s="314">
        <v>88.53</v>
      </c>
      <c r="BB36" s="314">
        <v>88.67</v>
      </c>
      <c r="BC36" s="314">
        <v>88.1</v>
      </c>
      <c r="BD36" s="314">
        <v>88.52</v>
      </c>
      <c r="BE36" s="314">
        <v>88.35</v>
      </c>
      <c r="BF36" s="314">
        <v>88.33</v>
      </c>
      <c r="BG36" s="356"/>
      <c r="BH36" s="309"/>
      <c r="BI36" s="309"/>
      <c r="BJ36" s="309"/>
      <c r="BK36" s="1811"/>
      <c r="BL36" s="1812"/>
      <c r="BM36" s="309"/>
      <c r="BN36" s="309"/>
      <c r="BO36" s="309"/>
      <c r="BP36" s="309"/>
      <c r="BQ36" s="1811"/>
      <c r="BR36" s="1812"/>
      <c r="BS36" s="309"/>
      <c r="BT36" s="309"/>
      <c r="BU36" s="309"/>
      <c r="BV36" s="309"/>
      <c r="BW36" s="309"/>
      <c r="BX36" s="300"/>
      <c r="BY36" s="356"/>
      <c r="BZ36" s="358"/>
      <c r="CA36" s="229"/>
      <c r="CB36" s="229"/>
      <c r="CC36" s="229"/>
      <c r="CD36" s="1773"/>
      <c r="CE36" s="1774"/>
      <c r="CF36" s="229"/>
      <c r="CG36" s="229"/>
      <c r="CH36" s="229"/>
      <c r="CI36" s="229"/>
      <c r="CJ36" s="1773"/>
      <c r="CK36" s="1774"/>
      <c r="CL36" s="229"/>
      <c r="CM36" s="229"/>
      <c r="CN36" s="229"/>
      <c r="CO36" s="229"/>
      <c r="CP36" s="229"/>
      <c r="CQ36" s="229"/>
      <c r="CR36" s="356"/>
      <c r="CS36" s="229"/>
      <c r="CT36" s="229"/>
      <c r="CU36" s="229"/>
      <c r="CV36" s="1773"/>
      <c r="CW36" s="1774"/>
      <c r="CX36" s="229"/>
      <c r="CY36" s="229"/>
      <c r="CZ36" s="229"/>
      <c r="DA36" s="229"/>
      <c r="DB36" s="1773"/>
      <c r="DC36" s="1774"/>
      <c r="DD36" s="229"/>
      <c r="DE36" s="229"/>
      <c r="DF36" s="229"/>
      <c r="DG36" s="229"/>
      <c r="DH36" s="229"/>
      <c r="DI36" s="229"/>
    </row>
    <row r="37" spans="3:114" x14ac:dyDescent="0.35">
      <c r="C37" s="1" t="s">
        <v>175</v>
      </c>
      <c r="F37" s="1819">
        <v>9.782</v>
      </c>
      <c r="G37" s="249">
        <v>9.782</v>
      </c>
      <c r="H37" s="249">
        <v>9.782</v>
      </c>
      <c r="I37" s="1864">
        <v>9.782</v>
      </c>
      <c r="J37" s="1819">
        <v>9.68</v>
      </c>
      <c r="K37" s="249">
        <v>9.68</v>
      </c>
      <c r="L37" s="249">
        <v>9.68</v>
      </c>
      <c r="M37" s="249">
        <v>9.68</v>
      </c>
      <c r="N37" s="1867">
        <v>9.68</v>
      </c>
      <c r="O37" s="1864">
        <v>9.68</v>
      </c>
      <c r="P37" s="1819">
        <v>9.7899999999999991</v>
      </c>
      <c r="Q37" s="249">
        <v>9.7899999999999991</v>
      </c>
      <c r="R37" s="249">
        <v>9.7899999999999991</v>
      </c>
      <c r="S37" s="1867">
        <v>9.7899999999999991</v>
      </c>
      <c r="T37" s="1867">
        <v>9.7899999999999991</v>
      </c>
      <c r="U37" s="1867">
        <v>9.7899999999999991</v>
      </c>
      <c r="V37" s="249">
        <v>9.7899999999999991</v>
      </c>
      <c r="X37" s="1868">
        <v>88.02</v>
      </c>
      <c r="Y37" s="267">
        <v>86.25</v>
      </c>
      <c r="Z37" s="267">
        <v>86.14</v>
      </c>
      <c r="AA37" s="1869">
        <v>0</v>
      </c>
      <c r="AB37" s="1868">
        <v>86.59</v>
      </c>
      <c r="AC37" s="267">
        <v>85.53</v>
      </c>
      <c r="AD37" s="267">
        <v>85.98</v>
      </c>
      <c r="AE37" s="267">
        <v>86.67</v>
      </c>
      <c r="AF37" s="267">
        <v>0</v>
      </c>
      <c r="AG37" s="1869">
        <v>0</v>
      </c>
      <c r="AH37" s="1868">
        <v>0</v>
      </c>
      <c r="AI37" s="267">
        <v>86.99</v>
      </c>
      <c r="AJ37" s="267">
        <v>87.85</v>
      </c>
      <c r="AK37" s="267">
        <v>86.78</v>
      </c>
      <c r="AL37" s="267">
        <v>0</v>
      </c>
      <c r="AM37" s="267">
        <v>0</v>
      </c>
      <c r="AN37" s="267"/>
      <c r="AP37" s="250">
        <v>11.2</v>
      </c>
      <c r="AQ37" s="250">
        <v>10.56</v>
      </c>
      <c r="AR37" s="250">
        <v>10.98</v>
      </c>
      <c r="AS37" s="1870">
        <v>11.44</v>
      </c>
      <c r="AT37" s="1871">
        <v>11.57</v>
      </c>
      <c r="AU37" s="250">
        <v>11.26</v>
      </c>
      <c r="AV37" s="250">
        <v>11.51</v>
      </c>
      <c r="AW37" s="250">
        <v>11.43</v>
      </c>
      <c r="AX37" s="250">
        <v>11.44</v>
      </c>
      <c r="AY37" s="1870">
        <v>11.32</v>
      </c>
      <c r="AZ37" s="1871">
        <v>11.41</v>
      </c>
      <c r="BA37" s="250">
        <v>11.55</v>
      </c>
      <c r="BB37" s="250">
        <v>11.65</v>
      </c>
      <c r="BC37" s="250">
        <v>11.73</v>
      </c>
      <c r="BD37" s="250">
        <v>11.77</v>
      </c>
      <c r="BE37" s="250">
        <v>11.55</v>
      </c>
      <c r="BF37" s="250">
        <v>11.86</v>
      </c>
      <c r="BH37" s="249"/>
      <c r="BI37" s="249"/>
      <c r="BJ37" s="249"/>
      <c r="BK37" s="294"/>
      <c r="BL37" s="1819"/>
      <c r="BM37" s="249"/>
      <c r="BN37" s="249"/>
      <c r="BO37" s="249"/>
      <c r="BP37" s="249"/>
      <c r="BQ37" s="294"/>
      <c r="BR37" s="1819"/>
      <c r="BS37" s="249"/>
      <c r="BT37" s="249"/>
      <c r="BU37" s="249"/>
      <c r="BV37" s="249"/>
      <c r="BW37" s="249"/>
    </row>
    <row r="38" spans="3:114" x14ac:dyDescent="0.35">
      <c r="C38" s="1" t="s">
        <v>176</v>
      </c>
      <c r="F38" s="1819">
        <v>0.56699999999999995</v>
      </c>
      <c r="G38" s="249">
        <v>0.56699999999999995</v>
      </c>
      <c r="H38" s="249">
        <v>0.56699999999999995</v>
      </c>
      <c r="I38" s="1864">
        <v>0.56699999999999995</v>
      </c>
      <c r="J38" s="1819">
        <v>0.79</v>
      </c>
      <c r="K38" s="249">
        <v>0.79</v>
      </c>
      <c r="L38" s="249">
        <v>0.79</v>
      </c>
      <c r="M38" s="249">
        <v>0.79</v>
      </c>
      <c r="N38" s="1867">
        <v>0.79</v>
      </c>
      <c r="O38" s="1864">
        <v>0.79</v>
      </c>
      <c r="P38" s="1819">
        <v>2.5089999999999999</v>
      </c>
      <c r="Q38" s="249">
        <v>2.5089999999999999</v>
      </c>
      <c r="R38" s="249">
        <v>2.5089999999999999</v>
      </c>
      <c r="S38" s="1867">
        <v>2.5089999999999999</v>
      </c>
      <c r="T38" s="1867">
        <v>2.5089999999999999</v>
      </c>
      <c r="U38" s="1867">
        <v>2.5089999999999999</v>
      </c>
      <c r="V38" s="249">
        <v>2.5089999999999999</v>
      </c>
      <c r="X38" s="1868">
        <v>0.27</v>
      </c>
      <c r="Y38" s="267">
        <v>0.50290000000000001</v>
      </c>
      <c r="Z38" s="267">
        <v>0.53810000000000002</v>
      </c>
      <c r="AA38" s="1869">
        <v>0</v>
      </c>
      <c r="AB38" s="1868">
        <v>0.66</v>
      </c>
      <c r="AC38" s="267">
        <v>0.64059999999999995</v>
      </c>
      <c r="AD38" s="267">
        <v>0.86099999999999999</v>
      </c>
      <c r="AE38" s="267">
        <v>1.802</v>
      </c>
      <c r="AF38" s="267">
        <v>0</v>
      </c>
      <c r="AG38" s="1869">
        <v>0</v>
      </c>
      <c r="AH38" s="1868">
        <v>0</v>
      </c>
      <c r="AI38" s="267">
        <v>2.3199999999999998</v>
      </c>
      <c r="AJ38" s="267">
        <v>2.84</v>
      </c>
      <c r="AK38" s="267">
        <v>4.34</v>
      </c>
      <c r="AL38" s="267">
        <v>0</v>
      </c>
      <c r="AM38" s="267">
        <v>0</v>
      </c>
      <c r="AN38" s="267"/>
      <c r="AP38" s="250">
        <v>0.44</v>
      </c>
      <c r="AQ38" s="250">
        <v>10.56</v>
      </c>
      <c r="AR38" s="250">
        <v>10.98</v>
      </c>
      <c r="AS38" s="1870">
        <v>11.44</v>
      </c>
      <c r="AT38" s="1871">
        <v>11.57</v>
      </c>
      <c r="AU38" s="250">
        <v>11.26</v>
      </c>
      <c r="AV38" s="250">
        <v>11.51</v>
      </c>
      <c r="AW38" s="250">
        <v>11.43</v>
      </c>
      <c r="AX38" s="250">
        <v>11.44</v>
      </c>
      <c r="AY38" s="1870">
        <v>11.32</v>
      </c>
      <c r="AZ38" s="1871">
        <v>11.41</v>
      </c>
      <c r="BA38" s="250">
        <v>11.55</v>
      </c>
      <c r="BB38" s="250">
        <v>11.65</v>
      </c>
      <c r="BC38" s="250">
        <v>11.73</v>
      </c>
      <c r="BD38" s="250">
        <v>11.77</v>
      </c>
      <c r="BE38" s="250">
        <v>11.55</v>
      </c>
      <c r="BF38" s="250">
        <v>11.86</v>
      </c>
      <c r="BH38" s="249"/>
      <c r="BI38" s="249"/>
      <c r="BJ38" s="249"/>
      <c r="BK38" s="294"/>
      <c r="BL38" s="1819"/>
      <c r="BM38" s="249"/>
      <c r="BN38" s="249"/>
      <c r="BO38" s="249"/>
      <c r="BP38" s="249"/>
      <c r="BQ38" s="294"/>
      <c r="BR38" s="1819"/>
      <c r="BS38" s="249"/>
      <c r="BT38" s="249"/>
      <c r="BU38" s="249"/>
      <c r="BV38" s="249"/>
      <c r="BW38" s="249"/>
    </row>
    <row r="39" spans="3:114" ht="15" thickBot="1" x14ac:dyDescent="0.4">
      <c r="C39" s="1" t="s">
        <v>177</v>
      </c>
      <c r="F39" s="1830">
        <f>$F$26</f>
        <v>5.9859999999999998</v>
      </c>
      <c r="G39" s="311">
        <f t="shared" ref="G39:I39" si="1">$F$26</f>
        <v>5.9859999999999998</v>
      </c>
      <c r="H39" s="311">
        <f t="shared" si="1"/>
        <v>5.9859999999999998</v>
      </c>
      <c r="I39" s="1860">
        <f t="shared" si="1"/>
        <v>5.9859999999999998</v>
      </c>
      <c r="J39" s="1830">
        <v>5.69</v>
      </c>
      <c r="K39" s="311">
        <v>5.69</v>
      </c>
      <c r="L39" s="311">
        <v>5.69</v>
      </c>
      <c r="M39" s="311">
        <v>5.69</v>
      </c>
      <c r="N39" s="1861">
        <v>5.69</v>
      </c>
      <c r="O39" s="1860">
        <v>5.69</v>
      </c>
      <c r="P39" s="1830">
        <v>5.2480000000000002</v>
      </c>
      <c r="Q39" s="311">
        <v>5.2480000000000002</v>
      </c>
      <c r="R39" s="311">
        <v>5.2480000000000002</v>
      </c>
      <c r="S39" s="1861">
        <v>5.2480000000000002</v>
      </c>
      <c r="T39" s="1861">
        <v>5.2480000000000002</v>
      </c>
      <c r="U39" s="1861">
        <v>5.2480000000000002</v>
      </c>
      <c r="V39" s="311">
        <v>5.2480000000000002</v>
      </c>
      <c r="W39" s="1790"/>
      <c r="X39" s="1872">
        <v>2.79</v>
      </c>
      <c r="Y39" s="373">
        <v>4.33</v>
      </c>
      <c r="Z39" s="373">
        <v>4.3600000000000003</v>
      </c>
      <c r="AA39" s="1873">
        <v>4.3849999999999998</v>
      </c>
      <c r="AB39" s="1872">
        <v>4.38</v>
      </c>
      <c r="AC39" s="373">
        <v>3.746</v>
      </c>
      <c r="AD39" s="373">
        <v>3.78</v>
      </c>
      <c r="AE39" s="373">
        <v>3.907</v>
      </c>
      <c r="AF39" s="373">
        <v>0</v>
      </c>
      <c r="AG39" s="1873">
        <v>0</v>
      </c>
      <c r="AH39" s="1872">
        <v>0</v>
      </c>
      <c r="AI39" s="373">
        <v>3.93</v>
      </c>
      <c r="AJ39" s="373">
        <v>3.5049999999999999</v>
      </c>
      <c r="AK39" s="373">
        <v>3.35</v>
      </c>
      <c r="AL39" s="373">
        <v>0</v>
      </c>
      <c r="AM39" s="373">
        <v>0</v>
      </c>
      <c r="AN39" s="373"/>
      <c r="AO39" s="344"/>
      <c r="AP39" s="311">
        <v>2.34</v>
      </c>
      <c r="AQ39" s="311">
        <v>2.27</v>
      </c>
      <c r="AR39" s="311">
        <v>2.3340000000000001</v>
      </c>
      <c r="AS39" s="1829">
        <v>2.3660000000000001</v>
      </c>
      <c r="AT39" s="1830">
        <v>1.01</v>
      </c>
      <c r="AU39" s="311">
        <v>1.1919999999999999</v>
      </c>
      <c r="AV39" s="311">
        <v>1.45</v>
      </c>
      <c r="AW39" s="311">
        <v>1.4119999999999999</v>
      </c>
      <c r="AX39" s="311">
        <v>1.452</v>
      </c>
      <c r="AY39" s="1829">
        <v>1.5389999999999999</v>
      </c>
      <c r="AZ39" s="1830">
        <v>1.4430000000000001</v>
      </c>
      <c r="BA39" s="311">
        <v>1.24</v>
      </c>
      <c r="BB39" s="311">
        <v>1.288</v>
      </c>
      <c r="BC39" s="311">
        <v>1.2649999999999999</v>
      </c>
      <c r="BD39" s="311">
        <v>1.302</v>
      </c>
      <c r="BE39" s="311">
        <v>1.363</v>
      </c>
      <c r="BF39" s="311">
        <v>1.3540000000000001</v>
      </c>
      <c r="BG39" s="344"/>
      <c r="BH39" s="311"/>
      <c r="BI39" s="311"/>
      <c r="BJ39" s="311"/>
      <c r="BK39" s="1829"/>
      <c r="BL39" s="1830"/>
      <c r="BM39" s="311"/>
      <c r="BN39" s="311"/>
      <c r="BO39" s="311"/>
      <c r="BP39" s="311"/>
      <c r="BQ39" s="1829"/>
      <c r="BR39" s="1830"/>
      <c r="BS39" s="311"/>
      <c r="BT39" s="311"/>
      <c r="BU39" s="311"/>
      <c r="BV39" s="311"/>
      <c r="BW39" s="311"/>
      <c r="BX39" s="225"/>
      <c r="BY39" s="344"/>
      <c r="BZ39" s="345"/>
      <c r="CA39" s="225"/>
      <c r="CB39" s="225"/>
      <c r="CC39" s="225"/>
      <c r="CD39" s="226"/>
      <c r="CE39" s="1768"/>
      <c r="CF39" s="225"/>
      <c r="CG39" s="225"/>
      <c r="CH39" s="225"/>
      <c r="CI39" s="225"/>
      <c r="CJ39" s="226"/>
      <c r="CK39" s="1768"/>
      <c r="CL39" s="225"/>
      <c r="CM39" s="225"/>
      <c r="CN39" s="225"/>
      <c r="CO39" s="225"/>
      <c r="CP39" s="225"/>
      <c r="CQ39" s="225"/>
      <c r="CR39" s="344"/>
      <c r="CS39" s="225"/>
      <c r="CT39" s="225"/>
      <c r="CU39" s="225"/>
      <c r="CV39" s="226"/>
      <c r="CW39" s="1768"/>
      <c r="CX39" s="225"/>
      <c r="CY39" s="225"/>
      <c r="CZ39" s="225"/>
      <c r="DA39" s="225"/>
      <c r="DB39" s="226"/>
      <c r="DC39" s="1768"/>
      <c r="DD39" s="225"/>
      <c r="DE39" s="225"/>
      <c r="DF39" s="225"/>
      <c r="DG39" s="225"/>
      <c r="DH39" s="225"/>
      <c r="DI39" s="225"/>
    </row>
    <row r="40" spans="3:114" s="299" customFormat="1" ht="15.5" thickTop="1" thickBot="1" x14ac:dyDescent="0.4">
      <c r="C40" s="305"/>
      <c r="D40" s="305"/>
      <c r="E40" s="305"/>
      <c r="F40" s="1857"/>
      <c r="G40" s="316"/>
      <c r="H40" s="316"/>
      <c r="I40" s="1874"/>
      <c r="J40" s="1857"/>
      <c r="K40" s="316"/>
      <c r="L40" s="316"/>
      <c r="M40" s="316"/>
      <c r="N40" s="1875"/>
      <c r="O40" s="1874"/>
      <c r="P40" s="1857"/>
      <c r="Q40" s="316"/>
      <c r="R40" s="316"/>
      <c r="S40" s="1875"/>
      <c r="T40" s="1875"/>
      <c r="U40" s="1875"/>
      <c r="V40" s="307"/>
      <c r="W40" s="1751"/>
      <c r="X40" s="1792"/>
      <c r="Y40" s="307"/>
      <c r="Z40" s="307"/>
      <c r="AA40" s="1791"/>
      <c r="AB40" s="1792"/>
      <c r="AC40" s="307"/>
      <c r="AD40" s="307"/>
      <c r="AE40" s="307"/>
      <c r="AF40" s="307"/>
      <c r="AG40" s="1791"/>
      <c r="AH40" s="1792"/>
      <c r="AI40" s="307"/>
      <c r="AJ40" s="307"/>
      <c r="AK40" s="307"/>
      <c r="AL40" s="307"/>
      <c r="AM40" s="307"/>
      <c r="AN40" s="307"/>
      <c r="AO40" s="359"/>
      <c r="AP40" s="307"/>
      <c r="AQ40" s="307"/>
      <c r="AR40" s="307"/>
      <c r="AS40" s="1791"/>
      <c r="AT40" s="1792"/>
      <c r="AU40" s="307"/>
      <c r="AV40" s="307"/>
      <c r="AW40" s="307"/>
      <c r="AX40" s="307"/>
      <c r="AY40" s="1791"/>
      <c r="AZ40" s="1792"/>
      <c r="BA40" s="307"/>
      <c r="BB40" s="307"/>
      <c r="BC40" s="307"/>
      <c r="BD40" s="307"/>
      <c r="BE40" s="307"/>
      <c r="BF40" s="307"/>
      <c r="BG40" s="359"/>
      <c r="BH40" s="307"/>
      <c r="BI40" s="307"/>
      <c r="BJ40" s="307"/>
      <c r="BK40" s="1791"/>
      <c r="BL40" s="1792"/>
      <c r="BM40" s="307"/>
      <c r="BN40" s="307"/>
      <c r="BO40" s="307"/>
      <c r="BP40" s="307"/>
      <c r="BQ40" s="1791"/>
      <c r="BR40" s="1792"/>
      <c r="BS40" s="307"/>
      <c r="BT40" s="307"/>
      <c r="BU40" s="307"/>
      <c r="BV40" s="307"/>
      <c r="BW40" s="307"/>
      <c r="BX40" s="307"/>
      <c r="BY40" s="359"/>
      <c r="BZ40" s="361"/>
      <c r="CA40" s="307"/>
      <c r="CB40" s="307"/>
      <c r="CC40" s="307"/>
      <c r="CD40" s="1791"/>
      <c r="CE40" s="1792"/>
      <c r="CF40" s="307"/>
      <c r="CG40" s="307"/>
      <c r="CH40" s="307"/>
      <c r="CI40" s="307"/>
      <c r="CJ40" s="1791"/>
      <c r="CK40" s="1792"/>
      <c r="CL40" s="307"/>
      <c r="CM40" s="307"/>
      <c r="CN40" s="307"/>
      <c r="CO40" s="307"/>
      <c r="CP40" s="307"/>
      <c r="CQ40" s="307"/>
      <c r="CR40" s="359"/>
      <c r="CS40" s="307"/>
      <c r="CT40" s="307"/>
      <c r="CU40" s="307"/>
      <c r="CV40" s="1791"/>
      <c r="CW40" s="1792"/>
      <c r="CX40" s="307"/>
      <c r="CY40" s="307"/>
      <c r="CZ40" s="307"/>
      <c r="DA40" s="307"/>
      <c r="DB40" s="1791"/>
      <c r="DC40" s="1792"/>
      <c r="DD40" s="307"/>
      <c r="DE40" s="307"/>
      <c r="DF40" s="307"/>
      <c r="DG40" s="307"/>
      <c r="DH40" s="307"/>
      <c r="DI40" s="307"/>
    </row>
    <row r="41" spans="3:114" ht="17" thickTop="1" x14ac:dyDescent="0.45">
      <c r="C41" s="1" t="s">
        <v>144</v>
      </c>
      <c r="F41" s="1812">
        <v>83.775428987629937</v>
      </c>
      <c r="G41" s="309">
        <v>83.775428987629937</v>
      </c>
      <c r="H41" s="309">
        <v>83.775428987629937</v>
      </c>
      <c r="I41" s="1858">
        <v>83.775428987629937</v>
      </c>
      <c r="J41" s="1812">
        <v>83.91757806181846</v>
      </c>
      <c r="K41" s="309">
        <v>83.91757806181846</v>
      </c>
      <c r="L41" s="309">
        <v>83.91757806181846</v>
      </c>
      <c r="M41" s="309">
        <v>83.91757806181846</v>
      </c>
      <c r="N41" s="1859">
        <v>83.91757806181846</v>
      </c>
      <c r="O41" s="1858">
        <v>83.91757806181846</v>
      </c>
      <c r="P41" s="1812">
        <v>84.251927474316702</v>
      </c>
      <c r="Q41" s="309">
        <v>84.251927474316702</v>
      </c>
      <c r="R41" s="309">
        <v>84.251927474316702</v>
      </c>
      <c r="S41" s="1859">
        <v>84.251927474316702</v>
      </c>
      <c r="T41" s="1859">
        <v>84.251927474316702</v>
      </c>
      <c r="U41" s="1859">
        <v>84.251927474316702</v>
      </c>
      <c r="V41" s="229"/>
      <c r="W41" s="1796"/>
      <c r="X41" s="1865">
        <v>86.634284617542406</v>
      </c>
      <c r="Y41" s="313">
        <v>85.824311415379711</v>
      </c>
      <c r="Z41" s="313">
        <v>84.767070982502602</v>
      </c>
      <c r="AA41" s="1866">
        <v>0</v>
      </c>
      <c r="AB41" s="1865">
        <v>85.61611667284636</v>
      </c>
      <c r="AC41" s="313">
        <v>85.667412242585343</v>
      </c>
      <c r="AD41" s="313">
        <v>84.784621619782698</v>
      </c>
      <c r="AE41" s="313">
        <v>84.984688194885521</v>
      </c>
      <c r="AF41" s="313">
        <v>0</v>
      </c>
      <c r="AG41" s="1866">
        <v>0</v>
      </c>
      <c r="AH41" s="1865">
        <v>0</v>
      </c>
      <c r="AI41" s="313">
        <v>85.261995144408289</v>
      </c>
      <c r="AJ41" s="313">
        <v>85.51750991701347</v>
      </c>
      <c r="AK41" s="313">
        <v>85.175380997390164</v>
      </c>
      <c r="AL41" s="313">
        <v>0</v>
      </c>
      <c r="AM41" s="313">
        <v>0</v>
      </c>
      <c r="AN41" s="313"/>
      <c r="AO41" s="356"/>
      <c r="AP41" s="309">
        <v>86.35412642918628</v>
      </c>
      <c r="AQ41" s="309">
        <v>86.939590031796797</v>
      </c>
      <c r="AR41" s="309">
        <v>86.533724802459176</v>
      </c>
      <c r="AS41" s="1811">
        <v>86.056083878145543</v>
      </c>
      <c r="AT41" s="1812">
        <v>87.264603214044968</v>
      </c>
      <c r="AU41" s="309">
        <v>87.174886827927992</v>
      </c>
      <c r="AV41" s="309">
        <v>86.724660015548309</v>
      </c>
      <c r="AW41" s="309">
        <v>86.852015242435314</v>
      </c>
      <c r="AX41" s="309">
        <v>86.787036669583287</v>
      </c>
      <c r="AY41" s="1811">
        <v>86.867347102435758</v>
      </c>
      <c r="AZ41" s="1812">
        <v>86.876187471655996</v>
      </c>
      <c r="BA41" s="309">
        <v>86.850570517895449</v>
      </c>
      <c r="BB41" s="309">
        <v>86.699409129886803</v>
      </c>
      <c r="BC41" s="309">
        <v>86.591045392952438</v>
      </c>
      <c r="BD41" s="309">
        <v>86.584355644790861</v>
      </c>
      <c r="BE41" s="309">
        <v>86.691079502637521</v>
      </c>
      <c r="BF41" s="309">
        <v>86.440835539288855</v>
      </c>
      <c r="BG41" s="356"/>
      <c r="BH41" s="309">
        <v>86.765451012778925</v>
      </c>
      <c r="BI41" s="309">
        <v>87.389448501012311</v>
      </c>
      <c r="BJ41" s="309">
        <v>86.102703885037002</v>
      </c>
      <c r="BK41" s="1811">
        <v>85.814580914552295</v>
      </c>
      <c r="BL41" s="1812">
        <v>86.421810388055178</v>
      </c>
      <c r="BM41" s="309">
        <v>86.48695622298861</v>
      </c>
      <c r="BN41" s="309">
        <v>86.005404974270974</v>
      </c>
      <c r="BO41" s="309">
        <v>85.982346829734581</v>
      </c>
      <c r="BP41" s="309">
        <v>85.861980498124936</v>
      </c>
      <c r="BQ41" s="1811">
        <v>86.049771522100457</v>
      </c>
      <c r="BR41" s="1812">
        <v>85.889933095038344</v>
      </c>
      <c r="BS41" s="309">
        <v>86.090920192892909</v>
      </c>
      <c r="BT41" s="309">
        <v>86.148180756008884</v>
      </c>
      <c r="BU41" s="309">
        <v>86.016345515738948</v>
      </c>
      <c r="BV41" s="309">
        <v>85.985328483223086</v>
      </c>
      <c r="BW41" s="309">
        <v>85.910942191987729</v>
      </c>
      <c r="BX41" s="229">
        <v>86.045373131980796</v>
      </c>
      <c r="BY41" s="356"/>
      <c r="BZ41" s="358"/>
      <c r="CA41" s="229"/>
      <c r="CB41" s="229"/>
      <c r="CC41" s="229"/>
      <c r="CD41" s="1773"/>
      <c r="CE41" s="1774"/>
      <c r="CF41" s="229"/>
      <c r="CG41" s="229"/>
      <c r="CH41" s="229"/>
      <c r="CI41" s="229"/>
      <c r="CJ41" s="1773"/>
      <c r="CK41" s="1774"/>
      <c r="CL41" s="229"/>
      <c r="CM41" s="229"/>
      <c r="CN41" s="229"/>
      <c r="CO41" s="229"/>
      <c r="CP41" s="229"/>
      <c r="CQ41" s="229"/>
      <c r="CR41" s="356"/>
      <c r="CS41" s="229"/>
      <c r="CT41" s="229"/>
      <c r="CU41" s="229"/>
      <c r="CV41" s="1773"/>
      <c r="CW41" s="1774"/>
      <c r="CX41" s="229"/>
      <c r="CY41" s="229"/>
      <c r="CZ41" s="229"/>
      <c r="DA41" s="229"/>
      <c r="DB41" s="1773"/>
      <c r="DC41" s="1774"/>
      <c r="DD41" s="229"/>
      <c r="DE41" s="229"/>
      <c r="DF41" s="229"/>
      <c r="DG41" s="229"/>
      <c r="DH41" s="229"/>
      <c r="DI41" s="229"/>
    </row>
    <row r="42" spans="3:114" ht="16.5" x14ac:dyDescent="0.45">
      <c r="C42" s="1" t="s">
        <v>145</v>
      </c>
      <c r="F42" s="1819">
        <v>9.7199768278614158</v>
      </c>
      <c r="G42" s="249">
        <v>9.7199768278614158</v>
      </c>
      <c r="H42" s="249">
        <v>9.7199768278614158</v>
      </c>
      <c r="I42" s="1864">
        <v>9.7199768278614158</v>
      </c>
      <c r="J42" s="1819">
        <v>9.6647490260369153</v>
      </c>
      <c r="K42" s="249">
        <v>9.6647490260369153</v>
      </c>
      <c r="L42" s="249">
        <v>9.6647490260369153</v>
      </c>
      <c r="M42" s="249">
        <v>9.6647490260369153</v>
      </c>
      <c r="N42" s="1867">
        <v>9.6647490260369153</v>
      </c>
      <c r="O42" s="1864">
        <v>9.6647490260369153</v>
      </c>
      <c r="P42" s="1819">
        <v>9.7428108903090074</v>
      </c>
      <c r="Q42" s="249">
        <v>9.7428108903090074</v>
      </c>
      <c r="R42" s="249">
        <v>9.7428108903090074</v>
      </c>
      <c r="S42" s="1867">
        <v>9.7428108903090074</v>
      </c>
      <c r="T42" s="1867">
        <v>9.7428108903090074</v>
      </c>
      <c r="U42" s="1867">
        <v>9.7428108903090074</v>
      </c>
      <c r="X42" s="1868">
        <v>10.423279642124223</v>
      </c>
      <c r="Y42" s="267">
        <v>9.8670593854481776</v>
      </c>
      <c r="Z42" s="267">
        <v>10.51961909453161</v>
      </c>
      <c r="AA42" s="1869">
        <v>0</v>
      </c>
      <c r="AB42" s="1868">
        <v>9.6700037078235059</v>
      </c>
      <c r="AC42" s="267">
        <v>10.136258761779066</v>
      </c>
      <c r="AD42" s="267">
        <v>10.837206229372084</v>
      </c>
      <c r="AE42" s="267">
        <v>10.570381201579162</v>
      </c>
      <c r="AF42" s="267">
        <v>0</v>
      </c>
      <c r="AG42" s="1869">
        <v>0</v>
      </c>
      <c r="AH42" s="1868">
        <v>0</v>
      </c>
      <c r="AI42" s="267">
        <v>10.232615580039344</v>
      </c>
      <c r="AJ42" s="267">
        <v>10.35749920907255</v>
      </c>
      <c r="AK42" s="267">
        <v>10.796602799853558</v>
      </c>
      <c r="AL42" s="267">
        <v>0</v>
      </c>
      <c r="AM42" s="267">
        <v>0</v>
      </c>
      <c r="AN42" s="267"/>
      <c r="AP42" s="249">
        <v>10.980542870196256</v>
      </c>
      <c r="AQ42" s="249">
        <v>10.437495119779154</v>
      </c>
      <c r="AR42" s="249">
        <v>10.817947151668017</v>
      </c>
      <c r="AS42" s="294">
        <v>11.243508446390873</v>
      </c>
      <c r="AT42" s="1819">
        <v>11.433036566487377</v>
      </c>
      <c r="AU42" s="249">
        <v>11.136705533043672</v>
      </c>
      <c r="AV42" s="249">
        <v>11.312339492055315</v>
      </c>
      <c r="AW42" s="249">
        <v>11.233660000238039</v>
      </c>
      <c r="AX42" s="249">
        <v>11.22364570992576</v>
      </c>
      <c r="AY42" s="294">
        <v>11.077372639400391</v>
      </c>
      <c r="AZ42" s="1819">
        <v>11.155270077105502</v>
      </c>
      <c r="BA42" s="249">
        <v>11.330894493185276</v>
      </c>
      <c r="BB42" s="249">
        <v>11.391091872822614</v>
      </c>
      <c r="BC42" s="249">
        <v>11.529091514861888</v>
      </c>
      <c r="BD42" s="249">
        <v>11.512628399674519</v>
      </c>
      <c r="BE42" s="249">
        <v>11.333129238884702</v>
      </c>
      <c r="BF42" s="249">
        <v>11.606343365741717</v>
      </c>
      <c r="BH42" s="249">
        <v>13.106081461178471</v>
      </c>
      <c r="BI42" s="249">
        <v>12.420578398093607</v>
      </c>
      <c r="BJ42" s="249">
        <v>13.701767915284949</v>
      </c>
      <c r="BK42" s="294">
        <v>13.95465069583145</v>
      </c>
      <c r="BL42" s="1819">
        <v>13.361627543555317</v>
      </c>
      <c r="BM42" s="249">
        <v>13.358541433203756</v>
      </c>
      <c r="BN42" s="249">
        <v>13.813772838721366</v>
      </c>
      <c r="BO42" s="249">
        <v>13.849306496718572</v>
      </c>
      <c r="BP42" s="249">
        <v>13.956823909914274</v>
      </c>
      <c r="BQ42" s="294">
        <v>13.772796003537314</v>
      </c>
      <c r="BR42" s="1819">
        <v>13.937193246261842</v>
      </c>
      <c r="BS42" s="249">
        <v>13.721329916569948</v>
      </c>
      <c r="BT42" s="249">
        <v>13.66326036583404</v>
      </c>
      <c r="BU42" s="249">
        <v>13.803248221004305</v>
      </c>
      <c r="BV42" s="249">
        <v>13.841297810269843</v>
      </c>
      <c r="BW42" s="249">
        <v>13.933913044856109</v>
      </c>
      <c r="BX42" s="232">
        <v>13.762541115591583</v>
      </c>
    </row>
    <row r="43" spans="3:114" ht="17" thickBot="1" x14ac:dyDescent="0.5">
      <c r="C43" s="1" t="s">
        <v>146</v>
      </c>
      <c r="F43" s="1830">
        <v>5.9480455215271348</v>
      </c>
      <c r="G43" s="311">
        <v>5.9480455215271348</v>
      </c>
      <c r="H43" s="311">
        <v>5.9480455215271348</v>
      </c>
      <c r="I43" s="1860">
        <v>5.9480455215271348</v>
      </c>
      <c r="J43" s="1830">
        <v>5.68103532625517</v>
      </c>
      <c r="K43" s="311">
        <v>5.68103532625517</v>
      </c>
      <c r="L43" s="311">
        <v>5.68103532625517</v>
      </c>
      <c r="M43" s="311">
        <v>5.68103532625517</v>
      </c>
      <c r="N43" s="1861">
        <v>5.68103532625517</v>
      </c>
      <c r="O43" s="1860">
        <v>5.68103532625517</v>
      </c>
      <c r="P43" s="1830">
        <v>5.2227039379307119</v>
      </c>
      <c r="Q43" s="311">
        <v>5.2227039379307119</v>
      </c>
      <c r="R43" s="311">
        <v>5.2227039379307119</v>
      </c>
      <c r="S43" s="1861">
        <v>5.2227039379307119</v>
      </c>
      <c r="T43" s="1861">
        <v>5.2227039379307119</v>
      </c>
      <c r="U43" s="1861">
        <v>5.2227039379307119</v>
      </c>
      <c r="V43" s="225"/>
      <c r="W43" s="1790"/>
      <c r="X43" s="1768"/>
      <c r="Y43" s="225"/>
      <c r="Z43" s="225"/>
      <c r="AA43" s="226"/>
      <c r="AB43" s="1768"/>
      <c r="AC43" s="225"/>
      <c r="AD43" s="225"/>
      <c r="AE43" s="225"/>
      <c r="AF43" s="225"/>
      <c r="AG43" s="226"/>
      <c r="AH43" s="1768"/>
      <c r="AI43" s="225"/>
      <c r="AJ43" s="225"/>
      <c r="AK43" s="225"/>
      <c r="AL43" s="225"/>
      <c r="AM43" s="225"/>
      <c r="AN43" s="225"/>
      <c r="AO43" s="344"/>
      <c r="AP43" s="311"/>
      <c r="AQ43" s="311"/>
      <c r="AR43" s="311"/>
      <c r="AS43" s="1829"/>
      <c r="AT43" s="1830"/>
      <c r="AU43" s="311"/>
      <c r="AV43" s="311"/>
      <c r="AW43" s="311"/>
      <c r="AX43" s="311"/>
      <c r="AY43" s="1829"/>
      <c r="AZ43" s="1830"/>
      <c r="BA43" s="311"/>
      <c r="BB43" s="311"/>
      <c r="BC43" s="311"/>
      <c r="BD43" s="311"/>
      <c r="BE43" s="311"/>
      <c r="BF43" s="311"/>
      <c r="BG43" s="344"/>
      <c r="BH43" s="311"/>
      <c r="BI43" s="311"/>
      <c r="BJ43" s="311"/>
      <c r="BK43" s="1829"/>
      <c r="BL43" s="1830"/>
      <c r="BM43" s="311"/>
      <c r="BN43" s="311"/>
      <c r="BO43" s="311"/>
      <c r="BP43" s="311"/>
      <c r="BQ43" s="1829"/>
      <c r="BR43" s="1830"/>
      <c r="BS43" s="311"/>
      <c r="BT43" s="311"/>
      <c r="BU43" s="311"/>
      <c r="BV43" s="311"/>
      <c r="BW43" s="311"/>
      <c r="BX43" s="225"/>
      <c r="BY43" s="344"/>
      <c r="BZ43" s="345"/>
      <c r="CA43" s="225"/>
      <c r="CB43" s="225"/>
      <c r="CC43" s="225"/>
      <c r="CD43" s="226"/>
      <c r="CE43" s="1768"/>
      <c r="CF43" s="225"/>
      <c r="CG43" s="225"/>
      <c r="CH43" s="225"/>
      <c r="CI43" s="225"/>
      <c r="CJ43" s="226"/>
      <c r="CK43" s="1768"/>
      <c r="CL43" s="225"/>
      <c r="CM43" s="225"/>
      <c r="CN43" s="225"/>
      <c r="CO43" s="225"/>
      <c r="CP43" s="225"/>
      <c r="CQ43" s="225"/>
      <c r="CR43" s="344"/>
      <c r="CS43" s="225"/>
      <c r="CT43" s="225"/>
      <c r="CU43" s="225"/>
      <c r="CV43" s="226"/>
      <c r="CW43" s="1768"/>
      <c r="CX43" s="225"/>
      <c r="CY43" s="225"/>
      <c r="CZ43" s="225"/>
      <c r="DA43" s="225"/>
      <c r="DB43" s="226"/>
      <c r="DC43" s="1768"/>
      <c r="DD43" s="225"/>
      <c r="DE43" s="225"/>
      <c r="DF43" s="225"/>
      <c r="DG43" s="225"/>
      <c r="DH43" s="225"/>
      <c r="DI43" s="225"/>
    </row>
    <row r="44" spans="3:114" s="377" customFormat="1" ht="15" thickTop="1" x14ac:dyDescent="0.35">
      <c r="C44" s="375"/>
      <c r="D44" s="375"/>
      <c r="E44" s="375"/>
      <c r="F44" s="887">
        <v>0.11600000000000001</v>
      </c>
      <c r="G44" s="347">
        <v>0.11600000000000001</v>
      </c>
      <c r="H44" s="347">
        <v>0.11600000000000001</v>
      </c>
      <c r="I44" s="1876">
        <v>0.11600000000000001</v>
      </c>
      <c r="J44" s="887">
        <f t="shared" ref="J44:U44" si="2">J$42/J$41</f>
        <v>0.11516954193932184</v>
      </c>
      <c r="K44" s="347">
        <f t="shared" si="2"/>
        <v>0.11516954193932184</v>
      </c>
      <c r="L44" s="347">
        <f t="shared" si="2"/>
        <v>0.11516954193932184</v>
      </c>
      <c r="M44" s="347">
        <f t="shared" si="2"/>
        <v>0.11516954193932184</v>
      </c>
      <c r="N44" s="1877">
        <f t="shared" si="2"/>
        <v>0.11516954193932184</v>
      </c>
      <c r="O44" s="1876">
        <f t="shared" si="2"/>
        <v>0.11516954193932184</v>
      </c>
      <c r="P44" s="887">
        <f t="shared" si="2"/>
        <v>0.11563902669501536</v>
      </c>
      <c r="Q44" s="347">
        <f t="shared" si="2"/>
        <v>0.11563902669501536</v>
      </c>
      <c r="R44" s="347">
        <f t="shared" si="2"/>
        <v>0.11563902669501536</v>
      </c>
      <c r="S44" s="1877">
        <f t="shared" si="2"/>
        <v>0.11563902669501536</v>
      </c>
      <c r="T44" s="1877">
        <f t="shared" si="2"/>
        <v>0.11563902669501536</v>
      </c>
      <c r="U44" s="1876">
        <f t="shared" si="2"/>
        <v>0.11563902669501536</v>
      </c>
      <c r="V44" s="347"/>
      <c r="W44" s="1878"/>
      <c r="X44" s="1879"/>
      <c r="Y44" s="347"/>
      <c r="Z44" s="347"/>
      <c r="AA44" s="1880"/>
      <c r="AB44" s="1879"/>
      <c r="AC44" s="347"/>
      <c r="AD44" s="347"/>
      <c r="AE44" s="347"/>
      <c r="AF44" s="347"/>
      <c r="AG44" s="1880"/>
      <c r="AH44" s="1879"/>
      <c r="AI44" s="347"/>
      <c r="AJ44" s="347"/>
      <c r="AK44" s="347"/>
      <c r="AL44" s="347"/>
      <c r="AM44" s="347"/>
      <c r="AN44" s="347"/>
      <c r="AO44" s="352"/>
      <c r="AP44" s="347">
        <f>AP42/AP41</f>
        <v>0.12715712988192551</v>
      </c>
      <c r="AQ44" s="347">
        <v>0.125</v>
      </c>
      <c r="AR44" s="347">
        <f t="shared" ref="AR44:BE44" si="3">AR42/AR41</f>
        <v>0.12501423203916659</v>
      </c>
      <c r="AS44" s="347">
        <f t="shared" si="3"/>
        <v>0.13065326633165827</v>
      </c>
      <c r="AT44" s="347">
        <f t="shared" si="3"/>
        <v>0.13101574000679425</v>
      </c>
      <c r="AU44" s="347">
        <f t="shared" si="3"/>
        <v>0.12775130474245519</v>
      </c>
      <c r="AV44" s="347">
        <f t="shared" si="3"/>
        <v>0.13043970988213963</v>
      </c>
      <c r="AW44" s="347">
        <f t="shared" si="3"/>
        <v>0.12934253706008825</v>
      </c>
      <c r="AX44" s="347">
        <f t="shared" si="3"/>
        <v>0.12932398824327379</v>
      </c>
      <c r="AY44" s="347">
        <f t="shared" si="3"/>
        <v>0.12752055874732454</v>
      </c>
      <c r="AZ44" s="347">
        <f t="shared" si="3"/>
        <v>0.12840423137519694</v>
      </c>
      <c r="BA44" s="347">
        <f t="shared" si="3"/>
        <v>0.1304642494069807</v>
      </c>
      <c r="BB44" s="347">
        <f t="shared" si="3"/>
        <v>0.1313860381188677</v>
      </c>
      <c r="BC44" s="347">
        <f t="shared" si="3"/>
        <v>0.13314415437003407</v>
      </c>
      <c r="BD44" s="347">
        <f t="shared" si="3"/>
        <v>0.13296430185268865</v>
      </c>
      <c r="BE44" s="347">
        <f t="shared" si="3"/>
        <v>0.13073005093378609</v>
      </c>
      <c r="BF44" s="347"/>
      <c r="BG44" s="352"/>
      <c r="BH44" s="347">
        <f>BH42/BH41</f>
        <v>0.15105184503965974</v>
      </c>
      <c r="BI44" s="347">
        <f t="shared" ref="BI44:BW44" si="4">BI42/BI41</f>
        <v>0.14212903973126376</v>
      </c>
      <c r="BJ44" s="347">
        <f t="shared" si="4"/>
        <v>0.15913284132841329</v>
      </c>
      <c r="BK44" s="347">
        <f t="shared" si="4"/>
        <v>0.16261398176291791</v>
      </c>
      <c r="BL44" s="347">
        <f t="shared" si="4"/>
        <v>0.15460943809853467</v>
      </c>
      <c r="BM44" s="347">
        <f t="shared" si="4"/>
        <v>0.15445729641313238</v>
      </c>
      <c r="BN44" s="347">
        <f t="shared" si="4"/>
        <v>0.16061517113783533</v>
      </c>
      <c r="BO44" s="347">
        <f t="shared" si="4"/>
        <v>0.16107151069211312</v>
      </c>
      <c r="BP44" s="347">
        <f t="shared" si="4"/>
        <v>0.16254952225588443</v>
      </c>
      <c r="BQ44" s="347">
        <f t="shared" si="4"/>
        <v>0.16005616005616005</v>
      </c>
      <c r="BR44" s="347">
        <f t="shared" si="4"/>
        <v>0.16226806499942378</v>
      </c>
      <c r="BS44" s="347">
        <f t="shared" si="4"/>
        <v>0.1593818475377696</v>
      </c>
      <c r="BT44" s="347">
        <f t="shared" si="4"/>
        <v>0.15860184447227599</v>
      </c>
      <c r="BU44" s="347">
        <f t="shared" si="4"/>
        <v>0.16047238624522403</v>
      </c>
      <c r="BV44" s="347">
        <f t="shared" si="4"/>
        <v>0.16097278517660685</v>
      </c>
      <c r="BW44" s="347">
        <f t="shared" si="4"/>
        <v>0.16219020172910664</v>
      </c>
      <c r="BX44" s="347"/>
      <c r="BY44" s="352"/>
      <c r="BZ44" s="355"/>
      <c r="CA44" s="346"/>
      <c r="CB44" s="346"/>
      <c r="CC44" s="346"/>
      <c r="CD44" s="1881"/>
      <c r="CE44" s="1882"/>
      <c r="CF44" s="346"/>
      <c r="CG44" s="346"/>
      <c r="CH44" s="346"/>
      <c r="CI44" s="346"/>
      <c r="CJ44" s="1881"/>
      <c r="CK44" s="1883"/>
      <c r="CL44" s="888"/>
      <c r="CM44" s="888"/>
      <c r="CN44" s="888"/>
      <c r="CO44" s="888"/>
      <c r="CP44" s="888"/>
      <c r="CQ44" s="888"/>
      <c r="CR44" s="352"/>
      <c r="CS44" s="2754" t="s">
        <v>212</v>
      </c>
      <c r="CT44" s="2754"/>
      <c r="CU44" s="2754"/>
      <c r="CV44" s="2754"/>
      <c r="CW44" s="2754" t="s">
        <v>212</v>
      </c>
      <c r="CX44" s="2754"/>
      <c r="CY44" s="2754"/>
      <c r="CZ44" s="2754"/>
      <c r="DA44" s="2754"/>
      <c r="DB44" s="1881"/>
      <c r="DC44" s="2754" t="s">
        <v>212</v>
      </c>
      <c r="DD44" s="2754"/>
      <c r="DE44" s="2754"/>
      <c r="DF44" s="2754"/>
      <c r="DG44" s="2754"/>
      <c r="DH44" s="2754"/>
      <c r="DI44" s="347"/>
    </row>
    <row r="45" spans="3:114" x14ac:dyDescent="0.35">
      <c r="F45" s="1787"/>
      <c r="G45" s="244"/>
      <c r="H45" s="244"/>
      <c r="I45" s="1820"/>
      <c r="J45" s="1787"/>
      <c r="K45" s="244"/>
      <c r="L45" s="244"/>
      <c r="M45" s="244"/>
      <c r="N45" s="1815"/>
      <c r="O45" s="1820"/>
      <c r="P45" s="1787"/>
      <c r="Q45" s="244"/>
      <c r="R45" s="244"/>
      <c r="S45" s="1815"/>
      <c r="T45" s="1815"/>
      <c r="U45" s="1815"/>
      <c r="AP45" s="244"/>
      <c r="AQ45" s="244"/>
      <c r="AR45" s="244"/>
      <c r="AS45" s="1784"/>
      <c r="AT45" s="1787"/>
      <c r="AU45" s="244"/>
      <c r="AV45" s="244"/>
      <c r="AW45" s="244"/>
      <c r="AX45" s="244"/>
      <c r="AY45" s="1784"/>
      <c r="AZ45" s="1787"/>
      <c r="BA45" s="244"/>
      <c r="BB45" s="244"/>
      <c r="BC45" s="244"/>
      <c r="BD45" s="244"/>
      <c r="BE45" s="244"/>
      <c r="BF45" s="244"/>
      <c r="BH45" s="243"/>
      <c r="BI45" s="243"/>
      <c r="BJ45" s="243"/>
      <c r="BK45" s="1776"/>
      <c r="BL45" s="1779"/>
      <c r="BM45" s="243"/>
      <c r="BN45" s="243"/>
      <c r="BO45" s="243"/>
      <c r="BP45" s="243"/>
      <c r="BQ45" s="1776"/>
      <c r="BR45" s="1779"/>
      <c r="BS45" s="243"/>
      <c r="BT45" s="243"/>
      <c r="BU45" s="243"/>
      <c r="BV45" s="243"/>
      <c r="BW45" s="243"/>
      <c r="BZ45" s="241" t="s">
        <v>191</v>
      </c>
      <c r="DJ45" s="1" t="s">
        <v>191</v>
      </c>
    </row>
    <row r="46" spans="3:114" x14ac:dyDescent="0.35">
      <c r="F46" s="1787"/>
      <c r="G46" s="244"/>
      <c r="H46" s="244"/>
      <c r="I46" s="1820"/>
      <c r="J46" s="1787"/>
      <c r="K46" s="244"/>
      <c r="L46" s="244"/>
      <c r="M46" s="244"/>
      <c r="N46" s="1815"/>
      <c r="O46" s="1820"/>
      <c r="P46" s="1787"/>
      <c r="Q46" s="244"/>
      <c r="R46" s="244"/>
      <c r="S46" s="1815"/>
      <c r="T46" s="1815"/>
      <c r="U46" s="1815"/>
      <c r="V46" s="244"/>
      <c r="W46" s="1816"/>
      <c r="X46" s="1787"/>
      <c r="Y46" s="244"/>
      <c r="Z46" s="244"/>
      <c r="AA46" s="1784"/>
      <c r="AB46" s="1787"/>
      <c r="AC46" s="244"/>
      <c r="AD46" s="244"/>
      <c r="AE46" s="244"/>
      <c r="AF46" s="244"/>
      <c r="AG46" s="1784"/>
      <c r="AH46" s="1787"/>
      <c r="AI46" s="244"/>
      <c r="AJ46" s="244"/>
      <c r="AK46" s="244"/>
      <c r="AL46" s="244"/>
      <c r="AM46" s="244"/>
      <c r="AN46" s="244"/>
      <c r="AO46" s="325"/>
      <c r="AP46" s="244"/>
      <c r="AQ46" s="244"/>
      <c r="AR46" s="244"/>
      <c r="AS46" s="1784"/>
      <c r="AT46" s="1787"/>
      <c r="AU46" s="244"/>
      <c r="AV46" s="244"/>
      <c r="AW46" s="244"/>
      <c r="AX46" s="244"/>
      <c r="AY46" s="1784"/>
      <c r="AZ46" s="1787"/>
      <c r="BA46" s="244"/>
      <c r="BB46" s="244"/>
      <c r="BC46" s="244"/>
      <c r="BD46" s="244"/>
      <c r="BE46" s="244"/>
      <c r="BF46" s="244"/>
      <c r="BG46" s="325"/>
      <c r="BH46" s="243"/>
      <c r="BI46" s="243"/>
      <c r="BJ46" s="243"/>
      <c r="BK46" s="1776"/>
      <c r="BL46" s="1779"/>
      <c r="BM46" s="243"/>
      <c r="BN46" s="243"/>
      <c r="BO46" s="243"/>
      <c r="BP46" s="243"/>
      <c r="BQ46" s="1776"/>
      <c r="BR46" s="1779"/>
      <c r="BS46" s="243"/>
      <c r="BT46" s="243"/>
      <c r="BU46" s="243"/>
      <c r="BV46" s="243"/>
      <c r="BW46" s="243"/>
      <c r="BZ46" s="241" t="s">
        <v>199</v>
      </c>
      <c r="CS46" s="251">
        <f t="shared" ref="CS46:DH46" si="5">CS$59*CS$9/100</f>
        <v>0.28322000000000003</v>
      </c>
      <c r="CT46" s="251">
        <f t="shared" si="5"/>
        <v>3.7925999999999994E-2</v>
      </c>
      <c r="CU46" s="251">
        <f t="shared" si="5"/>
        <v>6.0374999999999998E-2</v>
      </c>
      <c r="CV46" s="1846">
        <f t="shared" si="5"/>
        <v>1.5913978494623657E-3</v>
      </c>
      <c r="CW46" s="1839">
        <f t="shared" si="5"/>
        <v>5.5125E-2</v>
      </c>
      <c r="CX46" s="251">
        <f t="shared" si="5"/>
        <v>7.0616666666666661E-2</v>
      </c>
      <c r="CY46" s="251">
        <f t="shared" si="5"/>
        <v>4.3594999999999995E-2</v>
      </c>
      <c r="CZ46" s="251">
        <f t="shared" si="5"/>
        <v>4.4030000000000007E-2</v>
      </c>
      <c r="DA46" s="251">
        <f t="shared" si="5"/>
        <v>2.9906666666666668E-2</v>
      </c>
      <c r="DB46" s="1846">
        <f t="shared" si="5"/>
        <v>1.3458333333333334E-4</v>
      </c>
      <c r="DC46" s="1839">
        <f t="shared" si="5"/>
        <v>5.0083333333333341E-2</v>
      </c>
      <c r="DD46" s="251">
        <f t="shared" si="5"/>
        <v>0.14601125000000001</v>
      </c>
      <c r="DE46" s="251">
        <f t="shared" si="5"/>
        <v>0.16544791666666664</v>
      </c>
      <c r="DF46" s="251">
        <f t="shared" si="5"/>
        <v>5.1181249999999991E-2</v>
      </c>
      <c r="DG46" s="251">
        <f t="shared" si="5"/>
        <v>2.7091764705882353E-2</v>
      </c>
      <c r="DH46" s="251">
        <f t="shared" si="5"/>
        <v>6.6323571428571426E-2</v>
      </c>
      <c r="DJ46" s="1" t="s">
        <v>199</v>
      </c>
    </row>
    <row r="47" spans="3:114" x14ac:dyDescent="0.35">
      <c r="F47" s="1787"/>
      <c r="G47" s="244"/>
      <c r="H47" s="244"/>
      <c r="I47" s="1820"/>
      <c r="J47" s="1787"/>
      <c r="K47" s="244"/>
      <c r="L47" s="244"/>
      <c r="M47" s="244"/>
      <c r="N47" s="1815"/>
      <c r="O47" s="1820"/>
      <c r="P47" s="1787"/>
      <c r="Q47" s="244"/>
      <c r="R47" s="244"/>
      <c r="S47" s="1815"/>
      <c r="T47" s="1815"/>
      <c r="U47" s="1815"/>
      <c r="V47" s="244"/>
      <c r="W47" s="1816"/>
      <c r="X47" s="1787"/>
      <c r="Y47" s="244"/>
      <c r="Z47" s="244"/>
      <c r="AA47" s="1784"/>
      <c r="AB47" s="1787"/>
      <c r="AC47" s="244"/>
      <c r="AD47" s="244"/>
      <c r="AE47" s="244"/>
      <c r="AF47" s="244"/>
      <c r="AG47" s="1784"/>
      <c r="AH47" s="1787"/>
      <c r="AI47" s="244"/>
      <c r="AJ47" s="244"/>
      <c r="AK47" s="244"/>
      <c r="AL47" s="244"/>
      <c r="AM47" s="244"/>
      <c r="AN47" s="244"/>
      <c r="AO47" s="325"/>
      <c r="AP47" s="244"/>
      <c r="AQ47" s="244"/>
      <c r="AR47" s="244"/>
      <c r="AS47" s="1784"/>
      <c r="AT47" s="1787"/>
      <c r="AU47" s="244"/>
      <c r="AV47" s="244"/>
      <c r="AW47" s="244"/>
      <c r="AX47" s="244"/>
      <c r="AY47" s="1784"/>
      <c r="AZ47" s="1787"/>
      <c r="BA47" s="244"/>
      <c r="BB47" s="244"/>
      <c r="BC47" s="244"/>
      <c r="BD47" s="244"/>
      <c r="BE47" s="244"/>
      <c r="BF47" s="244"/>
      <c r="BG47" s="325"/>
      <c r="BH47" s="243"/>
      <c r="BI47" s="243"/>
      <c r="BJ47" s="243"/>
      <c r="BK47" s="1776"/>
      <c r="BL47" s="1779"/>
      <c r="BM47" s="243"/>
      <c r="BN47" s="243"/>
      <c r="BO47" s="243"/>
      <c r="BP47" s="243"/>
      <c r="BQ47" s="1776"/>
      <c r="BR47" s="1779"/>
      <c r="BS47" s="243"/>
      <c r="BT47" s="243"/>
      <c r="BU47" s="243"/>
      <c r="BV47" s="243"/>
      <c r="BW47" s="243"/>
      <c r="BZ47" s="241" t="s">
        <v>200</v>
      </c>
      <c r="CS47" s="251">
        <f t="shared" ref="CS47:DH47" si="6">CS$59*CS$10/100</f>
        <v>0.45863999999999999</v>
      </c>
      <c r="CT47" s="251">
        <f t="shared" si="6"/>
        <v>1.4447999999999999E-2</v>
      </c>
      <c r="CU47" s="251">
        <f t="shared" si="6"/>
        <v>2.3000000000000003E-2</v>
      </c>
      <c r="CV47" s="1846">
        <f t="shared" si="6"/>
        <v>9.5483870967741922E-4</v>
      </c>
      <c r="CW47" s="1839">
        <f t="shared" si="6"/>
        <v>8.0850000000000005E-2</v>
      </c>
      <c r="CX47" s="251">
        <f t="shared" si="6"/>
        <v>0.10034999999999999</v>
      </c>
      <c r="CY47" s="251">
        <f t="shared" si="6"/>
        <v>6.5392500000000006E-2</v>
      </c>
      <c r="CZ47" s="251">
        <f t="shared" si="6"/>
        <v>6.2899999999999998E-2</v>
      </c>
      <c r="DA47" s="251">
        <f t="shared" si="6"/>
        <v>4.1121666666666667E-2</v>
      </c>
      <c r="DB47" s="1846">
        <f t="shared" si="6"/>
        <v>1.8208333333333333E-4</v>
      </c>
      <c r="DC47" s="1839">
        <f t="shared" si="6"/>
        <v>9.0150000000000008E-2</v>
      </c>
      <c r="DD47" s="251">
        <f t="shared" si="6"/>
        <v>0.23450291666666667</v>
      </c>
      <c r="DE47" s="251">
        <f t="shared" si="6"/>
        <v>0.25053541666666668</v>
      </c>
      <c r="DF47" s="251">
        <f t="shared" si="6"/>
        <v>9.8950416666666652E-2</v>
      </c>
      <c r="DG47" s="251">
        <f t="shared" si="6"/>
        <v>4.8480000000000009E-2</v>
      </c>
      <c r="DH47" s="251">
        <f t="shared" si="6"/>
        <v>0.11868428571428574</v>
      </c>
      <c r="DJ47" s="1" t="s">
        <v>200</v>
      </c>
    </row>
    <row r="48" spans="3:114" x14ac:dyDescent="0.35">
      <c r="F48" s="1787"/>
      <c r="G48" s="244"/>
      <c r="H48" s="244"/>
      <c r="I48" s="1820"/>
      <c r="J48" s="1787"/>
      <c r="K48" s="244"/>
      <c r="L48" s="244"/>
      <c r="M48" s="244"/>
      <c r="N48" s="1815"/>
      <c r="O48" s="1820"/>
      <c r="P48" s="1787"/>
      <c r="Q48" s="244"/>
      <c r="R48" s="244"/>
      <c r="S48" s="1815"/>
      <c r="T48" s="1815"/>
      <c r="U48" s="1815"/>
      <c r="V48" s="244"/>
      <c r="W48" s="1816"/>
      <c r="X48" s="1787"/>
      <c r="Y48" s="244"/>
      <c r="Z48" s="244"/>
      <c r="AA48" s="1784"/>
      <c r="AB48" s="1787"/>
      <c r="AC48" s="244"/>
      <c r="AD48" s="244"/>
      <c r="AE48" s="244"/>
      <c r="AF48" s="244"/>
      <c r="AG48" s="1784"/>
      <c r="AH48" s="1787"/>
      <c r="AI48" s="244"/>
      <c r="AJ48" s="244"/>
      <c r="AK48" s="244"/>
      <c r="AL48" s="244"/>
      <c r="AM48" s="244"/>
      <c r="AN48" s="244"/>
      <c r="AO48" s="325"/>
      <c r="AP48" s="244"/>
      <c r="AQ48" s="244"/>
      <c r="AR48" s="244"/>
      <c r="AS48" s="1784"/>
      <c r="AT48" s="1787"/>
      <c r="AU48" s="244"/>
      <c r="AV48" s="244"/>
      <c r="AW48" s="244"/>
      <c r="AX48" s="244"/>
      <c r="AY48" s="1784"/>
      <c r="AZ48" s="1787"/>
      <c r="BA48" s="244"/>
      <c r="BB48" s="244"/>
      <c r="BC48" s="244"/>
      <c r="BD48" s="244"/>
      <c r="BE48" s="244"/>
      <c r="BF48" s="244"/>
      <c r="BG48" s="325"/>
      <c r="BH48" s="243"/>
      <c r="BI48" s="243"/>
      <c r="BJ48" s="243"/>
      <c r="BK48" s="1776"/>
      <c r="BL48" s="1779"/>
      <c r="BM48" s="243"/>
      <c r="BN48" s="243"/>
      <c r="BO48" s="243"/>
      <c r="BP48" s="243"/>
      <c r="BQ48" s="1776"/>
      <c r="BR48" s="1779"/>
      <c r="BS48" s="243"/>
      <c r="BT48" s="243"/>
      <c r="BU48" s="243"/>
      <c r="BV48" s="243"/>
      <c r="BW48" s="243"/>
      <c r="BZ48" s="241" t="s">
        <v>201</v>
      </c>
      <c r="CS48" s="251">
        <f t="shared" ref="CS48:DH48" si="7">CS$59*CS$11/100</f>
        <v>0.67669000000000012</v>
      </c>
      <c r="CT48" s="251">
        <f t="shared" si="7"/>
        <v>3.4313999999999997E-2</v>
      </c>
      <c r="CU48" s="251">
        <f t="shared" si="7"/>
        <v>5.4625000000000007E-2</v>
      </c>
      <c r="CV48" s="1846">
        <f t="shared" si="7"/>
        <v>1.2731182795698926E-3</v>
      </c>
      <c r="CW48" s="1839">
        <f t="shared" si="7"/>
        <v>0.11025</v>
      </c>
      <c r="CX48" s="251">
        <f t="shared" si="7"/>
        <v>0.14866666666666667</v>
      </c>
      <c r="CY48" s="251">
        <f t="shared" si="7"/>
        <v>0.10535458333333332</v>
      </c>
      <c r="CZ48" s="251">
        <f t="shared" si="7"/>
        <v>9.4349999999999989E-2</v>
      </c>
      <c r="DA48" s="251">
        <f t="shared" si="7"/>
        <v>6.1682500000000001E-2</v>
      </c>
      <c r="DB48" s="1846">
        <f t="shared" si="7"/>
        <v>2.5333333333333333E-4</v>
      </c>
      <c r="DC48" s="1839">
        <f t="shared" si="7"/>
        <v>0.15024999999999999</v>
      </c>
      <c r="DD48" s="251">
        <f t="shared" si="7"/>
        <v>0.35396666666666671</v>
      </c>
      <c r="DE48" s="251">
        <f t="shared" si="7"/>
        <v>0.37343958333333338</v>
      </c>
      <c r="DF48" s="251">
        <f t="shared" si="7"/>
        <v>0.15695583333333332</v>
      </c>
      <c r="DG48" s="251">
        <f t="shared" si="7"/>
        <v>7.5571764705882366E-2</v>
      </c>
      <c r="DH48" s="251">
        <f t="shared" si="7"/>
        <v>0.18500785714285717</v>
      </c>
      <c r="DJ48" s="1" t="s">
        <v>201</v>
      </c>
    </row>
    <row r="49" spans="3:114" x14ac:dyDescent="0.35">
      <c r="F49" s="1787"/>
      <c r="G49" s="244"/>
      <c r="H49" s="244"/>
      <c r="I49" s="1820"/>
      <c r="J49" s="1787"/>
      <c r="K49" s="244"/>
      <c r="L49" s="244"/>
      <c r="M49" s="244"/>
      <c r="N49" s="1815"/>
      <c r="O49" s="1820"/>
      <c r="P49" s="1787"/>
      <c r="Q49" s="244"/>
      <c r="R49" s="244"/>
      <c r="S49" s="1815"/>
      <c r="T49" s="1815"/>
      <c r="U49" s="1815"/>
      <c r="V49" s="244"/>
      <c r="W49" s="1816"/>
      <c r="X49" s="1787"/>
      <c r="Y49" s="244"/>
      <c r="Z49" s="244"/>
      <c r="AA49" s="1784"/>
      <c r="AB49" s="1787"/>
      <c r="AC49" s="244"/>
      <c r="AD49" s="244"/>
      <c r="AE49" s="244"/>
      <c r="AF49" s="244"/>
      <c r="AG49" s="1784"/>
      <c r="AH49" s="1787"/>
      <c r="AI49" s="244"/>
      <c r="AJ49" s="244"/>
      <c r="AK49" s="244"/>
      <c r="AL49" s="244"/>
      <c r="AM49" s="244"/>
      <c r="AN49" s="244"/>
      <c r="AO49" s="325"/>
      <c r="AP49" s="244"/>
      <c r="AQ49" s="244"/>
      <c r="AR49" s="244"/>
      <c r="AS49" s="1784"/>
      <c r="AT49" s="1787"/>
      <c r="AU49" s="244"/>
      <c r="AV49" s="244"/>
      <c r="AW49" s="244"/>
      <c r="AX49" s="244"/>
      <c r="AY49" s="1784"/>
      <c r="AZ49" s="1787"/>
      <c r="BA49" s="244"/>
      <c r="BB49" s="244"/>
      <c r="BC49" s="244"/>
      <c r="BD49" s="244"/>
      <c r="BE49" s="244"/>
      <c r="BF49" s="244"/>
      <c r="BG49" s="325"/>
      <c r="BH49" s="243"/>
      <c r="BI49" s="251"/>
      <c r="BJ49" s="243"/>
      <c r="BK49" s="1776"/>
      <c r="BL49" s="1779"/>
      <c r="BM49" s="243"/>
      <c r="BN49" s="243"/>
      <c r="BO49" s="243"/>
      <c r="BP49" s="243"/>
      <c r="BQ49" s="1776"/>
      <c r="BR49" s="1779"/>
      <c r="BS49" s="243"/>
      <c r="BT49" s="243"/>
      <c r="BU49" s="243"/>
      <c r="BV49" s="243"/>
      <c r="BW49" s="243"/>
      <c r="BZ49" s="241" t="s">
        <v>376</v>
      </c>
      <c r="CS49" s="251">
        <f t="shared" ref="CS49:DH49" si="8">CS$59*CS$12/100</f>
        <v>0.61642000000000008</v>
      </c>
      <c r="CT49" s="251">
        <f t="shared" si="8"/>
        <v>0.12641999999999998</v>
      </c>
      <c r="CU49" s="251">
        <f t="shared" si="8"/>
        <v>0.20125000000000001</v>
      </c>
      <c r="CV49" s="1846">
        <f t="shared" si="8"/>
        <v>3.6602150537634408E-3</v>
      </c>
      <c r="CW49" s="1839">
        <f t="shared" si="8"/>
        <v>0.16537500000000002</v>
      </c>
      <c r="CX49" s="251">
        <f t="shared" si="8"/>
        <v>0.19326666666666664</v>
      </c>
      <c r="CY49" s="251">
        <f t="shared" si="8"/>
        <v>0.1489495833333333</v>
      </c>
      <c r="CZ49" s="251">
        <f t="shared" si="8"/>
        <v>0.13208999999999999</v>
      </c>
      <c r="DA49" s="251">
        <f t="shared" si="8"/>
        <v>7.8504999999999991E-2</v>
      </c>
      <c r="DB49" s="1846">
        <f t="shared" si="8"/>
        <v>3.166666666666667E-4</v>
      </c>
      <c r="DC49" s="1839">
        <f t="shared" si="8"/>
        <v>0.19532500000000003</v>
      </c>
      <c r="DD49" s="251">
        <f t="shared" si="8"/>
        <v>0.41148625000000005</v>
      </c>
      <c r="DE49" s="251">
        <f t="shared" si="8"/>
        <v>0.43016458333333341</v>
      </c>
      <c r="DF49" s="251">
        <f t="shared" si="8"/>
        <v>0.19448874999999999</v>
      </c>
      <c r="DG49" s="251">
        <f t="shared" si="8"/>
        <v>8.6978823529411761E-2</v>
      </c>
      <c r="DH49" s="251">
        <f t="shared" si="8"/>
        <v>0.21293357142857144</v>
      </c>
      <c r="DJ49" s="1" t="s">
        <v>376</v>
      </c>
    </row>
    <row r="50" spans="3:114" x14ac:dyDescent="0.35">
      <c r="F50" s="1787"/>
      <c r="G50" s="244"/>
      <c r="H50" s="244"/>
      <c r="I50" s="1820"/>
      <c r="J50" s="1787"/>
      <c r="K50" s="244"/>
      <c r="L50" s="244"/>
      <c r="M50" s="244"/>
      <c r="N50" s="1815"/>
      <c r="O50" s="1820"/>
      <c r="P50" s="1787"/>
      <c r="Q50" s="244"/>
      <c r="R50" s="244"/>
      <c r="S50" s="1815"/>
      <c r="T50" s="1815"/>
      <c r="U50" s="1815"/>
      <c r="V50" s="244"/>
      <c r="W50" s="1816"/>
      <c r="X50" s="1787"/>
      <c r="Y50" s="244"/>
      <c r="Z50" s="244"/>
      <c r="AA50" s="1784"/>
      <c r="AB50" s="1787"/>
      <c r="AC50" s="244"/>
      <c r="AD50" s="244"/>
      <c r="AE50" s="244"/>
      <c r="AF50" s="244"/>
      <c r="AG50" s="1784"/>
      <c r="AH50" s="1787"/>
      <c r="AI50" s="244"/>
      <c r="AJ50" s="244"/>
      <c r="AK50" s="244"/>
      <c r="AL50" s="244"/>
      <c r="AM50" s="244"/>
      <c r="AN50" s="244"/>
      <c r="AO50" s="325"/>
      <c r="AP50" s="244"/>
      <c r="AQ50" s="244"/>
      <c r="AR50" s="244"/>
      <c r="AS50" s="1784"/>
      <c r="AT50" s="1787"/>
      <c r="AU50" s="244"/>
      <c r="AV50" s="244"/>
      <c r="AW50" s="244"/>
      <c r="AX50" s="244"/>
      <c r="AY50" s="1784"/>
      <c r="AZ50" s="1787"/>
      <c r="BA50" s="244"/>
      <c r="BB50" s="244"/>
      <c r="BC50" s="244"/>
      <c r="BD50" s="244"/>
      <c r="BE50" s="244"/>
      <c r="BF50" s="244"/>
      <c r="BG50" s="325"/>
      <c r="BH50" s="243"/>
      <c r="BI50" s="243"/>
      <c r="BJ50" s="243"/>
      <c r="BK50" s="1776"/>
      <c r="BL50" s="1779"/>
      <c r="BM50" s="243"/>
      <c r="BN50" s="243"/>
      <c r="BO50" s="243"/>
      <c r="BP50" s="243"/>
      <c r="BQ50" s="1776"/>
      <c r="BR50" s="1779"/>
      <c r="BS50" s="243"/>
      <c r="BT50" s="243"/>
      <c r="BU50" s="243"/>
      <c r="BV50" s="243"/>
      <c r="BW50" s="243"/>
      <c r="BZ50" s="241" t="s">
        <v>203</v>
      </c>
      <c r="CS50" s="251">
        <f t="shared" ref="CS50:DH50" si="9">CS$59*CS$13/100</f>
        <v>0.54635</v>
      </c>
      <c r="CT50" s="251">
        <f t="shared" si="9"/>
        <v>6.3209999999999988E-2</v>
      </c>
      <c r="CU50" s="251">
        <f t="shared" si="9"/>
        <v>0.10062500000000001</v>
      </c>
      <c r="CV50" s="1846">
        <f t="shared" si="9"/>
        <v>3.6602150537634408E-3</v>
      </c>
      <c r="CW50" s="1839">
        <f t="shared" si="9"/>
        <v>0.58432500000000009</v>
      </c>
      <c r="CX50" s="251">
        <f t="shared" si="9"/>
        <v>0.55006666666666659</v>
      </c>
      <c r="CY50" s="251">
        <f t="shared" si="9"/>
        <v>0.55220333333333327</v>
      </c>
      <c r="CZ50" s="251">
        <f t="shared" si="9"/>
        <v>0.44973499999999994</v>
      </c>
      <c r="DA50" s="251">
        <f t="shared" si="9"/>
        <v>0.24486083333333333</v>
      </c>
      <c r="DB50" s="1846">
        <f t="shared" si="9"/>
        <v>8.2333333333333325E-4</v>
      </c>
      <c r="DC50" s="1839">
        <f t="shared" si="9"/>
        <v>0.43071666666666664</v>
      </c>
      <c r="DD50" s="251">
        <f t="shared" si="9"/>
        <v>0.97340833333333354</v>
      </c>
      <c r="DE50" s="251">
        <f t="shared" si="9"/>
        <v>0.95014375000000006</v>
      </c>
      <c r="DF50" s="251">
        <f t="shared" si="9"/>
        <v>0.58687833333333328</v>
      </c>
      <c r="DG50" s="251">
        <f t="shared" si="9"/>
        <v>0.20532705882352942</v>
      </c>
      <c r="DH50" s="251">
        <f t="shared" si="9"/>
        <v>0.50266285714285719</v>
      </c>
      <c r="DJ50" s="1" t="s">
        <v>203</v>
      </c>
    </row>
    <row r="51" spans="3:114" ht="15" thickBot="1" x14ac:dyDescent="0.4">
      <c r="F51" s="1788"/>
      <c r="G51" s="304"/>
      <c r="H51" s="304"/>
      <c r="I51" s="1823"/>
      <c r="J51" s="1788"/>
      <c r="K51" s="304"/>
      <c r="L51" s="304"/>
      <c r="M51" s="304"/>
      <c r="N51" s="1827"/>
      <c r="O51" s="1823"/>
      <c r="P51" s="1788"/>
      <c r="Q51" s="304"/>
      <c r="R51" s="304"/>
      <c r="S51" s="1827"/>
      <c r="T51" s="1827"/>
      <c r="U51" s="1827"/>
      <c r="V51" s="304"/>
      <c r="W51" s="1828"/>
      <c r="X51" s="1788"/>
      <c r="Y51" s="304"/>
      <c r="Z51" s="304"/>
      <c r="AA51" s="1785"/>
      <c r="AB51" s="1788"/>
      <c r="AC51" s="304"/>
      <c r="AD51" s="304"/>
      <c r="AE51" s="304"/>
      <c r="AF51" s="304"/>
      <c r="AG51" s="1785"/>
      <c r="AH51" s="1788"/>
      <c r="AI51" s="304"/>
      <c r="AJ51" s="304"/>
      <c r="AK51" s="304"/>
      <c r="AL51" s="304"/>
      <c r="AM51" s="304"/>
      <c r="AN51" s="304"/>
      <c r="AO51" s="350"/>
      <c r="AP51" s="304"/>
      <c r="AQ51" s="304"/>
      <c r="AR51" s="304"/>
      <c r="AS51" s="1785"/>
      <c r="AT51" s="1788"/>
      <c r="AU51" s="304"/>
      <c r="AV51" s="304"/>
      <c r="AW51" s="304"/>
      <c r="AX51" s="304"/>
      <c r="AY51" s="1785"/>
      <c r="AZ51" s="1788"/>
      <c r="BA51" s="304"/>
      <c r="BB51" s="304"/>
      <c r="BC51" s="304"/>
      <c r="BD51" s="304"/>
      <c r="BE51" s="304"/>
      <c r="BF51" s="304"/>
      <c r="BG51" s="350"/>
      <c r="BH51" s="1884"/>
      <c r="BI51" s="304"/>
      <c r="BJ51" s="304"/>
      <c r="BK51" s="1785"/>
      <c r="BL51" s="1788"/>
      <c r="BM51" s="304"/>
      <c r="BN51" s="304"/>
      <c r="BO51" s="1884"/>
      <c r="BP51" s="1884"/>
      <c r="BQ51" s="1885"/>
      <c r="BR51" s="1886"/>
      <c r="BS51" s="1884"/>
      <c r="BT51" s="1884"/>
      <c r="BU51" s="1884"/>
      <c r="BV51" s="1884"/>
      <c r="BW51" s="1884"/>
      <c r="BX51" s="225"/>
      <c r="BY51" s="344"/>
      <c r="BZ51" s="351" t="s">
        <v>374</v>
      </c>
      <c r="CA51" s="225"/>
      <c r="CB51" s="225"/>
      <c r="CC51" s="225"/>
      <c r="CD51" s="226"/>
      <c r="CE51" s="1768"/>
      <c r="CF51" s="225"/>
      <c r="CG51" s="225"/>
      <c r="CH51" s="225"/>
      <c r="CI51" s="225"/>
      <c r="CJ51" s="226"/>
      <c r="CK51" s="1768"/>
      <c r="CL51" s="225"/>
      <c r="CM51" s="225"/>
      <c r="CN51" s="225"/>
      <c r="CO51" s="225"/>
      <c r="CP51" s="225"/>
      <c r="CQ51" s="225"/>
      <c r="CR51" s="344"/>
      <c r="CS51" s="1887">
        <f t="shared" ref="CS51:DH51" si="10">CS$59*CS$14/100</f>
        <v>0.12592999999999999</v>
      </c>
      <c r="CT51" s="1887">
        <f t="shared" si="10"/>
        <v>9.9330000000000002E-2</v>
      </c>
      <c r="CU51" s="1887">
        <f t="shared" si="10"/>
        <v>0.15812500000000002</v>
      </c>
      <c r="CV51" s="1888">
        <f t="shared" si="10"/>
        <v>5.4107526881720432E-3</v>
      </c>
      <c r="CW51" s="1889">
        <f t="shared" si="10"/>
        <v>0.15434999999999999</v>
      </c>
      <c r="CX51" s="1887">
        <f t="shared" si="10"/>
        <v>0.1338</v>
      </c>
      <c r="CY51" s="1887">
        <f t="shared" si="10"/>
        <v>0.13441791666666666</v>
      </c>
      <c r="CZ51" s="1887">
        <f t="shared" si="10"/>
        <v>8.8060000000000013E-2</v>
      </c>
      <c r="DA51" s="1887">
        <f t="shared" si="10"/>
        <v>4.6729166666666669E-2</v>
      </c>
      <c r="DB51" s="1888">
        <f t="shared" si="10"/>
        <v>1.4249999999999999E-4</v>
      </c>
      <c r="DC51" s="1889">
        <f t="shared" si="10"/>
        <v>6.0100000000000001E-2</v>
      </c>
      <c r="DD51" s="1887">
        <f t="shared" si="10"/>
        <v>0.17698333333333335</v>
      </c>
      <c r="DE51" s="1887">
        <f t="shared" si="10"/>
        <v>0.14181250000000001</v>
      </c>
      <c r="DF51" s="1887">
        <f t="shared" si="10"/>
        <v>0.13648333333333335</v>
      </c>
      <c r="DG51" s="1887">
        <f t="shared" si="10"/>
        <v>3.7072941176470593E-2</v>
      </c>
      <c r="DH51" s="1887">
        <f t="shared" si="10"/>
        <v>9.0758571428571438E-2</v>
      </c>
      <c r="DI51" s="225"/>
      <c r="DJ51" s="1" t="s">
        <v>374</v>
      </c>
    </row>
    <row r="52" spans="3:114" s="377" customFormat="1" ht="15.65" customHeight="1" thickTop="1" thickBot="1" x14ac:dyDescent="0.4">
      <c r="C52" s="375"/>
      <c r="D52" s="375"/>
      <c r="E52" s="375"/>
      <c r="F52" s="1879"/>
      <c r="G52" s="347"/>
      <c r="H52" s="1890"/>
      <c r="I52" s="1891"/>
      <c r="J52" s="1892"/>
      <c r="K52" s="1890"/>
      <c r="L52" s="1890"/>
      <c r="M52" s="1890"/>
      <c r="N52" s="1893"/>
      <c r="O52" s="1891"/>
      <c r="P52" s="1894"/>
      <c r="Q52" s="370"/>
      <c r="R52" s="370"/>
      <c r="S52" s="1893"/>
      <c r="T52" s="1893"/>
      <c r="U52" s="1893"/>
      <c r="V52" s="347"/>
      <c r="W52" s="1878"/>
      <c r="X52" s="1879"/>
      <c r="Y52" s="347"/>
      <c r="Z52" s="347"/>
      <c r="AA52" s="1880"/>
      <c r="AB52" s="1879"/>
      <c r="AC52" s="347"/>
      <c r="AD52" s="347"/>
      <c r="AE52" s="347"/>
      <c r="AF52" s="347"/>
      <c r="AG52" s="1880"/>
      <c r="AH52" s="1879"/>
      <c r="AI52" s="347"/>
      <c r="AJ52" s="347"/>
      <c r="AK52" s="347"/>
      <c r="AL52" s="347"/>
      <c r="AM52" s="347"/>
      <c r="AN52" s="347"/>
      <c r="AO52" s="352"/>
      <c r="AP52" s="347"/>
      <c r="AQ52" s="347"/>
      <c r="AR52" s="347"/>
      <c r="AS52" s="1880"/>
      <c r="AT52" s="1879"/>
      <c r="AU52" s="347"/>
      <c r="AV52" s="347"/>
      <c r="AW52" s="347"/>
      <c r="AX52" s="347"/>
      <c r="AY52" s="1880"/>
      <c r="AZ52" s="1879"/>
      <c r="BA52" s="347"/>
      <c r="BB52" s="347"/>
      <c r="BC52" s="347"/>
      <c r="BD52" s="347"/>
      <c r="BE52" s="347"/>
      <c r="BF52" s="347"/>
      <c r="BG52" s="352"/>
      <c r="BH52" s="347"/>
      <c r="BI52" s="347"/>
      <c r="BJ52" s="347"/>
      <c r="BK52" s="1880"/>
      <c r="BL52" s="1879"/>
      <c r="BM52" s="347"/>
      <c r="BN52" s="347"/>
      <c r="BO52" s="347"/>
      <c r="BP52" s="347"/>
      <c r="BQ52" s="1880"/>
      <c r="BR52" s="1879"/>
      <c r="BS52" s="347"/>
      <c r="BT52" s="347"/>
      <c r="BU52" s="347"/>
      <c r="BV52" s="347"/>
      <c r="BW52" s="347"/>
      <c r="BX52" s="347"/>
      <c r="BY52" s="352"/>
      <c r="BZ52" s="355"/>
      <c r="CA52" s="347"/>
      <c r="CB52" s="347"/>
      <c r="CC52" s="347"/>
      <c r="CD52" s="1880"/>
      <c r="CE52" s="1879"/>
      <c r="CF52" s="347"/>
      <c r="CG52" s="347"/>
      <c r="CH52" s="347"/>
      <c r="CI52" s="347"/>
      <c r="CJ52" s="1880"/>
      <c r="CK52" s="1879"/>
      <c r="CL52" s="347"/>
      <c r="CM52" s="347"/>
      <c r="CN52" s="347"/>
      <c r="CO52" s="347"/>
      <c r="CP52" s="347"/>
      <c r="CQ52" s="347"/>
      <c r="CR52" s="352"/>
      <c r="CS52" s="347"/>
      <c r="CT52" s="347"/>
      <c r="CU52" s="347"/>
      <c r="CV52" s="1880"/>
      <c r="CW52" s="1879"/>
      <c r="CX52" s="347"/>
      <c r="CY52" s="347"/>
      <c r="CZ52" s="376"/>
      <c r="DA52" s="376"/>
      <c r="DB52" s="1895"/>
      <c r="DC52" s="1879"/>
      <c r="DD52" s="347"/>
      <c r="DE52" s="347"/>
      <c r="DF52" s="347"/>
      <c r="DG52" s="347"/>
      <c r="DH52" s="347"/>
      <c r="DI52" s="347"/>
    </row>
    <row r="53" spans="3:114" ht="15" thickBot="1" x14ac:dyDescent="0.4">
      <c r="C53" s="1896" t="s">
        <v>364</v>
      </c>
      <c r="F53" s="2752" t="s">
        <v>206</v>
      </c>
      <c r="G53" s="2752"/>
      <c r="H53" s="2752"/>
      <c r="I53" s="2752"/>
      <c r="J53" s="2752" t="s">
        <v>206</v>
      </c>
      <c r="K53" s="2752"/>
      <c r="L53" s="2752"/>
      <c r="M53" s="2752"/>
      <c r="N53" s="2752"/>
      <c r="O53" s="2752"/>
      <c r="P53" s="2752" t="s">
        <v>206</v>
      </c>
      <c r="Q53" s="2752"/>
      <c r="R53" s="2752"/>
      <c r="S53" s="2752"/>
      <c r="T53" s="2752"/>
      <c r="U53" s="2752"/>
      <c r="X53" s="2752" t="s">
        <v>390</v>
      </c>
      <c r="Y53" s="2752"/>
      <c r="Z53" s="2752"/>
      <c r="AA53" s="2752"/>
      <c r="AB53" s="2752" t="s">
        <v>390</v>
      </c>
      <c r="AC53" s="2752"/>
      <c r="AD53" s="2752"/>
      <c r="AE53" s="2752"/>
      <c r="AF53" s="2752"/>
      <c r="AG53" s="2752"/>
      <c r="AH53" s="2755" t="s">
        <v>390</v>
      </c>
      <c r="AI53" s="2755"/>
      <c r="AJ53" s="2755"/>
      <c r="AK53" s="2755"/>
      <c r="AL53" s="2755"/>
      <c r="AM53" s="2755"/>
      <c r="AN53" s="319"/>
      <c r="AO53" s="326"/>
      <c r="AP53" s="2752" t="s">
        <v>15</v>
      </c>
      <c r="AQ53" s="2752"/>
      <c r="AR53" s="2752"/>
      <c r="AS53" s="2752"/>
      <c r="AT53" s="2752" t="s">
        <v>15</v>
      </c>
      <c r="AU53" s="2752"/>
      <c r="AV53" s="2752"/>
      <c r="AW53" s="2752"/>
      <c r="AX53" s="2752"/>
      <c r="AY53" s="2752"/>
      <c r="AZ53" s="2752" t="s">
        <v>15</v>
      </c>
      <c r="BA53" s="2752"/>
      <c r="BB53" s="2752"/>
      <c r="BC53" s="2752"/>
      <c r="BD53" s="2752"/>
      <c r="BE53" s="2752"/>
      <c r="BF53" s="242"/>
      <c r="BH53" s="2752" t="s">
        <v>0</v>
      </c>
      <c r="BI53" s="2752"/>
      <c r="BJ53" s="2752"/>
      <c r="BK53" s="2752"/>
      <c r="BL53" s="2752" t="s">
        <v>0</v>
      </c>
      <c r="BM53" s="2752"/>
      <c r="BN53" s="2752"/>
      <c r="BO53" s="2752"/>
      <c r="BP53" s="2752"/>
      <c r="BQ53" s="2752"/>
      <c r="BR53" s="2752" t="s">
        <v>0</v>
      </c>
      <c r="BS53" s="2752"/>
      <c r="BT53" s="2752"/>
      <c r="BU53" s="2752"/>
      <c r="BV53" s="2752"/>
      <c r="BW53" s="2752"/>
      <c r="CA53" s="2752" t="s">
        <v>349</v>
      </c>
      <c r="CB53" s="2752"/>
      <c r="CC53" s="2752"/>
      <c r="CD53" s="2752"/>
      <c r="CE53" s="2752" t="s">
        <v>349</v>
      </c>
      <c r="CF53" s="2752"/>
      <c r="CG53" s="2752"/>
      <c r="CH53" s="2752"/>
      <c r="CI53" s="2752"/>
      <c r="CJ53" s="2752"/>
      <c r="CK53" s="2752" t="s">
        <v>349</v>
      </c>
      <c r="CL53" s="2752"/>
      <c r="CM53" s="2752"/>
      <c r="CN53" s="2752"/>
      <c r="CO53" s="2752"/>
      <c r="CP53" s="2752"/>
      <c r="CQ53" s="242"/>
      <c r="CS53" s="2753" t="s">
        <v>386</v>
      </c>
      <c r="CT53" s="2753"/>
      <c r="CU53" s="2753"/>
      <c r="CV53" s="2753"/>
      <c r="CW53" s="2753" t="s">
        <v>386</v>
      </c>
      <c r="CX53" s="2753"/>
      <c r="CY53" s="2753"/>
      <c r="CZ53" s="2753"/>
      <c r="DA53" s="2753"/>
      <c r="DB53" s="2753"/>
      <c r="DC53" s="2752" t="s">
        <v>386</v>
      </c>
      <c r="DD53" s="2752"/>
      <c r="DE53" s="2752"/>
      <c r="DF53" s="2752"/>
      <c r="DG53" s="2752"/>
      <c r="DH53" s="2752"/>
    </row>
    <row r="54" spans="3:114" ht="15" thickBot="1" x14ac:dyDescent="0.4">
      <c r="C54" s="448" t="s">
        <v>420</v>
      </c>
      <c r="D54" s="449"/>
      <c r="E54" s="449"/>
      <c r="F54" s="1897">
        <f>(2606+2899)</f>
        <v>5505</v>
      </c>
      <c r="G54" s="450">
        <v>2686</v>
      </c>
      <c r="H54" s="450">
        <f>(2574+2639)</f>
        <v>5213</v>
      </c>
      <c r="I54" s="1898">
        <f>(2469+2662)</f>
        <v>5131</v>
      </c>
      <c r="J54" s="1899"/>
      <c r="K54" s="242"/>
      <c r="L54" s="242"/>
      <c r="M54" s="242"/>
      <c r="N54" s="1900"/>
      <c r="O54" s="1898"/>
      <c r="P54" s="1899"/>
      <c r="Q54" s="242"/>
      <c r="R54" s="242"/>
      <c r="S54" s="1900"/>
      <c r="T54" s="1900"/>
      <c r="U54" s="1900"/>
      <c r="X54" s="1899"/>
      <c r="Y54" s="242"/>
      <c r="Z54" s="242"/>
      <c r="AA54" s="1901"/>
      <c r="AB54" s="1899"/>
      <c r="AC54" s="242"/>
      <c r="AD54" s="242"/>
      <c r="AE54" s="242"/>
      <c r="AF54" s="242"/>
      <c r="AG54" s="1901"/>
      <c r="AH54" s="1902"/>
      <c r="AI54" s="319"/>
      <c r="AJ54" s="319"/>
      <c r="AK54" s="319"/>
      <c r="AL54" s="319"/>
      <c r="AM54" s="319"/>
      <c r="AN54" s="319"/>
      <c r="AO54" s="326"/>
      <c r="AP54" s="242"/>
      <c r="AQ54" s="242"/>
      <c r="AR54" s="242"/>
      <c r="AS54" s="1901"/>
      <c r="AT54" s="1899"/>
      <c r="AU54" s="242"/>
      <c r="AV54" s="242"/>
      <c r="AW54" s="242"/>
      <c r="AX54" s="242"/>
      <c r="AY54" s="1901"/>
      <c r="AZ54" s="1899"/>
      <c r="BA54" s="242"/>
      <c r="BB54" s="242"/>
      <c r="BC54" s="242"/>
      <c r="BD54" s="242"/>
      <c r="BE54" s="242"/>
      <c r="BF54" s="242"/>
      <c r="BH54" s="242"/>
      <c r="BI54" s="242"/>
      <c r="BJ54" s="242"/>
      <c r="BK54" s="1901"/>
      <c r="BL54" s="1899"/>
      <c r="BM54" s="242"/>
      <c r="BN54" s="242"/>
      <c r="BO54" s="242"/>
      <c r="BP54" s="242"/>
      <c r="BQ54" s="1901"/>
      <c r="BR54" s="1899"/>
      <c r="BS54" s="242"/>
      <c r="BT54" s="242"/>
      <c r="BU54" s="242"/>
      <c r="BV54" s="242"/>
      <c r="BW54" s="242"/>
      <c r="CA54" s="242"/>
      <c r="CB54" s="242"/>
      <c r="CC54" s="242"/>
      <c r="CD54" s="1901"/>
      <c r="CE54" s="1899"/>
      <c r="CF54" s="242"/>
      <c r="CG54" s="242"/>
      <c r="CH54" s="242"/>
      <c r="CI54" s="242"/>
      <c r="CJ54" s="1901"/>
      <c r="CK54" s="1899"/>
      <c r="CL54" s="242"/>
      <c r="CM54" s="242"/>
      <c r="CN54" s="242"/>
      <c r="CO54" s="242"/>
      <c r="CP54" s="242"/>
      <c r="CQ54" s="242"/>
      <c r="CS54" s="269"/>
      <c r="CT54" s="269"/>
      <c r="CU54" s="269"/>
      <c r="CV54" s="1903"/>
      <c r="CW54" s="1904"/>
      <c r="CX54" s="269"/>
      <c r="CY54" s="269"/>
      <c r="CZ54" s="269"/>
      <c r="DA54" s="269"/>
      <c r="DB54" s="1903"/>
      <c r="DC54" s="1899"/>
      <c r="DD54" s="242"/>
      <c r="DE54" s="242"/>
      <c r="DF54" s="242"/>
      <c r="DG54" s="242"/>
      <c r="DH54" s="242"/>
    </row>
    <row r="55" spans="3:114" ht="15" thickBot="1" x14ac:dyDescent="0.4">
      <c r="C55" s="418" t="s">
        <v>421</v>
      </c>
      <c r="F55" s="1899">
        <f>F$54/23.5</f>
        <v>234.25531914893617</v>
      </c>
      <c r="G55" s="242">
        <f>G$54/12</f>
        <v>223.83333333333334</v>
      </c>
      <c r="H55" s="242">
        <f>H$54/24</f>
        <v>217.20833333333334</v>
      </c>
      <c r="I55" s="1898">
        <f>I$54/23.25</f>
        <v>220.68817204301075</v>
      </c>
      <c r="J55" s="1899"/>
      <c r="K55" s="480"/>
      <c r="L55" s="242"/>
      <c r="M55" s="242"/>
      <c r="N55" s="1900"/>
      <c r="O55" s="1898"/>
      <c r="P55" s="1899"/>
      <c r="Q55" s="242"/>
      <c r="R55" s="242"/>
      <c r="S55" s="1900"/>
      <c r="T55" s="1900"/>
      <c r="U55" s="1900"/>
      <c r="X55" s="1899"/>
      <c r="Y55" s="242"/>
      <c r="Z55" s="242"/>
      <c r="AA55" s="1901"/>
      <c r="AB55" s="1899"/>
      <c r="AC55" s="242"/>
      <c r="AD55" s="242"/>
      <c r="AE55" s="242"/>
      <c r="AF55" s="242"/>
      <c r="AG55" s="1901"/>
      <c r="AH55" s="1902"/>
      <c r="AI55" s="319"/>
      <c r="AJ55" s="319"/>
      <c r="AK55" s="319"/>
      <c r="AL55" s="319"/>
      <c r="AM55" s="319"/>
      <c r="AN55" s="319"/>
      <c r="AO55" s="326"/>
      <c r="AP55" s="242"/>
      <c r="AQ55" s="242"/>
      <c r="AR55" s="242"/>
      <c r="AS55" s="1901"/>
      <c r="AT55" s="1899"/>
      <c r="AU55" s="242"/>
      <c r="AV55" s="242"/>
      <c r="AW55" s="242"/>
      <c r="AX55" s="242"/>
      <c r="AY55" s="1901"/>
      <c r="AZ55" s="1899"/>
      <c r="BA55" s="242"/>
      <c r="BB55" s="242"/>
      <c r="BC55" s="242"/>
      <c r="BD55" s="242"/>
      <c r="BE55" s="242"/>
      <c r="BF55" s="242"/>
      <c r="BH55" s="242"/>
      <c r="BI55" s="242"/>
      <c r="BJ55" s="242"/>
      <c r="BK55" s="1901"/>
      <c r="BL55" s="1899"/>
      <c r="BM55" s="242"/>
      <c r="BN55" s="242"/>
      <c r="BO55" s="242"/>
      <c r="BP55" s="242"/>
      <c r="BQ55" s="1901"/>
      <c r="BR55" s="1899"/>
      <c r="BS55" s="242"/>
      <c r="BT55" s="242"/>
      <c r="BU55" s="242"/>
      <c r="BV55" s="242"/>
      <c r="BW55" s="242"/>
      <c r="CA55" s="242"/>
      <c r="CB55" s="242"/>
      <c r="CC55" s="242"/>
      <c r="CD55" s="1901"/>
      <c r="CE55" s="1899"/>
      <c r="CF55" s="242"/>
      <c r="CG55" s="242"/>
      <c r="CH55" s="242"/>
      <c r="CI55" s="242"/>
      <c r="CJ55" s="1901"/>
      <c r="CK55" s="1899"/>
      <c r="CL55" s="242"/>
      <c r="CM55" s="242"/>
      <c r="CN55" s="242"/>
      <c r="CO55" s="242"/>
      <c r="CP55" s="242"/>
      <c r="CQ55" s="242"/>
      <c r="CS55" s="269"/>
      <c r="CT55" s="269"/>
      <c r="CU55" s="269"/>
      <c r="CV55" s="1903"/>
      <c r="CW55" s="1904"/>
      <c r="CX55" s="269"/>
      <c r="CY55" s="269"/>
      <c r="CZ55" s="269"/>
      <c r="DA55" s="269"/>
      <c r="DB55" s="1903"/>
      <c r="DC55" s="1899"/>
      <c r="DD55" s="242"/>
      <c r="DE55" s="242"/>
      <c r="DF55" s="242"/>
      <c r="DG55" s="242"/>
      <c r="DH55" s="242"/>
    </row>
    <row r="56" spans="3:114" ht="15" thickBot="1" x14ac:dyDescent="0.4">
      <c r="C56" s="448" t="s">
        <v>416</v>
      </c>
      <c r="D56" s="449"/>
      <c r="E56" s="449"/>
      <c r="F56" s="1897">
        <f>(1211+1264)</f>
        <v>2475</v>
      </c>
      <c r="G56" s="450">
        <v>1256</v>
      </c>
      <c r="H56" s="450">
        <f>(1229+1255)</f>
        <v>2484</v>
      </c>
      <c r="I56" s="1898">
        <f>(1171+1211)</f>
        <v>2382</v>
      </c>
      <c r="J56" s="1899"/>
      <c r="K56" s="242"/>
      <c r="L56" s="242"/>
      <c r="M56" s="242"/>
      <c r="N56" s="1900"/>
      <c r="O56" s="1898"/>
      <c r="P56" s="1899"/>
      <c r="Q56" s="242"/>
      <c r="R56" s="242"/>
      <c r="S56" s="1900"/>
      <c r="T56" s="1900"/>
      <c r="U56" s="1900"/>
      <c r="X56" s="1899"/>
      <c r="Y56" s="242"/>
      <c r="Z56" s="242"/>
      <c r="AA56" s="1901"/>
      <c r="AB56" s="1899"/>
      <c r="AC56" s="242"/>
      <c r="AD56" s="242"/>
      <c r="AE56" s="242"/>
      <c r="AF56" s="242"/>
      <c r="AG56" s="1901"/>
      <c r="AH56" s="1902"/>
      <c r="AI56" s="319"/>
      <c r="AJ56" s="319"/>
      <c r="AK56" s="319"/>
      <c r="AL56" s="319"/>
      <c r="AM56" s="319"/>
      <c r="AN56" s="319"/>
      <c r="AO56" s="326"/>
      <c r="AP56" s="242"/>
      <c r="AQ56" s="242"/>
      <c r="AR56" s="242"/>
      <c r="AS56" s="1901"/>
      <c r="AT56" s="1899"/>
      <c r="AU56" s="242"/>
      <c r="AV56" s="242"/>
      <c r="AW56" s="242"/>
      <c r="AX56" s="242"/>
      <c r="AY56" s="1901"/>
      <c r="AZ56" s="1899"/>
      <c r="BA56" s="242"/>
      <c r="BB56" s="242"/>
      <c r="BC56" s="242"/>
      <c r="BD56" s="242"/>
      <c r="BE56" s="242"/>
      <c r="BF56" s="242"/>
      <c r="BH56" s="242"/>
      <c r="BI56" s="242"/>
      <c r="BJ56" s="242"/>
      <c r="BK56" s="1901"/>
      <c r="BL56" s="1899"/>
      <c r="BM56" s="242"/>
      <c r="BN56" s="242"/>
      <c r="BO56" s="242"/>
      <c r="BP56" s="242"/>
      <c r="BQ56" s="1901"/>
      <c r="BR56" s="1899"/>
      <c r="BS56" s="242"/>
      <c r="BT56" s="242"/>
      <c r="BU56" s="242"/>
      <c r="BV56" s="242"/>
      <c r="BW56" s="242"/>
      <c r="CA56" s="242"/>
      <c r="CB56" s="242"/>
      <c r="CC56" s="242"/>
      <c r="CD56" s="1901"/>
      <c r="CE56" s="1899"/>
      <c r="CF56" s="242"/>
      <c r="CG56" s="242"/>
      <c r="CH56" s="242"/>
      <c r="CI56" s="242"/>
      <c r="CJ56" s="1901"/>
      <c r="CK56" s="1899"/>
      <c r="CL56" s="242"/>
      <c r="CM56" s="242"/>
      <c r="CN56" s="242"/>
      <c r="CO56" s="242"/>
      <c r="CP56" s="242"/>
      <c r="CQ56" s="242"/>
      <c r="CS56" s="269"/>
      <c r="CT56" s="269"/>
      <c r="CU56" s="269"/>
      <c r="CV56" s="1903"/>
      <c r="CW56" s="1904"/>
      <c r="CX56" s="269"/>
      <c r="CY56" s="269"/>
      <c r="CZ56" s="269"/>
      <c r="DA56" s="269"/>
      <c r="DB56" s="1903"/>
      <c r="DC56" s="1899"/>
      <c r="DD56" s="242"/>
      <c r="DE56" s="242"/>
      <c r="DF56" s="242"/>
      <c r="DG56" s="242"/>
      <c r="DH56" s="242"/>
    </row>
    <row r="57" spans="3:114" ht="15" thickBot="1" x14ac:dyDescent="0.4">
      <c r="C57" s="418" t="s">
        <v>415</v>
      </c>
      <c r="F57" s="1899">
        <f t="shared" ref="F57:H57" si="11">F$56/23.5</f>
        <v>105.31914893617021</v>
      </c>
      <c r="G57" s="242">
        <f>G$56/12</f>
        <v>104.66666666666667</v>
      </c>
      <c r="H57" s="242">
        <f t="shared" si="11"/>
        <v>105.70212765957447</v>
      </c>
      <c r="I57" s="1898">
        <f>I$56/23.25</f>
        <v>102.45161290322581</v>
      </c>
      <c r="J57" s="1899"/>
      <c r="K57" s="242"/>
      <c r="L57" s="242"/>
      <c r="M57" s="242"/>
      <c r="N57" s="1900"/>
      <c r="O57" s="1898"/>
      <c r="P57" s="1899"/>
      <c r="Q57" s="242"/>
      <c r="R57" s="242"/>
      <c r="S57" s="1900"/>
      <c r="T57" s="1900"/>
      <c r="U57" s="1900"/>
      <c r="X57" s="1899"/>
      <c r="Y57" s="242"/>
      <c r="Z57" s="242"/>
      <c r="AA57" s="1901"/>
      <c r="AB57" s="1899"/>
      <c r="AC57" s="242"/>
      <c r="AD57" s="242"/>
      <c r="AE57" s="242"/>
      <c r="AF57" s="242"/>
      <c r="AG57" s="1901"/>
      <c r="AH57" s="1902"/>
      <c r="AI57" s="319"/>
      <c r="AJ57" s="319"/>
      <c r="AK57" s="319"/>
      <c r="AL57" s="319"/>
      <c r="AM57" s="319"/>
      <c r="AN57" s="319"/>
      <c r="AO57" s="326"/>
      <c r="AP57" s="242"/>
      <c r="AQ57" s="242"/>
      <c r="AR57" s="242"/>
      <c r="AS57" s="1901"/>
      <c r="AT57" s="1899"/>
      <c r="AU57" s="242"/>
      <c r="AV57" s="242"/>
      <c r="AW57" s="242">
        <v>3558</v>
      </c>
      <c r="AX57" s="242">
        <v>3660</v>
      </c>
      <c r="AY57" s="1901">
        <v>3714</v>
      </c>
      <c r="AZ57" s="1899"/>
      <c r="BA57" s="242"/>
      <c r="BB57" s="242">
        <v>3882</v>
      </c>
      <c r="BC57" s="242">
        <v>3648</v>
      </c>
      <c r="BD57" s="242"/>
      <c r="BE57" s="242">
        <v>1846</v>
      </c>
      <c r="BF57" s="242"/>
      <c r="BH57" s="242"/>
      <c r="BI57" s="242"/>
      <c r="BJ57" s="242"/>
      <c r="BK57" s="1901"/>
      <c r="BL57" s="1899"/>
      <c r="BM57" s="242"/>
      <c r="BN57" s="242"/>
      <c r="BO57" s="242"/>
      <c r="BP57" s="242"/>
      <c r="BQ57" s="1901"/>
      <c r="BR57" s="1899"/>
      <c r="BS57" s="242"/>
      <c r="BT57" s="242"/>
      <c r="BU57" s="242"/>
      <c r="BV57" s="242"/>
      <c r="BW57" s="242"/>
      <c r="CA57" s="242">
        <v>399.5</v>
      </c>
      <c r="CB57" s="242"/>
      <c r="CC57" s="242"/>
      <c r="CD57" s="1901"/>
      <c r="CE57" s="1899"/>
      <c r="CF57" s="242"/>
      <c r="CG57" s="242"/>
      <c r="CH57" s="242"/>
      <c r="CI57" s="242"/>
      <c r="CJ57" s="1901"/>
      <c r="CK57" s="1899"/>
      <c r="CL57" s="242"/>
      <c r="CM57" s="242"/>
      <c r="CN57" s="242"/>
      <c r="CO57" s="242">
        <v>666.2</v>
      </c>
      <c r="CP57" s="242"/>
      <c r="CQ57" s="242"/>
      <c r="CS57" s="269">
        <v>115.15</v>
      </c>
      <c r="CT57" s="1905">
        <v>116</v>
      </c>
      <c r="CU57" s="269"/>
      <c r="CV57" s="1903"/>
      <c r="CW57" s="1904"/>
      <c r="CX57" s="269"/>
      <c r="CY57" s="269"/>
      <c r="CZ57" s="269"/>
      <c r="DA57" s="269"/>
      <c r="DB57" s="1903"/>
      <c r="DC57" s="1899"/>
      <c r="DD57" s="242"/>
      <c r="DE57" s="242"/>
      <c r="DF57" s="242"/>
      <c r="DG57" s="242"/>
      <c r="DH57" s="242"/>
    </row>
    <row r="58" spans="3:114" ht="15" thickBot="1" x14ac:dyDescent="0.4">
      <c r="C58" s="1906" t="s">
        <v>434</v>
      </c>
      <c r="D58" s="1907"/>
      <c r="E58" s="1907"/>
      <c r="F58" s="1908">
        <f>(2606+1211+2899+1264)</f>
        <v>7980</v>
      </c>
      <c r="G58" s="1909"/>
      <c r="H58" s="1909"/>
      <c r="I58" s="1820"/>
      <c r="J58" s="1910"/>
      <c r="K58" s="1911">
        <v>4146</v>
      </c>
      <c r="L58" s="1911">
        <v>4517</v>
      </c>
      <c r="M58" s="1911">
        <v>4192</v>
      </c>
      <c r="N58" s="1815">
        <v>4164</v>
      </c>
      <c r="O58" s="1820">
        <v>4220</v>
      </c>
      <c r="P58" s="1912"/>
      <c r="Q58" s="1911">
        <v>4276</v>
      </c>
      <c r="R58" s="1911">
        <v>4489</v>
      </c>
      <c r="S58" s="1815">
        <v>4290</v>
      </c>
      <c r="T58" s="1815">
        <v>2894</v>
      </c>
      <c r="U58" s="1815">
        <v>2402</v>
      </c>
      <c r="V58" s="1913"/>
      <c r="X58" s="1914">
        <v>18</v>
      </c>
      <c r="Y58" s="1913">
        <v>11.58</v>
      </c>
      <c r="Z58" s="1913">
        <v>33.155999999999999</v>
      </c>
      <c r="AA58" s="1915">
        <v>0</v>
      </c>
      <c r="AB58" s="1914">
        <v>30</v>
      </c>
      <c r="AC58" s="1913">
        <v>30.696000000000002</v>
      </c>
      <c r="AD58" s="1913">
        <v>26.31</v>
      </c>
      <c r="AE58" s="1913">
        <v>14.36</v>
      </c>
      <c r="AF58" s="1913">
        <v>0</v>
      </c>
      <c r="AG58" s="1915">
        <v>0</v>
      </c>
      <c r="AH58" s="1916"/>
      <c r="AI58" s="1913">
        <v>27.08</v>
      </c>
      <c r="AJ58" s="1913">
        <v>23.5</v>
      </c>
      <c r="AK58" s="1913">
        <v>16.739999999999998</v>
      </c>
      <c r="AL58" s="1913">
        <v>0</v>
      </c>
      <c r="AM58" s="1913">
        <v>0</v>
      </c>
      <c r="AN58" s="1913"/>
      <c r="AP58" s="1911">
        <f>(3366+3855)</f>
        <v>7221</v>
      </c>
      <c r="AQ58" s="1911">
        <v>3480</v>
      </c>
      <c r="AR58" s="1911">
        <f>(3348+3480)</f>
        <v>6828</v>
      </c>
      <c r="AS58" s="1917">
        <f>(3300+3516)</f>
        <v>6816</v>
      </c>
      <c r="AT58" s="1918">
        <v>1076</v>
      </c>
      <c r="AU58" s="1911">
        <v>3592</v>
      </c>
      <c r="AV58" s="1911">
        <v>3984</v>
      </c>
      <c r="AW58" s="1911">
        <v>3708</v>
      </c>
      <c r="AX58" s="1911">
        <v>3758</v>
      </c>
      <c r="AY58" s="1917">
        <v>3714</v>
      </c>
      <c r="AZ58" s="1910">
        <v>3674</v>
      </c>
      <c r="BA58" s="1911">
        <v>3654</v>
      </c>
      <c r="BB58" s="1911">
        <v>3894</v>
      </c>
      <c r="BC58" s="1911">
        <v>3676</v>
      </c>
      <c r="BD58" s="1911">
        <v>2642</v>
      </c>
      <c r="BE58" s="1911">
        <v>1846</v>
      </c>
      <c r="BF58" s="1911"/>
      <c r="BH58" s="1913">
        <v>106.5</v>
      </c>
      <c r="BI58" s="1911">
        <v>86</v>
      </c>
      <c r="BJ58" s="1911">
        <f>(328+112)</f>
        <v>440</v>
      </c>
      <c r="BK58" s="1917">
        <v>254</v>
      </c>
      <c r="BL58" s="1918">
        <v>202</v>
      </c>
      <c r="BM58" s="1911">
        <v>160</v>
      </c>
      <c r="BN58" s="1911">
        <v>230</v>
      </c>
      <c r="BO58" s="1911">
        <v>192</v>
      </c>
      <c r="BP58" s="1911">
        <v>164</v>
      </c>
      <c r="BQ58" s="1917">
        <v>180</v>
      </c>
      <c r="BR58" s="1910">
        <v>210</v>
      </c>
      <c r="BS58" s="1911">
        <v>212</v>
      </c>
      <c r="BT58" s="1911">
        <v>248</v>
      </c>
      <c r="BU58" s="1911">
        <v>224</v>
      </c>
      <c r="BV58" s="1911">
        <v>150</v>
      </c>
      <c r="BW58" s="1911">
        <v>146</v>
      </c>
      <c r="BX58" s="1913"/>
      <c r="BZ58" s="1919"/>
      <c r="CA58" s="1911">
        <v>504.4</v>
      </c>
      <c r="CB58" s="1911">
        <v>228</v>
      </c>
      <c r="CC58" s="1911">
        <f>(226.3+165.5)</f>
        <v>391.8</v>
      </c>
      <c r="CD58" s="1917">
        <f>(212.1+226.6)</f>
        <v>438.7</v>
      </c>
      <c r="CE58" s="1910">
        <v>294.60000000000002</v>
      </c>
      <c r="CF58" s="1911">
        <v>307</v>
      </c>
      <c r="CG58" s="1911">
        <v>314.7</v>
      </c>
      <c r="CH58" s="1911">
        <v>302.89999999999998</v>
      </c>
      <c r="CI58" s="1920">
        <v>333</v>
      </c>
      <c r="CJ58" s="1921">
        <v>328.5</v>
      </c>
      <c r="CK58" s="1910">
        <v>327.60000000000002</v>
      </c>
      <c r="CL58" s="1911">
        <v>333.1</v>
      </c>
      <c r="CM58" s="1911">
        <v>324.89999999999998</v>
      </c>
      <c r="CN58" s="1911">
        <v>341.2</v>
      </c>
      <c r="CO58" s="1911">
        <v>340</v>
      </c>
      <c r="CP58" s="1911">
        <v>189.5</v>
      </c>
      <c r="CQ58" s="1911"/>
      <c r="CR58" s="1922" t="s">
        <v>185</v>
      </c>
      <c r="CS58" s="1923">
        <v>115.15</v>
      </c>
      <c r="CT58" s="1924">
        <v>361.2</v>
      </c>
      <c r="CU58" s="1924">
        <v>690</v>
      </c>
      <c r="CV58" s="1925">
        <f>(17.1+19.9)</f>
        <v>37</v>
      </c>
      <c r="CW58" s="1926">
        <v>294</v>
      </c>
      <c r="CX58" s="1924">
        <f>892</f>
        <v>892</v>
      </c>
      <c r="CY58" s="1927">
        <v>871.9</v>
      </c>
      <c r="CZ58" s="1924">
        <v>754.8</v>
      </c>
      <c r="DA58" s="1928">
        <v>448.6</v>
      </c>
      <c r="DB58" s="1929">
        <v>1.9</v>
      </c>
      <c r="DC58" s="1930">
        <v>601</v>
      </c>
      <c r="DD58" s="1927">
        <v>1061.9000000000001</v>
      </c>
      <c r="DE58" s="1924">
        <v>1134.5</v>
      </c>
      <c r="DF58" s="1913">
        <v>818.9</v>
      </c>
      <c r="DG58" s="1913">
        <v>242.4</v>
      </c>
      <c r="DH58" s="1913">
        <v>488.7</v>
      </c>
      <c r="DI58" s="1913"/>
    </row>
    <row r="59" spans="3:114" ht="15" thickBot="1" x14ac:dyDescent="0.4">
      <c r="C59" s="293" t="s">
        <v>419</v>
      </c>
      <c r="D59" s="1931"/>
      <c r="E59" s="1931"/>
      <c r="F59" s="1932">
        <f t="shared" ref="F59:I59" si="12">F$55+F$57</f>
        <v>339.57446808510639</v>
      </c>
      <c r="G59" s="252">
        <f t="shared" si="12"/>
        <v>328.5</v>
      </c>
      <c r="H59" s="302">
        <f t="shared" si="12"/>
        <v>322.91046099290782</v>
      </c>
      <c r="I59" s="1758">
        <f t="shared" si="12"/>
        <v>323.13978494623655</v>
      </c>
      <c r="J59" s="1933">
        <f>159.36*1.01</f>
        <v>160.95360000000002</v>
      </c>
      <c r="K59" s="302">
        <f>K$58/23</f>
        <v>180.2608695652174</v>
      </c>
      <c r="L59" s="252">
        <f>L$58/23</f>
        <v>196.39130434782609</v>
      </c>
      <c r="M59" s="252">
        <f>M$58/23</f>
        <v>182.2608695652174</v>
      </c>
      <c r="N59" s="1934">
        <f>N$58/23</f>
        <v>181.04347826086956</v>
      </c>
      <c r="O59" s="1935">
        <f>O$58/23</f>
        <v>183.47826086956522</v>
      </c>
      <c r="P59" s="1933">
        <v>185</v>
      </c>
      <c r="Q59" s="252">
        <f>Q$58/23</f>
        <v>185.91304347826087</v>
      </c>
      <c r="R59" s="252">
        <f>R$58/23</f>
        <v>195.17391304347825</v>
      </c>
      <c r="S59" s="1934">
        <f>S$58/23</f>
        <v>186.52173913043478</v>
      </c>
      <c r="T59" s="1934">
        <f>T$58/16</f>
        <v>180.875</v>
      </c>
      <c r="U59" s="1934">
        <f>U$58/13</f>
        <v>184.76923076923077</v>
      </c>
      <c r="V59" s="253"/>
      <c r="W59" s="1936"/>
      <c r="X59" s="1937">
        <f>X$58/23.5</f>
        <v>0.76595744680851063</v>
      </c>
      <c r="Y59" s="253">
        <f>Y58/12</f>
        <v>0.96499999999999997</v>
      </c>
      <c r="Z59" s="253">
        <f>Z58/24</f>
        <v>1.3815</v>
      </c>
      <c r="AA59" s="1938"/>
      <c r="AB59" s="1937">
        <f>AB58/24</f>
        <v>1.25</v>
      </c>
      <c r="AC59" s="253">
        <f>AC58/24</f>
        <v>1.2790000000000001</v>
      </c>
      <c r="AD59" s="253">
        <f>AD58/24</f>
        <v>1.0962499999999999</v>
      </c>
      <c r="AE59" s="253">
        <f>AE58/24</f>
        <v>0.59833333333333327</v>
      </c>
      <c r="AF59" s="253"/>
      <c r="AG59" s="1938"/>
      <c r="AH59" s="1937"/>
      <c r="AI59" s="253">
        <f>AI58/24</f>
        <v>1.1283333333333332</v>
      </c>
      <c r="AJ59" s="253">
        <f>AJ58/24</f>
        <v>0.97916666666666663</v>
      </c>
      <c r="AK59" s="253">
        <f>AK58/24</f>
        <v>0.6974999999999999</v>
      </c>
      <c r="AL59" s="253"/>
      <c r="AM59" s="253"/>
      <c r="AN59" s="253"/>
      <c r="AO59" s="327"/>
      <c r="AP59" s="1680">
        <f>AP$58/23.5</f>
        <v>307.27659574468083</v>
      </c>
      <c r="AQ59" s="1680">
        <f>AQ$58/12</f>
        <v>290</v>
      </c>
      <c r="AR59" s="1680">
        <f>AR$58/24</f>
        <v>284.5</v>
      </c>
      <c r="AS59" s="1939">
        <f>AS$58/24</f>
        <v>284</v>
      </c>
      <c r="AT59" s="1940">
        <f>AT58/8</f>
        <v>134.5</v>
      </c>
      <c r="AU59" s="254">
        <f t="shared" ref="AU59:BA59" si="13">AU$58/24</f>
        <v>149.66666666666666</v>
      </c>
      <c r="AV59" s="254">
        <f t="shared" si="13"/>
        <v>166</v>
      </c>
      <c r="AW59" s="254">
        <f t="shared" si="13"/>
        <v>154.5</v>
      </c>
      <c r="AX59" s="254">
        <f t="shared" si="13"/>
        <v>156.58333333333334</v>
      </c>
      <c r="AY59" s="1941">
        <f t="shared" si="13"/>
        <v>154.75</v>
      </c>
      <c r="AZ59" s="1940">
        <f t="shared" si="13"/>
        <v>153.08333333333334</v>
      </c>
      <c r="BA59" s="254">
        <f t="shared" si="13"/>
        <v>152.25</v>
      </c>
      <c r="BB59" s="254">
        <f>BB$58/24</f>
        <v>162.25</v>
      </c>
      <c r="BC59" s="254">
        <f>BC$58/24</f>
        <v>153.16666666666666</v>
      </c>
      <c r="BD59" s="254">
        <f>BD$58/17</f>
        <v>155.41176470588235</v>
      </c>
      <c r="BE59" s="254">
        <f>BE$58/14</f>
        <v>131.85714285714286</v>
      </c>
      <c r="BF59" s="254">
        <f t="shared" ref="BF59" si="14">BF$58/23.5</f>
        <v>0</v>
      </c>
      <c r="BG59" s="324"/>
      <c r="BH59" s="252">
        <f>BH$58/23.5</f>
        <v>4.5319148936170217</v>
      </c>
      <c r="BI59" s="252">
        <f>BI$58/12</f>
        <v>7.166666666666667</v>
      </c>
      <c r="BJ59" s="252">
        <f>BJ$58/24</f>
        <v>18.333333333333332</v>
      </c>
      <c r="BK59" s="1942">
        <f>BK$58/24</f>
        <v>10.583333333333334</v>
      </c>
      <c r="BL59" s="1932">
        <f>BL$58/8</f>
        <v>25.25</v>
      </c>
      <c r="BM59" s="252">
        <f t="shared" ref="BM59:BQ59" si="15">BM$58/24</f>
        <v>6.666666666666667</v>
      </c>
      <c r="BN59" s="252">
        <f t="shared" si="15"/>
        <v>9.5833333333333339</v>
      </c>
      <c r="BO59" s="252">
        <f t="shared" si="15"/>
        <v>8</v>
      </c>
      <c r="BP59" s="252">
        <f t="shared" si="15"/>
        <v>6.833333333333333</v>
      </c>
      <c r="BQ59" s="1942">
        <f t="shared" si="15"/>
        <v>7.5</v>
      </c>
      <c r="BR59" s="1932">
        <f>BR$58/24</f>
        <v>8.75</v>
      </c>
      <c r="BS59" s="252">
        <f>BS$58/24</f>
        <v>8.8333333333333339</v>
      </c>
      <c r="BT59" s="252">
        <f>BT$58/24</f>
        <v>10.333333333333334</v>
      </c>
      <c r="BU59" s="252">
        <f>BU$58/24</f>
        <v>9.3333333333333339</v>
      </c>
      <c r="BV59" s="252">
        <f>BV$58/(21-4)</f>
        <v>8.8235294117647065</v>
      </c>
      <c r="BW59" s="252">
        <f>BW$58/12</f>
        <v>12.166666666666666</v>
      </c>
      <c r="BX59" s="252">
        <f t="shared" ref="BX59" si="16">BX$58/23.5</f>
        <v>0</v>
      </c>
      <c r="BY59" s="324"/>
      <c r="BZ59" s="328"/>
      <c r="CA59" s="254">
        <f>CA$58/23.5</f>
        <v>21.46382978723404</v>
      </c>
      <c r="CB59" s="254">
        <f>CB$58/12</f>
        <v>19</v>
      </c>
      <c r="CC59" s="254">
        <f>CC$58/24</f>
        <v>16.324999999999999</v>
      </c>
      <c r="CD59" s="1941">
        <f>CD$58/23.25</f>
        <v>18.868817204301074</v>
      </c>
      <c r="CE59" s="1943">
        <f>CE$58/18</f>
        <v>16.366666666666667</v>
      </c>
      <c r="CF59" s="254">
        <f t="shared" ref="CF59:CK59" si="17">CF$58/24</f>
        <v>12.791666666666666</v>
      </c>
      <c r="CG59" s="254">
        <f t="shared" si="17"/>
        <v>13.112499999999999</v>
      </c>
      <c r="CH59" s="254">
        <f t="shared" si="17"/>
        <v>12.620833333333332</v>
      </c>
      <c r="CI59" s="254">
        <f t="shared" si="17"/>
        <v>13.875</v>
      </c>
      <c r="CJ59" s="1941">
        <f t="shared" si="17"/>
        <v>13.6875</v>
      </c>
      <c r="CK59" s="1940">
        <f t="shared" si="17"/>
        <v>13.65</v>
      </c>
      <c r="CL59" s="254">
        <f>CL$58/24</f>
        <v>13.879166666666668</v>
      </c>
      <c r="CM59" s="254">
        <f>CM$58/24</f>
        <v>13.5375</v>
      </c>
      <c r="CN59" s="254">
        <f>CN$58/24</f>
        <v>14.216666666666667</v>
      </c>
      <c r="CO59" s="254">
        <f>CO$58/24</f>
        <v>14.166666666666666</v>
      </c>
      <c r="CP59" s="254">
        <f>CP$58/14</f>
        <v>13.535714285714286</v>
      </c>
      <c r="CQ59" s="254"/>
      <c r="CR59" s="329" t="s">
        <v>207</v>
      </c>
      <c r="CS59" s="254">
        <f>CS$58/23.5</f>
        <v>4.9000000000000004</v>
      </c>
      <c r="CT59" s="254">
        <f>CT$58/20</f>
        <v>18.059999999999999</v>
      </c>
      <c r="CU59" s="254">
        <f>CU$58/24</f>
        <v>28.75</v>
      </c>
      <c r="CV59" s="1941">
        <f>CV$58/23.25</f>
        <v>1.5913978494623655</v>
      </c>
      <c r="CW59" s="1943">
        <f>CW$58/8</f>
        <v>36.75</v>
      </c>
      <c r="CX59" s="254">
        <f t="shared" ref="CX59:DD59" si="18">CX$58/24</f>
        <v>37.166666666666664</v>
      </c>
      <c r="CY59" s="254">
        <f t="shared" si="18"/>
        <v>36.329166666666666</v>
      </c>
      <c r="CZ59" s="254">
        <f t="shared" si="18"/>
        <v>31.45</v>
      </c>
      <c r="DA59" s="254">
        <f t="shared" si="18"/>
        <v>18.691666666666666</v>
      </c>
      <c r="DB59" s="1941">
        <f t="shared" si="18"/>
        <v>7.9166666666666663E-2</v>
      </c>
      <c r="DC59" s="1940">
        <f t="shared" si="18"/>
        <v>25.041666666666668</v>
      </c>
      <c r="DD59" s="254">
        <f t="shared" si="18"/>
        <v>44.245833333333337</v>
      </c>
      <c r="DE59" s="254">
        <f>DE$58/24</f>
        <v>47.270833333333336</v>
      </c>
      <c r="DF59" s="254">
        <f>DF$58/24</f>
        <v>34.12083333333333</v>
      </c>
      <c r="DG59" s="254">
        <f>DG$58/17</f>
        <v>14.258823529411766</v>
      </c>
      <c r="DH59" s="254">
        <f>DH$58/14</f>
        <v>34.907142857142858</v>
      </c>
    </row>
    <row r="60" spans="3:114" x14ac:dyDescent="0.35">
      <c r="C60" s="1" t="s">
        <v>366</v>
      </c>
      <c r="F60" s="1932"/>
      <c r="G60" s="252"/>
      <c r="H60" s="252"/>
      <c r="I60" s="1935"/>
      <c r="J60" s="1932"/>
      <c r="K60" s="252"/>
      <c r="L60" s="252"/>
      <c r="M60" s="252"/>
      <c r="N60" s="1934"/>
      <c r="O60" s="1935"/>
      <c r="P60" s="1932"/>
      <c r="Q60" s="252"/>
      <c r="R60" s="252"/>
      <c r="S60" s="1934"/>
      <c r="T60" s="1934"/>
      <c r="U60" s="1934"/>
      <c r="V60" s="253"/>
      <c r="W60" s="1936"/>
      <c r="X60" s="1937"/>
      <c r="Y60" s="253"/>
      <c r="Z60" s="253"/>
      <c r="AA60" s="1938"/>
      <c r="AB60" s="1937"/>
      <c r="AC60" s="253"/>
      <c r="AD60" s="253"/>
      <c r="AE60" s="253"/>
      <c r="AF60" s="253"/>
      <c r="AG60" s="1938"/>
      <c r="AH60" s="1937"/>
      <c r="AI60" s="253"/>
      <c r="AJ60" s="253"/>
      <c r="AK60" s="253"/>
      <c r="AL60" s="253"/>
      <c r="AM60" s="253"/>
      <c r="AN60" s="253"/>
      <c r="AO60" s="327"/>
      <c r="AP60" s="254"/>
      <c r="AQ60" s="254"/>
      <c r="AR60" s="254"/>
      <c r="AS60" s="1941"/>
      <c r="AT60" s="1940"/>
      <c r="AU60" s="254"/>
      <c r="AV60" s="254"/>
      <c r="AW60" s="255"/>
      <c r="AX60" s="255"/>
      <c r="AY60" s="1944"/>
      <c r="AZ60" s="1945"/>
      <c r="BA60" s="255"/>
      <c r="BB60" s="255"/>
      <c r="BC60" s="255"/>
      <c r="BD60" s="255"/>
      <c r="BE60" s="255"/>
      <c r="BF60" s="255"/>
      <c r="BG60" s="324"/>
      <c r="BH60" s="320"/>
      <c r="BI60" s="252"/>
      <c r="BJ60" s="252"/>
      <c r="BK60" s="1942"/>
      <c r="BL60" s="1932"/>
      <c r="BM60" s="252"/>
      <c r="BN60" s="252"/>
      <c r="BO60" s="252"/>
      <c r="BP60" s="252"/>
      <c r="BQ60" s="1942"/>
      <c r="BR60" s="1932"/>
      <c r="BS60" s="252"/>
      <c r="BT60" s="252"/>
      <c r="BU60" s="252"/>
      <c r="BV60" s="252"/>
      <c r="BW60" s="252"/>
      <c r="BX60" s="239"/>
      <c r="BY60" s="324"/>
      <c r="BZ60" s="328"/>
      <c r="CA60" s="254"/>
      <c r="CB60" s="254"/>
      <c r="CC60" s="254"/>
      <c r="CD60" s="1941"/>
      <c r="CE60" s="1940"/>
      <c r="CF60" s="254"/>
      <c r="CG60" s="254"/>
      <c r="CH60" s="254"/>
      <c r="CI60" s="254"/>
      <c r="CJ60" s="1941"/>
      <c r="CK60" s="1940"/>
      <c r="CL60" s="254"/>
      <c r="CM60" s="254"/>
      <c r="CN60" s="254"/>
      <c r="CO60" s="254"/>
      <c r="CP60" s="254"/>
      <c r="CQ60" s="254"/>
      <c r="CR60" s="329"/>
      <c r="CS60" s="254"/>
      <c r="CT60" s="254"/>
      <c r="CU60" s="254"/>
      <c r="CV60" s="1941"/>
      <c r="CW60" s="1940"/>
      <c r="CX60" s="254"/>
      <c r="CY60" s="254"/>
      <c r="CZ60" s="254"/>
      <c r="DA60" s="245"/>
      <c r="DB60" s="1946"/>
      <c r="DC60" s="1947"/>
      <c r="DD60" s="245"/>
      <c r="DE60" s="245"/>
      <c r="DF60" s="239"/>
      <c r="DG60" s="239"/>
      <c r="DH60" s="239"/>
    </row>
    <row r="61" spans="3:114" x14ac:dyDescent="0.35">
      <c r="C61" s="1" t="s">
        <v>622</v>
      </c>
      <c r="F61" s="252">
        <f>BH$59*100/(BH$59+AP$59)</f>
        <v>1.453428863868987</v>
      </c>
      <c r="G61" s="252">
        <f t="shared" ref="G61:U61" si="19">BI$59*100/(BI$59+AQ$59)</f>
        <v>2.4116657319125072</v>
      </c>
      <c r="H61" s="252">
        <f t="shared" si="19"/>
        <v>6.0539350577875624</v>
      </c>
      <c r="I61" s="1948">
        <f t="shared" si="19"/>
        <v>3.5926449787835932</v>
      </c>
      <c r="J61" s="1949">
        <f t="shared" si="19"/>
        <v>15.805946791862285</v>
      </c>
      <c r="K61" s="252">
        <f t="shared" si="19"/>
        <v>4.2643923240938175</v>
      </c>
      <c r="L61" s="252">
        <f t="shared" si="19"/>
        <v>5.4579971523493116</v>
      </c>
      <c r="M61" s="252">
        <f t="shared" si="19"/>
        <v>4.9230769230769234</v>
      </c>
      <c r="N61" s="1934">
        <f t="shared" si="19"/>
        <v>4.1815400305966337</v>
      </c>
      <c r="O61" s="1948">
        <f t="shared" si="19"/>
        <v>4.6224961479198772</v>
      </c>
      <c r="P61" s="1949">
        <f t="shared" si="19"/>
        <v>5.4067971163748707</v>
      </c>
      <c r="Q61" s="252">
        <f t="shared" si="19"/>
        <v>5.4837040869115361</v>
      </c>
      <c r="R61" s="252">
        <f t="shared" si="19"/>
        <v>5.9874456784162247</v>
      </c>
      <c r="S61" s="1934">
        <f t="shared" si="19"/>
        <v>5.7435897435897436</v>
      </c>
      <c r="T61" s="1934">
        <f t="shared" si="19"/>
        <v>5.3724928366762184</v>
      </c>
      <c r="U61" s="1934">
        <f t="shared" si="19"/>
        <v>8.4476773020333926</v>
      </c>
      <c r="V61" s="253"/>
      <c r="W61" s="1936"/>
      <c r="X61" s="1937"/>
      <c r="Y61" s="253"/>
      <c r="Z61" s="253"/>
      <c r="AA61" s="1938"/>
      <c r="AB61" s="1937"/>
      <c r="AC61" s="253"/>
      <c r="AD61" s="253"/>
      <c r="AE61" s="253"/>
      <c r="AF61" s="253"/>
      <c r="AG61" s="1938"/>
      <c r="AH61" s="1937"/>
      <c r="AI61" s="253"/>
      <c r="AJ61" s="253"/>
      <c r="AK61" s="253"/>
      <c r="AL61" s="253"/>
      <c r="AM61" s="253"/>
      <c r="AN61" s="253"/>
      <c r="AO61" s="327"/>
      <c r="AP61" s="254"/>
      <c r="AQ61" s="254"/>
      <c r="AR61" s="254"/>
      <c r="AS61" s="1941"/>
      <c r="AT61" s="1940"/>
      <c r="AU61" s="254"/>
      <c r="AV61" s="254"/>
      <c r="AW61" s="255"/>
      <c r="AX61" s="255"/>
      <c r="AY61" s="1944"/>
      <c r="AZ61" s="1945"/>
      <c r="BA61" s="255"/>
      <c r="BB61" s="255"/>
      <c r="BC61" s="255"/>
      <c r="BD61" s="255"/>
      <c r="BE61" s="255"/>
      <c r="BF61" s="255"/>
      <c r="BG61" s="324"/>
      <c r="BH61" s="320"/>
      <c r="BI61" s="252"/>
      <c r="BJ61" s="252"/>
      <c r="BK61" s="1942"/>
      <c r="BL61" s="1932"/>
      <c r="BM61" s="252"/>
      <c r="BN61" s="252"/>
      <c r="BO61" s="252"/>
      <c r="BP61" s="252"/>
      <c r="BQ61" s="1942"/>
      <c r="BR61" s="1932"/>
      <c r="BS61" s="651"/>
      <c r="BT61" s="252"/>
      <c r="BU61" s="252"/>
      <c r="BV61" s="252"/>
      <c r="BW61" s="252"/>
      <c r="BX61" s="239"/>
      <c r="BY61" s="324"/>
      <c r="BZ61" s="328"/>
      <c r="CA61" s="254"/>
      <c r="CB61" s="254"/>
      <c r="CC61" s="254"/>
      <c r="CD61" s="1941"/>
      <c r="CE61" s="1940"/>
      <c r="CF61" s="254"/>
      <c r="CG61" s="254"/>
      <c r="CH61" s="254"/>
      <c r="CI61" s="254"/>
      <c r="CJ61" s="1941"/>
      <c r="CK61" s="1940"/>
      <c r="CL61" s="254"/>
      <c r="CM61" s="254"/>
      <c r="CN61" s="254"/>
      <c r="CO61" s="254"/>
      <c r="CP61" s="254"/>
      <c r="CQ61" s="254"/>
      <c r="CR61" s="329"/>
      <c r="CS61" s="254"/>
      <c r="CT61" s="254"/>
      <c r="CU61" s="254"/>
      <c r="CV61" s="1941"/>
      <c r="CW61" s="1940"/>
      <c r="CX61" s="254"/>
      <c r="CY61" s="254"/>
      <c r="CZ61" s="254"/>
      <c r="DA61" s="245"/>
      <c r="DB61" s="1946"/>
      <c r="DC61" s="1947"/>
      <c r="DD61" s="245"/>
      <c r="DE61" s="245"/>
      <c r="DF61" s="239"/>
      <c r="DG61" s="239"/>
      <c r="DH61" s="239"/>
    </row>
    <row r="62" spans="3:114" x14ac:dyDescent="0.35">
      <c r="C62" s="1" t="s">
        <v>367</v>
      </c>
      <c r="F62" s="1950">
        <v>1.0489999999999999</v>
      </c>
      <c r="G62" s="252">
        <v>1.0489999999999999</v>
      </c>
      <c r="H62" s="252">
        <v>1.0489999999999999</v>
      </c>
      <c r="I62" s="1935">
        <v>1.0489999999999999</v>
      </c>
      <c r="J62" s="1932">
        <v>1.0649999999999999</v>
      </c>
      <c r="K62" s="252">
        <v>1.0649999999999999</v>
      </c>
      <c r="L62" s="252">
        <v>1.0649999999999999</v>
      </c>
      <c r="M62" s="252">
        <v>1.0649999999999999</v>
      </c>
      <c r="N62" s="1934">
        <v>1.0649999999999999</v>
      </c>
      <c r="O62" s="1935">
        <v>1.0649999999999999</v>
      </c>
      <c r="P62" s="1932">
        <f>1.061</f>
        <v>1.0609999999999999</v>
      </c>
      <c r="Q62" s="252">
        <f>1.061</f>
        <v>1.0609999999999999</v>
      </c>
      <c r="R62" s="252">
        <f t="shared" ref="R62:U62" si="20">1.061</f>
        <v>1.0609999999999999</v>
      </c>
      <c r="S62" s="1934">
        <f t="shared" si="20"/>
        <v>1.0609999999999999</v>
      </c>
      <c r="T62" s="1934">
        <f t="shared" si="20"/>
        <v>1.0609999999999999</v>
      </c>
      <c r="U62" s="1934">
        <f t="shared" si="20"/>
        <v>1.0609999999999999</v>
      </c>
      <c r="V62" s="253"/>
      <c r="W62" s="1936"/>
      <c r="X62" s="1937"/>
      <c r="Y62" s="253"/>
      <c r="Z62" s="253"/>
      <c r="AA62" s="1938"/>
      <c r="AB62" s="1937"/>
      <c r="AC62" s="253"/>
      <c r="AD62" s="253"/>
      <c r="AE62" s="253"/>
      <c r="AF62" s="253"/>
      <c r="AG62" s="1938"/>
      <c r="AH62" s="1937"/>
      <c r="AI62" s="253"/>
      <c r="AJ62" s="253"/>
      <c r="AK62" s="253"/>
      <c r="AL62" s="253"/>
      <c r="AM62" s="253"/>
      <c r="AN62" s="253"/>
      <c r="AO62" s="327"/>
      <c r="AP62" s="254"/>
      <c r="AQ62" s="254"/>
      <c r="AR62" s="254"/>
      <c r="AS62" s="1941"/>
      <c r="AT62" s="1940"/>
      <c r="AU62" s="254">
        <f>AVERAGE(AU59:AY59)</f>
        <v>156.30000000000001</v>
      </c>
      <c r="AV62" s="254"/>
      <c r="AW62" s="255"/>
      <c r="AX62" s="255"/>
      <c r="AY62" s="1944"/>
      <c r="AZ62" s="1945"/>
      <c r="BA62" s="254">
        <f>AVERAGE(AZ59:BD59)</f>
        <v>155.23235294117646</v>
      </c>
      <c r="BB62" s="255"/>
      <c r="BC62" s="255"/>
      <c r="BD62" s="255"/>
      <c r="BE62" s="255"/>
      <c r="BF62" s="255"/>
      <c r="BG62" s="324"/>
      <c r="BH62" s="320"/>
      <c r="BI62" s="252"/>
      <c r="BJ62" s="252"/>
      <c r="BK62" s="1942"/>
      <c r="BL62" s="1932"/>
      <c r="BM62" s="252">
        <f>AVERAGE(BM59:BQ59)</f>
        <v>7.7166666666666659</v>
      </c>
      <c r="BN62" s="500"/>
      <c r="BO62" s="252"/>
      <c r="BP62" s="252"/>
      <c r="BQ62" s="1942"/>
      <c r="BS62" s="1932">
        <f>AVERAGE(BR59:BV59)</f>
        <v>9.2147058823529413</v>
      </c>
      <c r="BT62" s="252"/>
      <c r="BU62" s="252"/>
      <c r="BV62" s="252"/>
      <c r="BW62" s="252"/>
      <c r="BX62" s="239"/>
      <c r="BY62" s="324"/>
      <c r="BZ62" s="328"/>
      <c r="CA62" s="254"/>
      <c r="CB62" s="254"/>
      <c r="CC62" s="254"/>
      <c r="CD62" s="1941"/>
      <c r="CE62" s="1940"/>
      <c r="CF62" s="254"/>
      <c r="CG62" s="254"/>
      <c r="CH62" s="254"/>
      <c r="CI62" s="254"/>
      <c r="CJ62" s="1941"/>
      <c r="CK62" s="1940"/>
      <c r="CL62" s="254"/>
      <c r="CM62" s="254"/>
      <c r="CN62" s="254"/>
      <c r="CO62" s="254"/>
      <c r="CP62" s="254"/>
      <c r="CQ62" s="254"/>
      <c r="CR62" s="329"/>
      <c r="CS62" s="254"/>
      <c r="CT62" s="254"/>
      <c r="CU62" s="254"/>
      <c r="CV62" s="1941"/>
      <c r="CW62" s="1940"/>
      <c r="CX62" s="254"/>
      <c r="CY62" s="254"/>
      <c r="CZ62" s="254"/>
      <c r="DA62" s="245"/>
      <c r="DB62" s="1946"/>
      <c r="DC62" s="1947"/>
      <c r="DD62" s="245"/>
      <c r="DE62" s="245"/>
      <c r="DF62" s="239"/>
      <c r="DG62" s="239"/>
      <c r="DH62" s="239"/>
    </row>
    <row r="63" spans="3:114" s="182" customFormat="1" x14ac:dyDescent="0.35">
      <c r="C63" s="164" t="s">
        <v>323</v>
      </c>
      <c r="D63" s="164"/>
      <c r="E63" s="164"/>
      <c r="F63" s="1951">
        <f>F$59/F$62</f>
        <v>323.71255298866197</v>
      </c>
      <c r="G63" s="256">
        <f t="shared" ref="G63:U63" si="21">G$59/G$62</f>
        <v>313.15538608198284</v>
      </c>
      <c r="H63" s="464">
        <f t="shared" si="21"/>
        <v>307.82694088933061</v>
      </c>
      <c r="I63" s="1952">
        <f t="shared" si="21"/>
        <v>308.0455528562789</v>
      </c>
      <c r="J63" s="1951">
        <f t="shared" si="21"/>
        <v>151.13014084507046</v>
      </c>
      <c r="K63" s="464">
        <f t="shared" si="21"/>
        <v>169.2590324556032</v>
      </c>
      <c r="L63" s="256">
        <f t="shared" si="21"/>
        <v>184.40498060828742</v>
      </c>
      <c r="M63" s="256">
        <f t="shared" si="21"/>
        <v>171.13696672790368</v>
      </c>
      <c r="N63" s="1953">
        <f t="shared" si="21"/>
        <v>169.99387630128598</v>
      </c>
      <c r="O63" s="1954">
        <f>O$59/O$62</f>
        <v>172.28005715452133</v>
      </c>
      <c r="P63" s="1955">
        <f>P$59/P$62</f>
        <v>174.36380772855799</v>
      </c>
      <c r="Q63" s="464">
        <f t="shared" si="21"/>
        <v>175.22435766094335</v>
      </c>
      <c r="R63" s="464">
        <f t="shared" si="21"/>
        <v>183.95279268942343</v>
      </c>
      <c r="S63" s="1953">
        <f t="shared" si="21"/>
        <v>175.79805761586692</v>
      </c>
      <c r="T63" s="1956">
        <f t="shared" si="21"/>
        <v>170.47596606974554</v>
      </c>
      <c r="U63" s="1956">
        <f t="shared" si="21"/>
        <v>174.14630609729574</v>
      </c>
      <c r="V63" s="257"/>
      <c r="W63" s="1957"/>
      <c r="X63" s="1958"/>
      <c r="Y63" s="257"/>
      <c r="Z63" s="257"/>
      <c r="AA63" s="1959"/>
      <c r="AB63" s="1958"/>
      <c r="AC63" s="257"/>
      <c r="AD63" s="257"/>
      <c r="AE63" s="257"/>
      <c r="AF63" s="257"/>
      <c r="AG63" s="1959"/>
      <c r="AH63" s="1958"/>
      <c r="AI63" s="257"/>
      <c r="AJ63" s="257"/>
      <c r="AK63" s="257"/>
      <c r="AL63" s="257"/>
      <c r="AM63" s="257"/>
      <c r="AN63" s="257"/>
      <c r="AO63" s="330"/>
      <c r="AP63" s="258"/>
      <c r="AQ63" s="259"/>
      <c r="AR63" s="259"/>
      <c r="AS63" s="1960"/>
      <c r="AT63" s="1961"/>
      <c r="AU63" s="259"/>
      <c r="AV63" s="259"/>
      <c r="AW63" s="260"/>
      <c r="AX63" s="260"/>
      <c r="AY63" s="1962"/>
      <c r="AZ63" s="1963"/>
      <c r="BA63" s="260"/>
      <c r="BB63" s="260"/>
      <c r="BC63" s="260"/>
      <c r="BD63" s="260"/>
      <c r="BE63" s="260"/>
      <c r="BF63" s="260"/>
      <c r="BG63" s="330"/>
      <c r="BH63" s="321"/>
      <c r="BI63" s="261"/>
      <c r="BJ63" s="262"/>
      <c r="BK63" s="1964"/>
      <c r="BL63" s="1965"/>
      <c r="BM63" s="1966">
        <f>100*BM62/(BM62+AU62)</f>
        <v>4.7048064221115737</v>
      </c>
      <c r="BN63" s="602" t="s">
        <v>586</v>
      </c>
      <c r="BO63" s="263"/>
      <c r="BP63" s="263"/>
      <c r="BQ63" s="1967"/>
      <c r="BR63" s="1968"/>
      <c r="BS63" s="256">
        <f>100*BS62/(BS62+BA62)</f>
        <v>5.6034482758620694</v>
      </c>
      <c r="BT63" s="256" t="s">
        <v>587</v>
      </c>
      <c r="BU63" s="263"/>
      <c r="BV63" s="263"/>
      <c r="BW63" s="263"/>
      <c r="BX63" s="230"/>
      <c r="BY63" s="331"/>
      <c r="BZ63" s="332"/>
      <c r="CA63" s="258"/>
      <c r="CB63" s="258"/>
      <c r="CC63" s="258"/>
      <c r="CD63" s="1969"/>
      <c r="CE63" s="1970"/>
      <c r="CF63" s="258"/>
      <c r="CG63" s="258"/>
      <c r="CH63" s="258"/>
      <c r="CI63" s="258"/>
      <c r="CJ63" s="1969"/>
      <c r="CK63" s="1970"/>
      <c r="CL63" s="258"/>
      <c r="CM63" s="258"/>
      <c r="CN63" s="258"/>
      <c r="CO63" s="258"/>
      <c r="CP63" s="258"/>
      <c r="CQ63" s="258"/>
      <c r="CR63" s="333"/>
      <c r="CS63" s="246"/>
      <c r="CT63" s="246"/>
      <c r="CU63" s="246"/>
      <c r="CV63" s="1971"/>
      <c r="CW63" s="1972"/>
      <c r="CX63" s="246"/>
      <c r="CY63" s="246"/>
      <c r="CZ63" s="246"/>
      <c r="DA63" s="246"/>
      <c r="DB63" s="1971"/>
      <c r="DC63" s="1972"/>
      <c r="DD63" s="246"/>
      <c r="DE63" s="246"/>
      <c r="DF63" s="230"/>
      <c r="DG63" s="230"/>
      <c r="DH63" s="230"/>
      <c r="DI63" s="230"/>
    </row>
    <row r="64" spans="3:114" s="182" customFormat="1" x14ac:dyDescent="0.35">
      <c r="C64" s="164" t="s">
        <v>425</v>
      </c>
      <c r="D64" s="164"/>
      <c r="E64" s="164"/>
      <c r="F64" s="1940">
        <f>F$63/(3*186)</f>
        <v>0.580130023277172</v>
      </c>
      <c r="G64" s="254">
        <f>G$63/(3*186)</f>
        <v>0.56121036932254986</v>
      </c>
      <c r="H64" s="254">
        <f t="shared" ref="H64:U64" si="22">H$63/(3*186)</f>
        <v>0.55166118438948142</v>
      </c>
      <c r="I64" s="1973">
        <f t="shared" si="22"/>
        <v>0.55205296210802668</v>
      </c>
      <c r="J64" s="1940">
        <f t="shared" si="22"/>
        <v>0.27084254631733057</v>
      </c>
      <c r="K64" s="254">
        <f t="shared" si="22"/>
        <v>0.30333159938280146</v>
      </c>
      <c r="L64" s="254">
        <f t="shared" si="22"/>
        <v>0.33047487564209216</v>
      </c>
      <c r="M64" s="254">
        <f t="shared" si="22"/>
        <v>0.30669707298907473</v>
      </c>
      <c r="N64" s="914">
        <f t="shared" si="22"/>
        <v>0.30464852383743007</v>
      </c>
      <c r="O64" s="1973">
        <f t="shared" si="22"/>
        <v>0.30874562214071921</v>
      </c>
      <c r="P64" s="1940">
        <f t="shared" si="22"/>
        <v>0.31247994216587455</v>
      </c>
      <c r="Q64" s="254">
        <f t="shared" si="22"/>
        <v>0.31402214634577663</v>
      </c>
      <c r="R64" s="254">
        <f>R63/(3*186)</f>
        <v>0.32966450302764055</v>
      </c>
      <c r="S64" s="914">
        <f>S$63/(3*186)</f>
        <v>0.31505028246571132</v>
      </c>
      <c r="T64" s="914">
        <f t="shared" si="22"/>
        <v>0.30551248399595976</v>
      </c>
      <c r="U64" s="914">
        <f t="shared" si="22"/>
        <v>0.31209015429622894</v>
      </c>
      <c r="V64" s="264"/>
      <c r="W64" s="1974"/>
      <c r="X64" s="1975"/>
      <c r="Y64" s="264"/>
      <c r="Z64" s="264"/>
      <c r="AA64" s="1976"/>
      <c r="AB64" s="1975"/>
      <c r="AC64" s="264"/>
      <c r="AD64" s="264"/>
      <c r="AE64" s="264"/>
      <c r="AF64" s="264"/>
      <c r="AG64" s="1976"/>
      <c r="AH64" s="1975"/>
      <c r="AI64" s="264"/>
      <c r="AJ64" s="264"/>
      <c r="AK64" s="264"/>
      <c r="AL64" s="264"/>
      <c r="AM64" s="264"/>
      <c r="AN64" s="264"/>
      <c r="AO64" s="334"/>
      <c r="AP64" s="264"/>
      <c r="AQ64" s="230"/>
      <c r="AR64" s="230"/>
      <c r="AS64" s="1977"/>
      <c r="AT64" s="1978"/>
      <c r="AU64" s="230"/>
      <c r="AV64" s="230"/>
      <c r="AW64" s="230"/>
      <c r="AX64" s="230"/>
      <c r="AY64" s="1977"/>
      <c r="AZ64" s="1978"/>
      <c r="BA64" s="230"/>
      <c r="BB64" s="230"/>
      <c r="BC64" s="230"/>
      <c r="BD64" s="230"/>
      <c r="BE64" s="230"/>
      <c r="BF64" s="230"/>
      <c r="BG64" s="331"/>
      <c r="BH64" s="230"/>
      <c r="BI64" s="265"/>
      <c r="BJ64" s="265"/>
      <c r="BK64" s="1979"/>
      <c r="BL64" s="1980"/>
      <c r="BM64" s="265"/>
      <c r="BN64" s="262"/>
      <c r="BO64" s="230"/>
      <c r="BP64" s="230"/>
      <c r="BQ64" s="1977"/>
      <c r="BR64" s="1978"/>
      <c r="BS64" s="230"/>
      <c r="BT64" s="230"/>
      <c r="BU64" s="230"/>
      <c r="BV64" s="230"/>
      <c r="BW64" s="230"/>
      <c r="BX64" s="230"/>
      <c r="BY64" s="331"/>
      <c r="BZ64" s="332"/>
      <c r="CA64" s="230"/>
      <c r="CB64" s="230"/>
      <c r="CC64" s="230"/>
      <c r="CD64" s="1977"/>
      <c r="CE64" s="1978"/>
      <c r="CF64" s="230"/>
      <c r="CG64" s="230"/>
      <c r="CH64" s="230"/>
      <c r="CI64" s="230"/>
      <c r="CJ64" s="1977"/>
      <c r="CK64" s="1978"/>
      <c r="CL64" s="230"/>
      <c r="CM64" s="230"/>
      <c r="CN64" s="230"/>
      <c r="CO64" s="230"/>
      <c r="CP64" s="230"/>
      <c r="CQ64" s="230"/>
      <c r="CR64" s="331"/>
      <c r="CS64" s="230"/>
      <c r="CT64" s="230"/>
      <c r="CU64" s="230"/>
      <c r="CV64" s="1977"/>
      <c r="CW64" s="1978"/>
      <c r="CX64" s="230"/>
      <c r="CY64" s="230"/>
      <c r="CZ64" s="230"/>
      <c r="DA64" s="230"/>
      <c r="DB64" s="1977"/>
      <c r="DC64" s="1978"/>
      <c r="DD64" s="230"/>
      <c r="DE64" s="230"/>
      <c r="DF64" s="230"/>
      <c r="DG64" s="230"/>
      <c r="DH64" s="230"/>
      <c r="DI64" s="230"/>
    </row>
    <row r="65" spans="3:114" s="182" customFormat="1" x14ac:dyDescent="0.35">
      <c r="C65" s="417" t="s">
        <v>426</v>
      </c>
      <c r="D65" s="164"/>
      <c r="E65" s="164"/>
      <c r="F65" s="566">
        <v>0.55000000000000004</v>
      </c>
      <c r="G65" s="254">
        <v>0.55000000000000004</v>
      </c>
      <c r="H65" s="254">
        <v>0.55000000000000004</v>
      </c>
      <c r="I65" s="1981">
        <v>0.55000000000000004</v>
      </c>
      <c r="J65" s="1940">
        <v>0.31</v>
      </c>
      <c r="K65" s="254">
        <v>0.31</v>
      </c>
      <c r="L65" s="254">
        <v>0.31</v>
      </c>
      <c r="M65" s="254">
        <v>0.31</v>
      </c>
      <c r="N65" s="914">
        <v>0.31</v>
      </c>
      <c r="O65" s="1973">
        <v>0.31</v>
      </c>
      <c r="P65" s="1940">
        <v>0.31</v>
      </c>
      <c r="Q65" s="254">
        <v>0.31</v>
      </c>
      <c r="R65" s="254">
        <v>0.31</v>
      </c>
      <c r="S65" s="914">
        <v>0.31</v>
      </c>
      <c r="T65" s="914">
        <v>0.31</v>
      </c>
      <c r="U65" s="914">
        <v>0.31</v>
      </c>
      <c r="V65" s="264"/>
      <c r="W65" s="1974"/>
      <c r="X65" s="1975"/>
      <c r="Y65" s="264"/>
      <c r="Z65" s="264"/>
      <c r="AA65" s="1976"/>
      <c r="AB65" s="1975"/>
      <c r="AC65" s="264"/>
      <c r="AD65" s="264"/>
      <c r="AE65" s="264"/>
      <c r="AF65" s="264"/>
      <c r="AG65" s="1976"/>
      <c r="AH65" s="1975"/>
      <c r="AI65" s="264"/>
      <c r="AJ65" s="264"/>
      <c r="AK65" s="264"/>
      <c r="AL65" s="264"/>
      <c r="AM65" s="264"/>
      <c r="AN65" s="264"/>
      <c r="AO65" s="334"/>
      <c r="AP65" s="264"/>
      <c r="AQ65" s="230"/>
      <c r="AR65" s="230"/>
      <c r="AS65" s="1977"/>
      <c r="AT65" s="1978"/>
      <c r="AU65" s="230"/>
      <c r="AV65" s="230"/>
      <c r="AW65" s="230"/>
      <c r="AX65" s="230"/>
      <c r="AY65" s="1977"/>
      <c r="AZ65" s="1978"/>
      <c r="BA65" s="230"/>
      <c r="BB65" s="230"/>
      <c r="BC65" s="230"/>
      <c r="BD65" s="230"/>
      <c r="BE65" s="230"/>
      <c r="BF65" s="230"/>
      <c r="BG65" s="331"/>
      <c r="BH65" s="230"/>
      <c r="BI65" s="265"/>
      <c r="BJ65" s="265"/>
      <c r="BK65" s="1979"/>
      <c r="BL65" s="1980"/>
      <c r="BM65" s="265"/>
      <c r="BN65" s="262"/>
      <c r="BO65" s="230"/>
      <c r="BP65" s="230"/>
      <c r="BQ65" s="1977"/>
      <c r="BR65" s="1978"/>
      <c r="BS65" s="230"/>
      <c r="BT65" s="230"/>
      <c r="BU65" s="230"/>
      <c r="BV65" s="230"/>
      <c r="BW65" s="230"/>
      <c r="BX65" s="230"/>
      <c r="BY65" s="331"/>
      <c r="BZ65" s="332"/>
      <c r="CA65" s="230"/>
      <c r="CB65" s="230"/>
      <c r="CC65" s="230"/>
      <c r="CD65" s="1977"/>
      <c r="CE65" s="1978"/>
      <c r="CF65" s="230"/>
      <c r="CG65" s="230"/>
      <c r="CH65" s="230"/>
      <c r="CI65" s="230"/>
      <c r="CJ65" s="1977"/>
      <c r="CK65" s="1978"/>
      <c r="CL65" s="230"/>
      <c r="CM65" s="230"/>
      <c r="CN65" s="230"/>
      <c r="CO65" s="230"/>
      <c r="CP65" s="230"/>
      <c r="CQ65" s="230"/>
      <c r="CR65" s="331"/>
      <c r="CS65" s="230"/>
      <c r="CT65" s="230"/>
      <c r="CU65" s="230"/>
      <c r="CV65" s="1977"/>
      <c r="CW65" s="1978"/>
      <c r="CX65" s="230"/>
      <c r="CY65" s="230"/>
      <c r="CZ65" s="230"/>
      <c r="DA65" s="230"/>
      <c r="DB65" s="1977"/>
      <c r="DC65" s="1978"/>
      <c r="DD65" s="230"/>
      <c r="DE65" s="230"/>
      <c r="DF65" s="230"/>
      <c r="DG65" s="230"/>
      <c r="DH65" s="230"/>
      <c r="DI65" s="230"/>
    </row>
    <row r="66" spans="3:114" s="182" customFormat="1" x14ac:dyDescent="0.35">
      <c r="C66" s="164" t="s">
        <v>424</v>
      </c>
      <c r="D66" s="164"/>
      <c r="E66" s="164"/>
      <c r="F66" s="566">
        <f>F$63/137</f>
        <v>2.3628653502822043</v>
      </c>
      <c r="G66" s="254">
        <f t="shared" ref="G66:U66" si="23">G$63/137</f>
        <v>2.2858057378246923</v>
      </c>
      <c r="H66" s="254">
        <f t="shared" si="23"/>
        <v>2.246911977294384</v>
      </c>
      <c r="I66" s="913">
        <f t="shared" si="23"/>
        <v>2.2485076850823278</v>
      </c>
      <c r="J66" s="566">
        <f t="shared" si="23"/>
        <v>1.1031397141975945</v>
      </c>
      <c r="K66" s="254">
        <f t="shared" si="23"/>
        <v>1.2354673901868847</v>
      </c>
      <c r="L66" s="254">
        <f t="shared" si="23"/>
        <v>1.3460217562648717</v>
      </c>
      <c r="M66" s="254">
        <f t="shared" si="23"/>
        <v>1.2491749396197349</v>
      </c>
      <c r="N66" s="914">
        <f t="shared" si="23"/>
        <v>1.2408312138779998</v>
      </c>
      <c r="O66" s="913">
        <f t="shared" si="23"/>
        <v>1.2575186653614696</v>
      </c>
      <c r="P66" s="566">
        <f t="shared" si="23"/>
        <v>1.2727285235661168</v>
      </c>
      <c r="Q66" s="254">
        <f t="shared" si="23"/>
        <v>1.2790099099338932</v>
      </c>
      <c r="R66" s="254">
        <f t="shared" si="23"/>
        <v>1.3427211145213389</v>
      </c>
      <c r="S66" s="914">
        <f t="shared" si="23"/>
        <v>1.2831975008457439</v>
      </c>
      <c r="T66" s="914">
        <f t="shared" si="23"/>
        <v>1.2443501172974127</v>
      </c>
      <c r="U66" s="913">
        <f t="shared" si="23"/>
        <v>1.2711409204182171</v>
      </c>
      <c r="V66" s="264"/>
      <c r="W66" s="1974"/>
      <c r="X66" s="1975"/>
      <c r="Y66" s="264"/>
      <c r="Z66" s="264"/>
      <c r="AA66" s="1976"/>
      <c r="AB66" s="1975"/>
      <c r="AC66" s="264"/>
      <c r="AD66" s="264"/>
      <c r="AE66" s="264"/>
      <c r="AF66" s="264"/>
      <c r="AG66" s="1976"/>
      <c r="AH66" s="1975"/>
      <c r="AI66" s="264"/>
      <c r="AJ66" s="264"/>
      <c r="AK66" s="264"/>
      <c r="AL66" s="264"/>
      <c r="AM66" s="264"/>
      <c r="AN66" s="264"/>
      <c r="AO66" s="334"/>
      <c r="AP66" s="264"/>
      <c r="AQ66" s="230"/>
      <c r="AR66" s="230"/>
      <c r="AS66" s="1977"/>
      <c r="AT66" s="1978"/>
      <c r="AU66" s="230"/>
      <c r="AV66" s="230"/>
      <c r="AW66" s="230"/>
      <c r="AX66" s="230"/>
      <c r="AY66" s="1977"/>
      <c r="AZ66" s="1978"/>
      <c r="BA66" s="230"/>
      <c r="BB66" s="230"/>
      <c r="BC66" s="230"/>
      <c r="BD66" s="230"/>
      <c r="BE66" s="230"/>
      <c r="BF66" s="230"/>
      <c r="BG66" s="331"/>
      <c r="BH66" s="230"/>
      <c r="BI66" s="265"/>
      <c r="BJ66" s="265"/>
      <c r="BK66" s="1979"/>
      <c r="BL66" s="1980"/>
      <c r="BM66" s="265"/>
      <c r="BN66" s="262"/>
      <c r="BO66" s="230"/>
      <c r="BP66" s="230"/>
      <c r="BQ66" s="1977"/>
      <c r="BR66" s="1978"/>
      <c r="BS66" s="230"/>
      <c r="BT66" s="230"/>
      <c r="BU66" s="230"/>
      <c r="BV66" s="230"/>
      <c r="BW66" s="230"/>
      <c r="BX66" s="230"/>
      <c r="BY66" s="331"/>
      <c r="BZ66" s="332"/>
      <c r="CA66" s="230"/>
      <c r="CB66" s="230"/>
      <c r="CC66" s="230"/>
      <c r="CD66" s="1977"/>
      <c r="CE66" s="1978"/>
      <c r="CF66" s="230"/>
      <c r="CG66" s="230"/>
      <c r="CH66" s="230"/>
      <c r="CI66" s="230"/>
      <c r="CJ66" s="1977"/>
      <c r="CK66" s="1978"/>
      <c r="CL66" s="230"/>
      <c r="CM66" s="230"/>
      <c r="CN66" s="230"/>
      <c r="CO66" s="230"/>
      <c r="CP66" s="230"/>
      <c r="CQ66" s="230"/>
      <c r="CR66" s="331"/>
      <c r="CS66" s="230"/>
      <c r="CT66" s="230"/>
      <c r="CU66" s="230"/>
      <c r="CV66" s="1977"/>
      <c r="CW66" s="1978"/>
      <c r="CX66" s="230"/>
      <c r="CY66" s="230"/>
      <c r="CZ66" s="230"/>
      <c r="DA66" s="230"/>
      <c r="DB66" s="1977"/>
      <c r="DC66" s="1978"/>
      <c r="DD66" s="230"/>
      <c r="DE66" s="230"/>
      <c r="DF66" s="230"/>
      <c r="DG66" s="230"/>
      <c r="DH66" s="230"/>
      <c r="DI66" s="230"/>
    </row>
    <row r="67" spans="3:114" s="182" customFormat="1" x14ac:dyDescent="0.35">
      <c r="C67" s="417" t="s">
        <v>383</v>
      </c>
      <c r="D67" s="164"/>
      <c r="E67" s="164"/>
      <c r="F67" s="1940">
        <v>0.57999999999999996</v>
      </c>
      <c r="G67" s="254">
        <v>0.55000000000000004</v>
      </c>
      <c r="H67" s="254">
        <v>0.54</v>
      </c>
      <c r="I67" s="1973">
        <v>0.54</v>
      </c>
      <c r="J67" s="1940">
        <v>0.31</v>
      </c>
      <c r="K67" s="254">
        <v>0.31</v>
      </c>
      <c r="L67" s="254">
        <v>0.31</v>
      </c>
      <c r="M67" s="254">
        <v>0.31</v>
      </c>
      <c r="N67" s="914">
        <v>0.31</v>
      </c>
      <c r="O67" s="1973">
        <v>0.31</v>
      </c>
      <c r="P67" s="1940">
        <v>0.31</v>
      </c>
      <c r="Q67" s="254">
        <v>0.31</v>
      </c>
      <c r="R67" s="254">
        <v>0.31</v>
      </c>
      <c r="S67" s="914">
        <v>0.31</v>
      </c>
      <c r="T67" s="914">
        <v>0.31</v>
      </c>
      <c r="U67" s="914">
        <v>0.31</v>
      </c>
      <c r="V67" s="264"/>
      <c r="W67" s="1974"/>
      <c r="X67" s="1975"/>
      <c r="Y67" s="264"/>
      <c r="Z67" s="264"/>
      <c r="AA67" s="1976"/>
      <c r="AB67" s="1975"/>
      <c r="AC67" s="264"/>
      <c r="AD67" s="264"/>
      <c r="AE67" s="264"/>
      <c r="AF67" s="264"/>
      <c r="AG67" s="1976"/>
      <c r="AH67" s="1975"/>
      <c r="AI67" s="264"/>
      <c r="AJ67" s="264"/>
      <c r="AK67" s="264"/>
      <c r="AL67" s="264"/>
      <c r="AM67" s="264"/>
      <c r="AN67" s="264"/>
      <c r="AO67" s="334"/>
      <c r="AP67" s="264"/>
      <c r="AQ67" s="230"/>
      <c r="AR67" s="230"/>
      <c r="AS67" s="1977"/>
      <c r="AT67" s="1978"/>
      <c r="AU67" s="230"/>
      <c r="AV67" s="230"/>
      <c r="AW67" s="230"/>
      <c r="AX67" s="230"/>
      <c r="AY67" s="1977"/>
      <c r="AZ67" s="1978"/>
      <c r="BA67" s="230"/>
      <c r="BB67" s="230"/>
      <c r="BC67" s="230"/>
      <c r="BD67" s="230"/>
      <c r="BE67" s="230"/>
      <c r="BF67" s="230"/>
      <c r="BG67" s="331"/>
      <c r="BH67" s="230"/>
      <c r="BI67" s="265"/>
      <c r="BJ67" s="265"/>
      <c r="BK67" s="1979"/>
      <c r="BL67" s="1980"/>
      <c r="BM67" s="265"/>
      <c r="BN67" s="262"/>
      <c r="BO67" s="230"/>
      <c r="BP67" s="230"/>
      <c r="BQ67" s="1977"/>
      <c r="BR67" s="1978"/>
      <c r="BS67" s="230"/>
      <c r="BT67" s="230"/>
      <c r="BU67" s="230"/>
      <c r="BV67" s="230"/>
      <c r="BW67" s="230"/>
      <c r="BX67" s="230"/>
      <c r="BY67" s="331"/>
      <c r="BZ67" s="332"/>
      <c r="CA67" s="230"/>
      <c r="CB67" s="230"/>
      <c r="CC67" s="230"/>
      <c r="CD67" s="1977"/>
      <c r="CE67" s="1978"/>
      <c r="CF67" s="230"/>
      <c r="CG67" s="230"/>
      <c r="CH67" s="230"/>
      <c r="CI67" s="230"/>
      <c r="CJ67" s="1977"/>
      <c r="CK67" s="1978"/>
      <c r="CL67" s="230"/>
      <c r="CM67" s="230"/>
      <c r="CN67" s="230"/>
      <c r="CO67" s="230"/>
      <c r="CP67" s="230"/>
      <c r="CQ67" s="230"/>
      <c r="CR67" s="331"/>
      <c r="CS67" s="230"/>
      <c r="CT67" s="230"/>
      <c r="CU67" s="230"/>
      <c r="CV67" s="1977"/>
      <c r="CW67" s="1978"/>
      <c r="CX67" s="230"/>
      <c r="CY67" s="230"/>
      <c r="CZ67" s="230"/>
      <c r="DA67" s="230"/>
      <c r="DB67" s="1977"/>
      <c r="DC67" s="1978"/>
      <c r="DD67" s="230"/>
      <c r="DE67" s="230"/>
      <c r="DF67" s="230"/>
      <c r="DG67" s="230"/>
      <c r="DH67" s="230"/>
      <c r="DI67" s="230"/>
    </row>
    <row r="68" spans="3:114" s="182" customFormat="1" x14ac:dyDescent="0.35">
      <c r="C68" s="164" t="s">
        <v>358</v>
      </c>
      <c r="D68" s="164"/>
      <c r="E68" s="164"/>
      <c r="F68" s="1940">
        <v>0.38</v>
      </c>
      <c r="G68" s="254">
        <v>0.38</v>
      </c>
      <c r="H68" s="254">
        <v>0.38</v>
      </c>
      <c r="I68" s="1973">
        <v>0.38</v>
      </c>
      <c r="J68" s="1947">
        <v>0.21</v>
      </c>
      <c r="K68" s="245">
        <v>0.21</v>
      </c>
      <c r="L68" s="245">
        <v>0.21</v>
      </c>
      <c r="M68" s="245">
        <v>0.21</v>
      </c>
      <c r="N68" s="1982">
        <v>0.21</v>
      </c>
      <c r="O68" s="1983">
        <v>0.21</v>
      </c>
      <c r="P68" s="1947">
        <v>0.21</v>
      </c>
      <c r="Q68" s="245">
        <v>0.21</v>
      </c>
      <c r="R68" s="245">
        <v>0.21</v>
      </c>
      <c r="S68" s="1982">
        <v>0.21</v>
      </c>
      <c r="T68" s="1982">
        <v>0.21</v>
      </c>
      <c r="U68" s="1982">
        <v>0.21</v>
      </c>
      <c r="V68" s="230"/>
      <c r="W68" s="1984"/>
      <c r="X68" s="1978"/>
      <c r="Y68" s="230"/>
      <c r="Z68" s="230"/>
      <c r="AA68" s="1977"/>
      <c r="AB68" s="1978"/>
      <c r="AC68" s="230"/>
      <c r="AD68" s="230"/>
      <c r="AE68" s="230"/>
      <c r="AF68" s="230"/>
      <c r="AG68" s="1977"/>
      <c r="AH68" s="1978"/>
      <c r="AI68" s="230"/>
      <c r="AJ68" s="230"/>
      <c r="AK68" s="230"/>
      <c r="AL68" s="230"/>
      <c r="AM68" s="230"/>
      <c r="AN68" s="230"/>
      <c r="AO68" s="331"/>
      <c r="AP68" s="230"/>
      <c r="AQ68" s="230"/>
      <c r="AR68" s="230"/>
      <c r="AS68" s="1977"/>
      <c r="AT68" s="1978"/>
      <c r="AU68" s="230"/>
      <c r="AV68" s="230"/>
      <c r="AW68" s="230"/>
      <c r="AX68" s="230"/>
      <c r="AY68" s="1977"/>
      <c r="AZ68" s="1978"/>
      <c r="BA68" s="230"/>
      <c r="BB68" s="230"/>
      <c r="BC68" s="230"/>
      <c r="BD68" s="230"/>
      <c r="BE68" s="230"/>
      <c r="BF68" s="230"/>
      <c r="BG68" s="331"/>
      <c r="BH68" s="230"/>
      <c r="BI68" s="230"/>
      <c r="BJ68" s="230"/>
      <c r="BK68" s="1977"/>
      <c r="BL68" s="1978"/>
      <c r="BM68" s="230"/>
      <c r="BN68" s="230"/>
      <c r="BO68" s="230"/>
      <c r="BP68" s="230"/>
      <c r="BQ68" s="1977"/>
      <c r="BR68" s="1978"/>
      <c r="BS68" s="230"/>
      <c r="BT68" s="230"/>
      <c r="BU68" s="230"/>
      <c r="BV68" s="230"/>
      <c r="BW68" s="230"/>
      <c r="BX68" s="230"/>
      <c r="BY68" s="331"/>
      <c r="BZ68" s="332"/>
      <c r="CA68" s="230"/>
      <c r="CB68" s="230"/>
      <c r="CC68" s="230"/>
      <c r="CD68" s="1977"/>
      <c r="CE68" s="1978"/>
      <c r="CF68" s="230"/>
      <c r="CG68" s="230"/>
      <c r="CH68" s="230"/>
      <c r="CI68" s="230"/>
      <c r="CJ68" s="1977"/>
      <c r="CK68" s="1978"/>
      <c r="CL68" s="230"/>
      <c r="CM68" s="230"/>
      <c r="CN68" s="230"/>
      <c r="CO68" s="230"/>
      <c r="CP68" s="230"/>
      <c r="CQ68" s="230"/>
      <c r="CR68" s="331"/>
      <c r="CS68" s="230"/>
      <c r="CT68" s="230"/>
      <c r="CU68" s="230"/>
      <c r="CV68" s="1977"/>
      <c r="CW68" s="1978"/>
      <c r="CX68" s="230"/>
      <c r="CY68" s="230"/>
      <c r="CZ68" s="230"/>
      <c r="DA68" s="230"/>
      <c r="DB68" s="1977"/>
      <c r="DC68" s="1978"/>
      <c r="DD68" s="230"/>
      <c r="DE68" s="230"/>
      <c r="DF68" s="230"/>
      <c r="DG68" s="230"/>
      <c r="DH68" s="230"/>
      <c r="DI68" s="230"/>
    </row>
    <row r="69" spans="3:114" s="182" customFormat="1" x14ac:dyDescent="0.35">
      <c r="C69" s="1985" t="s">
        <v>359</v>
      </c>
      <c r="D69" s="1985"/>
      <c r="E69" s="1985"/>
      <c r="F69" s="1986">
        <v>176.5</v>
      </c>
      <c r="G69" s="1987">
        <v>176.5</v>
      </c>
      <c r="H69" s="1988">
        <v>176.5</v>
      </c>
      <c r="I69" s="1989">
        <v>176.5</v>
      </c>
      <c r="J69" s="1990">
        <v>176.5</v>
      </c>
      <c r="K69" s="1988">
        <v>176.5</v>
      </c>
      <c r="L69" s="1988">
        <v>176.5</v>
      </c>
      <c r="M69" s="1988">
        <v>176.5</v>
      </c>
      <c r="N69" s="1991">
        <v>176.5</v>
      </c>
      <c r="O69" s="1991">
        <v>176.5</v>
      </c>
      <c r="P69" s="1990">
        <v>176.5</v>
      </c>
      <c r="Q69" s="1988">
        <v>176.5</v>
      </c>
      <c r="R69" s="1988">
        <v>176.5</v>
      </c>
      <c r="S69" s="1991">
        <v>176.5</v>
      </c>
      <c r="T69" s="1991">
        <v>176.5</v>
      </c>
      <c r="U69" s="1991">
        <v>176.5</v>
      </c>
      <c r="V69" s="230"/>
      <c r="W69" s="1984"/>
      <c r="X69" s="1978"/>
      <c r="Y69" s="230"/>
      <c r="Z69" s="230"/>
      <c r="AA69" s="1977"/>
      <c r="AB69" s="1978"/>
      <c r="AC69" s="230"/>
      <c r="AD69" s="230"/>
      <c r="AE69" s="230"/>
      <c r="AF69" s="230"/>
      <c r="AG69" s="1977"/>
      <c r="AH69" s="1978"/>
      <c r="AI69" s="230"/>
      <c r="AJ69" s="230"/>
      <c r="AK69" s="230"/>
      <c r="AL69" s="230"/>
      <c r="AM69" s="230"/>
      <c r="AN69" s="230"/>
      <c r="AO69" s="331"/>
      <c r="AP69" s="230"/>
      <c r="AQ69" s="230"/>
      <c r="AR69" s="230"/>
      <c r="AS69" s="1977"/>
      <c r="AT69" s="1978"/>
      <c r="AU69" s="230"/>
      <c r="AV69" s="230"/>
      <c r="AW69" s="230"/>
      <c r="AX69" s="230"/>
      <c r="AY69" s="1977"/>
      <c r="AZ69" s="1978"/>
      <c r="BA69" s="230"/>
      <c r="BB69" s="230"/>
      <c r="BC69" s="230"/>
      <c r="BD69" s="230"/>
      <c r="BE69" s="230"/>
      <c r="BF69" s="230"/>
      <c r="BG69" s="331"/>
      <c r="BH69" s="230"/>
      <c r="BI69" s="230"/>
      <c r="BJ69" s="230"/>
      <c r="BK69" s="1977"/>
      <c r="BL69" s="1978"/>
      <c r="BM69" s="230"/>
      <c r="BN69" s="230"/>
      <c r="BO69" s="230"/>
      <c r="BP69" s="230"/>
      <c r="BQ69" s="1977"/>
      <c r="BR69" s="1978"/>
      <c r="BS69" s="230"/>
      <c r="BT69" s="230"/>
      <c r="BU69" s="230"/>
      <c r="BV69" s="230"/>
      <c r="BW69" s="230"/>
      <c r="BX69" s="230"/>
      <c r="BY69" s="331"/>
      <c r="BZ69" s="332"/>
      <c r="CA69" s="230"/>
      <c r="CB69" s="230"/>
      <c r="CC69" s="230"/>
      <c r="CD69" s="1977"/>
      <c r="CE69" s="1978"/>
      <c r="CF69" s="230"/>
      <c r="CG69" s="230"/>
      <c r="CH69" s="230"/>
      <c r="CI69" s="230"/>
      <c r="CJ69" s="1977"/>
      <c r="CK69" s="1978"/>
      <c r="CL69" s="230"/>
      <c r="CM69" s="230"/>
      <c r="CN69" s="230"/>
      <c r="CO69" s="230"/>
      <c r="CP69" s="230"/>
      <c r="CQ69" s="230"/>
      <c r="CR69" s="331"/>
      <c r="CS69" s="230"/>
      <c r="CT69" s="230"/>
      <c r="CU69" s="230"/>
      <c r="CV69" s="1977"/>
      <c r="CW69" s="1978"/>
      <c r="CX69" s="230"/>
      <c r="CY69" s="230"/>
      <c r="CZ69" s="230"/>
      <c r="DA69" s="230"/>
      <c r="DB69" s="1977"/>
      <c r="DC69" s="1978"/>
      <c r="DD69" s="230"/>
      <c r="DE69" s="230"/>
      <c r="DF69" s="230"/>
      <c r="DG69" s="230"/>
      <c r="DH69" s="230"/>
      <c r="DI69" s="230"/>
    </row>
    <row r="70" spans="3:114" s="182" customFormat="1" x14ac:dyDescent="0.35">
      <c r="C70" s="164" t="s">
        <v>382</v>
      </c>
      <c r="D70" s="164"/>
      <c r="E70" s="164"/>
      <c r="F70" s="1992">
        <v>176.5</v>
      </c>
      <c r="G70" s="573">
        <v>176.5</v>
      </c>
      <c r="H70" s="573">
        <v>176.5</v>
      </c>
      <c r="I70" s="1993">
        <v>176.5</v>
      </c>
      <c r="J70" s="1992">
        <v>176.5</v>
      </c>
      <c r="K70" s="573">
        <v>176.5</v>
      </c>
      <c r="L70" s="573">
        <v>176.5</v>
      </c>
      <c r="M70" s="573">
        <v>176.5</v>
      </c>
      <c r="N70" s="1993">
        <v>176.5</v>
      </c>
      <c r="O70" s="1993">
        <v>176.5</v>
      </c>
      <c r="P70" s="574">
        <v>176.5</v>
      </c>
      <c r="Q70" s="573">
        <v>176.5</v>
      </c>
      <c r="R70" s="573">
        <v>176.5</v>
      </c>
      <c r="S70" s="1993">
        <v>176.5</v>
      </c>
      <c r="T70" s="1993">
        <v>176.5</v>
      </c>
      <c r="U70" s="1993">
        <v>176.5</v>
      </c>
      <c r="V70" s="230"/>
      <c r="W70" s="1984"/>
      <c r="X70" s="1978"/>
      <c r="Y70" s="230"/>
      <c r="Z70" s="230"/>
      <c r="AA70" s="1977"/>
      <c r="AB70" s="1978"/>
      <c r="AC70" s="230"/>
      <c r="AD70" s="230"/>
      <c r="AE70" s="230"/>
      <c r="AF70" s="230"/>
      <c r="AG70" s="1977"/>
      <c r="AH70" s="1978"/>
      <c r="AI70" s="230"/>
      <c r="AJ70" s="230"/>
      <c r="AK70" s="230"/>
      <c r="AL70" s="230"/>
      <c r="AM70" s="230"/>
      <c r="AN70" s="230"/>
      <c r="AO70" s="331"/>
      <c r="AP70" s="230"/>
      <c r="AQ70" s="230"/>
      <c r="AR70" s="230"/>
      <c r="AS70" s="1977"/>
      <c r="AT70" s="1978"/>
      <c r="AU70" s="230"/>
      <c r="AV70" s="230"/>
      <c r="AW70" s="230"/>
      <c r="AX70" s="230"/>
      <c r="AY70" s="1977"/>
      <c r="AZ70" s="1978"/>
      <c r="BA70" s="230"/>
      <c r="BB70" s="230"/>
      <c r="BC70" s="230"/>
      <c r="BD70" s="230"/>
      <c r="BE70" s="230"/>
      <c r="BF70" s="230"/>
      <c r="BG70" s="331"/>
      <c r="BH70" s="230"/>
      <c r="BI70" s="230"/>
      <c r="BJ70" s="230"/>
      <c r="BK70" s="1977"/>
      <c r="BL70" s="1978"/>
      <c r="BM70" s="230"/>
      <c r="BN70" s="230"/>
      <c r="BO70" s="230"/>
      <c r="BP70" s="230"/>
      <c r="BQ70" s="1977"/>
      <c r="BR70" s="1978"/>
      <c r="BS70" s="230"/>
      <c r="BT70" s="230"/>
      <c r="BU70" s="230"/>
      <c r="BV70" s="230"/>
      <c r="BW70" s="230"/>
      <c r="BX70" s="230"/>
      <c r="BY70" s="331"/>
      <c r="BZ70" s="332"/>
      <c r="CA70" s="230"/>
      <c r="CB70" s="230"/>
      <c r="CC70" s="230"/>
      <c r="CD70" s="1977"/>
      <c r="CE70" s="1978"/>
      <c r="CF70" s="230"/>
      <c r="CG70" s="230"/>
      <c r="CH70" s="230"/>
      <c r="CI70" s="230"/>
      <c r="CJ70" s="1977"/>
      <c r="CK70" s="1978"/>
      <c r="CL70" s="230"/>
      <c r="CM70" s="230"/>
      <c r="CN70" s="230"/>
      <c r="CO70" s="230"/>
      <c r="CP70" s="230"/>
      <c r="CQ70" s="230"/>
      <c r="CR70" s="331"/>
      <c r="CS70" s="230"/>
      <c r="CT70" s="230"/>
      <c r="CU70" s="230"/>
      <c r="CV70" s="1977"/>
      <c r="CW70" s="1978"/>
      <c r="CX70" s="230"/>
      <c r="CY70" s="230"/>
      <c r="CZ70" s="230"/>
      <c r="DA70" s="230"/>
      <c r="DB70" s="1977"/>
      <c r="DC70" s="1978"/>
      <c r="DD70" s="230"/>
      <c r="DE70" s="230"/>
      <c r="DF70" s="230"/>
      <c r="DG70" s="230"/>
      <c r="DH70" s="230"/>
      <c r="DI70" s="230"/>
    </row>
    <row r="71" spans="3:114" s="182" customFormat="1" x14ac:dyDescent="0.35">
      <c r="C71" s="1985" t="s">
        <v>365</v>
      </c>
      <c r="D71" s="1985"/>
      <c r="E71" s="1985"/>
      <c r="F71" s="1994">
        <v>404</v>
      </c>
      <c r="G71" s="1995">
        <v>404</v>
      </c>
      <c r="H71" s="1996">
        <v>404.16</v>
      </c>
      <c r="I71" s="1997">
        <v>404.04</v>
      </c>
      <c r="J71" s="1998">
        <v>418.45</v>
      </c>
      <c r="K71" s="1996">
        <v>418.5</v>
      </c>
      <c r="L71" s="1996">
        <v>418.5</v>
      </c>
      <c r="M71" s="1996">
        <v>418</v>
      </c>
      <c r="N71" s="1993">
        <v>418.72</v>
      </c>
      <c r="O71" s="1997">
        <v>418.46</v>
      </c>
      <c r="P71" s="1998">
        <v>422.08</v>
      </c>
      <c r="Q71" s="1996">
        <v>422.17</v>
      </c>
      <c r="R71" s="1995">
        <v>422.12</v>
      </c>
      <c r="S71" s="1999">
        <v>422.16</v>
      </c>
      <c r="T71" s="1993">
        <v>422.22</v>
      </c>
      <c r="U71" s="1999">
        <v>422.11</v>
      </c>
      <c r="V71" s="230"/>
      <c r="W71" s="1984"/>
      <c r="X71" s="1978"/>
      <c r="Y71" s="230"/>
      <c r="Z71" s="230"/>
      <c r="AA71" s="1977"/>
      <c r="AB71" s="1978"/>
      <c r="AC71" s="230"/>
      <c r="AD71" s="230"/>
      <c r="AE71" s="230"/>
      <c r="AF71" s="230"/>
      <c r="AG71" s="1977"/>
      <c r="AH71" s="1978"/>
      <c r="AI71" s="230"/>
      <c r="AJ71" s="230"/>
      <c r="AK71" s="230"/>
      <c r="AL71" s="230"/>
      <c r="AM71" s="230"/>
      <c r="AN71" s="230"/>
      <c r="AO71" s="331"/>
      <c r="AP71" s="230"/>
      <c r="AQ71" s="230"/>
      <c r="AR71" s="230"/>
      <c r="AS71" s="1977"/>
      <c r="AT71" s="1978"/>
      <c r="AU71" s="230"/>
      <c r="AV71" s="230"/>
      <c r="AW71" s="230"/>
      <c r="AX71" s="230"/>
      <c r="AY71" s="1977"/>
      <c r="AZ71" s="1978"/>
      <c r="BA71" s="230"/>
      <c r="BB71" s="230"/>
      <c r="BC71" s="230"/>
      <c r="BD71" s="230"/>
      <c r="BE71" s="230"/>
      <c r="BF71" s="230"/>
      <c r="BG71" s="331"/>
      <c r="BH71" s="230"/>
      <c r="BI71" s="230"/>
      <c r="BJ71" s="230"/>
      <c r="BK71" s="1977"/>
      <c r="BL71" s="1978"/>
      <c r="BM71" s="230"/>
      <c r="BN71" s="230"/>
      <c r="BO71" s="230"/>
      <c r="BP71" s="230"/>
      <c r="BQ71" s="1977"/>
      <c r="BR71" s="1978"/>
      <c r="BS71" s="230"/>
      <c r="BT71" s="230"/>
      <c r="BU71" s="230"/>
      <c r="BV71" s="230"/>
      <c r="BW71" s="230"/>
      <c r="BX71" s="230"/>
      <c r="BY71" s="331"/>
      <c r="BZ71" s="332"/>
      <c r="CA71" s="230"/>
      <c r="CB71" s="230"/>
      <c r="CC71" s="230"/>
      <c r="CD71" s="1977"/>
      <c r="CE71" s="1978"/>
      <c r="CF71" s="230"/>
      <c r="CG71" s="230"/>
      <c r="CH71" s="230"/>
      <c r="CI71" s="230"/>
      <c r="CJ71" s="1977"/>
      <c r="CK71" s="1978"/>
      <c r="CL71" s="230"/>
      <c r="CM71" s="230"/>
      <c r="CN71" s="230"/>
      <c r="CO71" s="230"/>
      <c r="CP71" s="230"/>
      <c r="CQ71" s="230"/>
      <c r="CR71" s="331"/>
      <c r="CS71" s="230"/>
      <c r="CT71" s="230"/>
      <c r="CU71" s="230"/>
      <c r="CV71" s="1977"/>
      <c r="CW71" s="1978"/>
      <c r="CX71" s="230"/>
      <c r="CY71" s="230"/>
      <c r="CZ71" s="230"/>
      <c r="DA71" s="230"/>
      <c r="DB71" s="1977"/>
      <c r="DC71" s="1978"/>
      <c r="DD71" s="230"/>
      <c r="DE71" s="230"/>
      <c r="DF71" s="230"/>
      <c r="DG71" s="230"/>
      <c r="DH71" s="230"/>
      <c r="DI71" s="230"/>
    </row>
    <row r="72" spans="3:114" s="182" customFormat="1" ht="15" thickBot="1" x14ac:dyDescent="0.4">
      <c r="C72" s="164" t="s">
        <v>368</v>
      </c>
      <c r="D72" s="164"/>
      <c r="E72" s="164"/>
      <c r="F72" s="2000">
        <v>404</v>
      </c>
      <c r="G72" s="575">
        <v>404</v>
      </c>
      <c r="H72" s="575">
        <v>404</v>
      </c>
      <c r="I72" s="2001">
        <v>404</v>
      </c>
      <c r="J72" s="2000">
        <v>416.93333333333339</v>
      </c>
      <c r="K72" s="575">
        <v>416.93333333333339</v>
      </c>
      <c r="L72" s="575">
        <v>417</v>
      </c>
      <c r="M72" s="575">
        <v>418</v>
      </c>
      <c r="N72" s="2002">
        <v>418</v>
      </c>
      <c r="O72" s="2001">
        <v>418</v>
      </c>
      <c r="P72" s="2000">
        <v>418</v>
      </c>
      <c r="Q72" s="575">
        <v>418</v>
      </c>
      <c r="R72" s="575">
        <v>418</v>
      </c>
      <c r="S72" s="2002">
        <v>422</v>
      </c>
      <c r="T72" s="2002">
        <v>422</v>
      </c>
      <c r="U72" s="2002">
        <v>422</v>
      </c>
      <c r="V72" s="378"/>
      <c r="W72" s="2003"/>
      <c r="X72" s="2004"/>
      <c r="Y72" s="378"/>
      <c r="Z72" s="378"/>
      <c r="AA72" s="2005"/>
      <c r="AB72" s="2004"/>
      <c r="AC72" s="378"/>
      <c r="AD72" s="378"/>
      <c r="AE72" s="378"/>
      <c r="AF72" s="378"/>
      <c r="AG72" s="2005"/>
      <c r="AH72" s="2004"/>
      <c r="AI72" s="378"/>
      <c r="AJ72" s="378"/>
      <c r="AK72" s="378"/>
      <c r="AL72" s="378"/>
      <c r="AM72" s="378"/>
      <c r="AN72" s="378"/>
      <c r="AO72" s="379"/>
      <c r="AP72" s="378"/>
      <c r="AQ72" s="378"/>
      <c r="AR72" s="378"/>
      <c r="AS72" s="2005"/>
      <c r="AT72" s="2004"/>
      <c r="AU72" s="378"/>
      <c r="AV72" s="378"/>
      <c r="AW72" s="378"/>
      <c r="AX72" s="378"/>
      <c r="AY72" s="2005"/>
      <c r="AZ72" s="2004"/>
      <c r="BA72" s="378"/>
      <c r="BB72" s="378"/>
      <c r="BC72" s="378"/>
      <c r="BD72" s="378"/>
      <c r="BE72" s="378"/>
      <c r="BF72" s="378"/>
      <c r="BG72" s="379"/>
      <c r="BH72" s="378"/>
      <c r="BI72" s="378"/>
      <c r="BJ72" s="378"/>
      <c r="BK72" s="2005"/>
      <c r="BL72" s="2004"/>
      <c r="BM72" s="378"/>
      <c r="BN72" s="378"/>
      <c r="BO72" s="378"/>
      <c r="BP72" s="378"/>
      <c r="BQ72" s="2005"/>
      <c r="BR72" s="2004"/>
      <c r="BS72" s="378"/>
      <c r="BT72" s="378"/>
      <c r="BU72" s="378"/>
      <c r="BV72" s="378"/>
      <c r="BW72" s="378"/>
      <c r="BX72" s="378"/>
      <c r="BY72" s="379"/>
      <c r="BZ72" s="380"/>
      <c r="CA72" s="378"/>
      <c r="CB72" s="378"/>
      <c r="CC72" s="378"/>
      <c r="CD72" s="2005"/>
      <c r="CE72" s="2004"/>
      <c r="CF72" s="378"/>
      <c r="CG72" s="378"/>
      <c r="CH72" s="378"/>
      <c r="CI72" s="378"/>
      <c r="CJ72" s="2005"/>
      <c r="CK72" s="2004"/>
      <c r="CL72" s="378"/>
      <c r="CM72" s="378"/>
      <c r="CN72" s="378"/>
      <c r="CO72" s="378"/>
      <c r="CP72" s="378"/>
      <c r="CQ72" s="378"/>
      <c r="CR72" s="379"/>
      <c r="CS72" s="378"/>
      <c r="CT72" s="378"/>
      <c r="CU72" s="378"/>
      <c r="CV72" s="2005"/>
      <c r="CW72" s="2004"/>
      <c r="CX72" s="378"/>
      <c r="CY72" s="378"/>
      <c r="CZ72" s="378"/>
      <c r="DA72" s="378"/>
      <c r="DB72" s="2005"/>
      <c r="DC72" s="2004"/>
      <c r="DD72" s="378"/>
      <c r="DE72" s="378"/>
      <c r="DF72" s="378"/>
      <c r="DG72" s="378"/>
      <c r="DH72" s="378"/>
      <c r="DI72" s="378"/>
    </row>
    <row r="73" spans="3:114" s="388" customFormat="1" ht="15.5" thickTop="1" thickBot="1" x14ac:dyDescent="0.4">
      <c r="C73" s="383"/>
      <c r="D73" s="383"/>
      <c r="E73" s="383"/>
      <c r="F73" s="2006"/>
      <c r="G73" s="384"/>
      <c r="H73" s="384"/>
      <c r="I73" s="2007"/>
      <c r="J73" s="2008"/>
      <c r="K73" s="384"/>
      <c r="L73" s="384"/>
      <c r="M73" s="384"/>
      <c r="N73" s="2009"/>
      <c r="O73" s="2007"/>
      <c r="P73" s="2008"/>
      <c r="Q73" s="384"/>
      <c r="R73" s="384"/>
      <c r="S73" s="2009"/>
      <c r="T73" s="2009"/>
      <c r="U73" s="2009"/>
      <c r="V73" s="385"/>
      <c r="W73" s="2010"/>
      <c r="X73" s="2011"/>
      <c r="Y73" s="385"/>
      <c r="Z73" s="385"/>
      <c r="AA73" s="2012"/>
      <c r="AB73" s="2011"/>
      <c r="AC73" s="385"/>
      <c r="AD73" s="385"/>
      <c r="AE73" s="385"/>
      <c r="AF73" s="385"/>
      <c r="AG73" s="2012"/>
      <c r="AH73" s="2011"/>
      <c r="AI73" s="385"/>
      <c r="AJ73" s="385"/>
      <c r="AK73" s="385"/>
      <c r="AL73" s="385"/>
      <c r="AM73" s="385"/>
      <c r="AN73" s="385"/>
      <c r="AO73" s="386"/>
      <c r="AP73" s="385"/>
      <c r="AQ73" s="385"/>
      <c r="AR73" s="385"/>
      <c r="AS73" s="2012"/>
      <c r="AT73" s="2011"/>
      <c r="AU73" s="385"/>
      <c r="AV73" s="385"/>
      <c r="AW73" s="385"/>
      <c r="AX73" s="385"/>
      <c r="AY73" s="2012"/>
      <c r="AZ73" s="2011"/>
      <c r="BA73" s="385"/>
      <c r="BB73" s="385"/>
      <c r="BC73" s="385"/>
      <c r="BD73" s="385"/>
      <c r="BE73" s="385"/>
      <c r="BF73" s="385"/>
      <c r="BG73" s="386"/>
      <c r="BH73" s="385"/>
      <c r="BI73" s="385"/>
      <c r="BJ73" s="385"/>
      <c r="BK73" s="2012"/>
      <c r="BL73" s="2011"/>
      <c r="BM73" s="385"/>
      <c r="BN73" s="385"/>
      <c r="BO73" s="385"/>
      <c r="BP73" s="385"/>
      <c r="BQ73" s="2012"/>
      <c r="BR73" s="2011"/>
      <c r="BS73" s="385"/>
      <c r="BT73" s="385"/>
      <c r="BU73" s="385"/>
      <c r="BV73" s="385"/>
      <c r="BW73" s="385"/>
      <c r="BX73" s="385"/>
      <c r="BY73" s="386"/>
      <c r="BZ73" s="387"/>
      <c r="CA73" s="385"/>
      <c r="CB73" s="385"/>
      <c r="CC73" s="385"/>
      <c r="CD73" s="2012"/>
      <c r="CE73" s="2011"/>
      <c r="CF73" s="385"/>
      <c r="CG73" s="385"/>
      <c r="CH73" s="385"/>
      <c r="CI73" s="385"/>
      <c r="CJ73" s="2012"/>
      <c r="CK73" s="2011"/>
      <c r="CL73" s="385"/>
      <c r="CM73" s="385"/>
      <c r="CN73" s="385"/>
      <c r="CO73" s="385"/>
      <c r="CP73" s="385"/>
      <c r="CQ73" s="385"/>
      <c r="CR73" s="386"/>
      <c r="CS73" s="385"/>
      <c r="CT73" s="385"/>
      <c r="CU73" s="385"/>
      <c r="CV73" s="2012"/>
      <c r="CW73" s="2011"/>
      <c r="CX73" s="385"/>
      <c r="CY73" s="385"/>
      <c r="CZ73" s="385"/>
      <c r="DA73" s="385"/>
      <c r="DB73" s="2012"/>
      <c r="DC73" s="2011"/>
      <c r="DD73" s="385"/>
      <c r="DE73" s="385"/>
      <c r="DF73" s="385"/>
      <c r="DG73" s="385"/>
      <c r="DH73" s="385"/>
      <c r="DI73" s="385"/>
    </row>
    <row r="74" spans="3:114" ht="15" thickTop="1" x14ac:dyDescent="0.35">
      <c r="C74" s="1" t="s">
        <v>126</v>
      </c>
      <c r="F74" s="1812">
        <f t="shared" ref="F74:U80" si="24">F8*F$59/100</f>
        <v>0</v>
      </c>
      <c r="G74" s="309">
        <f t="shared" si="24"/>
        <v>0</v>
      </c>
      <c r="H74" s="309">
        <f t="shared" si="24"/>
        <v>0</v>
      </c>
      <c r="I74" s="1858">
        <f t="shared" si="24"/>
        <v>0</v>
      </c>
      <c r="J74" s="1812">
        <f t="shared" si="24"/>
        <v>0</v>
      </c>
      <c r="K74" s="309">
        <f t="shared" si="24"/>
        <v>0</v>
      </c>
      <c r="L74" s="309">
        <f t="shared" si="24"/>
        <v>0</v>
      </c>
      <c r="M74" s="309">
        <f t="shared" si="24"/>
        <v>0</v>
      </c>
      <c r="N74" s="1859">
        <f t="shared" si="24"/>
        <v>0</v>
      </c>
      <c r="O74" s="1858">
        <f t="shared" si="24"/>
        <v>0</v>
      </c>
      <c r="P74" s="1812">
        <f t="shared" si="24"/>
        <v>0</v>
      </c>
      <c r="Q74" s="309">
        <f t="shared" si="24"/>
        <v>0</v>
      </c>
      <c r="R74" s="309">
        <f t="shared" si="24"/>
        <v>0</v>
      </c>
      <c r="S74" s="1859">
        <f t="shared" si="24"/>
        <v>0</v>
      </c>
      <c r="T74" s="1859">
        <f t="shared" si="24"/>
        <v>0</v>
      </c>
      <c r="U74" s="1859">
        <f t="shared" si="24"/>
        <v>0</v>
      </c>
      <c r="V74" s="309"/>
      <c r="W74" s="2013"/>
      <c r="X74" s="1812">
        <f t="shared" ref="X74:AM80" si="25">X8*X$59/100</f>
        <v>1.087659574468085E-3</v>
      </c>
      <c r="Y74" s="309">
        <f t="shared" si="25"/>
        <v>4.8636E-3</v>
      </c>
      <c r="Z74" s="309">
        <f t="shared" si="25"/>
        <v>1.671615E-3</v>
      </c>
      <c r="AA74" s="1811">
        <f t="shared" si="25"/>
        <v>0</v>
      </c>
      <c r="AB74" s="1812">
        <f t="shared" si="25"/>
        <v>2.3749999999999999E-3</v>
      </c>
      <c r="AC74" s="309">
        <f t="shared" si="25"/>
        <v>4.6043999999999998E-3</v>
      </c>
      <c r="AD74" s="309">
        <f t="shared" si="25"/>
        <v>7.5970124999999991E-3</v>
      </c>
      <c r="AE74" s="309">
        <f t="shared" si="25"/>
        <v>1.3761666666666666E-3</v>
      </c>
      <c r="AF74" s="309">
        <f t="shared" si="25"/>
        <v>0</v>
      </c>
      <c r="AG74" s="1811">
        <f t="shared" si="25"/>
        <v>0</v>
      </c>
      <c r="AH74" s="1812">
        <f t="shared" si="25"/>
        <v>0</v>
      </c>
      <c r="AI74" s="309">
        <f t="shared" si="25"/>
        <v>5.4159999999999994E-4</v>
      </c>
      <c r="AJ74" s="309">
        <f t="shared" si="25"/>
        <v>3.0256250000000001E-3</v>
      </c>
      <c r="AK74" s="309">
        <f t="shared" si="25"/>
        <v>0</v>
      </c>
      <c r="AL74" s="309">
        <f t="shared" si="25"/>
        <v>0</v>
      </c>
      <c r="AM74" s="309">
        <f t="shared" si="25"/>
        <v>0</v>
      </c>
      <c r="AN74" s="309"/>
      <c r="AO74" s="381"/>
      <c r="AP74" s="309">
        <f t="shared" ref="AP74:BF80" si="26">AP8*AP$59/100</f>
        <v>0.43940553191489357</v>
      </c>
      <c r="AQ74" s="309">
        <f t="shared" si="26"/>
        <v>0.77139999999999997</v>
      </c>
      <c r="AR74" s="309">
        <f t="shared" si="26"/>
        <v>0.429595</v>
      </c>
      <c r="AS74" s="1811">
        <f t="shared" si="26"/>
        <v>0.74975999999999998</v>
      </c>
      <c r="AT74" s="1812">
        <f t="shared" si="26"/>
        <v>0.78548000000000007</v>
      </c>
      <c r="AU74" s="309">
        <f t="shared" si="26"/>
        <v>1.0925666666666667</v>
      </c>
      <c r="AV74" s="309">
        <f t="shared" si="26"/>
        <v>0.46480000000000005</v>
      </c>
      <c r="AW74" s="309">
        <f t="shared" si="26"/>
        <v>0.70143</v>
      </c>
      <c r="AX74" s="309">
        <f t="shared" si="26"/>
        <v>0.25209916666666671</v>
      </c>
      <c r="AY74" s="1811">
        <f t="shared" si="26"/>
        <v>0.24450500000000003</v>
      </c>
      <c r="AZ74" s="1812">
        <f t="shared" si="26"/>
        <v>0.47149666666666668</v>
      </c>
      <c r="BA74" s="309">
        <f t="shared" si="26"/>
        <v>1.178415</v>
      </c>
      <c r="BB74" s="309">
        <f t="shared" si="26"/>
        <v>0.25311</v>
      </c>
      <c r="BC74" s="309">
        <f t="shared" si="26"/>
        <v>0.99098833333333336</v>
      </c>
      <c r="BD74" s="309">
        <f t="shared" si="26"/>
        <v>0.31859411764705881</v>
      </c>
      <c r="BE74" s="309">
        <f t="shared" si="26"/>
        <v>0.25844</v>
      </c>
      <c r="BF74" s="309">
        <f t="shared" si="26"/>
        <v>0</v>
      </c>
      <c r="BG74" s="357"/>
      <c r="BH74" s="309">
        <f t="shared" ref="BH74:BX80" si="27">BH$59*BH8/100</f>
        <v>9.0638297872340429E-2</v>
      </c>
      <c r="BI74" s="309">
        <f t="shared" si="27"/>
        <v>0.53749999999999998</v>
      </c>
      <c r="BJ74" s="309">
        <f t="shared" si="27"/>
        <v>1.7416666666666665</v>
      </c>
      <c r="BK74" s="1811">
        <f t="shared" si="27"/>
        <v>0.68791666666666673</v>
      </c>
      <c r="BL74" s="1812">
        <f t="shared" si="27"/>
        <v>1.13625</v>
      </c>
      <c r="BM74" s="309">
        <f t="shared" si="27"/>
        <v>0.16666666666666669</v>
      </c>
      <c r="BN74" s="309">
        <f t="shared" si="27"/>
        <v>0.3354166666666667</v>
      </c>
      <c r="BO74" s="309">
        <f t="shared" si="27"/>
        <v>0.28000000000000003</v>
      </c>
      <c r="BP74" s="309">
        <f t="shared" si="27"/>
        <v>0.23916666666666664</v>
      </c>
      <c r="BQ74" s="1811">
        <f t="shared" si="27"/>
        <v>0.26250000000000001</v>
      </c>
      <c r="BR74" s="1812">
        <f t="shared" si="27"/>
        <v>0.58625000000000005</v>
      </c>
      <c r="BS74" s="309">
        <f t="shared" si="27"/>
        <v>0.3091666666666667</v>
      </c>
      <c r="BT74" s="309">
        <f t="shared" si="27"/>
        <v>0.35133333333333333</v>
      </c>
      <c r="BU74" s="309">
        <f t="shared" si="27"/>
        <v>0.33600000000000002</v>
      </c>
      <c r="BV74" s="309">
        <f t="shared" si="27"/>
        <v>0.32647058823529412</v>
      </c>
      <c r="BW74" s="309">
        <f t="shared" si="27"/>
        <v>0.82733333333333325</v>
      </c>
      <c r="BX74" s="309">
        <f t="shared" si="27"/>
        <v>0</v>
      </c>
      <c r="BY74" s="381"/>
      <c r="BZ74" s="382"/>
      <c r="CA74" s="229"/>
      <c r="CB74" s="229"/>
      <c r="CC74" s="229"/>
      <c r="CD74" s="1773"/>
      <c r="CE74" s="1774"/>
      <c r="CF74" s="229"/>
      <c r="CG74" s="229"/>
      <c r="CH74" s="229"/>
      <c r="CI74" s="229"/>
      <c r="CJ74" s="1773"/>
      <c r="CK74" s="1774"/>
      <c r="CL74" s="229"/>
      <c r="CM74" s="229"/>
      <c r="CN74" s="229"/>
      <c r="CO74" s="229"/>
      <c r="CP74" s="229"/>
      <c r="CQ74" s="229"/>
      <c r="CR74" s="356"/>
      <c r="CS74" s="229"/>
      <c r="CT74" s="229"/>
      <c r="CU74" s="229"/>
      <c r="CV74" s="1773"/>
      <c r="CW74" s="1774"/>
      <c r="CX74" s="229"/>
      <c r="CY74" s="229"/>
      <c r="CZ74" s="229"/>
      <c r="DA74" s="229"/>
      <c r="DB74" s="1773"/>
      <c r="DC74" s="1774"/>
      <c r="DD74" s="229"/>
      <c r="DE74" s="229"/>
      <c r="DF74" s="229"/>
      <c r="DG74" s="229"/>
      <c r="DH74" s="229"/>
      <c r="DI74" s="229"/>
      <c r="DJ74" s="1" t="s">
        <v>191</v>
      </c>
    </row>
    <row r="75" spans="3:114" x14ac:dyDescent="0.35">
      <c r="C75" s="1" t="s">
        <v>125</v>
      </c>
      <c r="F75" s="1819">
        <f t="shared" si="24"/>
        <v>2.3770212765957446E-2</v>
      </c>
      <c r="G75" s="249">
        <f t="shared" si="24"/>
        <v>2.2995000000000002E-2</v>
      </c>
      <c r="H75" s="249">
        <f t="shared" si="24"/>
        <v>2.2603732269503549E-2</v>
      </c>
      <c r="I75" s="1864">
        <f t="shared" si="24"/>
        <v>2.2619784946236558E-2</v>
      </c>
      <c r="J75" s="1819">
        <f t="shared" si="24"/>
        <v>0</v>
      </c>
      <c r="K75" s="249">
        <f t="shared" si="24"/>
        <v>0</v>
      </c>
      <c r="L75" s="249">
        <f t="shared" si="24"/>
        <v>0</v>
      </c>
      <c r="M75" s="249">
        <f t="shared" si="24"/>
        <v>0</v>
      </c>
      <c r="N75" s="1867">
        <f t="shared" si="24"/>
        <v>0</v>
      </c>
      <c r="O75" s="1864">
        <f t="shared" si="24"/>
        <v>0</v>
      </c>
      <c r="P75" s="1819">
        <f t="shared" si="24"/>
        <v>0</v>
      </c>
      <c r="Q75" s="249">
        <f t="shared" si="24"/>
        <v>0</v>
      </c>
      <c r="R75" s="249">
        <f t="shared" si="24"/>
        <v>0</v>
      </c>
      <c r="S75" s="1867">
        <f t="shared" si="24"/>
        <v>0</v>
      </c>
      <c r="T75" s="1867">
        <f t="shared" si="24"/>
        <v>0</v>
      </c>
      <c r="U75" s="1867">
        <f t="shared" si="24"/>
        <v>0</v>
      </c>
      <c r="V75" s="249"/>
      <c r="W75" s="2014"/>
      <c r="X75" s="1819">
        <f t="shared" si="25"/>
        <v>0.31881446808510633</v>
      </c>
      <c r="Y75" s="249">
        <f t="shared" si="25"/>
        <v>2.5408449999999999E-2</v>
      </c>
      <c r="Z75" s="249">
        <f t="shared" si="25"/>
        <v>4.7661750000000001E-3</v>
      </c>
      <c r="AA75" s="294">
        <f t="shared" si="25"/>
        <v>0</v>
      </c>
      <c r="AB75" s="1819">
        <f t="shared" si="25"/>
        <v>7.1624999999999996E-3</v>
      </c>
      <c r="AC75" s="249">
        <f t="shared" si="25"/>
        <v>6.3310500000000004E-3</v>
      </c>
      <c r="AD75" s="249">
        <f t="shared" si="25"/>
        <v>6.5336499999999994E-3</v>
      </c>
      <c r="AE75" s="249">
        <f t="shared" si="25"/>
        <v>3.3028000000000003E-3</v>
      </c>
      <c r="AF75" s="249">
        <f t="shared" si="25"/>
        <v>0</v>
      </c>
      <c r="AG75" s="294">
        <f t="shared" si="25"/>
        <v>0</v>
      </c>
      <c r="AH75" s="1819">
        <f t="shared" si="25"/>
        <v>0</v>
      </c>
      <c r="AI75" s="249">
        <f t="shared" si="25"/>
        <v>1.5909499999999996E-3</v>
      </c>
      <c r="AJ75" s="249">
        <f t="shared" si="25"/>
        <v>5.7379166666666655E-3</v>
      </c>
      <c r="AK75" s="249">
        <f t="shared" si="25"/>
        <v>0</v>
      </c>
      <c r="AL75" s="249">
        <f t="shared" si="25"/>
        <v>0</v>
      </c>
      <c r="AM75" s="249">
        <f t="shared" si="25"/>
        <v>0</v>
      </c>
      <c r="AN75" s="249"/>
      <c r="AO75" s="335"/>
      <c r="AP75" s="249">
        <f t="shared" si="26"/>
        <v>1.7944953191489359</v>
      </c>
      <c r="AQ75" s="249">
        <f t="shared" si="26"/>
        <v>1.1658000000000002</v>
      </c>
      <c r="AR75" s="249">
        <f t="shared" si="26"/>
        <v>1.300165</v>
      </c>
      <c r="AS75" s="294">
        <f t="shared" si="26"/>
        <v>1.40296</v>
      </c>
      <c r="AT75" s="1819">
        <f t="shared" si="26"/>
        <v>2.2824650000000002</v>
      </c>
      <c r="AU75" s="249">
        <f t="shared" si="26"/>
        <v>2.4021499999999998</v>
      </c>
      <c r="AV75" s="249">
        <f t="shared" si="26"/>
        <v>2.6360800000000002</v>
      </c>
      <c r="AW75" s="249">
        <f t="shared" si="26"/>
        <v>2.1521850000000002</v>
      </c>
      <c r="AX75" s="249">
        <f t="shared" si="26"/>
        <v>2.3565791666666667</v>
      </c>
      <c r="AY75" s="294">
        <f t="shared" si="26"/>
        <v>2.2964899999999999</v>
      </c>
      <c r="AZ75" s="1819">
        <f t="shared" si="26"/>
        <v>2.8718433333333331</v>
      </c>
      <c r="BA75" s="249">
        <f t="shared" si="26"/>
        <v>2.6628525000000001</v>
      </c>
      <c r="BB75" s="249">
        <f t="shared" si="26"/>
        <v>2.339645</v>
      </c>
      <c r="BC75" s="249">
        <f t="shared" si="26"/>
        <v>2.9729649999999999</v>
      </c>
      <c r="BD75" s="249">
        <f t="shared" si="26"/>
        <v>2.9481611764705882</v>
      </c>
      <c r="BE75" s="249">
        <f t="shared" si="26"/>
        <v>1.7774342857142857</v>
      </c>
      <c r="BF75" s="249">
        <f t="shared" si="26"/>
        <v>0</v>
      </c>
      <c r="BG75" s="325"/>
      <c r="BH75" s="249">
        <f t="shared" si="27"/>
        <v>1.3142553191489363</v>
      </c>
      <c r="BI75" s="249">
        <f t="shared" si="27"/>
        <v>1.5766666666666669</v>
      </c>
      <c r="BJ75" s="249">
        <f t="shared" si="27"/>
        <v>4.2166666666666659</v>
      </c>
      <c r="BK75" s="294">
        <f t="shared" si="27"/>
        <v>2.3283333333333336</v>
      </c>
      <c r="BL75" s="1819">
        <f t="shared" si="27"/>
        <v>5.9337499999999999</v>
      </c>
      <c r="BM75" s="249">
        <f t="shared" si="27"/>
        <v>1.6</v>
      </c>
      <c r="BN75" s="249">
        <f t="shared" si="27"/>
        <v>2.5395833333333333</v>
      </c>
      <c r="BO75" s="249">
        <f t="shared" si="27"/>
        <v>2.12</v>
      </c>
      <c r="BP75" s="249">
        <f t="shared" si="27"/>
        <v>1.7424999999999999</v>
      </c>
      <c r="BQ75" s="294">
        <f t="shared" si="27"/>
        <v>2.0550000000000002</v>
      </c>
      <c r="BR75" s="1819">
        <f t="shared" si="27"/>
        <v>2.5724999999999998</v>
      </c>
      <c r="BS75" s="249">
        <f t="shared" si="27"/>
        <v>2.3496666666666668</v>
      </c>
      <c r="BT75" s="249">
        <f t="shared" si="27"/>
        <v>2.4593333333333338</v>
      </c>
      <c r="BU75" s="249">
        <f t="shared" si="27"/>
        <v>2.5106666666666668</v>
      </c>
      <c r="BV75" s="249">
        <f t="shared" si="27"/>
        <v>2.4970588235294118</v>
      </c>
      <c r="BW75" s="249">
        <f t="shared" si="27"/>
        <v>3.4674999999999998</v>
      </c>
      <c r="BX75" s="249">
        <f t="shared" si="27"/>
        <v>0</v>
      </c>
      <c r="BY75" s="335"/>
      <c r="BZ75" s="336"/>
      <c r="DC75" s="1899"/>
      <c r="DD75" s="242"/>
      <c r="DE75" s="242"/>
      <c r="DJ75" s="1" t="s">
        <v>178</v>
      </c>
    </row>
    <row r="76" spans="3:114" x14ac:dyDescent="0.35">
      <c r="C76" s="1" t="s">
        <v>127</v>
      </c>
      <c r="F76" s="1819">
        <f t="shared" si="24"/>
        <v>0.89647659574468097</v>
      </c>
      <c r="G76" s="249">
        <f t="shared" si="24"/>
        <v>0.86724000000000001</v>
      </c>
      <c r="H76" s="249">
        <f t="shared" si="24"/>
        <v>0.85248361702127662</v>
      </c>
      <c r="I76" s="1864">
        <f t="shared" si="24"/>
        <v>0.85308903225806443</v>
      </c>
      <c r="J76" s="1819">
        <f t="shared" si="24"/>
        <v>4.8286080000000009E-2</v>
      </c>
      <c r="K76" s="249">
        <f t="shared" si="24"/>
        <v>5.4078260869565221E-2</v>
      </c>
      <c r="L76" s="249">
        <f t="shared" si="24"/>
        <v>5.8917391304347824E-2</v>
      </c>
      <c r="M76" s="249">
        <f t="shared" si="24"/>
        <v>5.4678260869565218E-2</v>
      </c>
      <c r="N76" s="1867">
        <f t="shared" si="24"/>
        <v>5.4313043478260867E-2</v>
      </c>
      <c r="O76" s="1864">
        <f t="shared" si="24"/>
        <v>5.5043478260869562E-2</v>
      </c>
      <c r="P76" s="1819">
        <f t="shared" si="24"/>
        <v>0</v>
      </c>
      <c r="Q76" s="249">
        <f t="shared" si="24"/>
        <v>0</v>
      </c>
      <c r="R76" s="249">
        <f t="shared" si="24"/>
        <v>0</v>
      </c>
      <c r="S76" s="1867">
        <f t="shared" si="24"/>
        <v>0</v>
      </c>
      <c r="T76" s="1867">
        <f t="shared" si="24"/>
        <v>0</v>
      </c>
      <c r="U76" s="1867">
        <f t="shared" si="24"/>
        <v>0</v>
      </c>
      <c r="V76" s="249"/>
      <c r="W76" s="2014"/>
      <c r="X76" s="1819">
        <f t="shared" si="25"/>
        <v>0.10122127659574469</v>
      </c>
      <c r="Y76" s="249">
        <f t="shared" si="25"/>
        <v>1.89333E-2</v>
      </c>
      <c r="Z76" s="249">
        <f t="shared" si="25"/>
        <v>1.329003E-2</v>
      </c>
      <c r="AA76" s="294">
        <f t="shared" si="25"/>
        <v>0</v>
      </c>
      <c r="AB76" s="1819">
        <f t="shared" si="25"/>
        <v>1.72625E-2</v>
      </c>
      <c r="AC76" s="249">
        <f t="shared" si="25"/>
        <v>1.9722180000000002E-2</v>
      </c>
      <c r="AD76" s="249">
        <f t="shared" si="25"/>
        <v>2.4468300000000002E-2</v>
      </c>
      <c r="AE76" s="249">
        <f t="shared" si="25"/>
        <v>1.2152149999999999E-2</v>
      </c>
      <c r="AF76" s="249">
        <f t="shared" si="25"/>
        <v>0</v>
      </c>
      <c r="AG76" s="294">
        <f t="shared" si="25"/>
        <v>0</v>
      </c>
      <c r="AH76" s="1819">
        <f t="shared" si="25"/>
        <v>0</v>
      </c>
      <c r="AI76" s="249">
        <f t="shared" si="25"/>
        <v>1.1712099999999998E-2</v>
      </c>
      <c r="AJ76" s="249">
        <f t="shared" si="25"/>
        <v>2.2383750000000001E-2</v>
      </c>
      <c r="AK76" s="249">
        <f t="shared" si="25"/>
        <v>0</v>
      </c>
      <c r="AL76" s="249">
        <f t="shared" si="25"/>
        <v>0</v>
      </c>
      <c r="AM76" s="249">
        <f t="shared" si="25"/>
        <v>0</v>
      </c>
      <c r="AN76" s="249"/>
      <c r="AO76" s="335"/>
      <c r="AP76" s="249">
        <f t="shared" si="26"/>
        <v>7.159544680851063</v>
      </c>
      <c r="AQ76" s="249">
        <f t="shared" si="26"/>
        <v>5.5476999999999999</v>
      </c>
      <c r="AR76" s="249">
        <f t="shared" si="26"/>
        <v>6.1708050000000005</v>
      </c>
      <c r="AS76" s="294">
        <f t="shared" si="26"/>
        <v>5.7225999999999999</v>
      </c>
      <c r="AT76" s="1819">
        <f t="shared" si="26"/>
        <v>9.4365199999999998</v>
      </c>
      <c r="AU76" s="249">
        <f t="shared" si="26"/>
        <v>9.9214033333333322</v>
      </c>
      <c r="AV76" s="249">
        <f t="shared" si="26"/>
        <v>11.693039999999998</v>
      </c>
      <c r="AW76" s="249">
        <f t="shared" si="26"/>
        <v>10.5678</v>
      </c>
      <c r="AX76" s="249">
        <f t="shared" si="26"/>
        <v>11.497914166666668</v>
      </c>
      <c r="AY76" s="294">
        <f t="shared" si="26"/>
        <v>10.5833525</v>
      </c>
      <c r="AZ76" s="1819">
        <f t="shared" si="26"/>
        <v>11.787416666666667</v>
      </c>
      <c r="BA76" s="249">
        <f t="shared" si="26"/>
        <v>10.674247500000002</v>
      </c>
      <c r="BB76" s="249">
        <f t="shared" si="26"/>
        <v>12.0535525</v>
      </c>
      <c r="BC76" s="249">
        <f t="shared" si="26"/>
        <v>12.70058</v>
      </c>
      <c r="BD76" s="249">
        <f t="shared" si="26"/>
        <v>13.335883529411763</v>
      </c>
      <c r="BE76" s="249">
        <f t="shared" si="26"/>
        <v>8.4625914285714288</v>
      </c>
      <c r="BF76" s="249">
        <f t="shared" si="26"/>
        <v>0</v>
      </c>
      <c r="BG76" s="325"/>
      <c r="BH76" s="249">
        <f t="shared" si="27"/>
        <v>1.9713829787234045</v>
      </c>
      <c r="BI76" s="249">
        <f t="shared" si="27"/>
        <v>2.8308333333333335</v>
      </c>
      <c r="BJ76" s="249">
        <f t="shared" si="27"/>
        <v>6.6916666666666664</v>
      </c>
      <c r="BK76" s="294">
        <f t="shared" si="27"/>
        <v>3.96875</v>
      </c>
      <c r="BL76" s="1819">
        <f t="shared" si="27"/>
        <v>9.9737500000000008</v>
      </c>
      <c r="BM76" s="249">
        <f t="shared" si="27"/>
        <v>3.0333333333333337</v>
      </c>
      <c r="BN76" s="249">
        <f t="shared" si="27"/>
        <v>4.3125</v>
      </c>
      <c r="BO76" s="249">
        <f t="shared" si="27"/>
        <v>3.6</v>
      </c>
      <c r="BP76" s="249">
        <f t="shared" si="27"/>
        <v>3.1433333333333331</v>
      </c>
      <c r="BQ76" s="294">
        <f t="shared" si="27"/>
        <v>3.4049999999999998</v>
      </c>
      <c r="BR76" s="1819">
        <f t="shared" si="27"/>
        <v>3.71</v>
      </c>
      <c r="BS76" s="249">
        <f t="shared" si="27"/>
        <v>3.8424999999999998</v>
      </c>
      <c r="BT76" s="249">
        <f t="shared" si="27"/>
        <v>4.5776666666666666</v>
      </c>
      <c r="BU76" s="249">
        <f t="shared" si="27"/>
        <v>4.1626666666666674</v>
      </c>
      <c r="BV76" s="249">
        <f t="shared" si="27"/>
        <v>3.9441176470588242</v>
      </c>
      <c r="BW76" s="249">
        <f t="shared" si="27"/>
        <v>5.1100000000000003</v>
      </c>
      <c r="BX76" s="249">
        <f t="shared" si="27"/>
        <v>0</v>
      </c>
      <c r="BY76" s="335"/>
      <c r="BZ76" s="336"/>
      <c r="DJ76" s="1" t="s">
        <v>179</v>
      </c>
    </row>
    <row r="77" spans="3:114" x14ac:dyDescent="0.35">
      <c r="C77" s="1" t="s">
        <v>128</v>
      </c>
      <c r="F77" s="1819">
        <f t="shared" si="24"/>
        <v>3.5349702127659572</v>
      </c>
      <c r="G77" s="249">
        <f t="shared" si="24"/>
        <v>3.4196849999999994</v>
      </c>
      <c r="H77" s="249">
        <f t="shared" si="24"/>
        <v>3.3614978989361703</v>
      </c>
      <c r="I77" s="1864">
        <f t="shared" si="24"/>
        <v>3.3638851612903222</v>
      </c>
      <c r="J77" s="1819">
        <f t="shared" si="24"/>
        <v>0.26557344000000005</v>
      </c>
      <c r="K77" s="249">
        <f t="shared" si="24"/>
        <v>0.29743043478260872</v>
      </c>
      <c r="L77" s="249">
        <f t="shared" si="24"/>
        <v>0.32404565217391307</v>
      </c>
      <c r="M77" s="249">
        <f t="shared" si="24"/>
        <v>0.30073043478260875</v>
      </c>
      <c r="N77" s="1867">
        <f t="shared" si="24"/>
        <v>0.29872173913043482</v>
      </c>
      <c r="O77" s="1864">
        <f t="shared" si="24"/>
        <v>0.30273913043478262</v>
      </c>
      <c r="P77" s="1819">
        <f t="shared" si="24"/>
        <v>0.40515000000000001</v>
      </c>
      <c r="Q77" s="249">
        <f t="shared" si="24"/>
        <v>0.40714956521739132</v>
      </c>
      <c r="R77" s="249">
        <f t="shared" si="24"/>
        <v>0.42743086956521736</v>
      </c>
      <c r="S77" s="1867">
        <f t="shared" si="24"/>
        <v>0.40848260869565217</v>
      </c>
      <c r="T77" s="1867">
        <f t="shared" si="24"/>
        <v>0.39611624999999995</v>
      </c>
      <c r="U77" s="1867">
        <f t="shared" si="24"/>
        <v>0.40464461538461544</v>
      </c>
      <c r="V77" s="249"/>
      <c r="W77" s="2014"/>
      <c r="X77" s="1819">
        <f t="shared" si="25"/>
        <v>1.9754042553191492E-2</v>
      </c>
      <c r="Y77" s="249">
        <f t="shared" si="25"/>
        <v>2.8052549999999999E-2</v>
      </c>
      <c r="Z77" s="249">
        <f t="shared" si="25"/>
        <v>4.2052859999999997E-2</v>
      </c>
      <c r="AA77" s="294">
        <f t="shared" si="25"/>
        <v>0</v>
      </c>
      <c r="AB77" s="1819">
        <f t="shared" si="25"/>
        <v>5.7325000000000001E-2</v>
      </c>
      <c r="AC77" s="249">
        <f t="shared" si="25"/>
        <v>5.8795630000000008E-2</v>
      </c>
      <c r="AD77" s="249">
        <f t="shared" si="25"/>
        <v>5.8748037499999996E-2</v>
      </c>
      <c r="AE77" s="249">
        <f t="shared" si="25"/>
        <v>2.7631033333333336E-2</v>
      </c>
      <c r="AF77" s="249">
        <f t="shared" si="25"/>
        <v>0</v>
      </c>
      <c r="AG77" s="294">
        <f t="shared" si="25"/>
        <v>0</v>
      </c>
      <c r="AH77" s="1819">
        <f t="shared" si="25"/>
        <v>0</v>
      </c>
      <c r="AI77" s="249">
        <f t="shared" si="25"/>
        <v>5.0684733333333322E-2</v>
      </c>
      <c r="AJ77" s="249">
        <f t="shared" si="25"/>
        <v>5.6096458333333335E-2</v>
      </c>
      <c r="AK77" s="249">
        <f t="shared" si="25"/>
        <v>0</v>
      </c>
      <c r="AL77" s="249">
        <f t="shared" si="25"/>
        <v>0</v>
      </c>
      <c r="AM77" s="249">
        <f t="shared" si="25"/>
        <v>0</v>
      </c>
      <c r="AN77" s="249"/>
      <c r="AO77" s="335"/>
      <c r="AP77" s="249">
        <f t="shared" si="26"/>
        <v>20.467694042553191</v>
      </c>
      <c r="AQ77" s="249">
        <f t="shared" si="26"/>
        <v>17.893000000000001</v>
      </c>
      <c r="AR77" s="249">
        <f t="shared" si="26"/>
        <v>18.80545</v>
      </c>
      <c r="AS77" s="294">
        <f t="shared" si="26"/>
        <v>18.4742</v>
      </c>
      <c r="AT77" s="1819">
        <f t="shared" si="26"/>
        <v>21.674674999999997</v>
      </c>
      <c r="AU77" s="249">
        <f t="shared" si="26"/>
        <v>21.188309999999998</v>
      </c>
      <c r="AV77" s="249">
        <f t="shared" si="26"/>
        <v>24.478360000000002</v>
      </c>
      <c r="AW77" s="249">
        <f t="shared" si="26"/>
        <v>22.237185</v>
      </c>
      <c r="AX77" s="249">
        <f t="shared" si="26"/>
        <v>22.349139166666667</v>
      </c>
      <c r="AY77" s="294">
        <f t="shared" si="26"/>
        <v>21.214677499999997</v>
      </c>
      <c r="AZ77" s="1819">
        <f t="shared" si="26"/>
        <v>23.363578333333336</v>
      </c>
      <c r="BA77" s="249">
        <f t="shared" si="26"/>
        <v>22.255905000000002</v>
      </c>
      <c r="BB77" s="249">
        <f t="shared" si="26"/>
        <v>24.744747499999999</v>
      </c>
      <c r="BC77" s="249">
        <f t="shared" si="26"/>
        <v>24.108433333333334</v>
      </c>
      <c r="BD77" s="249">
        <f t="shared" si="26"/>
        <v>25.013523529411763</v>
      </c>
      <c r="BE77" s="249">
        <f t="shared" si="26"/>
        <v>19.136427142857144</v>
      </c>
      <c r="BF77" s="249">
        <f t="shared" si="26"/>
        <v>0</v>
      </c>
      <c r="BG77" s="325"/>
      <c r="BH77" s="249">
        <f t="shared" si="27"/>
        <v>0.74776595744680863</v>
      </c>
      <c r="BI77" s="249">
        <f t="shared" si="27"/>
        <v>1.6483333333333334</v>
      </c>
      <c r="BJ77" s="249">
        <f t="shared" si="27"/>
        <v>4.4000000000000004</v>
      </c>
      <c r="BK77" s="294">
        <f t="shared" si="27"/>
        <v>2.8045833333333339</v>
      </c>
      <c r="BL77" s="1819">
        <f t="shared" si="27"/>
        <v>6.4387499999999998</v>
      </c>
      <c r="BM77" s="249">
        <f t="shared" si="27"/>
        <v>1.5666666666666669</v>
      </c>
      <c r="BN77" s="249">
        <f t="shared" si="27"/>
        <v>2.0604166666666668</v>
      </c>
      <c r="BO77" s="249">
        <f t="shared" si="27"/>
        <v>1.72</v>
      </c>
      <c r="BP77" s="249">
        <f t="shared" si="27"/>
        <v>1.4691666666666665</v>
      </c>
      <c r="BQ77" s="294">
        <f t="shared" si="27"/>
        <v>1.5225</v>
      </c>
      <c r="BR77" s="1819">
        <f t="shared" si="27"/>
        <v>1.61</v>
      </c>
      <c r="BS77" s="249">
        <f t="shared" si="27"/>
        <v>1.8373333333333335</v>
      </c>
      <c r="BT77" s="249">
        <f t="shared" si="27"/>
        <v>2.4593333333333338</v>
      </c>
      <c r="BU77" s="249">
        <f t="shared" si="27"/>
        <v>1.96</v>
      </c>
      <c r="BV77" s="249">
        <f t="shared" si="27"/>
        <v>1.7558823529411764</v>
      </c>
      <c r="BW77" s="249">
        <f t="shared" si="27"/>
        <v>2.3725000000000001</v>
      </c>
      <c r="BX77" s="249">
        <f t="shared" si="27"/>
        <v>0</v>
      </c>
      <c r="BY77" s="335"/>
      <c r="BZ77" s="336"/>
      <c r="DC77" s="1839"/>
      <c r="DD77" s="251"/>
      <c r="DE77" s="251"/>
      <c r="DJ77" s="1" t="s">
        <v>180</v>
      </c>
    </row>
    <row r="78" spans="3:114" x14ac:dyDescent="0.35">
      <c r="C78" s="1" t="s">
        <v>168</v>
      </c>
      <c r="F78" s="1819">
        <f t="shared" si="24"/>
        <v>16.1060170212766</v>
      </c>
      <c r="G78" s="249">
        <f t="shared" si="24"/>
        <v>15.580755000000002</v>
      </c>
      <c r="H78" s="249">
        <f t="shared" si="24"/>
        <v>15.315643164893618</v>
      </c>
      <c r="I78" s="1864">
        <f t="shared" si="24"/>
        <v>15.32652</v>
      </c>
      <c r="J78" s="1819">
        <f t="shared" si="24"/>
        <v>0.75970099200000007</v>
      </c>
      <c r="K78" s="249">
        <f t="shared" si="24"/>
        <v>0.85083130434782617</v>
      </c>
      <c r="L78" s="249">
        <f t="shared" si="24"/>
        <v>0.9269669565217391</v>
      </c>
      <c r="M78" s="249">
        <f t="shared" si="24"/>
        <v>0.86027130434782606</v>
      </c>
      <c r="N78" s="1867">
        <f t="shared" si="24"/>
        <v>0.85452521739130427</v>
      </c>
      <c r="O78" s="1864">
        <f t="shared" si="24"/>
        <v>0.86601739130434785</v>
      </c>
      <c r="P78" s="1819">
        <f t="shared" si="24"/>
        <v>1.4892500000000002</v>
      </c>
      <c r="Q78" s="249">
        <f t="shared" si="24"/>
        <v>1.4966000000000002</v>
      </c>
      <c r="R78" s="249">
        <f t="shared" si="24"/>
        <v>1.57115</v>
      </c>
      <c r="S78" s="1867">
        <f t="shared" si="24"/>
        <v>1.5015000000000001</v>
      </c>
      <c r="T78" s="1867">
        <f t="shared" si="24"/>
        <v>1.4560437500000001</v>
      </c>
      <c r="U78" s="1867">
        <f t="shared" si="24"/>
        <v>1.4873923076923077</v>
      </c>
      <c r="V78" s="249"/>
      <c r="W78" s="2014"/>
      <c r="X78" s="1819">
        <f t="shared" si="25"/>
        <v>5.9300425531914891E-2</v>
      </c>
      <c r="Y78" s="249">
        <f t="shared" si="25"/>
        <v>9.898005E-2</v>
      </c>
      <c r="Z78" s="249">
        <f t="shared" si="25"/>
        <v>0.14585877</v>
      </c>
      <c r="AA78" s="294">
        <f t="shared" si="25"/>
        <v>0</v>
      </c>
      <c r="AB78" s="1819">
        <f t="shared" si="25"/>
        <v>0.19083749999999999</v>
      </c>
      <c r="AC78" s="249">
        <f t="shared" si="25"/>
        <v>0.16277833</v>
      </c>
      <c r="AD78" s="249">
        <f t="shared" si="25"/>
        <v>0.13572671249999999</v>
      </c>
      <c r="AE78" s="249">
        <f t="shared" si="25"/>
        <v>6.3411366666666663E-2</v>
      </c>
      <c r="AF78" s="249">
        <f t="shared" si="25"/>
        <v>0</v>
      </c>
      <c r="AG78" s="294">
        <f t="shared" si="25"/>
        <v>0</v>
      </c>
      <c r="AH78" s="1819">
        <f t="shared" si="25"/>
        <v>0</v>
      </c>
      <c r="AI78" s="249">
        <f t="shared" si="25"/>
        <v>0.12350736666666665</v>
      </c>
      <c r="AJ78" s="249">
        <f t="shared" si="25"/>
        <v>0.12146562499999998</v>
      </c>
      <c r="AK78" s="249">
        <f t="shared" si="25"/>
        <v>0</v>
      </c>
      <c r="AL78" s="249">
        <f t="shared" si="25"/>
        <v>0</v>
      </c>
      <c r="AM78" s="249">
        <f t="shared" si="25"/>
        <v>0</v>
      </c>
      <c r="AN78" s="249"/>
      <c r="AO78" s="335"/>
      <c r="AP78" s="249">
        <f t="shared" si="26"/>
        <v>51.683923404255317</v>
      </c>
      <c r="AQ78" s="249">
        <f t="shared" si="26"/>
        <v>46.840800000000002</v>
      </c>
      <c r="AR78" s="249">
        <f t="shared" si="26"/>
        <v>48.401985000000003</v>
      </c>
      <c r="AS78" s="294">
        <f t="shared" si="26"/>
        <v>47.819920000000003</v>
      </c>
      <c r="AT78" s="1819">
        <f t="shared" si="26"/>
        <v>35.674779999999998</v>
      </c>
      <c r="AU78" s="249">
        <f t="shared" si="26"/>
        <v>34.914239999999992</v>
      </c>
      <c r="AV78" s="249">
        <f t="shared" si="26"/>
        <v>40.246700000000004</v>
      </c>
      <c r="AW78" s="249">
        <f t="shared" si="26"/>
        <v>37.429169999999999</v>
      </c>
      <c r="AX78" s="249">
        <f t="shared" si="26"/>
        <v>36.815873333333336</v>
      </c>
      <c r="AY78" s="294">
        <f t="shared" si="26"/>
        <v>35.54298</v>
      </c>
      <c r="AZ78" s="1819">
        <f t="shared" si="26"/>
        <v>35.209166666666668</v>
      </c>
      <c r="BA78" s="249">
        <f t="shared" si="26"/>
        <v>33.671610000000001</v>
      </c>
      <c r="BB78" s="249">
        <f t="shared" si="26"/>
        <v>39.270990000000005</v>
      </c>
      <c r="BC78" s="249">
        <f t="shared" si="26"/>
        <v>37.302209999999995</v>
      </c>
      <c r="BD78" s="249">
        <f t="shared" si="26"/>
        <v>38.77678941176471</v>
      </c>
      <c r="BE78" s="249">
        <f t="shared" si="26"/>
        <v>29.684998571428572</v>
      </c>
      <c r="BF78" s="249">
        <f t="shared" si="26"/>
        <v>0</v>
      </c>
      <c r="BG78" s="325"/>
      <c r="BH78" s="249">
        <f t="shared" si="27"/>
        <v>0.40787234042553194</v>
      </c>
      <c r="BI78" s="249">
        <f t="shared" si="27"/>
        <v>0.57333333333333336</v>
      </c>
      <c r="BJ78" s="249">
        <f t="shared" si="27"/>
        <v>1.2833333333333332</v>
      </c>
      <c r="BK78" s="294">
        <f t="shared" si="27"/>
        <v>0.79374999999999996</v>
      </c>
      <c r="BL78" s="1819">
        <f t="shared" si="27"/>
        <v>1.7675000000000001</v>
      </c>
      <c r="BM78" s="249">
        <f t="shared" si="27"/>
        <v>0.3</v>
      </c>
      <c r="BN78" s="249">
        <f t="shared" si="27"/>
        <v>0.3354166666666667</v>
      </c>
      <c r="BO78" s="249">
        <f t="shared" si="27"/>
        <v>0.28000000000000003</v>
      </c>
      <c r="BP78" s="249">
        <f t="shared" si="27"/>
        <v>0.23916666666666664</v>
      </c>
      <c r="BQ78" s="294">
        <f t="shared" si="27"/>
        <v>0.255</v>
      </c>
      <c r="BR78" s="1819">
        <f t="shared" si="27"/>
        <v>0.27124999999999999</v>
      </c>
      <c r="BS78" s="249">
        <f t="shared" si="27"/>
        <v>0.4946666666666667</v>
      </c>
      <c r="BT78" s="249">
        <f t="shared" si="27"/>
        <v>0.48566666666666669</v>
      </c>
      <c r="BU78" s="249">
        <f t="shared" si="27"/>
        <v>0.36399999999999999</v>
      </c>
      <c r="BV78" s="249">
        <f t="shared" si="27"/>
        <v>0.3</v>
      </c>
      <c r="BW78" s="249">
        <f t="shared" si="27"/>
        <v>0.38933333333333336</v>
      </c>
      <c r="BX78" s="249">
        <f t="shared" si="27"/>
        <v>0</v>
      </c>
      <c r="BY78" s="335"/>
      <c r="BZ78" s="336"/>
      <c r="DC78" s="1839"/>
      <c r="DD78" s="251"/>
      <c r="DE78" s="251"/>
      <c r="DJ78" s="1" t="s">
        <v>181</v>
      </c>
    </row>
    <row r="79" spans="3:114" x14ac:dyDescent="0.35">
      <c r="C79" s="1" t="s">
        <v>169</v>
      </c>
      <c r="F79" s="1819">
        <f t="shared" si="24"/>
        <v>18.078944680851063</v>
      </c>
      <c r="G79" s="249">
        <f t="shared" si="24"/>
        <v>17.489339999999999</v>
      </c>
      <c r="H79" s="249">
        <f t="shared" si="24"/>
        <v>17.191752943262411</v>
      </c>
      <c r="I79" s="1864">
        <f t="shared" si="24"/>
        <v>17.203962150537635</v>
      </c>
      <c r="J79" s="1819">
        <f t="shared" si="24"/>
        <v>5.0555525760000002</v>
      </c>
      <c r="K79" s="249">
        <f t="shared" si="24"/>
        <v>5.661993913043478</v>
      </c>
      <c r="L79" s="249">
        <f t="shared" si="24"/>
        <v>6.1686508695652176</v>
      </c>
      <c r="M79" s="249">
        <f t="shared" si="24"/>
        <v>5.7248139130434792</v>
      </c>
      <c r="N79" s="1867">
        <f t="shared" si="24"/>
        <v>5.6865756521739126</v>
      </c>
      <c r="O79" s="1864">
        <f t="shared" si="24"/>
        <v>5.763052173913044</v>
      </c>
      <c r="P79" s="1819">
        <f t="shared" si="24"/>
        <v>9.7698499999999981</v>
      </c>
      <c r="Q79" s="249">
        <f t="shared" si="24"/>
        <v>9.8180678260869563</v>
      </c>
      <c r="R79" s="249">
        <f t="shared" si="24"/>
        <v>10.307134347826086</v>
      </c>
      <c r="S79" s="1867">
        <f t="shared" si="24"/>
        <v>9.8502130434782593</v>
      </c>
      <c r="T79" s="1867">
        <f t="shared" si="24"/>
        <v>9.5520087500000006</v>
      </c>
      <c r="U79" s="1867">
        <f t="shared" si="24"/>
        <v>9.7576630769230768</v>
      </c>
      <c r="V79" s="249"/>
      <c r="W79" s="2014"/>
      <c r="X79" s="1819">
        <f t="shared" si="25"/>
        <v>4.2464680851063828E-2</v>
      </c>
      <c r="Y79" s="249">
        <f t="shared" si="25"/>
        <v>8.3414599999999992E-2</v>
      </c>
      <c r="Z79" s="249">
        <f t="shared" si="25"/>
        <v>0.12937747499999999</v>
      </c>
      <c r="AA79" s="294">
        <f t="shared" si="25"/>
        <v>0</v>
      </c>
      <c r="AB79" s="1819">
        <f t="shared" si="25"/>
        <v>0.1925375</v>
      </c>
      <c r="AC79" s="249">
        <f t="shared" si="25"/>
        <v>0.14689315</v>
      </c>
      <c r="AD79" s="249">
        <f t="shared" si="25"/>
        <v>0.117320675</v>
      </c>
      <c r="AE79" s="249">
        <f t="shared" si="25"/>
        <v>5.7577616666666651E-2</v>
      </c>
      <c r="AF79" s="249">
        <f t="shared" si="25"/>
        <v>0</v>
      </c>
      <c r="AG79" s="294">
        <f t="shared" si="25"/>
        <v>0</v>
      </c>
      <c r="AH79" s="1819">
        <f t="shared" si="25"/>
        <v>0</v>
      </c>
      <c r="AI79" s="249">
        <f t="shared" si="25"/>
        <v>0.11140034999999998</v>
      </c>
      <c r="AJ79" s="249">
        <f t="shared" si="25"/>
        <v>9.9336458333333336E-2</v>
      </c>
      <c r="AK79" s="249">
        <f t="shared" si="25"/>
        <v>0</v>
      </c>
      <c r="AL79" s="249">
        <f t="shared" si="25"/>
        <v>0</v>
      </c>
      <c r="AM79" s="249">
        <f t="shared" si="25"/>
        <v>0</v>
      </c>
      <c r="AN79" s="249"/>
      <c r="AO79" s="335"/>
      <c r="AP79" s="249">
        <f t="shared" si="26"/>
        <v>41.009134468085101</v>
      </c>
      <c r="AQ79" s="249">
        <f t="shared" si="26"/>
        <v>34.260599999999997</v>
      </c>
      <c r="AR79" s="249">
        <f t="shared" si="26"/>
        <v>35.821394999999995</v>
      </c>
      <c r="AS79" s="294">
        <f t="shared" si="26"/>
        <v>35.448880000000003</v>
      </c>
      <c r="AT79" s="1819">
        <f t="shared" si="26"/>
        <v>17.448685000000001</v>
      </c>
      <c r="AU79" s="249">
        <f t="shared" si="26"/>
        <v>18.771193333333329</v>
      </c>
      <c r="AV79" s="249">
        <f t="shared" si="26"/>
        <v>22.41996</v>
      </c>
      <c r="AW79" s="249">
        <f t="shared" si="26"/>
        <v>20.398634999999999</v>
      </c>
      <c r="AX79" s="249">
        <f t="shared" si="26"/>
        <v>20.164801666666666</v>
      </c>
      <c r="AY79" s="294">
        <f t="shared" si="26"/>
        <v>19.846687499999998</v>
      </c>
      <c r="AZ79" s="1819">
        <f t="shared" si="26"/>
        <v>18.529206666666667</v>
      </c>
      <c r="BA79" s="249">
        <f t="shared" si="26"/>
        <v>17.597055000000001</v>
      </c>
      <c r="BB79" s="249">
        <f t="shared" si="26"/>
        <v>20.206615000000003</v>
      </c>
      <c r="BC79" s="249">
        <f t="shared" si="26"/>
        <v>19.009515</v>
      </c>
      <c r="BD79" s="249">
        <f t="shared" si="26"/>
        <v>19.65958823529412</v>
      </c>
      <c r="BE79" s="249">
        <f t="shared" si="26"/>
        <v>15.784618571428574</v>
      </c>
      <c r="BF79" s="249">
        <f t="shared" si="26"/>
        <v>0</v>
      </c>
      <c r="BG79" s="325"/>
      <c r="BH79" s="249">
        <f t="shared" si="27"/>
        <v>0</v>
      </c>
      <c r="BI79" s="249">
        <f t="shared" si="27"/>
        <v>0</v>
      </c>
      <c r="BJ79" s="249">
        <f t="shared" si="27"/>
        <v>0</v>
      </c>
      <c r="BK79" s="294">
        <f t="shared" si="27"/>
        <v>0</v>
      </c>
      <c r="BL79" s="1819">
        <f t="shared" si="27"/>
        <v>0</v>
      </c>
      <c r="BM79" s="249">
        <f t="shared" si="27"/>
        <v>0</v>
      </c>
      <c r="BN79" s="249">
        <f t="shared" si="27"/>
        <v>0</v>
      </c>
      <c r="BO79" s="249">
        <f t="shared" si="27"/>
        <v>0</v>
      </c>
      <c r="BP79" s="249">
        <f t="shared" si="27"/>
        <v>0</v>
      </c>
      <c r="BQ79" s="294">
        <f t="shared" si="27"/>
        <v>0</v>
      </c>
      <c r="BR79" s="1819">
        <f t="shared" si="27"/>
        <v>0</v>
      </c>
      <c r="BS79" s="249">
        <f t="shared" si="27"/>
        <v>0</v>
      </c>
      <c r="BT79" s="249">
        <f t="shared" si="27"/>
        <v>0</v>
      </c>
      <c r="BU79" s="249">
        <f t="shared" si="27"/>
        <v>0</v>
      </c>
      <c r="BV79" s="249">
        <f t="shared" si="27"/>
        <v>0</v>
      </c>
      <c r="BW79" s="249">
        <f t="shared" si="27"/>
        <v>0</v>
      </c>
      <c r="BX79" s="249">
        <f t="shared" si="27"/>
        <v>0</v>
      </c>
      <c r="BY79" s="335"/>
      <c r="BZ79" s="336"/>
      <c r="DC79" s="1839"/>
      <c r="DD79" s="251"/>
      <c r="DE79" s="251"/>
      <c r="DJ79" s="1" t="s">
        <v>182</v>
      </c>
    </row>
    <row r="80" spans="3:114" x14ac:dyDescent="0.35">
      <c r="C80" s="1" t="s">
        <v>395</v>
      </c>
      <c r="F80" s="1819">
        <f t="shared" si="24"/>
        <v>300.9342893617021</v>
      </c>
      <c r="G80" s="249">
        <f t="shared" si="24"/>
        <v>291.11998499999999</v>
      </c>
      <c r="H80" s="249">
        <f t="shared" si="24"/>
        <v>286.1664796365248</v>
      </c>
      <c r="I80" s="1864">
        <f t="shared" si="24"/>
        <v>286.36970881720424</v>
      </c>
      <c r="J80" s="1819">
        <f t="shared" si="24"/>
        <v>154.82448691200003</v>
      </c>
      <c r="K80" s="249">
        <f t="shared" si="24"/>
        <v>173.39653565217395</v>
      </c>
      <c r="L80" s="249">
        <f t="shared" si="24"/>
        <v>188.91272347826089</v>
      </c>
      <c r="M80" s="249">
        <f t="shared" si="24"/>
        <v>175.32037565217394</v>
      </c>
      <c r="N80" s="1867">
        <f t="shared" si="24"/>
        <v>174.14934260869566</v>
      </c>
      <c r="O80" s="1864">
        <f t="shared" si="24"/>
        <v>176.49140869565218</v>
      </c>
      <c r="P80" s="1819">
        <f t="shared" si="24"/>
        <v>173.33574999999996</v>
      </c>
      <c r="Q80" s="249">
        <f t="shared" si="24"/>
        <v>174.19122608695653</v>
      </c>
      <c r="R80" s="249">
        <f t="shared" si="24"/>
        <v>182.86819782608694</v>
      </c>
      <c r="S80" s="1867">
        <f t="shared" si="24"/>
        <v>174.76154347826088</v>
      </c>
      <c r="T80" s="1867">
        <f t="shared" si="24"/>
        <v>169.47083124999997</v>
      </c>
      <c r="U80" s="1867">
        <f t="shared" si="24"/>
        <v>173.11953076923078</v>
      </c>
      <c r="V80" s="249"/>
      <c r="W80" s="2014"/>
      <c r="X80" s="1819">
        <f t="shared" si="25"/>
        <v>0.22331489361702128</v>
      </c>
      <c r="Y80" s="249">
        <f t="shared" si="25"/>
        <v>0.70534744999999999</v>
      </c>
      <c r="Z80" s="249">
        <f t="shared" si="25"/>
        <v>1.044483075</v>
      </c>
      <c r="AA80" s="294">
        <f t="shared" si="25"/>
        <v>0</v>
      </c>
      <c r="AB80" s="1819">
        <f t="shared" si="25"/>
        <v>0.78249999999999997</v>
      </c>
      <c r="AC80" s="249">
        <f t="shared" si="25"/>
        <v>0.87987526000000005</v>
      </c>
      <c r="AD80" s="249">
        <f t="shared" si="25"/>
        <v>0.74585561249999999</v>
      </c>
      <c r="AE80" s="249">
        <f t="shared" si="25"/>
        <v>0.43288219999999994</v>
      </c>
      <c r="AF80" s="249">
        <f t="shared" si="25"/>
        <v>0</v>
      </c>
      <c r="AG80" s="294">
        <f t="shared" si="25"/>
        <v>0</v>
      </c>
      <c r="AH80" s="1819">
        <f t="shared" si="25"/>
        <v>0</v>
      </c>
      <c r="AI80" s="249">
        <f t="shared" si="25"/>
        <v>0.82889623333333329</v>
      </c>
      <c r="AJ80" s="249">
        <f t="shared" si="25"/>
        <v>0.67112083333333328</v>
      </c>
      <c r="AK80" s="249">
        <f t="shared" si="25"/>
        <v>0.6974999999999999</v>
      </c>
      <c r="AL80" s="249">
        <f t="shared" si="25"/>
        <v>0</v>
      </c>
      <c r="AM80" s="249">
        <f t="shared" si="25"/>
        <v>0</v>
      </c>
      <c r="AN80" s="249"/>
      <c r="AO80" s="335"/>
      <c r="AP80" s="249">
        <f t="shared" si="26"/>
        <v>184.7223982978723</v>
      </c>
      <c r="AQ80" s="249">
        <f t="shared" si="26"/>
        <v>183.52070000000001</v>
      </c>
      <c r="AR80" s="249">
        <f t="shared" si="26"/>
        <v>173.570605</v>
      </c>
      <c r="AS80" s="294">
        <f t="shared" si="26"/>
        <v>174.38168000000002</v>
      </c>
      <c r="AT80" s="1819">
        <f t="shared" si="26"/>
        <v>47.197394999999986</v>
      </c>
      <c r="AU80" s="249">
        <f t="shared" si="26"/>
        <v>61.376803333333328</v>
      </c>
      <c r="AV80" s="249">
        <f t="shared" si="26"/>
        <v>64.061059999999983</v>
      </c>
      <c r="AW80" s="249">
        <f t="shared" si="26"/>
        <v>61.013594999999995</v>
      </c>
      <c r="AX80" s="249">
        <f t="shared" si="26"/>
        <v>63.14692666666668</v>
      </c>
      <c r="AY80" s="294">
        <f t="shared" si="26"/>
        <v>65.021307499999992</v>
      </c>
      <c r="AZ80" s="1819">
        <f t="shared" si="26"/>
        <v>60.850625000000001</v>
      </c>
      <c r="BA80" s="249">
        <f t="shared" si="26"/>
        <v>64.209914999999995</v>
      </c>
      <c r="BB80" s="249">
        <f t="shared" si="26"/>
        <v>63.381340000000002</v>
      </c>
      <c r="BC80" s="249">
        <f t="shared" si="26"/>
        <v>56.081975</v>
      </c>
      <c r="BD80" s="249">
        <f t="shared" si="26"/>
        <v>55.35922470588234</v>
      </c>
      <c r="BE80" s="249">
        <f t="shared" si="26"/>
        <v>56.752632857142856</v>
      </c>
      <c r="BF80" s="249">
        <f t="shared" si="26"/>
        <v>0</v>
      </c>
      <c r="BG80" s="325"/>
      <c r="BH80" s="249">
        <f t="shared" si="27"/>
        <v>0</v>
      </c>
      <c r="BI80" s="249">
        <f t="shared" si="27"/>
        <v>0</v>
      </c>
      <c r="BJ80" s="249">
        <f t="shared" si="27"/>
        <v>0</v>
      </c>
      <c r="BK80" s="294">
        <f t="shared" si="27"/>
        <v>0</v>
      </c>
      <c r="BL80" s="1819">
        <f t="shared" si="27"/>
        <v>0</v>
      </c>
      <c r="BM80" s="249">
        <f t="shared" si="27"/>
        <v>0</v>
      </c>
      <c r="BN80" s="249">
        <f t="shared" si="27"/>
        <v>0</v>
      </c>
      <c r="BO80" s="249">
        <f t="shared" si="27"/>
        <v>0</v>
      </c>
      <c r="BP80" s="249">
        <f t="shared" si="27"/>
        <v>0</v>
      </c>
      <c r="BQ80" s="294">
        <f t="shared" si="27"/>
        <v>0</v>
      </c>
      <c r="BR80" s="1819">
        <f t="shared" si="27"/>
        <v>0</v>
      </c>
      <c r="BS80" s="249">
        <f t="shared" si="27"/>
        <v>0</v>
      </c>
      <c r="BT80" s="249">
        <f t="shared" si="27"/>
        <v>0</v>
      </c>
      <c r="BU80" s="249">
        <f t="shared" si="27"/>
        <v>0</v>
      </c>
      <c r="BV80" s="249">
        <f t="shared" si="27"/>
        <v>0</v>
      </c>
      <c r="BW80" s="249">
        <f t="shared" si="27"/>
        <v>0</v>
      </c>
      <c r="BX80" s="249">
        <f t="shared" si="27"/>
        <v>0</v>
      </c>
      <c r="BY80" s="335"/>
      <c r="BZ80" s="336"/>
      <c r="DC80" s="1839"/>
      <c r="DD80" s="251"/>
      <c r="DE80" s="251"/>
      <c r="DJ80" s="1" t="s">
        <v>346</v>
      </c>
    </row>
    <row r="81" spans="3:113" ht="15" thickBot="1" x14ac:dyDescent="0.4">
      <c r="C81" s="1" t="s">
        <v>167</v>
      </c>
      <c r="F81" s="2015">
        <f t="shared" ref="F81" si="28">SUM(F74:F80)</f>
        <v>339.57446808510633</v>
      </c>
      <c r="G81" s="389">
        <f t="shared" ref="G81:U81" si="29">SUM(G74:G80)</f>
        <v>328.5</v>
      </c>
      <c r="H81" s="389">
        <f t="shared" si="29"/>
        <v>322.91046099290776</v>
      </c>
      <c r="I81" s="2016">
        <f t="shared" si="29"/>
        <v>323.13978494623649</v>
      </c>
      <c r="J81" s="2015">
        <f t="shared" si="29"/>
        <v>160.95360000000002</v>
      </c>
      <c r="K81" s="389">
        <f t="shared" si="29"/>
        <v>180.26086956521743</v>
      </c>
      <c r="L81" s="389">
        <f t="shared" si="29"/>
        <v>196.39130434782609</v>
      </c>
      <c r="M81" s="389">
        <f t="shared" si="29"/>
        <v>182.2608695652174</v>
      </c>
      <c r="N81" s="2017">
        <f t="shared" si="29"/>
        <v>181.04347826086956</v>
      </c>
      <c r="O81" s="2016">
        <f t="shared" si="29"/>
        <v>183.47826086956522</v>
      </c>
      <c r="P81" s="2015">
        <f t="shared" si="29"/>
        <v>184.99999999999997</v>
      </c>
      <c r="Q81" s="389">
        <f t="shared" si="29"/>
        <v>185.91304347826087</v>
      </c>
      <c r="R81" s="389">
        <f t="shared" si="29"/>
        <v>195.17391304347825</v>
      </c>
      <c r="S81" s="2017">
        <f t="shared" si="29"/>
        <v>186.52173913043478</v>
      </c>
      <c r="T81" s="2017">
        <f t="shared" si="29"/>
        <v>180.87499999999997</v>
      </c>
      <c r="U81" s="2017">
        <f t="shared" si="29"/>
        <v>184.76923076923077</v>
      </c>
      <c r="V81" s="389"/>
      <c r="W81" s="2018"/>
      <c r="X81" s="2015">
        <f t="shared" ref="X81:BF81" si="30">SUM(X74:X80)</f>
        <v>0.76595744680851063</v>
      </c>
      <c r="Y81" s="389">
        <f t="shared" si="30"/>
        <v>0.96499999999999997</v>
      </c>
      <c r="Z81" s="389">
        <f t="shared" si="30"/>
        <v>1.3815</v>
      </c>
      <c r="AA81" s="2019">
        <f t="shared" si="30"/>
        <v>0</v>
      </c>
      <c r="AB81" s="2015">
        <f t="shared" si="30"/>
        <v>1.25</v>
      </c>
      <c r="AC81" s="389">
        <f t="shared" si="30"/>
        <v>1.2789999999999999</v>
      </c>
      <c r="AD81" s="389">
        <f t="shared" si="30"/>
        <v>1.0962499999999999</v>
      </c>
      <c r="AE81" s="389">
        <f t="shared" si="30"/>
        <v>0.59833333333333327</v>
      </c>
      <c r="AF81" s="389">
        <f t="shared" si="30"/>
        <v>0</v>
      </c>
      <c r="AG81" s="2019">
        <f t="shared" si="30"/>
        <v>0</v>
      </c>
      <c r="AH81" s="2015">
        <f t="shared" si="30"/>
        <v>0</v>
      </c>
      <c r="AI81" s="389">
        <f t="shared" si="30"/>
        <v>1.1283333333333332</v>
      </c>
      <c r="AJ81" s="389">
        <f t="shared" si="30"/>
        <v>0.97916666666666652</v>
      </c>
      <c r="AK81" s="389">
        <f t="shared" si="30"/>
        <v>0.6974999999999999</v>
      </c>
      <c r="AL81" s="389">
        <f t="shared" si="30"/>
        <v>0</v>
      </c>
      <c r="AM81" s="389">
        <f t="shared" si="30"/>
        <v>0</v>
      </c>
      <c r="AN81" s="389"/>
      <c r="AO81" s="390"/>
      <c r="AP81" s="389">
        <f t="shared" si="30"/>
        <v>307.27659574468078</v>
      </c>
      <c r="AQ81" s="389">
        <f t="shared" si="30"/>
        <v>290</v>
      </c>
      <c r="AR81" s="389">
        <f t="shared" si="30"/>
        <v>284.5</v>
      </c>
      <c r="AS81" s="2019">
        <f t="shared" si="30"/>
        <v>284</v>
      </c>
      <c r="AT81" s="2015">
        <f t="shared" si="30"/>
        <v>134.49999999999997</v>
      </c>
      <c r="AU81" s="389">
        <f t="shared" si="30"/>
        <v>149.66666666666663</v>
      </c>
      <c r="AV81" s="389">
        <f t="shared" si="30"/>
        <v>166</v>
      </c>
      <c r="AW81" s="389">
        <f t="shared" si="30"/>
        <v>154.5</v>
      </c>
      <c r="AX81" s="389">
        <f t="shared" si="30"/>
        <v>156.58333333333334</v>
      </c>
      <c r="AY81" s="2019">
        <f t="shared" si="30"/>
        <v>154.75</v>
      </c>
      <c r="AZ81" s="2015">
        <f t="shared" si="30"/>
        <v>153.08333333333334</v>
      </c>
      <c r="BA81" s="389">
        <f t="shared" si="30"/>
        <v>152.25</v>
      </c>
      <c r="BB81" s="389">
        <f t="shared" si="30"/>
        <v>162.25</v>
      </c>
      <c r="BC81" s="389">
        <f t="shared" si="30"/>
        <v>153.16666666666666</v>
      </c>
      <c r="BD81" s="389">
        <f t="shared" si="30"/>
        <v>155.41176470588235</v>
      </c>
      <c r="BE81" s="389">
        <f t="shared" si="30"/>
        <v>131.85714285714286</v>
      </c>
      <c r="BF81" s="389">
        <f t="shared" si="30"/>
        <v>0</v>
      </c>
      <c r="BG81" s="391"/>
      <c r="BH81" s="389">
        <f t="shared" ref="BH81:BX81" si="31">SUM(BH74:BH80)</f>
        <v>4.5319148936170208</v>
      </c>
      <c r="BI81" s="389">
        <f t="shared" si="31"/>
        <v>7.166666666666667</v>
      </c>
      <c r="BJ81" s="389">
        <f t="shared" si="31"/>
        <v>18.333333333333329</v>
      </c>
      <c r="BK81" s="2019">
        <f t="shared" si="31"/>
        <v>10.583333333333334</v>
      </c>
      <c r="BL81" s="2015">
        <f t="shared" si="31"/>
        <v>25.25</v>
      </c>
      <c r="BM81" s="389">
        <f t="shared" si="31"/>
        <v>6.666666666666667</v>
      </c>
      <c r="BN81" s="389">
        <f t="shared" si="31"/>
        <v>9.5833333333333339</v>
      </c>
      <c r="BO81" s="389">
        <f t="shared" si="31"/>
        <v>8</v>
      </c>
      <c r="BP81" s="389">
        <f t="shared" si="31"/>
        <v>6.833333333333333</v>
      </c>
      <c r="BQ81" s="2019">
        <f t="shared" si="31"/>
        <v>7.5</v>
      </c>
      <c r="BR81" s="2015">
        <f t="shared" si="31"/>
        <v>8.75</v>
      </c>
      <c r="BS81" s="389">
        <f t="shared" si="31"/>
        <v>8.8333333333333339</v>
      </c>
      <c r="BT81" s="389">
        <f t="shared" si="31"/>
        <v>10.333333333333334</v>
      </c>
      <c r="BU81" s="389">
        <f t="shared" si="31"/>
        <v>9.3333333333333357</v>
      </c>
      <c r="BV81" s="389">
        <f t="shared" si="31"/>
        <v>8.8235294117647065</v>
      </c>
      <c r="BW81" s="389">
        <f t="shared" si="31"/>
        <v>12.166666666666666</v>
      </c>
      <c r="BX81" s="389">
        <f t="shared" si="31"/>
        <v>0</v>
      </c>
      <c r="BY81" s="344"/>
      <c r="BZ81" s="345"/>
      <c r="CA81" s="225"/>
      <c r="CB81" s="225"/>
      <c r="CC81" s="225"/>
      <c r="CD81" s="226"/>
      <c r="CE81" s="1768"/>
      <c r="CF81" s="225"/>
      <c r="CG81" s="225"/>
      <c r="CH81" s="225"/>
      <c r="CI81" s="225"/>
      <c r="CJ81" s="226"/>
      <c r="CK81" s="1768"/>
      <c r="CL81" s="225"/>
      <c r="CM81" s="225"/>
      <c r="CN81" s="225"/>
      <c r="CO81" s="225"/>
      <c r="CP81" s="225"/>
      <c r="CQ81" s="225"/>
      <c r="CR81" s="344"/>
      <c r="CS81" s="225"/>
      <c r="CT81" s="225"/>
      <c r="CU81" s="225"/>
      <c r="CV81" s="226"/>
      <c r="CW81" s="1768"/>
      <c r="CX81" s="225"/>
      <c r="CY81" s="225"/>
      <c r="CZ81" s="225"/>
      <c r="DA81" s="225"/>
      <c r="DB81" s="226"/>
      <c r="DC81" s="1845"/>
      <c r="DD81" s="392"/>
      <c r="DE81" s="392"/>
      <c r="DF81" s="225"/>
      <c r="DG81" s="225"/>
      <c r="DH81" s="225"/>
      <c r="DI81" s="225"/>
    </row>
    <row r="82" spans="3:113" s="2032" customFormat="1" ht="15.5" thickTop="1" thickBot="1" x14ac:dyDescent="0.4">
      <c r="C82" s="2020"/>
      <c r="D82" s="2020"/>
      <c r="E82" s="2020"/>
      <c r="F82" s="2021"/>
      <c r="G82" s="2022"/>
      <c r="H82" s="2022"/>
      <c r="I82" s="2023"/>
      <c r="J82" s="2021"/>
      <c r="K82" s="2022"/>
      <c r="L82" s="2022"/>
      <c r="M82" s="2022"/>
      <c r="N82" s="2024"/>
      <c r="O82" s="2025"/>
      <c r="P82" s="2021"/>
      <c r="Q82" s="2022"/>
      <c r="R82" s="2022"/>
      <c r="S82" s="2024"/>
      <c r="T82" s="2024"/>
      <c r="U82" s="2024"/>
      <c r="V82" s="2022"/>
      <c r="W82" s="2026"/>
      <c r="X82" s="2021"/>
      <c r="Y82" s="2022"/>
      <c r="Z82" s="2022"/>
      <c r="AA82" s="2027"/>
      <c r="AB82" s="2021"/>
      <c r="AC82" s="2022"/>
      <c r="AD82" s="2022"/>
      <c r="AE82" s="2022"/>
      <c r="AF82" s="2022"/>
      <c r="AG82" s="2027"/>
      <c r="AH82" s="2021"/>
      <c r="AI82" s="2022"/>
      <c r="AJ82" s="2022"/>
      <c r="AK82" s="2022"/>
      <c r="AL82" s="2022"/>
      <c r="AM82" s="2022"/>
      <c r="AN82" s="2022"/>
      <c r="AO82" s="2028"/>
      <c r="AP82" s="2022"/>
      <c r="AQ82" s="2022"/>
      <c r="AR82" s="2022"/>
      <c r="AS82" s="2027"/>
      <c r="AT82" s="2021"/>
      <c r="AU82" s="2022"/>
      <c r="AV82" s="2022"/>
      <c r="AW82" s="2022"/>
      <c r="AX82" s="2022"/>
      <c r="AY82" s="2027"/>
      <c r="AZ82" s="2021"/>
      <c r="BA82" s="2022"/>
      <c r="BB82" s="2022"/>
      <c r="BC82" s="2022"/>
      <c r="BD82" s="2022"/>
      <c r="BE82" s="2022"/>
      <c r="BF82" s="2022"/>
      <c r="BG82" s="2028"/>
      <c r="BH82" s="2022"/>
      <c r="BI82" s="2022"/>
      <c r="BJ82" s="2022"/>
      <c r="BK82" s="2027"/>
      <c r="BL82" s="2021"/>
      <c r="BM82" s="2022"/>
      <c r="BN82" s="2022"/>
      <c r="BO82" s="2022"/>
      <c r="BP82" s="2022"/>
      <c r="BQ82" s="2027"/>
      <c r="BR82" s="2021"/>
      <c r="BS82" s="2022"/>
      <c r="BT82" s="2022"/>
      <c r="BU82" s="2022"/>
      <c r="BV82" s="2022"/>
      <c r="BW82" s="2022"/>
      <c r="BX82" s="2022"/>
      <c r="BY82" s="2028"/>
      <c r="BZ82" s="2029"/>
      <c r="CA82" s="2022"/>
      <c r="CB82" s="2022"/>
      <c r="CC82" s="2022"/>
      <c r="CD82" s="2027"/>
      <c r="CE82" s="2021"/>
      <c r="CF82" s="2022"/>
      <c r="CG82" s="2022"/>
      <c r="CH82" s="2022"/>
      <c r="CI82" s="2022"/>
      <c r="CJ82" s="2027"/>
      <c r="CK82" s="2021"/>
      <c r="CL82" s="2022"/>
      <c r="CM82" s="2022"/>
      <c r="CN82" s="2022"/>
      <c r="CO82" s="2022"/>
      <c r="CP82" s="2022"/>
      <c r="CQ82" s="2022"/>
      <c r="CR82" s="2028"/>
      <c r="CS82" s="2022"/>
      <c r="CT82" s="2022"/>
      <c r="CU82" s="2022"/>
      <c r="CV82" s="2027"/>
      <c r="CW82" s="2021"/>
      <c r="CX82" s="2022"/>
      <c r="CY82" s="2022"/>
      <c r="CZ82" s="2022"/>
      <c r="DA82" s="2022"/>
      <c r="DB82" s="2027"/>
      <c r="DC82" s="2030"/>
      <c r="DD82" s="2031"/>
      <c r="DE82" s="2031"/>
      <c r="DF82" s="2022"/>
      <c r="DG82" s="2022"/>
      <c r="DH82" s="2022"/>
      <c r="DI82" s="2022"/>
    </row>
    <row r="83" spans="3:113" x14ac:dyDescent="0.35">
      <c r="C83" s="1" t="s">
        <v>423</v>
      </c>
      <c r="F83" s="896">
        <f>F$18*F$55*10^-6</f>
        <v>1.3479051063829788E-2</v>
      </c>
      <c r="G83" s="895">
        <f t="shared" ref="G83:I83" si="32">G$18*G$55*10^-6</f>
        <v>1.2879369999999999E-2</v>
      </c>
      <c r="H83" s="894">
        <f t="shared" si="32"/>
        <v>1.2498167499999999E-2</v>
      </c>
      <c r="I83" s="2033">
        <f t="shared" si="32"/>
        <v>1.2698397419354837E-2</v>
      </c>
      <c r="J83" s="2034"/>
      <c r="K83" s="2035"/>
      <c r="L83" s="2035"/>
      <c r="M83" s="2035"/>
      <c r="N83" s="2036"/>
      <c r="O83" s="2037"/>
      <c r="P83" s="2038"/>
      <c r="Q83" s="2035"/>
      <c r="R83" s="2035"/>
      <c r="S83" s="2036"/>
      <c r="T83" s="2036"/>
      <c r="U83" s="2036"/>
      <c r="V83" s="229"/>
      <c r="W83" s="1796"/>
      <c r="X83" s="1774"/>
      <c r="Y83" s="229"/>
      <c r="Z83" s="229"/>
      <c r="AA83" s="1773"/>
      <c r="AB83" s="1774"/>
      <c r="AC83" s="229"/>
      <c r="AD83" s="229"/>
      <c r="AE83" s="229"/>
      <c r="AF83" s="229"/>
      <c r="AG83" s="1773"/>
      <c r="AH83" s="1774"/>
      <c r="AI83" s="229"/>
      <c r="AJ83" s="229"/>
      <c r="AK83" s="229"/>
      <c r="AL83" s="229"/>
      <c r="AM83" s="229"/>
      <c r="AN83" s="229"/>
      <c r="AO83" s="356"/>
      <c r="AP83" s="229"/>
      <c r="AQ83" s="229"/>
      <c r="AR83" s="229"/>
      <c r="AS83" s="1773"/>
      <c r="AT83" s="1774"/>
      <c r="AU83" s="229"/>
      <c r="AV83" s="229"/>
      <c r="AW83" s="229"/>
      <c r="AX83" s="229"/>
      <c r="AY83" s="1773"/>
      <c r="AZ83" s="1774"/>
      <c r="BA83" s="229"/>
      <c r="BB83" s="229"/>
      <c r="BC83" s="229"/>
      <c r="BD83" s="229"/>
      <c r="BE83" s="229"/>
      <c r="BF83" s="229"/>
      <c r="BG83" s="356"/>
      <c r="BH83" s="229"/>
      <c r="BI83" s="229"/>
      <c r="BJ83" s="229"/>
      <c r="BK83" s="1773"/>
      <c r="BL83" s="1774"/>
      <c r="BM83" s="229"/>
      <c r="BN83" s="229"/>
      <c r="BO83" s="229"/>
      <c r="BP83" s="229"/>
      <c r="BQ83" s="1773"/>
      <c r="BR83" s="1774"/>
      <c r="BS83" s="229"/>
      <c r="BT83" s="229"/>
      <c r="BU83" s="229"/>
      <c r="BV83" s="229"/>
      <c r="BW83" s="229"/>
      <c r="BX83" s="229"/>
      <c r="BY83" s="356"/>
      <c r="BZ83" s="358"/>
      <c r="CA83" s="229"/>
      <c r="CB83" s="229"/>
      <c r="CC83" s="229"/>
      <c r="CD83" s="1773"/>
      <c r="CE83" s="1774"/>
      <c r="CF83" s="229"/>
      <c r="CG83" s="229"/>
      <c r="CH83" s="229"/>
      <c r="CI83" s="229"/>
      <c r="CJ83" s="1773"/>
      <c r="CK83" s="1774"/>
      <c r="CL83" s="229"/>
      <c r="CM83" s="229"/>
      <c r="CN83" s="229"/>
      <c r="CO83" s="229"/>
      <c r="CP83" s="229"/>
      <c r="CQ83" s="229"/>
      <c r="CR83" s="356"/>
      <c r="CS83" s="229"/>
      <c r="CT83" s="229"/>
      <c r="CU83" s="229"/>
      <c r="CV83" s="1773"/>
      <c r="CW83" s="1774"/>
      <c r="CX83" s="229"/>
      <c r="CY83" s="229"/>
      <c r="CZ83" s="229"/>
      <c r="DA83" s="229"/>
      <c r="DB83" s="1773"/>
      <c r="DC83" s="1838"/>
      <c r="DD83" s="393"/>
      <c r="DE83" s="393"/>
      <c r="DF83" s="229"/>
      <c r="DG83" s="229"/>
      <c r="DH83" s="229"/>
      <c r="DI83" s="229"/>
    </row>
    <row r="84" spans="3:113" x14ac:dyDescent="0.35">
      <c r="C84" s="1" t="s">
        <v>422</v>
      </c>
      <c r="F84" s="2039">
        <f>F$57*F$18*10^-6</f>
        <v>6.0600638297872338E-3</v>
      </c>
      <c r="G84" s="229">
        <f t="shared" ref="G84:I84" si="33">G$57*G$18*10^-6</f>
        <v>6.02252E-3</v>
      </c>
      <c r="H84" s="229">
        <f t="shared" si="33"/>
        <v>6.0821004255319144E-3</v>
      </c>
      <c r="I84" s="2040">
        <f t="shared" si="33"/>
        <v>5.8950658064516126E-3</v>
      </c>
      <c r="J84" s="898"/>
      <c r="K84" s="465"/>
      <c r="L84" s="465"/>
      <c r="M84" s="465"/>
      <c r="N84" s="2041"/>
      <c r="O84" s="2042"/>
      <c r="P84" s="2043"/>
      <c r="Q84" s="465"/>
      <c r="R84" s="465"/>
      <c r="S84" s="2041"/>
      <c r="T84" s="2041"/>
      <c r="U84" s="2041"/>
      <c r="DC84" s="1839"/>
      <c r="DD84" s="251"/>
      <c r="DE84" s="251"/>
    </row>
    <row r="85" spans="3:113" x14ac:dyDescent="0.35">
      <c r="C85" s="911" t="s">
        <v>129</v>
      </c>
      <c r="D85" s="911"/>
      <c r="E85" s="911"/>
      <c r="F85" s="2044">
        <f>F$59*F$18*(10^-6)</f>
        <v>1.953911489361702E-2</v>
      </c>
      <c r="G85" s="912">
        <f t="shared" ref="G85:V85" si="34">G$59*G$18*(10^-6)</f>
        <v>1.8901889999999998E-2</v>
      </c>
      <c r="H85" s="912">
        <f t="shared" si="34"/>
        <v>1.8580267925531916E-2</v>
      </c>
      <c r="I85" s="1813">
        <f>I$59*I$18*(10^-6)</f>
        <v>1.8593463225806451E-2</v>
      </c>
      <c r="J85" s="2044">
        <f>J$59*J$18*(10^-6)</f>
        <v>1.8245700096000003E-2</v>
      </c>
      <c r="K85" s="912">
        <f t="shared" si="34"/>
        <v>2.0434372173913043E-2</v>
      </c>
      <c r="L85" s="912">
        <f t="shared" si="34"/>
        <v>2.2262918260869565E-2</v>
      </c>
      <c r="M85" s="912">
        <f t="shared" si="34"/>
        <v>2.0661092173913046E-2</v>
      </c>
      <c r="N85" s="1814">
        <f t="shared" si="34"/>
        <v>2.052308869565217E-2</v>
      </c>
      <c r="O85" s="1813">
        <f t="shared" si="34"/>
        <v>2.0799095652173912E-2</v>
      </c>
      <c r="P85" s="2044">
        <f t="shared" si="34"/>
        <v>3.1690500000000003E-2</v>
      </c>
      <c r="Q85" s="912">
        <f t="shared" si="34"/>
        <v>3.184690434782609E-2</v>
      </c>
      <c r="R85" s="912">
        <f t="shared" si="34"/>
        <v>3.3433291304347822E-2</v>
      </c>
      <c r="S85" s="1814">
        <f t="shared" si="34"/>
        <v>3.195117391304348E-2</v>
      </c>
      <c r="T85" s="1814">
        <f t="shared" si="34"/>
        <v>3.0983887499999998E-2</v>
      </c>
      <c r="U85" s="1814">
        <f t="shared" si="34"/>
        <v>3.1650969230769231E-2</v>
      </c>
      <c r="V85" s="912">
        <f t="shared" si="34"/>
        <v>0</v>
      </c>
      <c r="W85" s="2045"/>
      <c r="X85" s="2044">
        <f>X$59*X$18*(10^-6)</f>
        <v>2.0657106382978722E-4</v>
      </c>
      <c r="Y85" s="912">
        <f t="shared" ref="Y85:AN85" si="35">Y$59*Y$18*(10^-6)</f>
        <v>1.8207427E-3</v>
      </c>
      <c r="Z85" s="912">
        <f t="shared" si="35"/>
        <v>1.2159962999999999E-4</v>
      </c>
      <c r="AA85" s="2045">
        <f t="shared" si="35"/>
        <v>0</v>
      </c>
      <c r="AB85" s="2044">
        <f t="shared" si="35"/>
        <v>9.4712499999999991E-5</v>
      </c>
      <c r="AC85" s="912">
        <f t="shared" si="35"/>
        <v>1.9365339000000002E-4</v>
      </c>
      <c r="AD85" s="912">
        <f t="shared" si="35"/>
        <v>1.5051512500000001E-4</v>
      </c>
      <c r="AE85" s="912">
        <f t="shared" si="35"/>
        <v>7.1871799999999992E-5</v>
      </c>
      <c r="AF85" s="912">
        <f t="shared" si="35"/>
        <v>0</v>
      </c>
      <c r="AG85" s="2045">
        <f t="shared" si="35"/>
        <v>0</v>
      </c>
      <c r="AH85" s="2044">
        <f t="shared" si="35"/>
        <v>0</v>
      </c>
      <c r="AI85" s="912">
        <f t="shared" si="35"/>
        <v>2.0428474999999996E-4</v>
      </c>
      <c r="AJ85" s="912">
        <f t="shared" si="35"/>
        <v>2.2664770833333333E-4</v>
      </c>
      <c r="AK85" s="912">
        <f t="shared" si="35"/>
        <v>1.5112034999999996E-4</v>
      </c>
      <c r="AL85" s="912">
        <f t="shared" si="35"/>
        <v>0</v>
      </c>
      <c r="AM85" s="912">
        <f t="shared" si="35"/>
        <v>0</v>
      </c>
      <c r="AN85" s="912">
        <f t="shared" si="35"/>
        <v>0</v>
      </c>
      <c r="AP85" s="912">
        <f t="shared" ref="AP85:BF85" si="36">AP$59*AP$18*(10^-6)</f>
        <v>7.134962553191489E-3</v>
      </c>
      <c r="AQ85" s="912">
        <f t="shared" si="36"/>
        <v>6.2523999999999991E-3</v>
      </c>
      <c r="AR85" s="912">
        <f t="shared" si="36"/>
        <v>5.926134999999999E-3</v>
      </c>
      <c r="AS85" s="2045">
        <f t="shared" si="36"/>
        <v>5.8049599999999996E-3</v>
      </c>
      <c r="AT85" s="2044">
        <f t="shared" si="36"/>
        <v>2.1452749999999999E-3</v>
      </c>
      <c r="AU85" s="912">
        <f t="shared" si="36"/>
        <v>2.9843533333333335E-3</v>
      </c>
      <c r="AV85" s="912">
        <f t="shared" si="36"/>
        <v>3.7914400000000001E-3</v>
      </c>
      <c r="AW85" s="912">
        <f t="shared" si="36"/>
        <v>3.3588299999999997E-3</v>
      </c>
      <c r="AX85" s="912">
        <f t="shared" si="36"/>
        <v>3.9349391666666667E-3</v>
      </c>
      <c r="AY85" s="2045">
        <f t="shared" si="36"/>
        <v>3.8114924999999998E-3</v>
      </c>
      <c r="AZ85" s="2044">
        <f t="shared" si="36"/>
        <v>3.7536033333333335E-3</v>
      </c>
      <c r="BA85" s="912">
        <f t="shared" si="36"/>
        <v>4.6953899999999998E-3</v>
      </c>
      <c r="BB85" s="912">
        <f t="shared" si="36"/>
        <v>6.7041699999999997E-3</v>
      </c>
      <c r="BC85" s="912">
        <f t="shared" si="36"/>
        <v>5.3332633333333327E-3</v>
      </c>
      <c r="BD85" s="912">
        <f t="shared" si="36"/>
        <v>7.4255741176470587E-3</v>
      </c>
      <c r="BE85" s="912">
        <f t="shared" si="36"/>
        <v>5.6672199999999989E-3</v>
      </c>
      <c r="BF85" s="912">
        <f t="shared" si="36"/>
        <v>0</v>
      </c>
      <c r="DG85" s="240"/>
    </row>
    <row r="86" spans="3:113" x14ac:dyDescent="0.35">
      <c r="C86" s="1" t="s">
        <v>417</v>
      </c>
      <c r="F86" s="2039">
        <f>F$55*F$20*10^-6</f>
        <v>4.5508780851063829E-2</v>
      </c>
      <c r="G86" s="232">
        <f t="shared" ref="G86:I86" si="37">G$55*G$20*10^-6</f>
        <v>4.348410166666667E-2</v>
      </c>
      <c r="H86" s="232">
        <f t="shared" si="37"/>
        <v>4.2197062916666667E-2</v>
      </c>
      <c r="I86" s="1813">
        <f t="shared" si="37"/>
        <v>4.2873091182795697E-2</v>
      </c>
      <c r="J86" s="2043"/>
      <c r="K86" s="465"/>
      <c r="L86" s="465"/>
      <c r="M86" s="465"/>
      <c r="N86" s="2041"/>
      <c r="O86" s="2042"/>
      <c r="P86" s="2043"/>
      <c r="Q86" s="465"/>
      <c r="R86" s="465"/>
      <c r="S86" s="2041"/>
      <c r="T86" s="2041"/>
      <c r="U86" s="2041"/>
      <c r="V86" s="465"/>
      <c r="W86" s="2046"/>
      <c r="X86" s="2047"/>
      <c r="Y86" s="266"/>
      <c r="Z86" s="266"/>
      <c r="AA86" s="2048"/>
      <c r="AB86" s="2047"/>
      <c r="AC86" s="266"/>
      <c r="AD86" s="266"/>
      <c r="AE86" s="266"/>
      <c r="AF86" s="266"/>
      <c r="AG86" s="2048"/>
      <c r="AH86" s="2047"/>
      <c r="AI86" s="266"/>
      <c r="AJ86" s="266"/>
      <c r="AK86" s="266"/>
      <c r="AL86" s="266"/>
      <c r="AM86" s="266"/>
      <c r="AN86" s="266"/>
      <c r="AO86" s="337"/>
      <c r="AT86" s="2043"/>
      <c r="AU86" s="465"/>
      <c r="AV86" s="465"/>
      <c r="AW86" s="465"/>
      <c r="AX86" s="465"/>
      <c r="AY86" s="2049"/>
      <c r="AZ86" s="2043"/>
      <c r="BA86" s="465"/>
      <c r="BB86" s="465"/>
      <c r="BC86" s="465"/>
      <c r="BD86" s="465"/>
      <c r="BE86" s="465"/>
      <c r="BF86" s="266"/>
      <c r="BG86" s="337"/>
      <c r="BH86" s="266"/>
      <c r="BI86" s="266"/>
      <c r="BJ86" s="266"/>
      <c r="BK86" s="2048"/>
      <c r="BL86" s="2047"/>
      <c r="BM86" s="266"/>
      <c r="BN86" s="266"/>
      <c r="BO86" s="266"/>
      <c r="BP86" s="266"/>
      <c r="BQ86" s="2048"/>
      <c r="BR86" s="2047"/>
      <c r="BS86" s="266"/>
      <c r="BT86" s="266"/>
      <c r="BU86" s="266"/>
      <c r="BV86" s="266"/>
      <c r="BW86" s="266"/>
      <c r="DG86" s="240"/>
    </row>
    <row r="87" spans="3:113" x14ac:dyDescent="0.35">
      <c r="C87" s="1" t="s">
        <v>418</v>
      </c>
      <c r="F87" s="2039">
        <f>F$57*F$20*10^-6</f>
        <v>2.0460351063829787E-2</v>
      </c>
      <c r="G87" s="232">
        <f t="shared" ref="G87:I87" si="38">G$57*G$20*10^-6</f>
        <v>2.0333593333333334E-2</v>
      </c>
      <c r="H87" s="232">
        <f t="shared" si="38"/>
        <v>2.0534752340425531E-2</v>
      </c>
      <c r="I87" s="1813">
        <f t="shared" si="38"/>
        <v>1.990327483870968E-2</v>
      </c>
      <c r="J87" s="2043"/>
      <c r="K87" s="465"/>
      <c r="L87" s="465"/>
      <c r="M87" s="465"/>
      <c r="N87" s="2041"/>
      <c r="O87" s="2042"/>
      <c r="P87" s="2043"/>
      <c r="Q87" s="465"/>
      <c r="R87" s="465"/>
      <c r="S87" s="2041"/>
      <c r="T87" s="2041"/>
      <c r="U87" s="2041"/>
      <c r="V87" s="465"/>
      <c r="W87" s="2046"/>
      <c r="X87" s="2047"/>
      <c r="Y87" s="266"/>
      <c r="Z87" s="266"/>
      <c r="AA87" s="2048"/>
      <c r="AB87" s="2047"/>
      <c r="AC87" s="266"/>
      <c r="AD87" s="266"/>
      <c r="AE87" s="266"/>
      <c r="AF87" s="266"/>
      <c r="AG87" s="2048"/>
      <c r="AH87" s="2047"/>
      <c r="AI87" s="266"/>
      <c r="AJ87" s="266"/>
      <c r="AK87" s="266"/>
      <c r="AL87" s="266"/>
      <c r="AM87" s="266"/>
      <c r="AN87" s="266"/>
      <c r="AO87" s="337"/>
      <c r="AT87" s="2043"/>
      <c r="AU87" s="465"/>
      <c r="AV87" s="465"/>
      <c r="AW87" s="465"/>
      <c r="AX87" s="465"/>
      <c r="AY87" s="2049"/>
      <c r="AZ87" s="2043"/>
      <c r="BA87" s="465"/>
      <c r="BB87" s="465"/>
      <c r="BC87" s="465"/>
      <c r="BD87" s="465"/>
      <c r="BE87" s="465"/>
      <c r="BF87" s="266"/>
      <c r="BG87" s="337"/>
      <c r="BH87" s="266"/>
      <c r="BI87" s="266"/>
      <c r="BJ87" s="266"/>
      <c r="BK87" s="2048"/>
      <c r="BL87" s="2047"/>
      <c r="BM87" s="266"/>
      <c r="BN87" s="266"/>
      <c r="BO87" s="266"/>
      <c r="BP87" s="266"/>
      <c r="BQ87" s="2048"/>
      <c r="BR87" s="2047"/>
      <c r="BS87" s="266"/>
      <c r="BT87" s="266"/>
      <c r="BU87" s="266"/>
      <c r="BV87" s="266"/>
      <c r="BW87" s="266"/>
      <c r="DG87" s="240"/>
    </row>
    <row r="88" spans="3:113" x14ac:dyDescent="0.35">
      <c r="C88" s="444" t="s">
        <v>130</v>
      </c>
      <c r="D88" s="444"/>
      <c r="E88" s="444"/>
      <c r="F88" s="2050">
        <f t="shared" ref="F88:V88" si="39">F$59*F$20*(10^-6)</f>
        <v>6.5969131914893619E-2</v>
      </c>
      <c r="G88" s="468">
        <f t="shared" si="39"/>
        <v>6.3817695000000008E-2</v>
      </c>
      <c r="H88" s="468">
        <f t="shared" si="39"/>
        <v>6.2731815257092205E-2</v>
      </c>
      <c r="I88" s="1813">
        <f t="shared" si="39"/>
        <v>6.2776366021505367E-2</v>
      </c>
      <c r="J88" s="2050">
        <f t="shared" si="39"/>
        <v>4.6026291456000006E-2</v>
      </c>
      <c r="K88" s="468">
        <f t="shared" si="39"/>
        <v>5.1547398260869563E-2</v>
      </c>
      <c r="L88" s="468">
        <f t="shared" si="39"/>
        <v>5.6160057391304342E-2</v>
      </c>
      <c r="M88" s="468">
        <f t="shared" si="39"/>
        <v>5.211931826086956E-2</v>
      </c>
      <c r="N88" s="1814">
        <f t="shared" si="39"/>
        <v>5.1771193043478256E-2</v>
      </c>
      <c r="O88" s="1813">
        <f t="shared" si="39"/>
        <v>5.2467443478260864E-2</v>
      </c>
      <c r="P88" s="2050">
        <f t="shared" si="39"/>
        <v>8.9058999999999999E-2</v>
      </c>
      <c r="Q88" s="468">
        <f t="shared" si="39"/>
        <v>8.9498539130434776E-2</v>
      </c>
      <c r="R88" s="468">
        <f t="shared" si="39"/>
        <v>9.395672173913043E-2</v>
      </c>
      <c r="S88" s="1814">
        <f t="shared" si="39"/>
        <v>8.9791565217391289E-2</v>
      </c>
      <c r="T88" s="1814">
        <f t="shared" si="39"/>
        <v>8.707322499999999E-2</v>
      </c>
      <c r="U88" s="1814">
        <f t="shared" si="39"/>
        <v>8.894790769230769E-2</v>
      </c>
      <c r="V88" s="468">
        <f t="shared" si="39"/>
        <v>0</v>
      </c>
      <c r="X88" s="2050">
        <f t="shared" ref="X88:AN88" si="40">X$59*X$20*(10^-6)</f>
        <v>7.5416170212765955E-4</v>
      </c>
      <c r="Y88" s="468">
        <f t="shared" si="40"/>
        <v>5.0540523999999991E-3</v>
      </c>
      <c r="Z88" s="468">
        <f t="shared" si="40"/>
        <v>3.17952225E-4</v>
      </c>
      <c r="AA88" s="2051">
        <f t="shared" si="40"/>
        <v>0</v>
      </c>
      <c r="AB88" s="2050">
        <f t="shared" si="40"/>
        <v>2.33475E-4</v>
      </c>
      <c r="AC88" s="468">
        <f t="shared" si="40"/>
        <v>4.8947330000000003E-4</v>
      </c>
      <c r="AD88" s="468">
        <f t="shared" si="40"/>
        <v>3.5465879999999999E-4</v>
      </c>
      <c r="AE88" s="468">
        <f t="shared" si="40"/>
        <v>1.7333118333333331E-4</v>
      </c>
      <c r="AF88" s="468">
        <f t="shared" si="40"/>
        <v>0</v>
      </c>
      <c r="AG88" s="2051">
        <f t="shared" si="40"/>
        <v>0</v>
      </c>
      <c r="AH88" s="2050">
        <f t="shared" si="40"/>
        <v>0</v>
      </c>
      <c r="AI88" s="468">
        <f t="shared" si="40"/>
        <v>4.8883913333333323E-4</v>
      </c>
      <c r="AJ88" s="468">
        <f t="shared" si="40"/>
        <v>5.5425729166666657E-4</v>
      </c>
      <c r="AK88" s="468">
        <f t="shared" si="40"/>
        <v>3.8950492499999987E-4</v>
      </c>
      <c r="AL88" s="468">
        <f t="shared" si="40"/>
        <v>0</v>
      </c>
      <c r="AM88" s="468">
        <f t="shared" si="40"/>
        <v>0</v>
      </c>
      <c r="AN88" s="468">
        <f t="shared" si="40"/>
        <v>0</v>
      </c>
      <c r="AP88" s="468">
        <f t="shared" ref="AP88:BF88" si="41">AP$59*AP$20*(10^-6)</f>
        <v>1.1615055319148934E-2</v>
      </c>
      <c r="AQ88" s="468">
        <f t="shared" si="41"/>
        <v>1.03733E-2</v>
      </c>
      <c r="AR88" s="468">
        <f t="shared" si="41"/>
        <v>1.0241999999999999E-2</v>
      </c>
      <c r="AS88" s="2051">
        <f t="shared" si="41"/>
        <v>9.9683999999999988E-3</v>
      </c>
      <c r="AT88" s="2050">
        <f t="shared" si="41"/>
        <v>1.6395549999999998E-3</v>
      </c>
      <c r="AU88" s="468">
        <f t="shared" si="41"/>
        <v>2.5263733333333329E-3</v>
      </c>
      <c r="AV88" s="468">
        <f t="shared" si="41"/>
        <v>3.6254399999999997E-3</v>
      </c>
      <c r="AW88" s="468">
        <f t="shared" si="41"/>
        <v>3.0251099999999997E-3</v>
      </c>
      <c r="AX88" s="468">
        <f t="shared" si="41"/>
        <v>3.8394233333333334E-3</v>
      </c>
      <c r="AY88" s="2051">
        <f t="shared" si="41"/>
        <v>3.9012474999999998E-3</v>
      </c>
      <c r="AZ88" s="2050">
        <f t="shared" si="41"/>
        <v>3.4106966666666671E-3</v>
      </c>
      <c r="BA88" s="468">
        <f t="shared" si="41"/>
        <v>4.8598200000000008E-3</v>
      </c>
      <c r="BB88" s="468">
        <f t="shared" si="41"/>
        <v>8.1384599999999984E-3</v>
      </c>
      <c r="BC88" s="468">
        <f t="shared" si="41"/>
        <v>5.5798616666666665E-3</v>
      </c>
      <c r="BD88" s="468">
        <f t="shared" si="41"/>
        <v>9.809590588235292E-3</v>
      </c>
      <c r="BE88" s="468">
        <f t="shared" si="41"/>
        <v>7.358947142857143E-3</v>
      </c>
      <c r="BF88" s="468">
        <f t="shared" si="41"/>
        <v>0</v>
      </c>
      <c r="DG88" s="240"/>
    </row>
    <row r="89" spans="3:113" x14ac:dyDescent="0.35">
      <c r="C89" s="1" t="s">
        <v>131</v>
      </c>
      <c r="F89" s="2039">
        <f t="shared" ref="F89:V89" si="42">F$59*F$22*(10^-6)</f>
        <v>5.5961872340425534E-3</v>
      </c>
      <c r="G89" s="232">
        <f t="shared" si="42"/>
        <v>5.4136799999999997E-3</v>
      </c>
      <c r="H89" s="232">
        <f t="shared" si="42"/>
        <v>5.3215643971631201E-3</v>
      </c>
      <c r="I89" s="1813">
        <f t="shared" si="42"/>
        <v>5.3253436559139783E-3</v>
      </c>
      <c r="J89" s="2043">
        <f t="shared" si="42"/>
        <v>1.3289938752E-2</v>
      </c>
      <c r="K89" s="465">
        <f t="shared" si="42"/>
        <v>1.4884139999999999E-2</v>
      </c>
      <c r="L89" s="465">
        <f t="shared" si="42"/>
        <v>1.6216029999999999E-2</v>
      </c>
      <c r="M89" s="465">
        <f t="shared" si="42"/>
        <v>1.504928E-2</v>
      </c>
      <c r="N89" s="2041">
        <f t="shared" si="42"/>
        <v>1.4948759999999998E-2</v>
      </c>
      <c r="O89" s="2042">
        <f t="shared" si="42"/>
        <v>1.5149799999999998E-2</v>
      </c>
      <c r="P89" s="2043">
        <f t="shared" si="42"/>
        <v>1.2746500000000001E-2</v>
      </c>
      <c r="Q89" s="465">
        <f t="shared" si="42"/>
        <v>1.2809408695652174E-2</v>
      </c>
      <c r="R89" s="465">
        <f t="shared" si="42"/>
        <v>1.3447482608695651E-2</v>
      </c>
      <c r="S89" s="2041">
        <f t="shared" si="42"/>
        <v>1.2851347826086957E-2</v>
      </c>
      <c r="T89" s="2041">
        <f t="shared" si="42"/>
        <v>1.24622875E-2</v>
      </c>
      <c r="U89" s="2041">
        <f t="shared" si="42"/>
        <v>1.2730600000000002E-2</v>
      </c>
      <c r="V89" s="465">
        <f t="shared" si="42"/>
        <v>0</v>
      </c>
      <c r="W89" s="2046"/>
      <c r="X89" s="2043">
        <f t="shared" ref="X89:AN89" si="43">X$59*X$22*(10^-6)</f>
        <v>2.3589957446808511E-4</v>
      </c>
      <c r="Y89" s="465">
        <f t="shared" si="43"/>
        <v>2.7238958499999997E-3</v>
      </c>
      <c r="Z89" s="465">
        <f t="shared" si="43"/>
        <v>1.4776523999999997E-4</v>
      </c>
      <c r="AA89" s="2049">
        <f t="shared" si="43"/>
        <v>0</v>
      </c>
      <c r="AB89" s="2043">
        <f t="shared" si="43"/>
        <v>1.1162499999999999E-4</v>
      </c>
      <c r="AC89" s="465">
        <f t="shared" si="43"/>
        <v>2.8841450000000003E-4</v>
      </c>
      <c r="AD89" s="465">
        <f t="shared" si="43"/>
        <v>1.8875232499999999E-4</v>
      </c>
      <c r="AE89" s="465">
        <f t="shared" si="43"/>
        <v>8.6913899999999981E-5</v>
      </c>
      <c r="AF89" s="465">
        <f t="shared" si="43"/>
        <v>0</v>
      </c>
      <c r="AG89" s="2049">
        <f t="shared" si="43"/>
        <v>0</v>
      </c>
      <c r="AH89" s="2043">
        <f t="shared" si="43"/>
        <v>0</v>
      </c>
      <c r="AI89" s="465">
        <f t="shared" si="43"/>
        <v>2.6296936666666664E-4</v>
      </c>
      <c r="AJ89" s="465">
        <f t="shared" si="43"/>
        <v>3.0518666666666663E-4</v>
      </c>
      <c r="AK89" s="465">
        <f t="shared" si="43"/>
        <v>1.8090359999999999E-4</v>
      </c>
      <c r="AL89" s="465">
        <f t="shared" si="43"/>
        <v>0</v>
      </c>
      <c r="AM89" s="465">
        <f t="shared" si="43"/>
        <v>0</v>
      </c>
      <c r="AN89" s="465">
        <f t="shared" si="43"/>
        <v>0</v>
      </c>
      <c r="AO89" s="337"/>
      <c r="AP89" s="232">
        <f t="shared" ref="AP89:BF89" si="44">AP$59*AP$22*(10^-6)</f>
        <v>4.2281259574468086E-3</v>
      </c>
      <c r="AQ89" s="232">
        <f t="shared" si="44"/>
        <v>3.5988999999999999E-3</v>
      </c>
      <c r="AR89" s="232">
        <f t="shared" si="44"/>
        <v>3.007165E-3</v>
      </c>
      <c r="AS89" s="231">
        <f t="shared" si="44"/>
        <v>2.1271599999999999E-3</v>
      </c>
      <c r="AT89" s="2043">
        <f t="shared" si="44"/>
        <v>3.5898050000000002E-3</v>
      </c>
      <c r="AU89" s="465">
        <f t="shared" si="44"/>
        <v>1.1060366666666667E-3</v>
      </c>
      <c r="AV89" s="465">
        <f t="shared" si="44"/>
        <v>4.9799999999999996E-4</v>
      </c>
      <c r="AW89" s="465">
        <f t="shared" si="44"/>
        <v>3.8006999999999998E-4</v>
      </c>
      <c r="AX89" s="465">
        <f t="shared" si="44"/>
        <v>8.7373499999999994E-4</v>
      </c>
      <c r="AY89" s="2049">
        <f t="shared" si="44"/>
        <v>4.5341750000000002E-4</v>
      </c>
      <c r="AZ89" s="2043">
        <f t="shared" si="44"/>
        <v>4.9905166666666667E-4</v>
      </c>
      <c r="BA89" s="465">
        <f t="shared" si="44"/>
        <v>1.1099024999999998E-3</v>
      </c>
      <c r="BB89" s="465">
        <f t="shared" si="44"/>
        <v>3.4689049999999996E-3</v>
      </c>
      <c r="BC89" s="465">
        <f t="shared" si="44"/>
        <v>5.222983333333333E-4</v>
      </c>
      <c r="BD89" s="465">
        <f t="shared" si="44"/>
        <v>4.7105305882352939E-3</v>
      </c>
      <c r="BE89" s="465">
        <f t="shared" si="44"/>
        <v>1.3779071428571428E-3</v>
      </c>
      <c r="BF89" s="465">
        <f t="shared" si="44"/>
        <v>0</v>
      </c>
      <c r="BG89" s="337"/>
      <c r="BH89" s="266"/>
      <c r="BI89" s="266"/>
      <c r="BJ89" s="266"/>
      <c r="BK89" s="2048"/>
      <c r="BL89" s="2047"/>
      <c r="BM89" s="266"/>
      <c r="BN89" s="266"/>
      <c r="BO89" s="266"/>
      <c r="BP89" s="266"/>
      <c r="BQ89" s="2048"/>
      <c r="BR89" s="2047"/>
      <c r="BS89" s="266"/>
      <c r="BT89" s="266"/>
      <c r="BU89" s="266"/>
      <c r="BV89" s="266"/>
      <c r="BW89" s="266"/>
    </row>
    <row r="90" spans="3:113" ht="15" thickBot="1" x14ac:dyDescent="0.4">
      <c r="C90" s="1" t="s">
        <v>389</v>
      </c>
      <c r="F90" s="2052">
        <f>F$85+F$88</f>
        <v>8.5508246808510643E-2</v>
      </c>
      <c r="G90" s="404">
        <f t="shared" ref="G90:V90" si="45">G$85+G$88</f>
        <v>8.2719585000000012E-2</v>
      </c>
      <c r="H90" s="404">
        <f t="shared" si="45"/>
        <v>8.1312083182624117E-2</v>
      </c>
      <c r="I90" s="2053">
        <f t="shared" si="45"/>
        <v>8.1369829247311815E-2</v>
      </c>
      <c r="J90" s="2054">
        <f t="shared" si="45"/>
        <v>6.4271991552000002E-2</v>
      </c>
      <c r="K90" s="2055">
        <f t="shared" si="45"/>
        <v>7.1981770434782599E-2</v>
      </c>
      <c r="L90" s="2055">
        <f t="shared" si="45"/>
        <v>7.8422975652173904E-2</v>
      </c>
      <c r="M90" s="2055">
        <f t="shared" si="45"/>
        <v>7.2780410434782603E-2</v>
      </c>
      <c r="N90" s="2056">
        <f t="shared" si="45"/>
        <v>7.2294281739130425E-2</v>
      </c>
      <c r="O90" s="2053">
        <f t="shared" si="45"/>
        <v>7.326653913043478E-2</v>
      </c>
      <c r="P90" s="2054">
        <f t="shared" si="45"/>
        <v>0.12074950000000001</v>
      </c>
      <c r="Q90" s="404">
        <f t="shared" si="45"/>
        <v>0.12134544347826087</v>
      </c>
      <c r="R90" s="404">
        <f t="shared" si="45"/>
        <v>0.12739001304347825</v>
      </c>
      <c r="S90" s="2057">
        <f t="shared" si="45"/>
        <v>0.12174273913043476</v>
      </c>
      <c r="T90" s="2057">
        <f t="shared" si="45"/>
        <v>0.11805711249999999</v>
      </c>
      <c r="U90" s="2053">
        <f t="shared" si="45"/>
        <v>0.12059887692307691</v>
      </c>
      <c r="V90" s="892">
        <f t="shared" si="45"/>
        <v>0</v>
      </c>
      <c r="W90" s="2058"/>
      <c r="X90" s="2059">
        <f t="shared" ref="X90:BE90" si="46">SUM(X85:X89)</f>
        <v>1.1966323404255319E-3</v>
      </c>
      <c r="Y90" s="403">
        <f t="shared" si="46"/>
        <v>9.5986909499999988E-3</v>
      </c>
      <c r="Z90" s="403">
        <f t="shared" si="46"/>
        <v>5.8731709500000001E-4</v>
      </c>
      <c r="AA90" s="2060">
        <f t="shared" si="46"/>
        <v>0</v>
      </c>
      <c r="AB90" s="2059">
        <f t="shared" si="46"/>
        <v>4.3981249999999999E-4</v>
      </c>
      <c r="AC90" s="403">
        <f t="shared" si="46"/>
        <v>9.7154119000000014E-4</v>
      </c>
      <c r="AD90" s="403">
        <f t="shared" si="46"/>
        <v>6.9392624999999996E-4</v>
      </c>
      <c r="AE90" s="403">
        <f t="shared" si="46"/>
        <v>3.3211688333333327E-4</v>
      </c>
      <c r="AF90" s="403">
        <f t="shared" si="46"/>
        <v>0</v>
      </c>
      <c r="AG90" s="2060">
        <f t="shared" si="46"/>
        <v>0</v>
      </c>
      <c r="AH90" s="2059">
        <f t="shared" si="46"/>
        <v>0</v>
      </c>
      <c r="AI90" s="403">
        <f t="shared" si="46"/>
        <v>9.5609324999999974E-4</v>
      </c>
      <c r="AJ90" s="403">
        <f t="shared" si="46"/>
        <v>1.0860916666666665E-3</v>
      </c>
      <c r="AK90" s="403">
        <f t="shared" si="46"/>
        <v>7.215288749999999E-4</v>
      </c>
      <c r="AL90" s="403">
        <f t="shared" si="46"/>
        <v>0</v>
      </c>
      <c r="AM90" s="403">
        <f t="shared" ref="AM90:AN90" si="47">SUM(AM85:AM89)</f>
        <v>0</v>
      </c>
      <c r="AN90" s="403">
        <f t="shared" si="47"/>
        <v>0</v>
      </c>
      <c r="AO90" s="893"/>
      <c r="AP90" s="403">
        <f t="shared" si="46"/>
        <v>2.2978143829787231E-2</v>
      </c>
      <c r="AQ90" s="403">
        <f t="shared" si="46"/>
        <v>2.0224599999999999E-2</v>
      </c>
      <c r="AR90" s="403">
        <f t="shared" si="46"/>
        <v>1.9175299999999999E-2</v>
      </c>
      <c r="AS90" s="2060">
        <f t="shared" si="46"/>
        <v>1.790052E-2</v>
      </c>
      <c r="AT90" s="2059">
        <f t="shared" si="46"/>
        <v>7.3746349999999992E-3</v>
      </c>
      <c r="AU90" s="403">
        <f t="shared" si="46"/>
        <v>6.6167633333333335E-3</v>
      </c>
      <c r="AV90" s="403">
        <f t="shared" si="46"/>
        <v>7.9148799999999991E-3</v>
      </c>
      <c r="AW90" s="403">
        <f t="shared" si="46"/>
        <v>6.7640099999999991E-3</v>
      </c>
      <c r="AX90" s="403">
        <f t="shared" si="46"/>
        <v>8.6480975000000002E-3</v>
      </c>
      <c r="AY90" s="2060">
        <f t="shared" si="46"/>
        <v>8.1661575E-3</v>
      </c>
      <c r="AZ90" s="2059">
        <f t="shared" si="46"/>
        <v>7.6633516666666669E-3</v>
      </c>
      <c r="BA90" s="403">
        <f t="shared" si="46"/>
        <v>1.0665112500000001E-2</v>
      </c>
      <c r="BB90" s="403">
        <f t="shared" si="46"/>
        <v>1.8311534999999997E-2</v>
      </c>
      <c r="BC90" s="403">
        <f t="shared" si="46"/>
        <v>1.1435423333333333E-2</v>
      </c>
      <c r="BD90" s="403">
        <f t="shared" si="46"/>
        <v>2.1945695294117645E-2</v>
      </c>
      <c r="BE90" s="403">
        <f t="shared" si="46"/>
        <v>1.4404074285714283E-2</v>
      </c>
      <c r="BF90" s="403">
        <f t="shared" ref="BF90" si="48">SUM(BF85:BF89)</f>
        <v>0</v>
      </c>
      <c r="BG90" s="395"/>
      <c r="BH90" s="394"/>
      <c r="BI90" s="394"/>
      <c r="BJ90" s="394"/>
      <c r="BK90" s="2061"/>
      <c r="BL90" s="2062"/>
      <c r="BM90" s="394"/>
      <c r="BN90" s="394"/>
      <c r="BO90" s="394"/>
      <c r="BP90" s="394"/>
      <c r="BQ90" s="2061"/>
      <c r="BR90" s="2062"/>
      <c r="BS90" s="394"/>
      <c r="BT90" s="394"/>
      <c r="BU90" s="394"/>
      <c r="BV90" s="394"/>
      <c r="BW90" s="394"/>
      <c r="BX90" s="225"/>
      <c r="BY90" s="344"/>
      <c r="BZ90" s="345"/>
      <c r="CA90" s="225"/>
      <c r="CB90" s="225"/>
      <c r="CC90" s="225"/>
      <c r="CD90" s="226"/>
      <c r="CE90" s="1768"/>
      <c r="CF90" s="225"/>
      <c r="CG90" s="225"/>
      <c r="CH90" s="225"/>
      <c r="CI90" s="225"/>
      <c r="CJ90" s="226"/>
      <c r="CK90" s="1768"/>
      <c r="CL90" s="225"/>
      <c r="CM90" s="225"/>
      <c r="CN90" s="225"/>
      <c r="CO90" s="225"/>
      <c r="CP90" s="225"/>
      <c r="CQ90" s="225"/>
      <c r="CR90" s="344"/>
      <c r="CS90" s="225"/>
      <c r="CT90" s="225"/>
      <c r="CU90" s="225"/>
      <c r="CV90" s="226"/>
      <c r="CW90" s="1768"/>
      <c r="CX90" s="225"/>
      <c r="CY90" s="225"/>
      <c r="CZ90" s="225"/>
      <c r="DA90" s="225"/>
      <c r="DB90" s="226"/>
      <c r="DC90" s="1768"/>
      <c r="DD90" s="225"/>
      <c r="DE90" s="225"/>
      <c r="DF90" s="225"/>
      <c r="DG90" s="225"/>
      <c r="DH90" s="225"/>
      <c r="DI90" s="225"/>
    </row>
    <row r="91" spans="3:113" s="299" customFormat="1" ht="15.5" thickTop="1" thickBot="1" x14ac:dyDescent="0.4">
      <c r="C91" s="305"/>
      <c r="D91" s="305"/>
      <c r="E91" s="305"/>
      <c r="F91" s="1792"/>
      <c r="G91" s="307"/>
      <c r="H91" s="307"/>
      <c r="I91" s="1831"/>
      <c r="J91" s="1792"/>
      <c r="K91" s="307"/>
      <c r="L91" s="307"/>
      <c r="M91" s="307"/>
      <c r="N91" s="1832"/>
      <c r="O91" s="1831"/>
      <c r="P91" s="1792"/>
      <c r="Q91" s="307"/>
      <c r="R91" s="307"/>
      <c r="S91" s="1832"/>
      <c r="T91" s="1832"/>
      <c r="U91" s="1832"/>
      <c r="V91" s="307"/>
      <c r="W91" s="1751"/>
      <c r="X91" s="1792"/>
      <c r="Y91" s="307"/>
      <c r="Z91" s="307"/>
      <c r="AA91" s="1791"/>
      <c r="AB91" s="1792"/>
      <c r="AC91" s="307"/>
      <c r="AD91" s="307"/>
      <c r="AE91" s="307"/>
      <c r="AF91" s="307"/>
      <c r="AG91" s="1791"/>
      <c r="AH91" s="1792"/>
      <c r="AI91" s="307"/>
      <c r="AJ91" s="307"/>
      <c r="AK91" s="307"/>
      <c r="AL91" s="307"/>
      <c r="AM91" s="307"/>
      <c r="AN91" s="307"/>
      <c r="AO91" s="359"/>
      <c r="AP91" s="307"/>
      <c r="AQ91" s="307"/>
      <c r="AR91" s="307"/>
      <c r="AS91" s="1791"/>
      <c r="AT91" s="1792"/>
      <c r="AU91" s="307"/>
      <c r="AV91" s="307"/>
      <c r="AW91" s="307"/>
      <c r="AX91" s="307"/>
      <c r="AY91" s="1791"/>
      <c r="AZ91" s="1792"/>
      <c r="BA91" s="307"/>
      <c r="BB91" s="307"/>
      <c r="BC91" s="307"/>
      <c r="BD91" s="307"/>
      <c r="BE91" s="307"/>
      <c r="BF91" s="307"/>
      <c r="BG91" s="359"/>
      <c r="BH91" s="307"/>
      <c r="BI91" s="307"/>
      <c r="BJ91" s="307"/>
      <c r="BK91" s="1791"/>
      <c r="BL91" s="1792"/>
      <c r="BM91" s="307"/>
      <c r="BN91" s="307"/>
      <c r="BO91" s="307"/>
      <c r="BP91" s="307"/>
      <c r="BQ91" s="1791"/>
      <c r="BR91" s="1792"/>
      <c r="BS91" s="307"/>
      <c r="BT91" s="307"/>
      <c r="BU91" s="307"/>
      <c r="BV91" s="307"/>
      <c r="BW91" s="307"/>
      <c r="BX91" s="307"/>
      <c r="BY91" s="359"/>
      <c r="BZ91" s="361"/>
      <c r="CA91" s="307"/>
      <c r="CB91" s="307"/>
      <c r="CC91" s="307"/>
      <c r="CD91" s="1791"/>
      <c r="CE91" s="1792"/>
      <c r="CF91" s="307"/>
      <c r="CG91" s="307"/>
      <c r="CH91" s="307"/>
      <c r="CI91" s="307"/>
      <c r="CJ91" s="1791"/>
      <c r="CK91" s="1792"/>
      <c r="CL91" s="307"/>
      <c r="CM91" s="307"/>
      <c r="CN91" s="307"/>
      <c r="CO91" s="307"/>
      <c r="CP91" s="307"/>
      <c r="CQ91" s="307"/>
      <c r="CR91" s="359"/>
      <c r="CS91" s="307"/>
      <c r="CT91" s="307"/>
      <c r="CU91" s="307"/>
      <c r="CV91" s="1791"/>
      <c r="CW91" s="1792"/>
      <c r="CX91" s="307"/>
      <c r="CY91" s="307"/>
      <c r="CZ91" s="307"/>
      <c r="DA91" s="307"/>
      <c r="DB91" s="1791"/>
      <c r="DC91" s="1792"/>
      <c r="DD91" s="307"/>
      <c r="DE91" s="307"/>
      <c r="DF91" s="307"/>
      <c r="DG91" s="307"/>
      <c r="DH91" s="307"/>
      <c r="DI91" s="307"/>
    </row>
    <row r="92" spans="3:113" ht="15" thickTop="1" x14ac:dyDescent="0.35">
      <c r="C92" s="1" t="s">
        <v>170</v>
      </c>
      <c r="F92" s="1838">
        <f t="shared" ref="F92:V92" si="49">F$59*F$26/100</f>
        <v>20.326927659574466</v>
      </c>
      <c r="G92" s="393">
        <f t="shared" si="49"/>
        <v>19.664009999999998</v>
      </c>
      <c r="H92" s="393">
        <f t="shared" si="49"/>
        <v>19.32942019503546</v>
      </c>
      <c r="I92" s="2063">
        <f t="shared" si="49"/>
        <v>19.343147526881719</v>
      </c>
      <c r="J92" s="1838">
        <f t="shared" si="49"/>
        <v>9.1582598400000013</v>
      </c>
      <c r="K92" s="393">
        <f t="shared" si="49"/>
        <v>10.256843478260871</v>
      </c>
      <c r="L92" s="393">
        <f t="shared" si="49"/>
        <v>11.174665217391304</v>
      </c>
      <c r="M92" s="393">
        <f t="shared" si="49"/>
        <v>10.370643478260872</v>
      </c>
      <c r="N92" s="2064">
        <f t="shared" si="49"/>
        <v>10.301373913043479</v>
      </c>
      <c r="O92" s="2063">
        <f t="shared" si="49"/>
        <v>10.439913043478262</v>
      </c>
      <c r="P92" s="1838">
        <f t="shared" si="49"/>
        <v>9.7088000000000001</v>
      </c>
      <c r="Q92" s="393">
        <f t="shared" si="49"/>
        <v>9.756716521739131</v>
      </c>
      <c r="R92" s="393">
        <f t="shared" si="49"/>
        <v>10.242726956521739</v>
      </c>
      <c r="S92" s="2064">
        <f t="shared" si="49"/>
        <v>9.7886608695652182</v>
      </c>
      <c r="T92" s="2064">
        <f t="shared" si="49"/>
        <v>9.4923200000000012</v>
      </c>
      <c r="U92" s="2064">
        <f t="shared" si="49"/>
        <v>9.6966892307692323</v>
      </c>
      <c r="V92" s="393">
        <f t="shared" si="49"/>
        <v>0</v>
      </c>
      <c r="W92" s="2065"/>
      <c r="X92" s="1838">
        <f t="shared" ref="X92:AM92" si="50">X$59*X$26/100</f>
        <v>2.137021276595745E-2</v>
      </c>
      <c r="Y92" s="393">
        <f t="shared" si="50"/>
        <v>4.1784499999999995E-2</v>
      </c>
      <c r="Z92" s="393">
        <f t="shared" si="50"/>
        <v>6.0233399999999999E-2</v>
      </c>
      <c r="AA92" s="1837">
        <f t="shared" si="50"/>
        <v>0</v>
      </c>
      <c r="AB92" s="1838">
        <f t="shared" si="50"/>
        <v>5.4749999999999993E-2</v>
      </c>
      <c r="AC92" s="393">
        <f t="shared" si="50"/>
        <v>4.7911340000000004E-2</v>
      </c>
      <c r="AD92" s="393">
        <f t="shared" si="50"/>
        <v>4.1438249999999996E-2</v>
      </c>
      <c r="AE92" s="393">
        <f t="shared" si="50"/>
        <v>2.3376883333333331E-2</v>
      </c>
      <c r="AF92" s="393">
        <f t="shared" si="50"/>
        <v>0</v>
      </c>
      <c r="AG92" s="1837">
        <f t="shared" si="50"/>
        <v>0</v>
      </c>
      <c r="AH92" s="1838">
        <f t="shared" si="50"/>
        <v>0</v>
      </c>
      <c r="AI92" s="393">
        <f t="shared" si="50"/>
        <v>4.4343499999999994E-2</v>
      </c>
      <c r="AJ92" s="393">
        <f t="shared" si="50"/>
        <v>3.4319791666666662E-2</v>
      </c>
      <c r="AK92" s="393">
        <f t="shared" si="50"/>
        <v>2.3366249999999998E-2</v>
      </c>
      <c r="AL92" s="393">
        <f t="shared" si="50"/>
        <v>0</v>
      </c>
      <c r="AM92" s="393">
        <f t="shared" si="50"/>
        <v>0</v>
      </c>
      <c r="AN92" s="393"/>
      <c r="AO92" s="396"/>
      <c r="AP92" s="393">
        <f t="shared" ref="AP92:BF92" si="51">AP$59*AP$26/100</f>
        <v>7.1902723404255315</v>
      </c>
      <c r="AQ92" s="393">
        <f t="shared" si="51"/>
        <v>6.5829999999999993</v>
      </c>
      <c r="AR92" s="393">
        <f t="shared" si="51"/>
        <v>6.6402299999999999</v>
      </c>
      <c r="AS92" s="1837">
        <f t="shared" si="51"/>
        <v>6.7194400000000005</v>
      </c>
      <c r="AT92" s="1838">
        <f t="shared" si="51"/>
        <v>1.3584499999999999</v>
      </c>
      <c r="AU92" s="393">
        <f t="shared" si="51"/>
        <v>1.7840266666666664</v>
      </c>
      <c r="AV92" s="393">
        <f t="shared" si="51"/>
        <v>2.407</v>
      </c>
      <c r="AW92" s="393">
        <f t="shared" si="51"/>
        <v>2.18154</v>
      </c>
      <c r="AX92" s="393">
        <f t="shared" si="51"/>
        <v>2.27359</v>
      </c>
      <c r="AY92" s="1837">
        <f t="shared" si="51"/>
        <v>2.3816025000000001</v>
      </c>
      <c r="AZ92" s="1838">
        <f t="shared" si="51"/>
        <v>2.2089925000000004</v>
      </c>
      <c r="BA92" s="393">
        <f t="shared" si="51"/>
        <v>1.8878999999999999</v>
      </c>
      <c r="BB92" s="393">
        <f t="shared" si="51"/>
        <v>2.0897800000000002</v>
      </c>
      <c r="BC92" s="393">
        <f t="shared" si="51"/>
        <v>1.937558333333333</v>
      </c>
      <c r="BD92" s="393">
        <f t="shared" si="51"/>
        <v>2.0234611764705885</v>
      </c>
      <c r="BE92" s="393">
        <f t="shared" si="51"/>
        <v>1.7972128571428572</v>
      </c>
      <c r="BF92" s="393">
        <f t="shared" si="51"/>
        <v>0</v>
      </c>
      <c r="BG92" s="396"/>
      <c r="BH92" s="393">
        <f t="shared" ref="BH92:BX92" si="52">BH$59*BH$26/100</f>
        <v>4.6225531914893623E-3</v>
      </c>
      <c r="BI92" s="393">
        <f t="shared" si="52"/>
        <v>9.7466666666666674E-3</v>
      </c>
      <c r="BJ92" s="393">
        <f t="shared" si="52"/>
        <v>2.6161666666666666E-2</v>
      </c>
      <c r="BK92" s="1837">
        <f t="shared" si="52"/>
        <v>1.6215783333333334E-2</v>
      </c>
      <c r="BL92" s="1838">
        <f t="shared" si="52"/>
        <v>3.6738750000000001E-2</v>
      </c>
      <c r="BM92" s="393">
        <f t="shared" si="52"/>
        <v>4.8399999999999997E-3</v>
      </c>
      <c r="BN92" s="393">
        <f t="shared" si="52"/>
        <v>8.6345833333333327E-3</v>
      </c>
      <c r="BO92" s="393">
        <f t="shared" si="52"/>
        <v>6.0080000000000003E-3</v>
      </c>
      <c r="BP92" s="393">
        <f t="shared" si="52"/>
        <v>5.6921666666666657E-3</v>
      </c>
      <c r="BQ92" s="1837">
        <f t="shared" si="52"/>
        <v>5.9092500000000004E-3</v>
      </c>
      <c r="BR92" s="1838">
        <f t="shared" si="52"/>
        <v>7.2712499999999991E-3</v>
      </c>
      <c r="BS92" s="393">
        <f t="shared" si="52"/>
        <v>7.7645000000000006E-3</v>
      </c>
      <c r="BT92" s="393">
        <f t="shared" si="52"/>
        <v>9.9933666666666681E-3</v>
      </c>
      <c r="BU92" s="393">
        <f t="shared" si="52"/>
        <v>8.3066666666666671E-3</v>
      </c>
      <c r="BV92" s="393">
        <f t="shared" si="52"/>
        <v>7.7020588235294125E-3</v>
      </c>
      <c r="BW92" s="393">
        <f t="shared" si="52"/>
        <v>9.5995000000000004E-3</v>
      </c>
      <c r="BX92" s="393">
        <f t="shared" si="52"/>
        <v>0</v>
      </c>
      <c r="BY92" s="397"/>
      <c r="BZ92" s="398"/>
      <c r="CA92" s="229"/>
      <c r="CB92" s="229"/>
      <c r="CC92" s="229"/>
      <c r="CD92" s="1773"/>
      <c r="CE92" s="1774"/>
      <c r="CF92" s="229"/>
      <c r="CG92" s="229"/>
      <c r="CH92" s="229"/>
      <c r="CI92" s="229"/>
      <c r="CJ92" s="1773"/>
      <c r="CK92" s="1774"/>
      <c r="CL92" s="229"/>
      <c r="CM92" s="229"/>
      <c r="CN92" s="229"/>
      <c r="CO92" s="229"/>
      <c r="CP92" s="229"/>
      <c r="CQ92" s="229"/>
      <c r="CR92" s="356"/>
      <c r="CS92" s="229"/>
      <c r="CT92" s="229"/>
      <c r="CU92" s="229"/>
      <c r="CV92" s="1773"/>
      <c r="CW92" s="1774"/>
      <c r="CX92" s="229"/>
      <c r="CY92" s="229"/>
      <c r="CZ92" s="229"/>
      <c r="DA92" s="229"/>
      <c r="DB92" s="1773"/>
      <c r="DC92" s="1774"/>
      <c r="DD92" s="229"/>
      <c r="DE92" s="229"/>
      <c r="DF92" s="229"/>
      <c r="DG92" s="229"/>
      <c r="DH92" s="229"/>
      <c r="DI92" s="229"/>
    </row>
    <row r="93" spans="3:113" x14ac:dyDescent="0.35">
      <c r="C93" s="1" t="s">
        <v>171</v>
      </c>
      <c r="F93" s="1839">
        <f t="shared" ref="F93:V93" si="53">F$59*F$24/100</f>
        <v>1.9019565957446809</v>
      </c>
      <c r="G93" s="251">
        <f t="shared" si="53"/>
        <v>1.8399285000000001</v>
      </c>
      <c r="H93" s="251">
        <f t="shared" si="53"/>
        <v>1.8086214920212769</v>
      </c>
      <c r="I93" s="2066">
        <f t="shared" si="53"/>
        <v>1.8099059354838709</v>
      </c>
      <c r="J93" s="1839">
        <f t="shared" si="53"/>
        <v>1.1875156608000002</v>
      </c>
      <c r="K93" s="251">
        <f t="shared" si="53"/>
        <v>1.329964695652174</v>
      </c>
      <c r="L93" s="251">
        <f t="shared" si="53"/>
        <v>1.4489750434782609</v>
      </c>
      <c r="M93" s="251">
        <f t="shared" si="53"/>
        <v>1.344720695652174</v>
      </c>
      <c r="N93" s="2067">
        <f t="shared" si="53"/>
        <v>1.3357387826086957</v>
      </c>
      <c r="O93" s="2066">
        <f t="shared" si="53"/>
        <v>1.3537026086956521</v>
      </c>
      <c r="P93" s="1839">
        <f t="shared" si="53"/>
        <v>1.4547437999999999</v>
      </c>
      <c r="Q93" s="251">
        <f t="shared" si="53"/>
        <v>1.4619234991304346</v>
      </c>
      <c r="R93" s="251">
        <f t="shared" si="53"/>
        <v>1.5347461617391303</v>
      </c>
      <c r="S93" s="2067">
        <f t="shared" si="53"/>
        <v>1.4667099652173912</v>
      </c>
      <c r="T93" s="2067">
        <f t="shared" si="53"/>
        <v>1.4223069449999999</v>
      </c>
      <c r="U93" s="2067">
        <f t="shared" si="53"/>
        <v>1.4529291507692306</v>
      </c>
      <c r="V93" s="251">
        <f t="shared" si="53"/>
        <v>0</v>
      </c>
      <c r="W93" s="2068"/>
      <c r="X93" s="1839">
        <f t="shared" ref="X93:AM93" si="54">X$59*X$24/100</f>
        <v>1.5280851063829786E-3</v>
      </c>
      <c r="Y93" s="251">
        <f t="shared" si="54"/>
        <v>0</v>
      </c>
      <c r="Z93" s="251">
        <f t="shared" si="54"/>
        <v>5.9356009349999994E-3</v>
      </c>
      <c r="AA93" s="1846">
        <f t="shared" si="54"/>
        <v>0</v>
      </c>
      <c r="AB93" s="1839">
        <f t="shared" si="54"/>
        <v>4.84375E-3</v>
      </c>
      <c r="AC93" s="251">
        <f t="shared" si="54"/>
        <v>5.6736184199999993E-3</v>
      </c>
      <c r="AD93" s="251">
        <f t="shared" si="54"/>
        <v>7.2341537499999997E-3</v>
      </c>
      <c r="AE93" s="251">
        <f t="shared" si="54"/>
        <v>3.7460273833333328E-3</v>
      </c>
      <c r="AF93" s="251">
        <f t="shared" si="54"/>
        <v>0</v>
      </c>
      <c r="AG93" s="1846">
        <f t="shared" si="54"/>
        <v>0</v>
      </c>
      <c r="AH93" s="1839">
        <f t="shared" si="54"/>
        <v>0</v>
      </c>
      <c r="AI93" s="251">
        <f t="shared" si="54"/>
        <v>7.5225983333333324E-3</v>
      </c>
      <c r="AJ93" s="251">
        <f t="shared" si="54"/>
        <v>7.1723958333333336E-3</v>
      </c>
      <c r="AK93" s="251">
        <f t="shared" si="54"/>
        <v>5.2584524999999991E-3</v>
      </c>
      <c r="AL93" s="251">
        <f t="shared" si="54"/>
        <v>0</v>
      </c>
      <c r="AM93" s="251">
        <f t="shared" si="54"/>
        <v>0</v>
      </c>
      <c r="AN93" s="251"/>
      <c r="AO93" s="338"/>
      <c r="AP93" s="251">
        <f t="shared" ref="AP93:BF93" si="55">AP$59*AP$24/100</f>
        <v>1.1633491914893617</v>
      </c>
      <c r="AQ93" s="251">
        <f t="shared" si="55"/>
        <v>1.11273</v>
      </c>
      <c r="AR93" s="251">
        <f t="shared" si="55"/>
        <v>1.0071299999999999</v>
      </c>
      <c r="AS93" s="1846">
        <f t="shared" si="55"/>
        <v>1.083744</v>
      </c>
      <c r="AT93" s="1839">
        <f t="shared" si="55"/>
        <v>0.41420889000000005</v>
      </c>
      <c r="AU93" s="251">
        <f t="shared" si="55"/>
        <v>0.77093299999999998</v>
      </c>
      <c r="AV93" s="251">
        <f t="shared" si="55"/>
        <v>0.90851799999999994</v>
      </c>
      <c r="AW93" s="251">
        <f t="shared" si="55"/>
        <v>0.82778473500000005</v>
      </c>
      <c r="AX93" s="251">
        <f t="shared" si="55"/>
        <v>0.90139544583333331</v>
      </c>
      <c r="AY93" s="1846">
        <f t="shared" si="55"/>
        <v>0.86860710750000014</v>
      </c>
      <c r="AZ93" s="1839">
        <f t="shared" si="55"/>
        <v>0.87333123166666671</v>
      </c>
      <c r="BA93" s="251">
        <f t="shared" si="55"/>
        <v>0.93435825000000006</v>
      </c>
      <c r="BB93" s="251">
        <f t="shared" si="55"/>
        <v>1.07880025</v>
      </c>
      <c r="BC93" s="251">
        <f t="shared" si="55"/>
        <v>0.99194103</v>
      </c>
      <c r="BD93" s="251">
        <f t="shared" si="55"/>
        <v>1.0001663988235294</v>
      </c>
      <c r="BE93" s="251">
        <f t="shared" si="55"/>
        <v>0.85786257142857136</v>
      </c>
      <c r="BF93" s="251">
        <f t="shared" si="55"/>
        <v>0</v>
      </c>
      <c r="BG93" s="338"/>
      <c r="BH93" s="251">
        <f t="shared" ref="BH93:BX93" si="56">BH$59*BH$24/100</f>
        <v>1.2145531914893619E-3</v>
      </c>
      <c r="BI93" s="251">
        <f t="shared" si="56"/>
        <v>3.7030166666666676E-3</v>
      </c>
      <c r="BJ93" s="251">
        <f t="shared" si="56"/>
        <v>9.9421666666666651E-3</v>
      </c>
      <c r="BK93" s="1846">
        <f t="shared" si="56"/>
        <v>8.1290583333333347E-3</v>
      </c>
      <c r="BL93" s="1839">
        <f t="shared" si="56"/>
        <v>1.8100209999999999E-2</v>
      </c>
      <c r="BM93" s="251">
        <f t="shared" si="56"/>
        <v>5.3533333333333332E-3</v>
      </c>
      <c r="BN93" s="251">
        <f t="shared" si="56"/>
        <v>8.7898333333333353E-3</v>
      </c>
      <c r="BO93" s="251">
        <f t="shared" si="56"/>
        <v>7.6160000000000004E-3</v>
      </c>
      <c r="BP93" s="251">
        <f t="shared" si="56"/>
        <v>6.6834783333333337E-3</v>
      </c>
      <c r="BQ93" s="1846">
        <f t="shared" si="56"/>
        <v>7.3085249999999997E-3</v>
      </c>
      <c r="BR93" s="1839">
        <f t="shared" si="56"/>
        <v>8.0101874999999999E-3</v>
      </c>
      <c r="BS93" s="251">
        <f t="shared" si="56"/>
        <v>8.9393333333333339E-3</v>
      </c>
      <c r="BT93" s="251">
        <f t="shared" si="56"/>
        <v>9.8714333333333321E-3</v>
      </c>
      <c r="BU93" s="251">
        <f t="shared" si="56"/>
        <v>8.6004800000000006E-3</v>
      </c>
      <c r="BV93" s="251">
        <f t="shared" si="56"/>
        <v>7.6605000000000015E-3</v>
      </c>
      <c r="BW93" s="251">
        <f t="shared" si="56"/>
        <v>9.4607999999999984E-3</v>
      </c>
      <c r="BX93" s="251">
        <f t="shared" si="56"/>
        <v>0</v>
      </c>
      <c r="BY93" s="339"/>
      <c r="BZ93" s="268"/>
    </row>
    <row r="94" spans="3:113" x14ac:dyDescent="0.35">
      <c r="C94" s="1" t="s">
        <v>387</v>
      </c>
      <c r="F94" s="1904">
        <f t="shared" ref="F94" si="57">SUM(F92:F93)</f>
        <v>22.228884255319148</v>
      </c>
      <c r="G94" s="269">
        <f t="shared" ref="G94:BS94" si="58">SUM(G92:G93)</f>
        <v>21.503938499999997</v>
      </c>
      <c r="H94" s="269">
        <f t="shared" si="58"/>
        <v>21.138041687056738</v>
      </c>
      <c r="I94" s="2069">
        <f t="shared" si="58"/>
        <v>21.153053462365591</v>
      </c>
      <c r="J94" s="1904">
        <f t="shared" si="58"/>
        <v>10.345775500800002</v>
      </c>
      <c r="K94" s="269">
        <f t="shared" si="58"/>
        <v>11.586808173913045</v>
      </c>
      <c r="L94" s="269">
        <f t="shared" si="58"/>
        <v>12.623640260869564</v>
      </c>
      <c r="M94" s="269">
        <f t="shared" si="58"/>
        <v>11.715364173913047</v>
      </c>
      <c r="N94" s="2070">
        <f t="shared" si="58"/>
        <v>11.637112695652174</v>
      </c>
      <c r="O94" s="2069">
        <f t="shared" si="58"/>
        <v>11.793615652173914</v>
      </c>
      <c r="P94" s="1904">
        <f t="shared" si="58"/>
        <v>11.163543799999999</v>
      </c>
      <c r="Q94" s="269">
        <f t="shared" si="58"/>
        <v>11.218640020869566</v>
      </c>
      <c r="R94" s="269">
        <f t="shared" si="58"/>
        <v>11.77747311826087</v>
      </c>
      <c r="S94" s="2070">
        <f t="shared" si="58"/>
        <v>11.25537083478261</v>
      </c>
      <c r="T94" s="2070">
        <f t="shared" si="58"/>
        <v>10.914626945000002</v>
      </c>
      <c r="U94" s="2070">
        <f t="shared" si="58"/>
        <v>11.149618381538463</v>
      </c>
      <c r="V94" s="269">
        <f t="shared" si="58"/>
        <v>0</v>
      </c>
      <c r="W94" s="2071"/>
      <c r="X94" s="1904">
        <f t="shared" si="58"/>
        <v>2.2898297872340427E-2</v>
      </c>
      <c r="Y94" s="269">
        <f t="shared" si="58"/>
        <v>4.1784499999999995E-2</v>
      </c>
      <c r="Z94" s="269">
        <f t="shared" si="58"/>
        <v>6.6169000935E-2</v>
      </c>
      <c r="AA94" s="1903">
        <f t="shared" si="58"/>
        <v>0</v>
      </c>
      <c r="AB94" s="1904">
        <f t="shared" si="58"/>
        <v>5.9593749999999994E-2</v>
      </c>
      <c r="AC94" s="269">
        <f t="shared" si="58"/>
        <v>5.3584958420000002E-2</v>
      </c>
      <c r="AD94" s="269">
        <f t="shared" si="58"/>
        <v>4.8672403749999996E-2</v>
      </c>
      <c r="AE94" s="269">
        <f t="shared" si="58"/>
        <v>2.7122910716666664E-2</v>
      </c>
      <c r="AF94" s="269">
        <f t="shared" si="58"/>
        <v>0</v>
      </c>
      <c r="AG94" s="1903">
        <f t="shared" si="58"/>
        <v>0</v>
      </c>
      <c r="AH94" s="1904">
        <f t="shared" si="58"/>
        <v>0</v>
      </c>
      <c r="AI94" s="269">
        <f t="shared" si="58"/>
        <v>5.1866098333333326E-2</v>
      </c>
      <c r="AJ94" s="269">
        <f t="shared" si="58"/>
        <v>4.1492187499999993E-2</v>
      </c>
      <c r="AK94" s="269">
        <f t="shared" si="58"/>
        <v>2.8624702499999998E-2</v>
      </c>
      <c r="AL94" s="269">
        <f t="shared" si="58"/>
        <v>0</v>
      </c>
      <c r="AM94" s="269">
        <f t="shared" si="58"/>
        <v>0</v>
      </c>
      <c r="AN94" s="269"/>
      <c r="AO94" s="340"/>
      <c r="AP94" s="269">
        <f t="shared" si="58"/>
        <v>8.353621531914893</v>
      </c>
      <c r="AQ94" s="269">
        <f t="shared" si="58"/>
        <v>7.6957299999999993</v>
      </c>
      <c r="AR94" s="269">
        <f t="shared" si="58"/>
        <v>7.6473599999999999</v>
      </c>
      <c r="AS94" s="1903">
        <f t="shared" si="58"/>
        <v>7.8031840000000008</v>
      </c>
      <c r="AT94" s="1904">
        <f t="shared" si="58"/>
        <v>1.77265889</v>
      </c>
      <c r="AU94" s="269">
        <f t="shared" si="58"/>
        <v>2.5549596666666665</v>
      </c>
      <c r="AV94" s="269">
        <f t="shared" si="58"/>
        <v>3.315518</v>
      </c>
      <c r="AW94" s="269">
        <f t="shared" si="58"/>
        <v>3.0093247349999999</v>
      </c>
      <c r="AX94" s="269">
        <f t="shared" si="58"/>
        <v>3.1749854458333333</v>
      </c>
      <c r="AY94" s="1903">
        <f t="shared" si="58"/>
        <v>3.2502096075000004</v>
      </c>
      <c r="AZ94" s="1904">
        <f t="shared" si="58"/>
        <v>3.082323731666667</v>
      </c>
      <c r="BA94" s="269">
        <f t="shared" si="58"/>
        <v>2.82225825</v>
      </c>
      <c r="BB94" s="269">
        <f t="shared" si="58"/>
        <v>3.1685802500000002</v>
      </c>
      <c r="BC94" s="269">
        <f t="shared" si="58"/>
        <v>2.9294993633333331</v>
      </c>
      <c r="BD94" s="269">
        <f t="shared" si="58"/>
        <v>3.023627575294118</v>
      </c>
      <c r="BE94" s="269">
        <f t="shared" si="58"/>
        <v>2.6550754285714286</v>
      </c>
      <c r="BF94" s="269">
        <f t="shared" si="58"/>
        <v>0</v>
      </c>
      <c r="BG94" s="340"/>
      <c r="BH94" s="269">
        <f t="shared" si="58"/>
        <v>5.8371063829787241E-3</v>
      </c>
      <c r="BI94" s="269">
        <f t="shared" si="58"/>
        <v>1.3449683333333335E-2</v>
      </c>
      <c r="BJ94" s="269">
        <f t="shared" si="58"/>
        <v>3.6103833333333335E-2</v>
      </c>
      <c r="BK94" s="1903">
        <f t="shared" si="58"/>
        <v>2.4344841666666669E-2</v>
      </c>
      <c r="BL94" s="1904">
        <f t="shared" si="58"/>
        <v>5.4838959999999999E-2</v>
      </c>
      <c r="BM94" s="269">
        <f t="shared" si="58"/>
        <v>1.0193333333333332E-2</v>
      </c>
      <c r="BN94" s="269">
        <f t="shared" si="58"/>
        <v>1.7424416666666668E-2</v>
      </c>
      <c r="BO94" s="269">
        <f t="shared" si="58"/>
        <v>1.3624000000000001E-2</v>
      </c>
      <c r="BP94" s="269">
        <f t="shared" si="58"/>
        <v>1.2375644999999999E-2</v>
      </c>
      <c r="BQ94" s="1903">
        <f t="shared" si="58"/>
        <v>1.3217775000000001E-2</v>
      </c>
      <c r="BR94" s="1904">
        <f t="shared" si="58"/>
        <v>1.5281437499999998E-2</v>
      </c>
      <c r="BS94" s="269">
        <f t="shared" si="58"/>
        <v>1.6703833333333334E-2</v>
      </c>
      <c r="BT94" s="269">
        <f t="shared" ref="BT94:BX94" si="59">SUM(BT92:BT93)</f>
        <v>1.9864800000000002E-2</v>
      </c>
      <c r="BU94" s="269">
        <f t="shared" si="59"/>
        <v>1.6907146666666668E-2</v>
      </c>
      <c r="BV94" s="269">
        <f t="shared" si="59"/>
        <v>1.5362558823529413E-2</v>
      </c>
      <c r="BW94" s="269">
        <f t="shared" si="59"/>
        <v>1.9060299999999999E-2</v>
      </c>
      <c r="BX94" s="269">
        <f t="shared" si="59"/>
        <v>0</v>
      </c>
      <c r="BY94" s="339"/>
      <c r="BZ94" s="268"/>
    </row>
    <row r="95" spans="3:113" ht="15" thickBot="1" x14ac:dyDescent="0.4">
      <c r="F95" s="1768"/>
      <c r="G95" s="225"/>
      <c r="H95" s="225"/>
      <c r="I95" s="2072"/>
      <c r="J95" s="1768"/>
      <c r="K95" s="225"/>
      <c r="L95" s="225"/>
      <c r="M95" s="225"/>
      <c r="N95" s="2073"/>
      <c r="O95" s="2072"/>
      <c r="P95" s="1768"/>
      <c r="Q95" s="225"/>
      <c r="R95" s="225"/>
      <c r="S95" s="2073"/>
      <c r="T95" s="2073"/>
      <c r="U95" s="2073"/>
      <c r="V95" s="225"/>
      <c r="W95" s="1790"/>
      <c r="X95" s="1768"/>
      <c r="Y95" s="225"/>
      <c r="Z95" s="225"/>
      <c r="AA95" s="226"/>
      <c r="AB95" s="1768"/>
      <c r="AC95" s="225"/>
      <c r="AD95" s="225"/>
      <c r="AE95" s="225"/>
      <c r="AF95" s="225"/>
      <c r="AG95" s="226"/>
      <c r="AH95" s="1768"/>
      <c r="AI95" s="225"/>
      <c r="AJ95" s="225"/>
      <c r="AK95" s="225"/>
      <c r="AL95" s="225"/>
      <c r="AM95" s="225"/>
      <c r="AN95" s="225"/>
      <c r="AO95" s="344"/>
      <c r="AP95" s="225"/>
      <c r="AQ95" s="225"/>
      <c r="AR95" s="225"/>
      <c r="AS95" s="226"/>
      <c r="AT95" s="1768"/>
      <c r="AU95" s="225"/>
      <c r="AV95" s="225"/>
      <c r="AW95" s="225"/>
      <c r="AX95" s="225"/>
      <c r="AY95" s="226"/>
      <c r="AZ95" s="1768"/>
      <c r="BA95" s="225"/>
      <c r="BB95" s="225"/>
      <c r="BC95" s="225"/>
      <c r="BD95" s="225"/>
      <c r="BE95" s="225"/>
      <c r="BF95" s="225"/>
      <c r="BG95" s="344"/>
      <c r="BH95" s="225"/>
      <c r="BI95" s="225"/>
      <c r="BJ95" s="225"/>
      <c r="BK95" s="226"/>
      <c r="BL95" s="1768"/>
      <c r="BM95" s="225"/>
      <c r="BN95" s="225"/>
      <c r="BO95" s="225"/>
      <c r="BP95" s="225"/>
      <c r="BQ95" s="226"/>
      <c r="BR95" s="1768"/>
      <c r="BS95" s="225"/>
      <c r="BT95" s="225"/>
      <c r="BU95" s="225"/>
      <c r="BV95" s="225"/>
      <c r="BW95" s="225"/>
      <c r="BX95" s="225"/>
      <c r="BY95" s="344"/>
      <c r="BZ95" s="345"/>
      <c r="CA95" s="225"/>
      <c r="CB95" s="225"/>
      <c r="CC95" s="225"/>
      <c r="CD95" s="226"/>
      <c r="CE95" s="1768"/>
      <c r="CF95" s="225"/>
      <c r="CG95" s="225"/>
      <c r="CH95" s="225"/>
      <c r="CI95" s="225"/>
      <c r="CJ95" s="226"/>
      <c r="CK95" s="1768"/>
      <c r="CL95" s="225"/>
      <c r="CM95" s="225"/>
      <c r="CN95" s="225"/>
      <c r="CO95" s="225"/>
      <c r="CP95" s="225"/>
      <c r="CQ95" s="225"/>
      <c r="CR95" s="344"/>
      <c r="CS95" s="225"/>
      <c r="CT95" s="225"/>
      <c r="CU95" s="225"/>
      <c r="CV95" s="226"/>
      <c r="CW95" s="1768"/>
      <c r="CX95" s="225"/>
      <c r="CY95" s="225"/>
      <c r="CZ95" s="225"/>
      <c r="DA95" s="225"/>
      <c r="DB95" s="226"/>
      <c r="DC95" s="1768"/>
      <c r="DD95" s="225"/>
      <c r="DE95" s="225"/>
      <c r="DF95" s="225"/>
      <c r="DG95" s="225"/>
      <c r="DH95" s="225"/>
      <c r="DI95" s="225"/>
    </row>
    <row r="96" spans="3:113" s="377" customFormat="1" ht="15" thickTop="1" x14ac:dyDescent="0.35">
      <c r="C96" s="375" t="s">
        <v>132</v>
      </c>
      <c r="D96" s="375"/>
      <c r="E96" s="375"/>
      <c r="F96" s="2074">
        <f t="shared" ref="F96:V96" si="60">F$59*F$28/100</f>
        <v>77.898382978723419</v>
      </c>
      <c r="G96" s="376">
        <f>G$59*G$28/100</f>
        <v>75.357900000000015</v>
      </c>
      <c r="H96" s="371">
        <f t="shared" si="60"/>
        <v>74.07565975177306</v>
      </c>
      <c r="I96" s="2075">
        <f t="shared" si="60"/>
        <v>74.128266666666661</v>
      </c>
      <c r="J96" s="2074">
        <f t="shared" si="60"/>
        <v>53.468785920000009</v>
      </c>
      <c r="K96" s="376">
        <f t="shared" si="60"/>
        <v>59.882660869565214</v>
      </c>
      <c r="L96" s="376">
        <f t="shared" si="60"/>
        <v>65.241191304347822</v>
      </c>
      <c r="M96" s="376">
        <f t="shared" si="60"/>
        <v>60.547060869565222</v>
      </c>
      <c r="N96" s="2076">
        <f t="shared" si="60"/>
        <v>60.142643478260872</v>
      </c>
      <c r="O96" s="2075">
        <f t="shared" si="60"/>
        <v>60.951478260869564</v>
      </c>
      <c r="P96" s="2074">
        <f t="shared" si="60"/>
        <v>74.518000000000001</v>
      </c>
      <c r="Q96" s="376">
        <f t="shared" si="60"/>
        <v>74.885773913043479</v>
      </c>
      <c r="R96" s="376">
        <f t="shared" si="60"/>
        <v>78.616052173913033</v>
      </c>
      <c r="S96" s="2076">
        <f t="shared" si="60"/>
        <v>75.130956521739137</v>
      </c>
      <c r="T96" s="2076">
        <f t="shared" si="60"/>
        <v>72.856450000000009</v>
      </c>
      <c r="U96" s="2076">
        <f t="shared" si="60"/>
        <v>74.425046153846154</v>
      </c>
      <c r="V96" s="376">
        <f t="shared" si="60"/>
        <v>0</v>
      </c>
      <c r="W96" s="2077"/>
      <c r="X96" s="2074">
        <f t="shared" ref="X96:AM96" si="61">X$59*X$28/100</f>
        <v>6.1506382978723399E-2</v>
      </c>
      <c r="Y96" s="376">
        <f t="shared" si="61"/>
        <v>0</v>
      </c>
      <c r="Z96" s="376">
        <f t="shared" si="61"/>
        <v>0.18125279999999996</v>
      </c>
      <c r="AA96" s="1895">
        <f t="shared" si="61"/>
        <v>0</v>
      </c>
      <c r="AB96" s="2074">
        <f t="shared" si="61"/>
        <v>0.21162500000000001</v>
      </c>
      <c r="AC96" s="376">
        <f t="shared" si="61"/>
        <v>0.24032410000000001</v>
      </c>
      <c r="AD96" s="376">
        <f t="shared" si="61"/>
        <v>0.24227125000000002</v>
      </c>
      <c r="AE96" s="376">
        <f t="shared" si="61"/>
        <v>0.13133416666666664</v>
      </c>
      <c r="AF96" s="376">
        <f t="shared" si="61"/>
        <v>0</v>
      </c>
      <c r="AG96" s="1895">
        <f t="shared" si="61"/>
        <v>0</v>
      </c>
      <c r="AH96" s="2074">
        <f t="shared" si="61"/>
        <v>0</v>
      </c>
      <c r="AI96" s="376">
        <f t="shared" si="61"/>
        <v>0.2272463333333333</v>
      </c>
      <c r="AJ96" s="376">
        <f t="shared" si="61"/>
        <v>0.19886874999999996</v>
      </c>
      <c r="AK96" s="376">
        <f t="shared" si="61"/>
        <v>0.15365925</v>
      </c>
      <c r="AL96" s="376">
        <f t="shared" si="61"/>
        <v>0</v>
      </c>
      <c r="AM96" s="376">
        <f t="shared" si="61"/>
        <v>0</v>
      </c>
      <c r="AN96" s="376"/>
      <c r="AO96" s="399"/>
      <c r="AP96" s="376">
        <f t="shared" ref="AP96:BF96" si="62">AP$59*AP$28/100</f>
        <v>32.786412765957444</v>
      </c>
      <c r="AQ96" s="376">
        <f t="shared" si="62"/>
        <v>28.796999999999997</v>
      </c>
      <c r="AR96" s="376">
        <f t="shared" si="62"/>
        <v>31.579499999999999</v>
      </c>
      <c r="AS96" s="1895">
        <f t="shared" si="62"/>
        <v>28.854400000000002</v>
      </c>
      <c r="AT96" s="2074">
        <f t="shared" si="62"/>
        <v>8.07</v>
      </c>
      <c r="AU96" s="376">
        <f t="shared" si="62"/>
        <v>15.74493333333333</v>
      </c>
      <c r="AV96" s="376">
        <f t="shared" si="62"/>
        <v>18.890800000000002</v>
      </c>
      <c r="AW96" s="376">
        <f t="shared" si="62"/>
        <v>17.597550000000002</v>
      </c>
      <c r="AX96" s="376">
        <f t="shared" si="62"/>
        <v>18.210641666666671</v>
      </c>
      <c r="AY96" s="1895">
        <f t="shared" si="62"/>
        <v>20.813874999999999</v>
      </c>
      <c r="AZ96" s="2074">
        <f t="shared" si="62"/>
        <v>18.461850000000002</v>
      </c>
      <c r="BA96" s="376">
        <f t="shared" si="62"/>
        <v>17.950274999999998</v>
      </c>
      <c r="BB96" s="376">
        <f t="shared" si="62"/>
        <v>19.875624999999999</v>
      </c>
      <c r="BC96" s="376">
        <f t="shared" si="62"/>
        <v>18.686333333333334</v>
      </c>
      <c r="BD96" s="376">
        <f t="shared" si="62"/>
        <v>19.737294117647057</v>
      </c>
      <c r="BE96" s="376">
        <f t="shared" si="62"/>
        <v>17.919385714285717</v>
      </c>
      <c r="BF96" s="376">
        <f t="shared" si="62"/>
        <v>0</v>
      </c>
      <c r="BG96" s="354"/>
      <c r="BH96" s="376"/>
      <c r="BI96" s="376"/>
      <c r="BJ96" s="376"/>
      <c r="BK96" s="1895"/>
      <c r="BL96" s="2074"/>
      <c r="BM96" s="376"/>
      <c r="BN96" s="376"/>
      <c r="BO96" s="376"/>
      <c r="BP96" s="376"/>
      <c r="BQ96" s="1895"/>
      <c r="BR96" s="2074"/>
      <c r="BS96" s="376"/>
      <c r="BT96" s="376"/>
      <c r="BU96" s="376"/>
      <c r="BV96" s="376"/>
      <c r="BW96" s="376"/>
      <c r="BX96" s="376"/>
      <c r="BY96" s="352"/>
      <c r="BZ96" s="355"/>
      <c r="CA96" s="347"/>
      <c r="CB96" s="347"/>
      <c r="CC96" s="347"/>
      <c r="CD96" s="1880"/>
      <c r="CE96" s="1879"/>
      <c r="CF96" s="347"/>
      <c r="CG96" s="347"/>
      <c r="CH96" s="347"/>
      <c r="CI96" s="347"/>
      <c r="CJ96" s="1880"/>
      <c r="CK96" s="1879"/>
      <c r="CL96" s="347"/>
      <c r="CM96" s="347"/>
      <c r="CN96" s="347"/>
      <c r="CO96" s="347"/>
      <c r="CP96" s="347"/>
      <c r="CQ96" s="347"/>
      <c r="CR96" s="352"/>
      <c r="CS96" s="347"/>
      <c r="CT96" s="347"/>
      <c r="CU96" s="347"/>
      <c r="CV96" s="1880"/>
      <c r="CW96" s="1879"/>
      <c r="CX96" s="347"/>
      <c r="CY96" s="347"/>
      <c r="CZ96" s="347"/>
      <c r="DA96" s="347"/>
      <c r="DB96" s="1880"/>
      <c r="DC96" s="1879"/>
      <c r="DD96" s="347"/>
      <c r="DE96" s="347"/>
      <c r="DF96" s="347"/>
      <c r="DG96" s="347"/>
      <c r="DH96" s="347"/>
      <c r="DI96" s="347"/>
    </row>
    <row r="97" spans="3:114" s="368" customFormat="1" ht="15" thickBot="1" x14ac:dyDescent="0.4">
      <c r="C97" s="364" t="s">
        <v>133</v>
      </c>
      <c r="D97" s="364"/>
      <c r="E97" s="364"/>
      <c r="F97" s="2078">
        <f t="shared" ref="F97:V97" si="63">F$59*F$30/100</f>
        <v>41.496000000000002</v>
      </c>
      <c r="G97" s="400">
        <f t="shared" si="63"/>
        <v>40.142700000000005</v>
      </c>
      <c r="H97" s="374">
        <f t="shared" si="63"/>
        <v>39.459658333333337</v>
      </c>
      <c r="I97" s="2079">
        <f t="shared" si="63"/>
        <v>39.48768172043011</v>
      </c>
      <c r="J97" s="2078">
        <f t="shared" si="63"/>
        <v>33.639302399999998</v>
      </c>
      <c r="K97" s="400">
        <f t="shared" si="63"/>
        <v>37.674521739130434</v>
      </c>
      <c r="L97" s="400">
        <f t="shared" si="63"/>
        <v>41.045782608695653</v>
      </c>
      <c r="M97" s="400">
        <f t="shared" si="63"/>
        <v>38.092521739130433</v>
      </c>
      <c r="N97" s="2080">
        <f t="shared" si="63"/>
        <v>37.838086956521735</v>
      </c>
      <c r="O97" s="2079">
        <f t="shared" si="63"/>
        <v>38.346956521739131</v>
      </c>
      <c r="P97" s="2078">
        <f t="shared" si="63"/>
        <v>40.700000000000003</v>
      </c>
      <c r="Q97" s="400">
        <f t="shared" si="63"/>
        <v>40.900869565217391</v>
      </c>
      <c r="R97" s="400">
        <f t="shared" si="63"/>
        <v>42.938260869565219</v>
      </c>
      <c r="S97" s="2080">
        <f t="shared" si="63"/>
        <v>41.03478260869565</v>
      </c>
      <c r="T97" s="2080">
        <f t="shared" si="63"/>
        <v>39.792499999999997</v>
      </c>
      <c r="U97" s="2080">
        <f t="shared" si="63"/>
        <v>40.649230769230769</v>
      </c>
      <c r="V97" s="400">
        <f t="shared" si="63"/>
        <v>0</v>
      </c>
      <c r="W97" s="2081"/>
      <c r="X97" s="2078">
        <f t="shared" ref="X97:AM97" si="64">X$59*X$30/100</f>
        <v>3.7531914893617027E-2</v>
      </c>
      <c r="Y97" s="400">
        <f t="shared" si="64"/>
        <v>8.781499999999999E-2</v>
      </c>
      <c r="Z97" s="400">
        <f t="shared" si="64"/>
        <v>0.12709799999999999</v>
      </c>
      <c r="AA97" s="2082">
        <f t="shared" si="64"/>
        <v>0</v>
      </c>
      <c r="AB97" s="2078">
        <f t="shared" si="64"/>
        <v>0.11749999999999999</v>
      </c>
      <c r="AC97" s="400">
        <f t="shared" si="64"/>
        <v>0.14324799999999999</v>
      </c>
      <c r="AD97" s="400">
        <f t="shared" si="64"/>
        <v>0.153475</v>
      </c>
      <c r="AE97" s="400">
        <f t="shared" si="64"/>
        <v>8.616E-2</v>
      </c>
      <c r="AF97" s="400">
        <f t="shared" si="64"/>
        <v>0</v>
      </c>
      <c r="AG97" s="2082">
        <f t="shared" si="64"/>
        <v>0</v>
      </c>
      <c r="AH97" s="2078">
        <f t="shared" si="64"/>
        <v>0</v>
      </c>
      <c r="AI97" s="400">
        <f t="shared" si="64"/>
        <v>0.16473666666666664</v>
      </c>
      <c r="AJ97" s="400">
        <f t="shared" si="64"/>
        <v>0.12562708333333333</v>
      </c>
      <c r="AK97" s="400">
        <f t="shared" si="64"/>
        <v>0.10043999999999999</v>
      </c>
      <c r="AL97" s="400">
        <f t="shared" si="64"/>
        <v>0</v>
      </c>
      <c r="AM97" s="400">
        <f t="shared" si="64"/>
        <v>0</v>
      </c>
      <c r="AN97" s="400"/>
      <c r="AO97" s="401"/>
      <c r="AP97" s="400">
        <f t="shared" ref="AP97:BF97" si="65">AP$59*AP$30/100</f>
        <v>14.134723404255316</v>
      </c>
      <c r="AQ97" s="400">
        <f t="shared" si="65"/>
        <v>12.47</v>
      </c>
      <c r="AR97" s="400">
        <f t="shared" si="65"/>
        <v>12.518000000000002</v>
      </c>
      <c r="AS97" s="2082">
        <f t="shared" si="65"/>
        <v>12.78</v>
      </c>
      <c r="AT97" s="2078">
        <f t="shared" si="65"/>
        <v>4.0350000000000001</v>
      </c>
      <c r="AU97" s="400">
        <f t="shared" si="65"/>
        <v>8.5310000000000006</v>
      </c>
      <c r="AV97" s="400">
        <f t="shared" si="65"/>
        <v>10.125999999999999</v>
      </c>
      <c r="AW97" s="400">
        <f t="shared" si="65"/>
        <v>9.5790000000000006</v>
      </c>
      <c r="AX97" s="400">
        <f t="shared" si="65"/>
        <v>9.5515833333333333</v>
      </c>
      <c r="AY97" s="2082">
        <f t="shared" si="65"/>
        <v>9.9968500000000002</v>
      </c>
      <c r="AZ97" s="2078">
        <f t="shared" si="65"/>
        <v>10.256583333333335</v>
      </c>
      <c r="BA97" s="400">
        <f t="shared" si="65"/>
        <v>9.1349999999999998</v>
      </c>
      <c r="BB97" s="400">
        <f t="shared" si="65"/>
        <v>10.870750000000001</v>
      </c>
      <c r="BC97" s="400">
        <f t="shared" si="65"/>
        <v>9.0368333333333322</v>
      </c>
      <c r="BD97" s="400">
        <f t="shared" si="65"/>
        <v>10.101764705882353</v>
      </c>
      <c r="BE97" s="400">
        <f t="shared" si="65"/>
        <v>9.0981428571428573</v>
      </c>
      <c r="BF97" s="400">
        <f t="shared" si="65"/>
        <v>0</v>
      </c>
      <c r="BG97" s="369"/>
      <c r="BH97" s="400"/>
      <c r="BI97" s="400"/>
      <c r="BJ97" s="400"/>
      <c r="BK97" s="2082"/>
      <c r="BL97" s="2078"/>
      <c r="BM97" s="400"/>
      <c r="BN97" s="400"/>
      <c r="BO97" s="400"/>
      <c r="BP97" s="400"/>
      <c r="BQ97" s="2082"/>
      <c r="BR97" s="2078"/>
      <c r="BS97" s="400"/>
      <c r="BT97" s="400"/>
      <c r="BU97" s="400"/>
      <c r="BV97" s="400"/>
      <c r="BW97" s="400"/>
      <c r="BX97" s="400"/>
      <c r="BY97" s="366"/>
      <c r="BZ97" s="367"/>
      <c r="CA97" s="365"/>
      <c r="CB97" s="365"/>
      <c r="CC97" s="365"/>
      <c r="CD97" s="1804"/>
      <c r="CE97" s="1800"/>
      <c r="CF97" s="365"/>
      <c r="CG97" s="365"/>
      <c r="CH97" s="365"/>
      <c r="CI97" s="365"/>
      <c r="CJ97" s="1804"/>
      <c r="CK97" s="1800"/>
      <c r="CL97" s="365"/>
      <c r="CM97" s="365"/>
      <c r="CN97" s="365"/>
      <c r="CO97" s="365"/>
      <c r="CP97" s="365"/>
      <c r="CQ97" s="365"/>
      <c r="CR97" s="366"/>
      <c r="CS97" s="365"/>
      <c r="CT97" s="365"/>
      <c r="CU97" s="365"/>
      <c r="CV97" s="1804"/>
      <c r="CW97" s="1800"/>
      <c r="CX97" s="365"/>
      <c r="CY97" s="365"/>
      <c r="CZ97" s="365"/>
      <c r="DA97" s="365"/>
      <c r="DB97" s="1804"/>
      <c r="DC97" s="1800"/>
      <c r="DD97" s="365"/>
      <c r="DE97" s="365"/>
      <c r="DF97" s="365"/>
      <c r="DG97" s="365"/>
      <c r="DH97" s="365"/>
      <c r="DI97" s="365"/>
    </row>
    <row r="98" spans="3:114" ht="15" thickTop="1" x14ac:dyDescent="0.35">
      <c r="F98" s="1786"/>
      <c r="G98" s="296"/>
      <c r="H98" s="309"/>
      <c r="I98" s="1805"/>
      <c r="J98" s="1786"/>
      <c r="K98" s="296"/>
      <c r="L98" s="296"/>
      <c r="M98" s="296"/>
      <c r="N98" s="1809"/>
      <c r="O98" s="1805"/>
      <c r="P98" s="1786"/>
      <c r="Q98" s="296"/>
      <c r="R98" s="296"/>
      <c r="S98" s="1809"/>
      <c r="T98" s="1809"/>
      <c r="U98" s="1809"/>
      <c r="V98" s="296"/>
      <c r="W98" s="1810"/>
      <c r="X98" s="1786"/>
      <c r="Y98" s="296"/>
      <c r="Z98" s="296"/>
      <c r="AA98" s="1783"/>
      <c r="AB98" s="1786"/>
      <c r="AC98" s="296"/>
      <c r="AD98" s="296"/>
      <c r="AE98" s="296"/>
      <c r="AF98" s="296"/>
      <c r="AG98" s="1783"/>
      <c r="AH98" s="1786"/>
      <c r="AI98" s="296"/>
      <c r="AJ98" s="296"/>
      <c r="AK98" s="296"/>
      <c r="AL98" s="296"/>
      <c r="AM98" s="296"/>
      <c r="AN98" s="296"/>
      <c r="AO98" s="357"/>
      <c r="AP98" s="296"/>
      <c r="AQ98" s="296"/>
      <c r="AR98" s="296"/>
      <c r="AS98" s="1783"/>
      <c r="AT98" s="1786"/>
      <c r="AU98" s="296"/>
      <c r="AV98" s="296"/>
      <c r="AW98" s="296"/>
      <c r="AX98" s="296"/>
      <c r="AY98" s="1783"/>
      <c r="AZ98" s="1786"/>
      <c r="BA98" s="296"/>
      <c r="BB98" s="296"/>
      <c r="BC98" s="296"/>
      <c r="BD98" s="296"/>
      <c r="BE98" s="296"/>
      <c r="BF98" s="296"/>
      <c r="BG98" s="357"/>
      <c r="BH98" s="296"/>
      <c r="BI98" s="296"/>
      <c r="BJ98" s="296"/>
      <c r="BK98" s="1783"/>
      <c r="BL98" s="1786"/>
      <c r="BM98" s="296"/>
      <c r="BN98" s="296"/>
      <c r="BO98" s="296"/>
      <c r="BP98" s="296"/>
      <c r="BQ98" s="1783"/>
      <c r="BR98" s="1786"/>
      <c r="BS98" s="296"/>
      <c r="BT98" s="296"/>
      <c r="BU98" s="296"/>
      <c r="BV98" s="296"/>
      <c r="BW98" s="296"/>
      <c r="BX98" s="296"/>
      <c r="BY98" s="356"/>
      <c r="BZ98" s="358"/>
      <c r="CA98" s="229"/>
      <c r="CB98" s="229"/>
      <c r="CC98" s="229"/>
      <c r="CD98" s="1773"/>
      <c r="CE98" s="1774"/>
      <c r="CF98" s="229"/>
      <c r="CG98" s="229"/>
      <c r="CH98" s="229"/>
      <c r="CI98" s="229"/>
      <c r="CJ98" s="1773"/>
      <c r="CK98" s="1774"/>
      <c r="CL98" s="229"/>
      <c r="CM98" s="229"/>
      <c r="CN98" s="229"/>
      <c r="CO98" s="229"/>
      <c r="CP98" s="229"/>
      <c r="CQ98" s="229"/>
      <c r="CR98" s="356"/>
      <c r="CS98" s="229"/>
      <c r="CT98" s="229"/>
      <c r="CU98" s="229"/>
      <c r="CV98" s="1773"/>
      <c r="CW98" s="1774"/>
      <c r="CX98" s="229"/>
      <c r="CY98" s="229"/>
      <c r="CZ98" s="229"/>
      <c r="DA98" s="229"/>
      <c r="DB98" s="1773"/>
      <c r="DC98" s="1774"/>
      <c r="DD98" s="229"/>
      <c r="DE98" s="229"/>
      <c r="DF98" s="229"/>
      <c r="DG98" s="229"/>
      <c r="DH98" s="229"/>
      <c r="DI98" s="229"/>
    </row>
    <row r="99" spans="3:114" x14ac:dyDescent="0.35">
      <c r="C99" s="1" t="s">
        <v>134</v>
      </c>
      <c r="F99" s="1839">
        <f t="shared" ref="F99:V99" si="66">F$59*F$33/100</f>
        <v>87.134808510638308</v>
      </c>
      <c r="G99" s="251">
        <f t="shared" si="66"/>
        <v>84.293099999999995</v>
      </c>
      <c r="H99" s="249">
        <f t="shared" si="66"/>
        <v>82.858824290780134</v>
      </c>
      <c r="I99" s="2066">
        <f t="shared" si="66"/>
        <v>82.917668817204301</v>
      </c>
      <c r="J99" s="1839">
        <f t="shared" si="66"/>
        <v>50.845242240000005</v>
      </c>
      <c r="K99" s="251">
        <f t="shared" si="66"/>
        <v>56.944408695652186</v>
      </c>
      <c r="L99" s="251">
        <f t="shared" si="66"/>
        <v>62.040013043478268</v>
      </c>
      <c r="M99" s="251">
        <f t="shared" si="66"/>
        <v>57.576208695652177</v>
      </c>
      <c r="N99" s="2067">
        <f t="shared" si="66"/>
        <v>57.191634782608702</v>
      </c>
      <c r="O99" s="2066">
        <f t="shared" si="66"/>
        <v>57.960782608695652</v>
      </c>
      <c r="P99" s="1839">
        <f t="shared" si="66"/>
        <v>59.329499999999996</v>
      </c>
      <c r="Q99" s="251">
        <f t="shared" si="66"/>
        <v>59.622313043478265</v>
      </c>
      <c r="R99" s="251">
        <f t="shared" si="66"/>
        <v>62.592273913043471</v>
      </c>
      <c r="S99" s="2067">
        <f t="shared" si="66"/>
        <v>59.817521739130434</v>
      </c>
      <c r="T99" s="2067">
        <f t="shared" si="66"/>
        <v>58.006612500000003</v>
      </c>
      <c r="U99" s="2067">
        <f t="shared" si="66"/>
        <v>59.255492307692315</v>
      </c>
      <c r="V99" s="251">
        <f t="shared" si="66"/>
        <v>0</v>
      </c>
      <c r="W99" s="2068"/>
      <c r="X99" s="1839">
        <f t="shared" ref="X99:AL99" si="67">X$59*X$33/100</f>
        <v>8.9617021276595737E-2</v>
      </c>
      <c r="Y99" s="251">
        <f t="shared" si="67"/>
        <v>0.213121215</v>
      </c>
      <c r="Z99" s="251">
        <f t="shared" si="67"/>
        <v>0.29716065000000003</v>
      </c>
      <c r="AA99" s="1846">
        <f t="shared" si="67"/>
        <v>0</v>
      </c>
      <c r="AB99" s="1839">
        <f t="shared" si="67"/>
        <v>0.26374999999999998</v>
      </c>
      <c r="AC99" s="251">
        <f t="shared" si="67"/>
        <v>0.28649599999999997</v>
      </c>
      <c r="AD99" s="251">
        <f t="shared" si="67"/>
        <v>0.26967750000000001</v>
      </c>
      <c r="AE99" s="251">
        <f t="shared" si="67"/>
        <v>0.14844649999999998</v>
      </c>
      <c r="AF99" s="251">
        <f t="shared" si="67"/>
        <v>0</v>
      </c>
      <c r="AG99" s="1846">
        <f t="shared" si="67"/>
        <v>0</v>
      </c>
      <c r="AH99" s="1839">
        <f t="shared" si="67"/>
        <v>0</v>
      </c>
      <c r="AI99" s="251">
        <f t="shared" si="67"/>
        <v>0.29359233333333329</v>
      </c>
      <c r="AJ99" s="251">
        <f t="shared" si="67"/>
        <v>0.24009166666666665</v>
      </c>
      <c r="AK99" s="251">
        <f t="shared" si="67"/>
        <v>0</v>
      </c>
      <c r="AL99" s="251">
        <f t="shared" si="67"/>
        <v>0</v>
      </c>
      <c r="AM99" s="251"/>
      <c r="AN99" s="251"/>
      <c r="AO99" s="338"/>
      <c r="AP99" s="251">
        <f t="shared" ref="AP99:BF99" si="68">AP$59*AP$33/100</f>
        <v>45.476936170212767</v>
      </c>
      <c r="AQ99" s="251">
        <f t="shared" si="68"/>
        <v>42.253</v>
      </c>
      <c r="AR99" s="251">
        <f t="shared" si="68"/>
        <v>41.394750000000002</v>
      </c>
      <c r="AS99" s="1846">
        <f t="shared" si="68"/>
        <v>41.748000000000005</v>
      </c>
      <c r="AT99" s="1839">
        <f t="shared" si="68"/>
        <v>12.925449999999998</v>
      </c>
      <c r="AU99" s="251">
        <f t="shared" si="68"/>
        <v>20.504333333333328</v>
      </c>
      <c r="AV99" s="251">
        <f t="shared" si="68"/>
        <v>23.571999999999999</v>
      </c>
      <c r="AW99" s="251">
        <f t="shared" si="68"/>
        <v>21.63</v>
      </c>
      <c r="AX99" s="251">
        <f t="shared" si="68"/>
        <v>21.859033333333336</v>
      </c>
      <c r="AY99" s="1846">
        <f t="shared" si="68"/>
        <v>22.903000000000002</v>
      </c>
      <c r="AZ99" s="1839">
        <f t="shared" si="68"/>
        <v>21.385741666666668</v>
      </c>
      <c r="BA99" s="251">
        <f t="shared" si="68"/>
        <v>20.462399999999999</v>
      </c>
      <c r="BB99" s="251">
        <f t="shared" si="68"/>
        <v>23.039499999999997</v>
      </c>
      <c r="BC99" s="251">
        <f t="shared" si="68"/>
        <v>20.677499999999998</v>
      </c>
      <c r="BD99" s="251">
        <f t="shared" si="68"/>
        <v>21.866435294117647</v>
      </c>
      <c r="BE99" s="251">
        <f t="shared" si="68"/>
        <v>19.119285714285716</v>
      </c>
      <c r="BF99" s="251">
        <f t="shared" si="68"/>
        <v>0</v>
      </c>
      <c r="BG99" s="338"/>
      <c r="BH99" s="251"/>
      <c r="BI99" s="251"/>
      <c r="BJ99" s="251"/>
      <c r="BK99" s="1846"/>
      <c r="BL99" s="1839"/>
      <c r="BM99" s="251"/>
      <c r="BN99" s="251"/>
      <c r="BO99" s="251"/>
      <c r="BP99" s="251"/>
      <c r="BQ99" s="1846"/>
      <c r="BR99" s="1839"/>
      <c r="BS99" s="251"/>
      <c r="BT99" s="251"/>
      <c r="BU99" s="251"/>
      <c r="BV99" s="251"/>
      <c r="BW99" s="251"/>
      <c r="BX99" s="251"/>
    </row>
    <row r="100" spans="3:114" ht="15" thickBot="1" x14ac:dyDescent="0.4">
      <c r="F100" s="1768"/>
      <c r="G100" s="225"/>
      <c r="H100" s="373"/>
      <c r="I100" s="2072"/>
      <c r="J100" s="1768"/>
      <c r="K100" s="225"/>
      <c r="L100" s="225"/>
      <c r="M100" s="225"/>
      <c r="N100" s="2073"/>
      <c r="O100" s="2072"/>
      <c r="P100" s="1768"/>
      <c r="Q100" s="225"/>
      <c r="R100" s="225"/>
      <c r="S100" s="2073"/>
      <c r="T100" s="2073"/>
      <c r="U100" s="2073"/>
      <c r="V100" s="225"/>
      <c r="W100" s="1790"/>
      <c r="X100" s="1768"/>
      <c r="Y100" s="225"/>
      <c r="Z100" s="225"/>
      <c r="AA100" s="226"/>
      <c r="AB100" s="1768"/>
      <c r="AC100" s="225"/>
      <c r="AD100" s="225"/>
      <c r="AE100" s="225"/>
      <c r="AF100" s="225"/>
      <c r="AG100" s="226"/>
      <c r="AH100" s="1768"/>
      <c r="AI100" s="225"/>
      <c r="AJ100" s="225"/>
      <c r="AK100" s="225"/>
      <c r="AL100" s="225"/>
      <c r="AM100" s="225"/>
      <c r="AN100" s="225"/>
      <c r="AO100" s="344"/>
      <c r="AP100" s="225"/>
      <c r="AQ100" s="225"/>
      <c r="AR100" s="225"/>
      <c r="AS100" s="226"/>
      <c r="AT100" s="1768"/>
      <c r="AU100" s="225"/>
      <c r="AV100" s="225"/>
      <c r="AW100" s="225"/>
      <c r="AX100" s="225"/>
      <c r="AY100" s="226"/>
      <c r="AZ100" s="1768"/>
      <c r="BA100" s="225"/>
      <c r="BB100" s="225"/>
      <c r="BC100" s="225"/>
      <c r="BD100" s="225"/>
      <c r="BE100" s="225"/>
      <c r="BF100" s="225"/>
      <c r="BG100" s="344"/>
      <c r="BH100" s="225"/>
      <c r="BI100" s="225"/>
      <c r="BJ100" s="225"/>
      <c r="BK100" s="226"/>
      <c r="BL100" s="1768"/>
      <c r="BM100" s="225"/>
      <c r="BN100" s="225"/>
      <c r="BO100" s="225"/>
      <c r="BP100" s="225"/>
      <c r="BQ100" s="226"/>
      <c r="BR100" s="1768"/>
      <c r="BS100" s="225"/>
      <c r="BT100" s="225"/>
      <c r="BU100" s="225"/>
      <c r="BV100" s="225"/>
      <c r="BW100" s="225"/>
      <c r="BX100" s="225"/>
      <c r="BY100" s="344"/>
      <c r="BZ100" s="345"/>
      <c r="CA100" s="225"/>
      <c r="CB100" s="225"/>
      <c r="CC100" s="225"/>
      <c r="CD100" s="226"/>
      <c r="CE100" s="1768"/>
      <c r="CF100" s="225"/>
      <c r="CG100" s="225"/>
      <c r="CH100" s="225"/>
      <c r="CI100" s="225"/>
      <c r="CJ100" s="226"/>
      <c r="CK100" s="1768"/>
      <c r="CL100" s="225"/>
      <c r="CM100" s="225"/>
      <c r="CN100" s="225"/>
      <c r="CO100" s="225"/>
      <c r="CP100" s="225"/>
      <c r="CQ100" s="225"/>
      <c r="CR100" s="344"/>
      <c r="CS100" s="225"/>
      <c r="CT100" s="225"/>
      <c r="CU100" s="225"/>
      <c r="CV100" s="226"/>
      <c r="CW100" s="1768"/>
      <c r="CX100" s="225"/>
      <c r="CY100" s="225"/>
      <c r="CZ100" s="225"/>
      <c r="DA100" s="225"/>
      <c r="DB100" s="226"/>
      <c r="DC100" s="1768"/>
      <c r="DD100" s="225"/>
      <c r="DE100" s="225"/>
      <c r="DF100" s="225"/>
      <c r="DG100" s="225"/>
      <c r="DH100" s="225"/>
      <c r="DI100" s="225"/>
    </row>
    <row r="101" spans="3:114" s="377" customFormat="1" ht="17" thickTop="1" x14ac:dyDescent="0.45">
      <c r="C101" s="375" t="s">
        <v>147</v>
      </c>
      <c r="D101" s="375"/>
      <c r="E101" s="375"/>
      <c r="F101" s="2074">
        <f t="shared" ref="F101:V101" si="69">F$59*F$41/100</f>
        <v>284.47996737076039</v>
      </c>
      <c r="G101" s="376">
        <f t="shared" si="69"/>
        <v>275.20228422436435</v>
      </c>
      <c r="H101" s="2083">
        <f t="shared" si="69"/>
        <v>270.51962394274199</v>
      </c>
      <c r="I101" s="2075">
        <f t="shared" si="69"/>
        <v>270.71174106841448</v>
      </c>
      <c r="J101" s="2074">
        <f t="shared" si="69"/>
        <v>135.06836292330706</v>
      </c>
      <c r="K101" s="376">
        <f t="shared" si="69"/>
        <v>151.27055593230406</v>
      </c>
      <c r="L101" s="376">
        <f t="shared" si="69"/>
        <v>164.80682613271046</v>
      </c>
      <c r="M101" s="376">
        <f t="shared" si="69"/>
        <v>152.94890749354045</v>
      </c>
      <c r="N101" s="2076">
        <f t="shared" si="69"/>
        <v>151.92730219539655</v>
      </c>
      <c r="O101" s="2075">
        <f t="shared" si="69"/>
        <v>153.97051279168431</v>
      </c>
      <c r="P101" s="2084">
        <f t="shared" si="69"/>
        <v>155.8660658274859</v>
      </c>
      <c r="Q101" s="2085">
        <f t="shared" si="69"/>
        <v>156.63532255659922</v>
      </c>
      <c r="R101" s="2085">
        <f t="shared" si="69"/>
        <v>164.43778366617724</v>
      </c>
      <c r="S101" s="2086">
        <f t="shared" si="69"/>
        <v>157.14816037600812</v>
      </c>
      <c r="T101" s="2086">
        <f t="shared" si="69"/>
        <v>152.39067381917033</v>
      </c>
      <c r="U101" s="2076">
        <f t="shared" si="69"/>
        <v>155.67163830254518</v>
      </c>
      <c r="V101" s="376">
        <f t="shared" si="69"/>
        <v>0</v>
      </c>
      <c r="W101" s="2077"/>
      <c r="X101" s="2074">
        <f>X$59*X$41/100</f>
        <v>0.66358175451734613</v>
      </c>
      <c r="Y101" s="376">
        <f t="shared" ref="Y101:AM101" si="70">Y$59*Y$41/100</f>
        <v>0.82820460515841421</v>
      </c>
      <c r="Z101" s="376">
        <f>Z$59*Z$41/100</f>
        <v>1.1710570856232734</v>
      </c>
      <c r="AA101" s="1895">
        <f t="shared" si="70"/>
        <v>0</v>
      </c>
      <c r="AB101" s="2074">
        <f t="shared" si="70"/>
        <v>1.0702014584105795</v>
      </c>
      <c r="AC101" s="376">
        <f t="shared" si="70"/>
        <v>1.0956862025826666</v>
      </c>
      <c r="AD101" s="376">
        <f t="shared" si="70"/>
        <v>0.92945141450686775</v>
      </c>
      <c r="AE101" s="376">
        <f t="shared" si="70"/>
        <v>0.50849171769939827</v>
      </c>
      <c r="AF101" s="376">
        <f t="shared" si="70"/>
        <v>0</v>
      </c>
      <c r="AG101" s="1895">
        <f t="shared" si="70"/>
        <v>0</v>
      </c>
      <c r="AH101" s="2074">
        <f t="shared" si="70"/>
        <v>0</v>
      </c>
      <c r="AI101" s="376">
        <f>AI$59*AI$41/100</f>
        <v>0.96203951187940673</v>
      </c>
      <c r="AJ101" s="376">
        <f t="shared" si="70"/>
        <v>0.83735895127075688</v>
      </c>
      <c r="AK101" s="376">
        <f t="shared" si="70"/>
        <v>0.5940982824567963</v>
      </c>
      <c r="AL101" s="376">
        <f t="shared" si="70"/>
        <v>0</v>
      </c>
      <c r="AM101" s="376">
        <f t="shared" si="70"/>
        <v>0</v>
      </c>
      <c r="AN101" s="376"/>
      <c r="AO101" s="399"/>
      <c r="AP101" s="371">
        <f t="shared" ref="AP101:BF101" si="71">AP$59*AP$41/100</f>
        <v>265.3460199766613</v>
      </c>
      <c r="AQ101" s="371">
        <f t="shared" si="71"/>
        <v>252.12481109221073</v>
      </c>
      <c r="AR101" s="371">
        <f t="shared" si="71"/>
        <v>246.18844706299635</v>
      </c>
      <c r="AS101" s="2087">
        <f t="shared" si="71"/>
        <v>244.39927821393337</v>
      </c>
      <c r="AT101" s="2088">
        <f t="shared" si="71"/>
        <v>117.37089132289047</v>
      </c>
      <c r="AU101" s="371">
        <f t="shared" si="71"/>
        <v>130.47174728579887</v>
      </c>
      <c r="AV101" s="371">
        <f t="shared" si="71"/>
        <v>143.96293562581019</v>
      </c>
      <c r="AW101" s="371">
        <f t="shared" si="71"/>
        <v>134.18636354956254</v>
      </c>
      <c r="AX101" s="371">
        <f t="shared" si="71"/>
        <v>135.89403491845584</v>
      </c>
      <c r="AY101" s="2087">
        <f t="shared" si="71"/>
        <v>134.42721964101932</v>
      </c>
      <c r="AZ101" s="2088">
        <f t="shared" si="71"/>
        <v>132.99296365452673</v>
      </c>
      <c r="BA101" s="371">
        <f t="shared" si="71"/>
        <v>132.22999361349582</v>
      </c>
      <c r="BB101" s="371">
        <f t="shared" si="71"/>
        <v>140.66979131324132</v>
      </c>
      <c r="BC101" s="371">
        <f t="shared" si="71"/>
        <v>132.62861786020548</v>
      </c>
      <c r="BD101" s="371">
        <f t="shared" si="71"/>
        <v>134.56227506678673</v>
      </c>
      <c r="BE101" s="371">
        <f t="shared" si="71"/>
        <v>114.30838054419205</v>
      </c>
      <c r="BF101" s="371">
        <f t="shared" si="71"/>
        <v>0</v>
      </c>
      <c r="BG101" s="399"/>
      <c r="BH101" s="371">
        <f t="shared" ref="BH101:BX101" si="72">BH$59*BH$41/100</f>
        <v>3.9321363969621093</v>
      </c>
      <c r="BI101" s="371">
        <f t="shared" si="72"/>
        <v>6.2629104759058825</v>
      </c>
      <c r="BJ101" s="371">
        <f t="shared" si="72"/>
        <v>15.785495712256782</v>
      </c>
      <c r="BK101" s="2087">
        <f t="shared" si="72"/>
        <v>9.0820431467901184</v>
      </c>
      <c r="BL101" s="2088">
        <f t="shared" si="72"/>
        <v>21.821507122983931</v>
      </c>
      <c r="BM101" s="371">
        <f t="shared" si="72"/>
        <v>5.7657970815325745</v>
      </c>
      <c r="BN101" s="371">
        <f t="shared" si="72"/>
        <v>8.2421846433676347</v>
      </c>
      <c r="BO101" s="371">
        <f t="shared" si="72"/>
        <v>6.8785877463787664</v>
      </c>
      <c r="BP101" s="371">
        <f t="shared" si="72"/>
        <v>5.8672353340385373</v>
      </c>
      <c r="BQ101" s="2087">
        <f t="shared" si="72"/>
        <v>6.4537328641575344</v>
      </c>
      <c r="BR101" s="2088">
        <f t="shared" si="72"/>
        <v>7.5153691458158551</v>
      </c>
      <c r="BS101" s="371">
        <f t="shared" si="72"/>
        <v>7.6046979503722074</v>
      </c>
      <c r="BT101" s="371">
        <f t="shared" si="72"/>
        <v>8.9019786781209191</v>
      </c>
      <c r="BU101" s="371">
        <f t="shared" si="72"/>
        <v>8.0281922481356354</v>
      </c>
      <c r="BV101" s="371">
        <f t="shared" si="72"/>
        <v>7.5869407485196847</v>
      </c>
      <c r="BW101" s="371">
        <f t="shared" si="72"/>
        <v>10.452497966691841</v>
      </c>
      <c r="BX101" s="371">
        <f t="shared" si="72"/>
        <v>0</v>
      </c>
      <c r="BY101" s="352"/>
      <c r="BZ101" s="355"/>
      <c r="CA101" s="347"/>
      <c r="CB101" s="347"/>
      <c r="CC101" s="347"/>
      <c r="CD101" s="1880"/>
      <c r="CE101" s="1879"/>
      <c r="CF101" s="347"/>
      <c r="CG101" s="347"/>
      <c r="CH101" s="347"/>
      <c r="CI101" s="347"/>
      <c r="CJ101" s="1880"/>
      <c r="CK101" s="1879"/>
      <c r="CL101" s="347"/>
      <c r="CM101" s="347"/>
      <c r="CN101" s="347"/>
      <c r="CO101" s="347"/>
      <c r="CP101" s="347"/>
      <c r="CQ101" s="347"/>
      <c r="CR101" s="352"/>
      <c r="CS101" s="347"/>
      <c r="CT101" s="347"/>
      <c r="CU101" s="347"/>
      <c r="CV101" s="1880"/>
      <c r="CW101" s="1879"/>
      <c r="CX101" s="347"/>
      <c r="CY101" s="347"/>
      <c r="CZ101" s="347"/>
      <c r="DA101" s="347"/>
      <c r="DB101" s="1880"/>
      <c r="DC101" s="1879"/>
      <c r="DD101" s="347"/>
      <c r="DE101" s="347"/>
      <c r="DF101" s="347"/>
      <c r="DG101" s="347"/>
      <c r="DH101" s="347"/>
      <c r="DI101" s="347"/>
    </row>
    <row r="102" spans="3:114" ht="17" thickBot="1" x14ac:dyDescent="0.5">
      <c r="C102" s="1" t="s">
        <v>148</v>
      </c>
      <c r="F102" s="1845">
        <f t="shared" ref="F102:V102" si="73">F$59*F$42/100</f>
        <v>33.006559611206001</v>
      </c>
      <c r="G102" s="392">
        <f t="shared" si="73"/>
        <v>31.93012387952475</v>
      </c>
      <c r="H102" s="311">
        <f t="shared" si="73"/>
        <v>31.386821983251117</v>
      </c>
      <c r="I102" s="2089">
        <f t="shared" si="73"/>
        <v>31.409112218375402</v>
      </c>
      <c r="J102" s="1845">
        <f t="shared" si="73"/>
        <v>15.555761488371354</v>
      </c>
      <c r="K102" s="392">
        <f t="shared" si="73"/>
        <v>17.421760635630022</v>
      </c>
      <c r="L102" s="392">
        <f t="shared" si="73"/>
        <v>18.980726674177717</v>
      </c>
      <c r="M102" s="392">
        <f t="shared" si="73"/>
        <v>17.615055616150762</v>
      </c>
      <c r="N102" s="2090">
        <f t="shared" si="73"/>
        <v>17.497397801920744</v>
      </c>
      <c r="O102" s="2089">
        <f t="shared" si="73"/>
        <v>17.732713430380773</v>
      </c>
      <c r="P102" s="2091">
        <f t="shared" si="73"/>
        <v>18.024200147071664</v>
      </c>
      <c r="Q102" s="466">
        <f t="shared" si="73"/>
        <v>18.113156246504921</v>
      </c>
      <c r="R102" s="466">
        <f t="shared" si="73"/>
        <v>19.015425255042231</v>
      </c>
      <c r="S102" s="2092">
        <f t="shared" si="73"/>
        <v>18.172460312793756</v>
      </c>
      <c r="T102" s="2092">
        <f t="shared" si="73"/>
        <v>17.622309197846416</v>
      </c>
      <c r="U102" s="2090">
        <f t="shared" si="73"/>
        <v>18.001716737324799</v>
      </c>
      <c r="V102" s="392">
        <f t="shared" si="73"/>
        <v>0</v>
      </c>
      <c r="W102" s="2093"/>
      <c r="X102" s="1845">
        <f t="shared" ref="X102:AM102" si="74">X$59*X$42/100</f>
        <v>7.9837886620525961E-2</v>
      </c>
      <c r="Y102" s="392">
        <f t="shared" si="74"/>
        <v>9.5217123069574916E-2</v>
      </c>
      <c r="Z102" s="392">
        <f t="shared" si="74"/>
        <v>0.1453285377909542</v>
      </c>
      <c r="AA102" s="1844">
        <f t="shared" si="74"/>
        <v>0</v>
      </c>
      <c r="AB102" s="1845">
        <f t="shared" si="74"/>
        <v>0.12087504634779382</v>
      </c>
      <c r="AC102" s="392">
        <f t="shared" si="74"/>
        <v>0.12964274956315427</v>
      </c>
      <c r="AD102" s="392">
        <f t="shared" si="74"/>
        <v>0.11880287328949146</v>
      </c>
      <c r="AE102" s="392">
        <f t="shared" si="74"/>
        <v>6.3246114189448643E-2</v>
      </c>
      <c r="AF102" s="392">
        <f t="shared" si="74"/>
        <v>0</v>
      </c>
      <c r="AG102" s="1844">
        <f t="shared" si="74"/>
        <v>0</v>
      </c>
      <c r="AH102" s="1845">
        <f t="shared" si="74"/>
        <v>0</v>
      </c>
      <c r="AI102" s="392">
        <f t="shared" si="74"/>
        <v>0.11545801246144391</v>
      </c>
      <c r="AJ102" s="392">
        <f t="shared" si="74"/>
        <v>0.10141717975550206</v>
      </c>
      <c r="AK102" s="392">
        <f t="shared" si="74"/>
        <v>7.530630452897856E-2</v>
      </c>
      <c r="AL102" s="392">
        <f t="shared" si="74"/>
        <v>0</v>
      </c>
      <c r="AM102" s="392">
        <f t="shared" si="74"/>
        <v>0</v>
      </c>
      <c r="AN102" s="392"/>
      <c r="AO102" s="402"/>
      <c r="AP102" s="392">
        <f t="shared" ref="AP102:BF102" si="75">AP$59*AP$42/100</f>
        <v>33.740638325824328</v>
      </c>
      <c r="AQ102" s="392">
        <f t="shared" si="75"/>
        <v>30.268735847359544</v>
      </c>
      <c r="AR102" s="392">
        <f t="shared" si="75"/>
        <v>30.777059646495509</v>
      </c>
      <c r="AS102" s="1844">
        <f t="shared" si="75"/>
        <v>31.931563987750078</v>
      </c>
      <c r="AT102" s="1845">
        <f t="shared" si="75"/>
        <v>15.377434181925523</v>
      </c>
      <c r="AU102" s="392">
        <f t="shared" si="75"/>
        <v>16.667935947788695</v>
      </c>
      <c r="AV102" s="392">
        <f t="shared" si="75"/>
        <v>18.778483556811821</v>
      </c>
      <c r="AW102" s="392">
        <f t="shared" si="75"/>
        <v>17.35600470036777</v>
      </c>
      <c r="AX102" s="392">
        <f t="shared" si="75"/>
        <v>17.574358574125419</v>
      </c>
      <c r="AY102" s="1844">
        <f t="shared" si="75"/>
        <v>17.142234159472103</v>
      </c>
      <c r="AZ102" s="1845">
        <f t="shared" si="75"/>
        <v>17.076859276369007</v>
      </c>
      <c r="BA102" s="392">
        <f t="shared" si="75"/>
        <v>17.251286865874583</v>
      </c>
      <c r="BB102" s="392">
        <f t="shared" si="75"/>
        <v>18.482046563654691</v>
      </c>
      <c r="BC102" s="392">
        <f t="shared" si="75"/>
        <v>17.658725170263455</v>
      </c>
      <c r="BD102" s="392">
        <f t="shared" si="75"/>
        <v>17.891978959964753</v>
      </c>
      <c r="BE102" s="392">
        <f t="shared" si="75"/>
        <v>14.943540410700827</v>
      </c>
      <c r="BF102" s="392">
        <f t="shared" si="75"/>
        <v>0</v>
      </c>
      <c r="BG102" s="402"/>
      <c r="BH102" s="392">
        <f>BH$59*BH$42/100</f>
        <v>0.59395645770872652</v>
      </c>
      <c r="BI102" s="392">
        <f t="shared" ref="BI102:BX102" si="76">BI$59*BI$42/100</f>
        <v>0.89014145186337512</v>
      </c>
      <c r="BJ102" s="392">
        <f t="shared" si="76"/>
        <v>2.5119907844689071</v>
      </c>
      <c r="BK102" s="1844">
        <f t="shared" si="76"/>
        <v>1.476867198642162</v>
      </c>
      <c r="BL102" s="1845">
        <f t="shared" si="76"/>
        <v>3.3738109547477175</v>
      </c>
      <c r="BM102" s="392">
        <f t="shared" si="76"/>
        <v>0.89056942888025048</v>
      </c>
      <c r="BN102" s="392">
        <f t="shared" si="76"/>
        <v>1.3238198970441311</v>
      </c>
      <c r="BO102" s="392">
        <f t="shared" si="76"/>
        <v>1.1079445197374858</v>
      </c>
      <c r="BP102" s="392">
        <f t="shared" si="76"/>
        <v>0.95371630051080869</v>
      </c>
      <c r="BQ102" s="1844">
        <f t="shared" si="76"/>
        <v>1.0329597002652986</v>
      </c>
      <c r="BR102" s="1845">
        <f t="shared" si="76"/>
        <v>1.2195044090479112</v>
      </c>
      <c r="BS102" s="392">
        <f t="shared" si="76"/>
        <v>1.2120508092970121</v>
      </c>
      <c r="BT102" s="392">
        <f t="shared" si="76"/>
        <v>1.4118702378028507</v>
      </c>
      <c r="BU102" s="392">
        <f t="shared" si="76"/>
        <v>1.2883031672937353</v>
      </c>
      <c r="BV102" s="392">
        <f t="shared" si="76"/>
        <v>1.2212909832591039</v>
      </c>
      <c r="BW102" s="392">
        <f t="shared" si="76"/>
        <v>1.6952927537908264</v>
      </c>
      <c r="BX102" s="392">
        <f t="shared" si="76"/>
        <v>0</v>
      </c>
      <c r="BY102" s="344"/>
      <c r="BZ102" s="345"/>
      <c r="CA102" s="225"/>
      <c r="CB102" s="225"/>
      <c r="CC102" s="225"/>
      <c r="CD102" s="226"/>
      <c r="CE102" s="1768"/>
      <c r="CF102" s="225"/>
      <c r="CG102" s="225"/>
      <c r="CH102" s="225"/>
      <c r="CI102" s="225"/>
      <c r="CJ102" s="226"/>
      <c r="CK102" s="1768"/>
      <c r="CL102" s="225"/>
      <c r="CM102" s="225"/>
      <c r="CN102" s="225"/>
      <c r="CO102" s="225"/>
      <c r="CP102" s="225"/>
      <c r="CQ102" s="225"/>
      <c r="CR102" s="344"/>
      <c r="CS102" s="225"/>
      <c r="CT102" s="225"/>
      <c r="CU102" s="403" t="s">
        <v>209</v>
      </c>
      <c r="CV102" s="2060"/>
      <c r="CW102" s="2059">
        <f>273.15+30</f>
        <v>303.14999999999998</v>
      </c>
      <c r="CX102" s="403" t="s">
        <v>208</v>
      </c>
      <c r="CY102" s="225"/>
      <c r="CZ102" s="225"/>
      <c r="DA102" s="225"/>
      <c r="DB102" s="226"/>
      <c r="DC102" s="1768"/>
      <c r="DD102" s="225"/>
      <c r="DE102" s="225"/>
      <c r="DF102" s="225"/>
      <c r="DG102" s="225"/>
      <c r="DH102" s="225"/>
      <c r="DI102" s="225"/>
    </row>
    <row r="103" spans="3:114" s="377" customFormat="1" ht="15" thickTop="1" x14ac:dyDescent="0.35">
      <c r="C103" s="375" t="s">
        <v>273</v>
      </c>
      <c r="D103" s="375"/>
      <c r="E103" s="375"/>
      <c r="F103" s="2074">
        <f t="shared" ref="F103:BR103" si="77">F$102/F$101</f>
        <v>0.11602419641798126</v>
      </c>
      <c r="G103" s="376">
        <f t="shared" si="77"/>
        <v>0.11602419641798124</v>
      </c>
      <c r="H103" s="376">
        <f t="shared" si="77"/>
        <v>0.11602419641798124</v>
      </c>
      <c r="I103" s="2075">
        <f t="shared" si="77"/>
        <v>0.11602419641798124</v>
      </c>
      <c r="J103" s="2074">
        <f t="shared" si="77"/>
        <v>0.11516954193932183</v>
      </c>
      <c r="K103" s="376">
        <f t="shared" si="77"/>
        <v>0.11516954193932183</v>
      </c>
      <c r="L103" s="376">
        <f t="shared" si="77"/>
        <v>0.11516954193932183</v>
      </c>
      <c r="M103" s="376">
        <f t="shared" si="77"/>
        <v>0.11516954193932184</v>
      </c>
      <c r="N103" s="2076">
        <f t="shared" si="77"/>
        <v>0.11516954193932183</v>
      </c>
      <c r="O103" s="2075">
        <f t="shared" si="77"/>
        <v>0.11516954193932182</v>
      </c>
      <c r="P103" s="2074">
        <f>P$102/P$101</f>
        <v>0.11563902669501537</v>
      </c>
      <c r="Q103" s="376">
        <f>Q$102/Q$101</f>
        <v>0.11563902669501537</v>
      </c>
      <c r="R103" s="376">
        <f t="shared" si="77"/>
        <v>0.11563902669501537</v>
      </c>
      <c r="S103" s="2076">
        <f t="shared" si="77"/>
        <v>0.11563902669501534</v>
      </c>
      <c r="T103" s="2076">
        <f t="shared" si="77"/>
        <v>0.11563902669501536</v>
      </c>
      <c r="U103" s="2076">
        <f t="shared" si="77"/>
        <v>0.11563902669501537</v>
      </c>
      <c r="V103" s="376" t="e">
        <f t="shared" si="77"/>
        <v>#DIV/0!</v>
      </c>
      <c r="W103" s="2077"/>
      <c r="X103" s="2074">
        <f t="shared" si="77"/>
        <v>0.12031356509884117</v>
      </c>
      <c r="Y103" s="376">
        <f t="shared" si="77"/>
        <v>0.11496811594202901</v>
      </c>
      <c r="Z103" s="376">
        <f t="shared" si="77"/>
        <v>0.12410030183422338</v>
      </c>
      <c r="AA103" s="1895" t="e">
        <f t="shared" si="77"/>
        <v>#DIV/0!</v>
      </c>
      <c r="AB103" s="2074">
        <f t="shared" si="77"/>
        <v>0.11294606767525119</v>
      </c>
      <c r="AC103" s="376">
        <f t="shared" si="77"/>
        <v>0.11832105693908569</v>
      </c>
      <c r="AD103" s="376">
        <f t="shared" si="77"/>
        <v>0.12782042335426844</v>
      </c>
      <c r="AE103" s="376">
        <f t="shared" si="77"/>
        <v>0.12437983154494059</v>
      </c>
      <c r="AF103" s="376" t="e">
        <f t="shared" si="77"/>
        <v>#DIV/0!</v>
      </c>
      <c r="AG103" s="1895" t="e">
        <f t="shared" si="77"/>
        <v>#DIV/0!</v>
      </c>
      <c r="AH103" s="2074" t="e">
        <f t="shared" si="77"/>
        <v>#DIV/0!</v>
      </c>
      <c r="AI103" s="376">
        <f t="shared" si="77"/>
        <v>0.12001379468904472</v>
      </c>
      <c r="AJ103" s="376">
        <f t="shared" si="77"/>
        <v>0.12111553784860561</v>
      </c>
      <c r="AK103" s="376">
        <f t="shared" si="77"/>
        <v>0.1267573173542291</v>
      </c>
      <c r="AL103" s="376" t="e">
        <f t="shared" si="77"/>
        <v>#DIV/0!</v>
      </c>
      <c r="AM103" s="376" t="e">
        <f t="shared" si="77"/>
        <v>#DIV/0!</v>
      </c>
      <c r="AN103" s="376" t="e">
        <f>AN$102/AN$101</f>
        <v>#DIV/0!</v>
      </c>
      <c r="AO103" s="399"/>
      <c r="AP103" s="376">
        <f t="shared" si="77"/>
        <v>0.12715712988192554</v>
      </c>
      <c r="AQ103" s="376">
        <f t="shared" si="77"/>
        <v>0.12005457025920874</v>
      </c>
      <c r="AR103" s="376">
        <f t="shared" si="77"/>
        <v>0.12501423203916659</v>
      </c>
      <c r="AS103" s="1895">
        <f t="shared" si="77"/>
        <v>0.13065326633165825</v>
      </c>
      <c r="AT103" s="2074">
        <f t="shared" si="77"/>
        <v>0.13101574000679425</v>
      </c>
      <c r="AU103" s="376">
        <f t="shared" si="77"/>
        <v>0.12775130474245522</v>
      </c>
      <c r="AV103" s="376">
        <f t="shared" si="77"/>
        <v>0.1304397098821396</v>
      </c>
      <c r="AW103" s="376">
        <f t="shared" si="77"/>
        <v>0.12934253706008825</v>
      </c>
      <c r="AX103" s="376">
        <f t="shared" si="77"/>
        <v>0.12932398824327376</v>
      </c>
      <c r="AY103" s="1895">
        <f t="shared" si="77"/>
        <v>0.12752055874732454</v>
      </c>
      <c r="AZ103" s="2074">
        <f t="shared" si="77"/>
        <v>0.12840423137519694</v>
      </c>
      <c r="BA103" s="376">
        <f t="shared" si="77"/>
        <v>0.1304642494069807</v>
      </c>
      <c r="BB103" s="376">
        <f t="shared" si="77"/>
        <v>0.13138603811886773</v>
      </c>
      <c r="BC103" s="376">
        <f t="shared" si="77"/>
        <v>0.13314415437003407</v>
      </c>
      <c r="BD103" s="376">
        <f t="shared" si="77"/>
        <v>0.13296430185268868</v>
      </c>
      <c r="BE103" s="376">
        <f t="shared" si="77"/>
        <v>0.13073005093378606</v>
      </c>
      <c r="BF103" s="376" t="e">
        <f t="shared" si="77"/>
        <v>#DIV/0!</v>
      </c>
      <c r="BG103" s="399"/>
      <c r="BH103" s="376">
        <f>BH$102/BH$101</f>
        <v>0.15105184503965974</v>
      </c>
      <c r="BI103" s="376">
        <f t="shared" si="77"/>
        <v>0.14212903973126376</v>
      </c>
      <c r="BJ103" s="376">
        <f t="shared" si="77"/>
        <v>0.15913284132841329</v>
      </c>
      <c r="BK103" s="1895">
        <f t="shared" si="77"/>
        <v>0.16261398176291791</v>
      </c>
      <c r="BL103" s="2074">
        <f t="shared" si="77"/>
        <v>0.15460943809853467</v>
      </c>
      <c r="BM103" s="376">
        <f t="shared" si="77"/>
        <v>0.15445729641313238</v>
      </c>
      <c r="BN103" s="376">
        <f t="shared" si="77"/>
        <v>0.16061517113783536</v>
      </c>
      <c r="BO103" s="376">
        <f t="shared" si="77"/>
        <v>0.16107151069211312</v>
      </c>
      <c r="BP103" s="376">
        <f t="shared" si="77"/>
        <v>0.16254952225588443</v>
      </c>
      <c r="BQ103" s="1895">
        <f t="shared" si="77"/>
        <v>0.16005616005616005</v>
      </c>
      <c r="BR103" s="2074">
        <f t="shared" si="77"/>
        <v>0.16226806499942378</v>
      </c>
      <c r="BS103" s="376">
        <f t="shared" ref="BS103:BX103" si="78">BS$102/BS$101</f>
        <v>0.1593818475377696</v>
      </c>
      <c r="BT103" s="376">
        <f t="shared" si="78"/>
        <v>0.15860184447227596</v>
      </c>
      <c r="BU103" s="376">
        <f t="shared" si="78"/>
        <v>0.16047238624522406</v>
      </c>
      <c r="BV103" s="376">
        <f t="shared" si="78"/>
        <v>0.16097278517660685</v>
      </c>
      <c r="BW103" s="376">
        <f t="shared" si="78"/>
        <v>0.16219020172910661</v>
      </c>
      <c r="BX103" s="376" t="e">
        <f t="shared" si="78"/>
        <v>#DIV/0!</v>
      </c>
      <c r="BY103" s="352"/>
      <c r="BZ103" s="355"/>
      <c r="CA103" s="347"/>
      <c r="CB103" s="347"/>
      <c r="CC103" s="347"/>
      <c r="CD103" s="1880"/>
      <c r="CE103" s="1879"/>
      <c r="CF103" s="347"/>
      <c r="CG103" s="347"/>
      <c r="CH103" s="347"/>
      <c r="CI103" s="347"/>
      <c r="CJ103" s="1880"/>
      <c r="CK103" s="1879"/>
      <c r="CL103" s="347"/>
      <c r="CM103" s="347"/>
      <c r="CN103" s="347"/>
      <c r="CO103" s="347"/>
      <c r="CP103" s="347"/>
      <c r="CQ103" s="347"/>
      <c r="CR103" s="352"/>
      <c r="CS103" s="347"/>
      <c r="CT103" s="347"/>
      <c r="CU103" s="346"/>
      <c r="CV103" s="1881"/>
      <c r="CW103" s="1882"/>
      <c r="CX103" s="346"/>
      <c r="CY103" s="347"/>
      <c r="CZ103" s="347"/>
      <c r="DA103" s="347"/>
      <c r="DB103" s="1880"/>
      <c r="DC103" s="1879"/>
      <c r="DD103" s="347"/>
      <c r="DE103" s="347"/>
      <c r="DF103" s="347"/>
      <c r="DG103" s="347"/>
      <c r="DH103" s="347"/>
      <c r="DI103" s="347"/>
    </row>
    <row r="104" spans="3:114" s="368" customFormat="1" ht="15" thickBot="1" x14ac:dyDescent="0.4">
      <c r="C104" s="458" t="s">
        <v>274</v>
      </c>
      <c r="D104" s="458"/>
      <c r="E104" s="458"/>
      <c r="F104" s="2094">
        <v>0.113</v>
      </c>
      <c r="G104" s="2095">
        <v>0.113</v>
      </c>
      <c r="H104" s="2095">
        <v>0.113</v>
      </c>
      <c r="I104" s="2079">
        <v>0.113</v>
      </c>
      <c r="J104" s="2094">
        <v>0.113</v>
      </c>
      <c r="K104" s="2095">
        <v>0.113</v>
      </c>
      <c r="L104" s="2095">
        <v>0.113</v>
      </c>
      <c r="M104" s="2095">
        <v>0.113</v>
      </c>
      <c r="N104" s="2080">
        <v>0.113</v>
      </c>
      <c r="O104" s="2079">
        <v>0.113</v>
      </c>
      <c r="P104" s="2094">
        <v>0.11600000000000001</v>
      </c>
      <c r="Q104" s="2095">
        <v>0.11600000000000001</v>
      </c>
      <c r="R104" s="2095">
        <v>0.11600000000000001</v>
      </c>
      <c r="S104" s="2080">
        <v>0.11600000000000001</v>
      </c>
      <c r="T104" s="2080">
        <v>0.11600000000000001</v>
      </c>
      <c r="U104" s="2080">
        <v>0.11600000000000001</v>
      </c>
      <c r="V104" s="2095"/>
      <c r="W104" s="2081"/>
      <c r="X104" s="2094"/>
      <c r="Y104" s="2095"/>
      <c r="Z104" s="2095"/>
      <c r="AA104" s="2096"/>
      <c r="AB104" s="2094"/>
      <c r="AC104" s="2095"/>
      <c r="AD104" s="2095"/>
      <c r="AE104" s="2095"/>
      <c r="AF104" s="2095"/>
      <c r="AG104" s="2096"/>
      <c r="AH104" s="2094"/>
      <c r="AI104" s="2095"/>
      <c r="AJ104" s="2095"/>
      <c r="AK104" s="2095"/>
      <c r="AL104" s="2095"/>
      <c r="AM104" s="2095"/>
      <c r="AN104" s="2095"/>
      <c r="AO104" s="401"/>
      <c r="AP104" s="2095">
        <v>0.125</v>
      </c>
      <c r="AQ104" s="2095">
        <v>0.123</v>
      </c>
      <c r="AR104" s="2095">
        <v>0.122</v>
      </c>
      <c r="AS104" s="2096">
        <v>0.121</v>
      </c>
      <c r="AT104" s="2094">
        <v>0.1275</v>
      </c>
      <c r="AU104" s="2095">
        <v>0.122</v>
      </c>
      <c r="AV104" s="2095">
        <v>0.128</v>
      </c>
      <c r="AW104" s="2095">
        <v>0.125</v>
      </c>
      <c r="AX104" s="2095">
        <v>0.127</v>
      </c>
      <c r="AY104" s="2096">
        <v>0.123</v>
      </c>
      <c r="AZ104" s="2094">
        <v>0.121</v>
      </c>
      <c r="BA104" s="2095">
        <v>0.123</v>
      </c>
      <c r="BB104" s="2095">
        <v>0.126</v>
      </c>
      <c r="BC104" s="2095">
        <v>0.123</v>
      </c>
      <c r="BD104" s="2095">
        <v>0.124</v>
      </c>
      <c r="BE104" s="2095">
        <v>0.123</v>
      </c>
      <c r="BF104" s="2095"/>
      <c r="BG104" s="401"/>
      <c r="BH104" s="2095">
        <v>0.155</v>
      </c>
      <c r="BI104" s="2095">
        <v>0.155</v>
      </c>
      <c r="BJ104" s="2095">
        <v>0.156</v>
      </c>
      <c r="BK104" s="2096">
        <v>0.157</v>
      </c>
      <c r="BL104" s="2094">
        <v>0.156</v>
      </c>
      <c r="BM104" s="2095">
        <v>0.157</v>
      </c>
      <c r="BN104" s="2095">
        <v>0.1565</v>
      </c>
      <c r="BO104" s="2095">
        <v>0.156</v>
      </c>
      <c r="BP104" s="2095">
        <v>0.155</v>
      </c>
      <c r="BQ104" s="2096">
        <v>0.159</v>
      </c>
      <c r="BR104" s="2094">
        <v>0.156</v>
      </c>
      <c r="BS104" s="2095">
        <v>0.1555</v>
      </c>
      <c r="BT104" s="2095">
        <v>0.158</v>
      </c>
      <c r="BU104" s="2095">
        <v>0.158</v>
      </c>
      <c r="BV104" s="2095">
        <v>0.156</v>
      </c>
      <c r="BW104" s="2095">
        <v>0.157</v>
      </c>
      <c r="BX104" s="365"/>
      <c r="BY104" s="366"/>
      <c r="BZ104" s="367"/>
      <c r="CA104" s="365"/>
      <c r="CB104" s="365"/>
      <c r="CC104" s="365"/>
      <c r="CD104" s="1804"/>
      <c r="CE104" s="1800"/>
      <c r="CF104" s="365"/>
      <c r="CG104" s="365"/>
      <c r="CH104" s="365"/>
      <c r="CI104" s="365"/>
      <c r="CJ104" s="1804"/>
      <c r="CK104" s="1800"/>
      <c r="CL104" s="365"/>
      <c r="CM104" s="365"/>
      <c r="CN104" s="365"/>
      <c r="CO104" s="365"/>
      <c r="CP104" s="365"/>
      <c r="CQ104" s="365"/>
      <c r="CR104" s="366"/>
      <c r="CS104" s="365"/>
      <c r="CT104" s="365"/>
      <c r="CU104" s="404"/>
      <c r="CV104" s="2097"/>
      <c r="CW104" s="2054"/>
      <c r="CX104" s="404"/>
      <c r="CY104" s="365"/>
      <c r="CZ104" s="365"/>
      <c r="DA104" s="365"/>
      <c r="DB104" s="1804"/>
      <c r="DC104" s="1800"/>
      <c r="DD104" s="365"/>
      <c r="DE104" s="365"/>
      <c r="DF104" s="365"/>
      <c r="DG104" s="365"/>
      <c r="DH104" s="365"/>
      <c r="DI104" s="365"/>
    </row>
    <row r="105" spans="3:114" ht="15" thickTop="1" x14ac:dyDescent="0.35">
      <c r="F105" s="1774"/>
      <c r="G105" s="229"/>
      <c r="H105" s="229"/>
      <c r="I105" s="2098"/>
      <c r="J105" s="1774"/>
      <c r="K105" s="229"/>
      <c r="L105" s="229"/>
      <c r="M105" s="229"/>
      <c r="N105" s="2099"/>
      <c r="O105" s="2098"/>
      <c r="P105" s="1774"/>
      <c r="Q105" s="229"/>
      <c r="R105" s="229"/>
      <c r="S105" s="2099"/>
      <c r="T105" s="2099"/>
      <c r="U105" s="2099"/>
      <c r="V105" s="229"/>
      <c r="W105" s="1796"/>
      <c r="X105" s="1774"/>
      <c r="Y105" s="229"/>
      <c r="Z105" s="229"/>
      <c r="AA105" s="1773"/>
      <c r="AB105" s="1774"/>
      <c r="AC105" s="229"/>
      <c r="AD105" s="229"/>
      <c r="AE105" s="229"/>
      <c r="AF105" s="229"/>
      <c r="AG105" s="1773"/>
      <c r="AH105" s="1774"/>
      <c r="AI105" s="229"/>
      <c r="AJ105" s="229"/>
      <c r="AK105" s="229"/>
      <c r="AL105" s="229"/>
      <c r="AM105" s="229"/>
      <c r="AN105" s="229"/>
      <c r="AO105" s="356"/>
      <c r="AP105" s="229"/>
      <c r="AQ105" s="229"/>
      <c r="AR105" s="229"/>
      <c r="AS105" s="1773"/>
      <c r="AT105" s="1774"/>
      <c r="AU105" s="229"/>
      <c r="AV105" s="229"/>
      <c r="AW105" s="229"/>
      <c r="AX105" s="229"/>
      <c r="AY105" s="1773"/>
      <c r="AZ105" s="1774"/>
      <c r="BA105" s="229"/>
      <c r="BB105" s="229"/>
      <c r="BC105" s="229"/>
      <c r="BD105" s="229"/>
      <c r="BE105" s="229"/>
      <c r="BF105" s="229"/>
      <c r="BG105" s="356"/>
      <c r="BH105" s="229"/>
      <c r="BI105" s="229"/>
      <c r="BJ105" s="229"/>
      <c r="BK105" s="1773"/>
      <c r="BL105" s="1774"/>
      <c r="BM105" s="229"/>
      <c r="BN105" s="229"/>
      <c r="BO105" s="229"/>
      <c r="BP105" s="229"/>
      <c r="BQ105" s="1773"/>
      <c r="BR105" s="1774"/>
      <c r="BS105" s="229"/>
      <c r="BT105" s="229"/>
      <c r="BU105" s="229"/>
      <c r="BV105" s="229"/>
      <c r="BW105" s="229"/>
      <c r="BX105" s="229"/>
      <c r="BY105" s="356"/>
      <c r="BZ105" s="358"/>
      <c r="CA105" s="229"/>
      <c r="CB105" s="229"/>
      <c r="CC105" s="229"/>
      <c r="CD105" s="1773"/>
      <c r="CE105" s="2100" t="s">
        <v>224</v>
      </c>
      <c r="CF105" s="229"/>
      <c r="CG105" s="229"/>
      <c r="CH105" s="229"/>
      <c r="CI105" s="229"/>
      <c r="CJ105" s="1773"/>
      <c r="CK105" s="1774"/>
      <c r="CL105" s="229"/>
      <c r="CM105" s="229"/>
      <c r="CN105" s="229"/>
      <c r="CO105" s="229"/>
      <c r="CP105" s="229"/>
      <c r="CQ105" s="229"/>
      <c r="CR105" s="356"/>
      <c r="CS105" s="2714" t="s">
        <v>225</v>
      </c>
      <c r="CT105" s="2714"/>
      <c r="CU105" s="2714"/>
      <c r="CV105" s="2714"/>
      <c r="CW105" s="2714"/>
      <c r="CX105" s="2714"/>
      <c r="CY105" s="2714"/>
      <c r="CZ105" s="2714"/>
      <c r="DA105" s="2714"/>
      <c r="DB105" s="2714"/>
      <c r="DC105" s="1793"/>
      <c r="DD105" s="297"/>
      <c r="DE105" s="297"/>
      <c r="DF105" s="229"/>
      <c r="DG105" s="229"/>
      <c r="DH105" s="229"/>
      <c r="DI105" s="229"/>
    </row>
    <row r="106" spans="3:114" x14ac:dyDescent="0.35">
      <c r="C106" s="1" t="s">
        <v>384</v>
      </c>
      <c r="BR106" s="2101"/>
      <c r="BS106" s="241"/>
      <c r="BT106" s="241"/>
      <c r="BU106" s="241"/>
      <c r="BV106" s="241"/>
      <c r="BW106" s="241"/>
      <c r="BZ106" s="241"/>
      <c r="CA106" s="270"/>
      <c r="CB106" s="270"/>
      <c r="CC106" s="270"/>
      <c r="CD106" s="2102"/>
      <c r="CE106" s="2103"/>
      <c r="CF106" s="270"/>
      <c r="CG106" s="270"/>
      <c r="CH106" s="270"/>
      <c r="CI106" s="270"/>
      <c r="CJ106" s="2102"/>
      <c r="CK106" s="2103"/>
      <c r="CL106" s="270"/>
      <c r="CM106" s="270"/>
      <c r="CN106" s="270"/>
      <c r="CO106" s="270"/>
      <c r="CP106" s="270"/>
      <c r="CQ106" s="270"/>
      <c r="CS106" s="244"/>
      <c r="CT106" s="251"/>
      <c r="CU106" s="244"/>
      <c r="CV106" s="1784"/>
      <c r="CW106" s="1787"/>
      <c r="CX106" s="244"/>
      <c r="CY106" s="244"/>
      <c r="CZ106" s="244"/>
      <c r="DA106" s="244"/>
      <c r="DB106" s="1784"/>
      <c r="DC106" s="1787"/>
      <c r="DD106" s="244"/>
      <c r="DE106" s="244"/>
      <c r="DJ106" s="1"/>
    </row>
    <row r="107" spans="3:114" x14ac:dyDescent="0.35">
      <c r="C107" s="1" t="s">
        <v>178</v>
      </c>
      <c r="F107" s="2104" t="s">
        <v>186</v>
      </c>
      <c r="G107" s="271">
        <v>12</v>
      </c>
      <c r="H107" s="247" t="s">
        <v>192</v>
      </c>
      <c r="I107" s="2105">
        <v>4</v>
      </c>
      <c r="J107" s="1899" t="s">
        <v>199</v>
      </c>
      <c r="K107" s="271">
        <f>G107+I107</f>
        <v>16</v>
      </c>
      <c r="BR107" s="2101"/>
      <c r="BS107" s="241"/>
      <c r="BT107" s="241"/>
      <c r="BU107" s="241"/>
      <c r="BV107" s="241"/>
      <c r="BW107" s="241"/>
      <c r="BZ107" s="241" t="s">
        <v>199</v>
      </c>
      <c r="CA107" s="251">
        <f t="shared" ref="CA107:CP107" si="79">CA$59*CA$9/100</f>
        <v>1.2513412765957446</v>
      </c>
      <c r="CB107" s="251">
        <f t="shared" si="79"/>
        <v>0.82459999999999989</v>
      </c>
      <c r="CC107" s="251">
        <f t="shared" si="79"/>
        <v>0.95991000000000004</v>
      </c>
      <c r="CD107" s="1846">
        <f t="shared" si="79"/>
        <v>1.3396860215053761</v>
      </c>
      <c r="CE107" s="1839">
        <f t="shared" si="79"/>
        <v>2.5155566666666669</v>
      </c>
      <c r="CF107" s="251">
        <f t="shared" si="79"/>
        <v>1.8279291666666666</v>
      </c>
      <c r="CG107" s="251">
        <f t="shared" si="79"/>
        <v>1.8829549999999997</v>
      </c>
      <c r="CH107" s="251">
        <f t="shared" si="79"/>
        <v>1.6028458333333331</v>
      </c>
      <c r="CI107" s="251">
        <f t="shared" si="79"/>
        <v>1.7732249999999998</v>
      </c>
      <c r="CJ107" s="1846">
        <f t="shared" si="79"/>
        <v>1.9039312500000001</v>
      </c>
      <c r="CK107" s="1839">
        <f t="shared" si="79"/>
        <v>2.0338500000000002</v>
      </c>
      <c r="CL107" s="251">
        <f t="shared" si="79"/>
        <v>2.1401675000000004</v>
      </c>
      <c r="CM107" s="251">
        <f t="shared" si="79"/>
        <v>2.0333324999999998</v>
      </c>
      <c r="CN107" s="251">
        <f t="shared" si="79"/>
        <v>2.0884283333333333</v>
      </c>
      <c r="CO107" s="251">
        <f t="shared" si="79"/>
        <v>1.9295</v>
      </c>
      <c r="CP107" s="251">
        <f t="shared" si="79"/>
        <v>1.8435642857142858</v>
      </c>
      <c r="CQ107" s="270"/>
      <c r="CR107" s="341"/>
      <c r="CS107" s="270">
        <f t="shared" ref="CS107:DH107" si="80">CS$59*CS$9/100</f>
        <v>0.28322000000000003</v>
      </c>
      <c r="CT107" s="270">
        <f t="shared" si="80"/>
        <v>3.7925999999999994E-2</v>
      </c>
      <c r="CU107" s="270">
        <f t="shared" si="80"/>
        <v>6.0374999999999998E-2</v>
      </c>
      <c r="CV107" s="2102">
        <f t="shared" si="80"/>
        <v>1.5913978494623657E-3</v>
      </c>
      <c r="CW107" s="2103">
        <f t="shared" si="80"/>
        <v>5.5125E-2</v>
      </c>
      <c r="CX107" s="270">
        <f t="shared" si="80"/>
        <v>7.0616666666666661E-2</v>
      </c>
      <c r="CY107" s="270">
        <f t="shared" si="80"/>
        <v>4.3594999999999995E-2</v>
      </c>
      <c r="CZ107" s="270">
        <f t="shared" si="80"/>
        <v>4.4030000000000007E-2</v>
      </c>
      <c r="DA107" s="270">
        <f t="shared" si="80"/>
        <v>2.9906666666666668E-2</v>
      </c>
      <c r="DB107" s="2102">
        <f t="shared" si="80"/>
        <v>1.3458333333333334E-4</v>
      </c>
      <c r="DC107" s="2103">
        <f t="shared" si="80"/>
        <v>5.0083333333333341E-2</v>
      </c>
      <c r="DD107" s="270">
        <f t="shared" si="80"/>
        <v>0.14601125000000001</v>
      </c>
      <c r="DE107" s="270">
        <f t="shared" si="80"/>
        <v>0.16544791666666664</v>
      </c>
      <c r="DF107" s="270">
        <f t="shared" si="80"/>
        <v>5.1181249999999991E-2</v>
      </c>
      <c r="DG107" s="270">
        <f t="shared" si="80"/>
        <v>2.7091764705882353E-2</v>
      </c>
      <c r="DH107" s="270">
        <f t="shared" si="80"/>
        <v>6.6323571428571426E-2</v>
      </c>
      <c r="DJ107" s="1" t="s">
        <v>178</v>
      </c>
    </row>
    <row r="108" spans="3:114" x14ac:dyDescent="0.35">
      <c r="C108" s="1" t="s">
        <v>179</v>
      </c>
      <c r="F108" s="2104" t="s">
        <v>187</v>
      </c>
      <c r="G108" s="271">
        <v>24</v>
      </c>
      <c r="H108" s="247" t="s">
        <v>195</v>
      </c>
      <c r="I108" s="2105">
        <v>6</v>
      </c>
      <c r="J108" s="1899" t="s">
        <v>200</v>
      </c>
      <c r="K108" s="271">
        <f t="shared" ref="K108:K114" si="81">G108+I108</f>
        <v>30</v>
      </c>
      <c r="BR108" s="2101"/>
      <c r="BS108" s="241"/>
      <c r="BT108" s="241"/>
      <c r="BU108" s="241"/>
      <c r="BV108" s="241"/>
      <c r="BW108" s="241"/>
      <c r="BZ108" s="241" t="s">
        <v>200</v>
      </c>
      <c r="CA108" s="251">
        <f t="shared" ref="CA108:CP108" si="82">CA$59*CA$10/100</f>
        <v>1.1161191489361701</v>
      </c>
      <c r="CB108" s="251">
        <f t="shared" si="82"/>
        <v>0.70109999999999995</v>
      </c>
      <c r="CC108" s="251">
        <f t="shared" si="82"/>
        <v>0.780335</v>
      </c>
      <c r="CD108" s="1846">
        <f t="shared" si="82"/>
        <v>1.071748817204301</v>
      </c>
      <c r="CE108" s="1839">
        <f t="shared" si="82"/>
        <v>1.9132633333333333</v>
      </c>
      <c r="CF108" s="251">
        <f t="shared" si="82"/>
        <v>1.4224333333333332</v>
      </c>
      <c r="CG108" s="251">
        <f t="shared" si="82"/>
        <v>1.4423749999999997</v>
      </c>
      <c r="CH108" s="251">
        <f t="shared" si="82"/>
        <v>1.2784904166666666</v>
      </c>
      <c r="CI108" s="251">
        <f t="shared" si="82"/>
        <v>1.3972125</v>
      </c>
      <c r="CJ108" s="1846">
        <f t="shared" si="82"/>
        <v>1.4454000000000002</v>
      </c>
      <c r="CK108" s="1839">
        <f t="shared" si="82"/>
        <v>1.52607</v>
      </c>
      <c r="CL108" s="251">
        <f t="shared" si="82"/>
        <v>1.5822250000000002</v>
      </c>
      <c r="CM108" s="251">
        <f t="shared" si="82"/>
        <v>1.5107849999999998</v>
      </c>
      <c r="CN108" s="251">
        <f t="shared" si="82"/>
        <v>1.5823150000000001</v>
      </c>
      <c r="CO108" s="251">
        <f t="shared" si="82"/>
        <v>1.4549166666666664</v>
      </c>
      <c r="CP108" s="251">
        <f t="shared" si="82"/>
        <v>1.3901178571428572</v>
      </c>
      <c r="CQ108" s="270"/>
      <c r="CR108" s="341"/>
      <c r="CS108" s="270">
        <f t="shared" ref="CS108:DH108" si="83">CS$59*CS$10/100</f>
        <v>0.45863999999999999</v>
      </c>
      <c r="CT108" s="270">
        <f t="shared" si="83"/>
        <v>1.4447999999999999E-2</v>
      </c>
      <c r="CU108" s="270">
        <f t="shared" si="83"/>
        <v>2.3000000000000003E-2</v>
      </c>
      <c r="CV108" s="2102">
        <f t="shared" si="83"/>
        <v>9.5483870967741922E-4</v>
      </c>
      <c r="CW108" s="2103">
        <f t="shared" si="83"/>
        <v>8.0850000000000005E-2</v>
      </c>
      <c r="CX108" s="270">
        <f t="shared" si="83"/>
        <v>0.10034999999999999</v>
      </c>
      <c r="CY108" s="270">
        <f t="shared" si="83"/>
        <v>6.5392500000000006E-2</v>
      </c>
      <c r="CZ108" s="270">
        <f t="shared" si="83"/>
        <v>6.2899999999999998E-2</v>
      </c>
      <c r="DA108" s="270">
        <f t="shared" si="83"/>
        <v>4.1121666666666667E-2</v>
      </c>
      <c r="DB108" s="2102">
        <f t="shared" si="83"/>
        <v>1.8208333333333333E-4</v>
      </c>
      <c r="DC108" s="2103">
        <f t="shared" si="83"/>
        <v>9.0150000000000008E-2</v>
      </c>
      <c r="DD108" s="270">
        <f t="shared" si="83"/>
        <v>0.23450291666666667</v>
      </c>
      <c r="DE108" s="270">
        <f t="shared" si="83"/>
        <v>0.25053541666666668</v>
      </c>
      <c r="DF108" s="270">
        <f t="shared" si="83"/>
        <v>9.8950416666666652E-2</v>
      </c>
      <c r="DG108" s="270">
        <f t="shared" si="83"/>
        <v>4.8480000000000009E-2</v>
      </c>
      <c r="DH108" s="270">
        <f t="shared" si="83"/>
        <v>0.11868428571428574</v>
      </c>
      <c r="DJ108" s="1" t="s">
        <v>179</v>
      </c>
    </row>
    <row r="109" spans="3:114" x14ac:dyDescent="0.35">
      <c r="C109" s="1" t="s">
        <v>180</v>
      </c>
      <c r="F109" s="2104" t="s">
        <v>99</v>
      </c>
      <c r="G109" s="271">
        <v>36</v>
      </c>
      <c r="H109" s="247" t="s">
        <v>194</v>
      </c>
      <c r="I109" s="2105">
        <v>8</v>
      </c>
      <c r="J109" s="1899" t="s">
        <v>201</v>
      </c>
      <c r="K109" s="271">
        <f t="shared" si="81"/>
        <v>44</v>
      </c>
      <c r="BR109" s="2101"/>
      <c r="BS109" s="241"/>
      <c r="BT109" s="241"/>
      <c r="BU109" s="241"/>
      <c r="BV109" s="241"/>
      <c r="BW109" s="241"/>
      <c r="BZ109" s="241" t="s">
        <v>201</v>
      </c>
      <c r="CA109" s="251">
        <f t="shared" ref="CA109:CP109" si="84">CA$59*CA$11/100</f>
        <v>1.3371965957446807</v>
      </c>
      <c r="CB109" s="251">
        <f t="shared" si="84"/>
        <v>0.75430000000000008</v>
      </c>
      <c r="CC109" s="251">
        <f t="shared" si="84"/>
        <v>0.83420749999999999</v>
      </c>
      <c r="CD109" s="1846">
        <f t="shared" si="84"/>
        <v>1.0113686021505375</v>
      </c>
      <c r="CE109" s="1839">
        <f t="shared" si="84"/>
        <v>1.6301200000000002</v>
      </c>
      <c r="CF109" s="251">
        <f t="shared" si="84"/>
        <v>1.2970750000000002</v>
      </c>
      <c r="CG109" s="251">
        <f t="shared" si="84"/>
        <v>1.3086275000000001</v>
      </c>
      <c r="CH109" s="251">
        <f t="shared" si="84"/>
        <v>1.2696558333333332</v>
      </c>
      <c r="CI109" s="251">
        <f t="shared" si="84"/>
        <v>1.3431</v>
      </c>
      <c r="CJ109" s="1846">
        <f t="shared" si="84"/>
        <v>1.3044187499999997</v>
      </c>
      <c r="CK109" s="1839">
        <f t="shared" si="84"/>
        <v>1.42506</v>
      </c>
      <c r="CL109" s="251">
        <f t="shared" si="84"/>
        <v>1.4045716666666666</v>
      </c>
      <c r="CM109" s="251">
        <f t="shared" si="84"/>
        <v>1.3781174999999999</v>
      </c>
      <c r="CN109" s="251">
        <f t="shared" si="84"/>
        <v>1.4557866666666666</v>
      </c>
      <c r="CO109" s="251">
        <f t="shared" si="84"/>
        <v>1.39825</v>
      </c>
      <c r="CP109" s="251">
        <f t="shared" si="84"/>
        <v>1.3359749999999999</v>
      </c>
      <c r="CQ109" s="270"/>
      <c r="CR109" s="341"/>
      <c r="CS109" s="270">
        <f t="shared" ref="CS109:DH109" si="85">CS$59*CS$11/100</f>
        <v>0.67669000000000012</v>
      </c>
      <c r="CT109" s="270">
        <f t="shared" si="85"/>
        <v>3.4313999999999997E-2</v>
      </c>
      <c r="CU109" s="270">
        <f t="shared" si="85"/>
        <v>5.4625000000000007E-2</v>
      </c>
      <c r="CV109" s="2102">
        <f t="shared" si="85"/>
        <v>1.2731182795698926E-3</v>
      </c>
      <c r="CW109" s="2103">
        <f t="shared" si="85"/>
        <v>0.11025</v>
      </c>
      <c r="CX109" s="270">
        <f t="shared" si="85"/>
        <v>0.14866666666666667</v>
      </c>
      <c r="CY109" s="270">
        <f t="shared" si="85"/>
        <v>0.10535458333333332</v>
      </c>
      <c r="CZ109" s="270">
        <f t="shared" si="85"/>
        <v>9.4349999999999989E-2</v>
      </c>
      <c r="DA109" s="270">
        <f t="shared" si="85"/>
        <v>6.1682500000000001E-2</v>
      </c>
      <c r="DB109" s="2102">
        <f t="shared" si="85"/>
        <v>2.5333333333333333E-4</v>
      </c>
      <c r="DC109" s="2103">
        <f t="shared" si="85"/>
        <v>0.15024999999999999</v>
      </c>
      <c r="DD109" s="270">
        <f t="shared" si="85"/>
        <v>0.35396666666666671</v>
      </c>
      <c r="DE109" s="270">
        <f t="shared" si="85"/>
        <v>0.37343958333333338</v>
      </c>
      <c r="DF109" s="270">
        <f t="shared" si="85"/>
        <v>0.15695583333333332</v>
      </c>
      <c r="DG109" s="270">
        <f t="shared" si="85"/>
        <v>7.5571764705882366E-2</v>
      </c>
      <c r="DH109" s="270">
        <f t="shared" si="85"/>
        <v>0.18500785714285717</v>
      </c>
      <c r="DJ109" s="1" t="s">
        <v>180</v>
      </c>
    </row>
    <row r="110" spans="3:114" x14ac:dyDescent="0.35">
      <c r="C110" s="1" t="s">
        <v>385</v>
      </c>
      <c r="F110" s="2104" t="s">
        <v>188</v>
      </c>
      <c r="G110" s="271">
        <v>48</v>
      </c>
      <c r="H110" s="247" t="s">
        <v>196</v>
      </c>
      <c r="I110" s="2105">
        <v>10</v>
      </c>
      <c r="J110" s="1899" t="s">
        <v>202</v>
      </c>
      <c r="K110" s="271">
        <f t="shared" si="81"/>
        <v>58</v>
      </c>
      <c r="BR110" s="2101"/>
      <c r="BS110" s="241"/>
      <c r="BT110" s="241"/>
      <c r="BU110" s="241"/>
      <c r="BV110" s="241"/>
      <c r="BW110" s="241"/>
      <c r="BZ110" s="241" t="s">
        <v>376</v>
      </c>
      <c r="CA110" s="251">
        <f t="shared" ref="CA110:CP110" si="86">CA$59*CA$12/100</f>
        <v>1.5239319148936168</v>
      </c>
      <c r="CB110" s="251">
        <f t="shared" si="86"/>
        <v>0.71439999999999992</v>
      </c>
      <c r="CC110" s="251">
        <f t="shared" si="86"/>
        <v>1.3484449999999999</v>
      </c>
      <c r="CD110" s="1846">
        <f t="shared" si="86"/>
        <v>0.72644946236559138</v>
      </c>
      <c r="CE110" s="1839">
        <f t="shared" si="86"/>
        <v>0.97709000000000001</v>
      </c>
      <c r="CF110" s="251">
        <f t="shared" si="86"/>
        <v>0.84552916666666667</v>
      </c>
      <c r="CG110" s="251">
        <f t="shared" si="86"/>
        <v>0.86935874999999996</v>
      </c>
      <c r="CH110" s="251">
        <f t="shared" si="86"/>
        <v>0.9023895833333333</v>
      </c>
      <c r="CI110" s="251">
        <f t="shared" si="86"/>
        <v>0.9226875000000001</v>
      </c>
      <c r="CJ110" s="1846">
        <f t="shared" si="86"/>
        <v>0.88010624999999987</v>
      </c>
      <c r="CK110" s="1839">
        <f t="shared" si="86"/>
        <v>0.94867500000000005</v>
      </c>
      <c r="CL110" s="251">
        <f t="shared" si="86"/>
        <v>0.89659416666666669</v>
      </c>
      <c r="CM110" s="251">
        <f t="shared" si="86"/>
        <v>0.92325749999999995</v>
      </c>
      <c r="CN110" s="251">
        <f t="shared" si="86"/>
        <v>0.9610466666666666</v>
      </c>
      <c r="CO110" s="251">
        <f t="shared" si="86"/>
        <v>0.99733333333333329</v>
      </c>
      <c r="CP110" s="251">
        <f t="shared" si="86"/>
        <v>0.95291428571428582</v>
      </c>
      <c r="CQ110" s="270"/>
      <c r="CR110" s="341"/>
      <c r="CS110" s="270">
        <f t="shared" ref="CS110:DH110" si="87">CS$59*CS$12/100</f>
        <v>0.61642000000000008</v>
      </c>
      <c r="CT110" s="270">
        <f t="shared" si="87"/>
        <v>0.12641999999999998</v>
      </c>
      <c r="CU110" s="270">
        <f t="shared" si="87"/>
        <v>0.20125000000000001</v>
      </c>
      <c r="CV110" s="2102">
        <f t="shared" si="87"/>
        <v>3.6602150537634408E-3</v>
      </c>
      <c r="CW110" s="2103">
        <f t="shared" si="87"/>
        <v>0.16537500000000002</v>
      </c>
      <c r="CX110" s="270">
        <f t="shared" si="87"/>
        <v>0.19326666666666664</v>
      </c>
      <c r="CY110" s="270">
        <f t="shared" si="87"/>
        <v>0.1489495833333333</v>
      </c>
      <c r="CZ110" s="270">
        <f t="shared" si="87"/>
        <v>0.13208999999999999</v>
      </c>
      <c r="DA110" s="270">
        <f t="shared" si="87"/>
        <v>7.8504999999999991E-2</v>
      </c>
      <c r="DB110" s="2102">
        <f t="shared" si="87"/>
        <v>3.166666666666667E-4</v>
      </c>
      <c r="DC110" s="2103">
        <f t="shared" si="87"/>
        <v>0.19532500000000003</v>
      </c>
      <c r="DD110" s="270">
        <f t="shared" si="87"/>
        <v>0.41148625000000005</v>
      </c>
      <c r="DE110" s="270">
        <f t="shared" si="87"/>
        <v>0.43016458333333341</v>
      </c>
      <c r="DF110" s="270">
        <f t="shared" si="87"/>
        <v>0.19448874999999999</v>
      </c>
      <c r="DG110" s="270">
        <f t="shared" si="87"/>
        <v>8.6978823529411761E-2</v>
      </c>
      <c r="DH110" s="270">
        <f t="shared" si="87"/>
        <v>0.21293357142857144</v>
      </c>
      <c r="DJ110" s="1" t="s">
        <v>181</v>
      </c>
    </row>
    <row r="111" spans="3:114" x14ac:dyDescent="0.35">
      <c r="C111" s="1" t="s">
        <v>182</v>
      </c>
      <c r="F111" s="2104" t="s">
        <v>189</v>
      </c>
      <c r="G111" s="271">
        <v>60</v>
      </c>
      <c r="H111" s="247" t="s">
        <v>197</v>
      </c>
      <c r="I111" s="2105">
        <v>12</v>
      </c>
      <c r="J111" s="1899" t="s">
        <v>203</v>
      </c>
      <c r="K111" s="271">
        <f t="shared" si="81"/>
        <v>72</v>
      </c>
      <c r="BR111" s="2101"/>
      <c r="BS111" s="241"/>
      <c r="BT111" s="241"/>
      <c r="BU111" s="241"/>
      <c r="BV111" s="241"/>
      <c r="BW111" s="241"/>
      <c r="BZ111" s="241" t="s">
        <v>203</v>
      </c>
      <c r="CA111" s="251">
        <f t="shared" ref="CA111:CP111" si="88">CA$59*CA$13/100</f>
        <v>1.8609140425531914</v>
      </c>
      <c r="CB111" s="251">
        <f t="shared" si="88"/>
        <v>1.2977000000000001</v>
      </c>
      <c r="CC111" s="251">
        <f t="shared" si="88"/>
        <v>0.98276499999999989</v>
      </c>
      <c r="CD111" s="1846">
        <f t="shared" si="88"/>
        <v>0.73777075268817205</v>
      </c>
      <c r="CE111" s="1839">
        <f t="shared" si="88"/>
        <v>0.62520666666666669</v>
      </c>
      <c r="CF111" s="251">
        <f t="shared" si="88"/>
        <v>0.67540000000000011</v>
      </c>
      <c r="CG111" s="251">
        <f t="shared" si="88"/>
        <v>0.77757124999999983</v>
      </c>
      <c r="CH111" s="251">
        <f t="shared" si="88"/>
        <v>0.99073541666666654</v>
      </c>
      <c r="CI111" s="251">
        <f t="shared" si="88"/>
        <v>0.97680000000000011</v>
      </c>
      <c r="CJ111" s="1846">
        <f t="shared" si="88"/>
        <v>0.98549999999999993</v>
      </c>
      <c r="CK111" s="1839">
        <f t="shared" si="88"/>
        <v>0.98826000000000003</v>
      </c>
      <c r="CL111" s="251">
        <f t="shared" si="88"/>
        <v>0.72588041666666681</v>
      </c>
      <c r="CM111" s="251">
        <f t="shared" si="88"/>
        <v>0.86369249999999997</v>
      </c>
      <c r="CN111" s="251">
        <f t="shared" si="88"/>
        <v>0.80750666666666659</v>
      </c>
      <c r="CO111" s="251">
        <f t="shared" si="88"/>
        <v>1.2282499999999998</v>
      </c>
      <c r="CP111" s="251">
        <f t="shared" si="88"/>
        <v>1.1735464285714285</v>
      </c>
      <c r="CQ111" s="270"/>
      <c r="CR111" s="341"/>
      <c r="CS111" s="270">
        <f t="shared" ref="CS111:DH111" si="89">CS$59*CS$13/100</f>
        <v>0.54635</v>
      </c>
      <c r="CT111" s="270">
        <f t="shared" si="89"/>
        <v>6.3209999999999988E-2</v>
      </c>
      <c r="CU111" s="270">
        <f t="shared" si="89"/>
        <v>0.10062500000000001</v>
      </c>
      <c r="CV111" s="2102">
        <f t="shared" si="89"/>
        <v>3.6602150537634408E-3</v>
      </c>
      <c r="CW111" s="2103">
        <f t="shared" si="89"/>
        <v>0.58432500000000009</v>
      </c>
      <c r="CX111" s="270">
        <f t="shared" si="89"/>
        <v>0.55006666666666659</v>
      </c>
      <c r="CY111" s="270">
        <f t="shared" si="89"/>
        <v>0.55220333333333327</v>
      </c>
      <c r="CZ111" s="270">
        <f t="shared" si="89"/>
        <v>0.44973499999999994</v>
      </c>
      <c r="DA111" s="270">
        <f t="shared" si="89"/>
        <v>0.24486083333333333</v>
      </c>
      <c r="DB111" s="2102">
        <f t="shared" si="89"/>
        <v>8.2333333333333325E-4</v>
      </c>
      <c r="DC111" s="2103">
        <f t="shared" si="89"/>
        <v>0.43071666666666664</v>
      </c>
      <c r="DD111" s="270">
        <f t="shared" si="89"/>
        <v>0.97340833333333354</v>
      </c>
      <c r="DE111" s="270">
        <f t="shared" si="89"/>
        <v>0.95014375000000006</v>
      </c>
      <c r="DF111" s="270">
        <f t="shared" si="89"/>
        <v>0.58687833333333328</v>
      </c>
      <c r="DG111" s="270">
        <f t="shared" si="89"/>
        <v>0.20532705882352942</v>
      </c>
      <c r="DH111" s="270">
        <f t="shared" si="89"/>
        <v>0.50266285714285719</v>
      </c>
      <c r="DJ111" s="1" t="s">
        <v>182</v>
      </c>
    </row>
    <row r="112" spans="3:114" ht="15" thickBot="1" x14ac:dyDescent="0.4">
      <c r="C112" s="1" t="s">
        <v>351</v>
      </c>
      <c r="F112" s="2106" t="s">
        <v>190</v>
      </c>
      <c r="G112" s="2107">
        <v>72</v>
      </c>
      <c r="H112" s="2108" t="s">
        <v>198</v>
      </c>
      <c r="I112" s="2109">
        <v>14</v>
      </c>
      <c r="J112" s="2110" t="s">
        <v>204</v>
      </c>
      <c r="K112" s="2107">
        <f t="shared" si="81"/>
        <v>86</v>
      </c>
      <c r="L112" s="225"/>
      <c r="M112" s="225"/>
      <c r="N112" s="2073"/>
      <c r="O112" s="2072"/>
      <c r="P112" s="1768"/>
      <c r="Q112" s="225"/>
      <c r="R112" s="225"/>
      <c r="S112" s="2073"/>
      <c r="T112" s="2073"/>
      <c r="U112" s="2073"/>
      <c r="V112" s="225"/>
      <c r="W112" s="1790"/>
      <c r="X112" s="1768"/>
      <c r="Y112" s="225"/>
      <c r="Z112" s="225"/>
      <c r="AA112" s="226"/>
      <c r="AB112" s="1768"/>
      <c r="AC112" s="225"/>
      <c r="AD112" s="225"/>
      <c r="AE112" s="225"/>
      <c r="AF112" s="225"/>
      <c r="AG112" s="226"/>
      <c r="AH112" s="1768"/>
      <c r="AI112" s="225"/>
      <c r="AJ112" s="225"/>
      <c r="AK112" s="225"/>
      <c r="AL112" s="225"/>
      <c r="AM112" s="225"/>
      <c r="AN112" s="225"/>
      <c r="AO112" s="344"/>
      <c r="AP112" s="225"/>
      <c r="AQ112" s="225"/>
      <c r="AR112" s="225"/>
      <c r="AS112" s="226"/>
      <c r="AT112" s="1768"/>
      <c r="AU112" s="225"/>
      <c r="AV112" s="225"/>
      <c r="AW112" s="225"/>
      <c r="AX112" s="225"/>
      <c r="AY112" s="226"/>
      <c r="AZ112" s="1768"/>
      <c r="BA112" s="225"/>
      <c r="BB112" s="225"/>
      <c r="BC112" s="225"/>
      <c r="BD112" s="225"/>
      <c r="BE112" s="225"/>
      <c r="BF112" s="225"/>
      <c r="BG112" s="344"/>
      <c r="BH112" s="225"/>
      <c r="BI112" s="225"/>
      <c r="BJ112" s="225"/>
      <c r="BK112" s="226"/>
      <c r="BL112" s="1768"/>
      <c r="BM112" s="225"/>
      <c r="BN112" s="225"/>
      <c r="BO112" s="225"/>
      <c r="BP112" s="225"/>
      <c r="BQ112" s="226"/>
      <c r="BR112" s="2111"/>
      <c r="BS112" s="351"/>
      <c r="BT112" s="351"/>
      <c r="BU112" s="351"/>
      <c r="BV112" s="351"/>
      <c r="BW112" s="351"/>
      <c r="BX112" s="225"/>
      <c r="BY112" s="344"/>
      <c r="BZ112" s="351" t="s">
        <v>403</v>
      </c>
      <c r="CA112" s="392">
        <f t="shared" ref="CA112:CP112" si="90">CA$59*CA$14/100</f>
        <v>2.6464902127659569</v>
      </c>
      <c r="CB112" s="392">
        <f t="shared" si="90"/>
        <v>5.8576999999999995</v>
      </c>
      <c r="CC112" s="392">
        <f t="shared" si="90"/>
        <v>1.63903</v>
      </c>
      <c r="CD112" s="1844">
        <f t="shared" si="90"/>
        <v>0.34907311827956988</v>
      </c>
      <c r="CE112" s="1845">
        <f t="shared" si="90"/>
        <v>0.15057333333333334</v>
      </c>
      <c r="CF112" s="392">
        <f t="shared" si="90"/>
        <v>0.13175416666666667</v>
      </c>
      <c r="CG112" s="392">
        <f t="shared" si="90"/>
        <v>0.12981374999999998</v>
      </c>
      <c r="CH112" s="392">
        <f t="shared" si="90"/>
        <v>0.24484416666666664</v>
      </c>
      <c r="CI112" s="392">
        <f t="shared" si="90"/>
        <v>0.23309999999999997</v>
      </c>
      <c r="CJ112" s="1844">
        <f t="shared" si="90"/>
        <v>0.23268750000000002</v>
      </c>
      <c r="CK112" s="1845">
        <f t="shared" si="90"/>
        <v>0.19792500000000002</v>
      </c>
      <c r="CL112" s="392">
        <f t="shared" si="90"/>
        <v>9.715416666666668E-2</v>
      </c>
      <c r="CM112" s="392">
        <f t="shared" si="90"/>
        <v>8.3932500000000007E-2</v>
      </c>
      <c r="CN112" s="392">
        <f t="shared" si="90"/>
        <v>7.2505E-2</v>
      </c>
      <c r="CO112" s="392">
        <f t="shared" si="90"/>
        <v>0.23091666666666666</v>
      </c>
      <c r="CP112" s="392">
        <f t="shared" si="90"/>
        <v>0.22063214285714283</v>
      </c>
      <c r="CQ112" s="405"/>
      <c r="CR112" s="2112"/>
      <c r="CS112" s="405">
        <f t="shared" ref="CS112:DH112" si="91">CS$59*CS$14/100</f>
        <v>0.12592999999999999</v>
      </c>
      <c r="CT112" s="405">
        <f t="shared" si="91"/>
        <v>9.9330000000000002E-2</v>
      </c>
      <c r="CU112" s="405">
        <f t="shared" si="91"/>
        <v>0.15812500000000002</v>
      </c>
      <c r="CV112" s="2113">
        <f t="shared" si="91"/>
        <v>5.4107526881720432E-3</v>
      </c>
      <c r="CW112" s="2114">
        <f t="shared" si="91"/>
        <v>0.15434999999999999</v>
      </c>
      <c r="CX112" s="405">
        <f t="shared" si="91"/>
        <v>0.1338</v>
      </c>
      <c r="CY112" s="405">
        <f t="shared" si="91"/>
        <v>0.13441791666666666</v>
      </c>
      <c r="CZ112" s="405">
        <f t="shared" si="91"/>
        <v>8.8060000000000013E-2</v>
      </c>
      <c r="DA112" s="405">
        <f t="shared" si="91"/>
        <v>4.6729166666666669E-2</v>
      </c>
      <c r="DB112" s="2113">
        <f t="shared" si="91"/>
        <v>1.4249999999999999E-4</v>
      </c>
      <c r="DC112" s="2114">
        <f t="shared" si="91"/>
        <v>6.0100000000000001E-2</v>
      </c>
      <c r="DD112" s="405">
        <f t="shared" si="91"/>
        <v>0.17698333333333335</v>
      </c>
      <c r="DE112" s="405">
        <f t="shared" si="91"/>
        <v>0.14181250000000001</v>
      </c>
      <c r="DF112" s="405">
        <f t="shared" si="91"/>
        <v>0.13648333333333335</v>
      </c>
      <c r="DG112" s="405">
        <f t="shared" si="91"/>
        <v>3.7072941176470593E-2</v>
      </c>
      <c r="DH112" s="405">
        <f t="shared" si="91"/>
        <v>9.0758571428571438E-2</v>
      </c>
      <c r="DI112" s="225"/>
      <c r="DJ112" s="1" t="s">
        <v>405</v>
      </c>
    </row>
    <row r="113" spans="3:114" s="377" customFormat="1" ht="15" thickTop="1" x14ac:dyDescent="0.35">
      <c r="C113" s="375" t="s">
        <v>183</v>
      </c>
      <c r="D113" s="375"/>
      <c r="E113" s="375"/>
      <c r="F113" s="2115" t="s">
        <v>157</v>
      </c>
      <c r="G113" s="2116">
        <v>32</v>
      </c>
      <c r="H113" s="353" t="s">
        <v>191</v>
      </c>
      <c r="I113" s="2117">
        <v>2</v>
      </c>
      <c r="J113" s="1883" t="s">
        <v>135</v>
      </c>
      <c r="K113" s="2116">
        <f t="shared" si="81"/>
        <v>34</v>
      </c>
      <c r="L113" s="347"/>
      <c r="M113" s="347"/>
      <c r="N113" s="1877"/>
      <c r="O113" s="2118"/>
      <c r="P113" s="1879"/>
      <c r="Q113" s="347"/>
      <c r="R113" s="347"/>
      <c r="S113" s="1877"/>
      <c r="T113" s="1877"/>
      <c r="U113" s="1877"/>
      <c r="V113" s="347"/>
      <c r="W113" s="1878"/>
      <c r="X113" s="1879"/>
      <c r="Y113" s="347"/>
      <c r="Z113" s="347"/>
      <c r="AA113" s="1880"/>
      <c r="AB113" s="1879"/>
      <c r="AC113" s="347"/>
      <c r="AD113" s="347"/>
      <c r="AE113" s="347"/>
      <c r="AF113" s="347"/>
      <c r="AG113" s="1880"/>
      <c r="AH113" s="1879"/>
      <c r="AI113" s="347"/>
      <c r="AJ113" s="347"/>
      <c r="AK113" s="347"/>
      <c r="AL113" s="347"/>
      <c r="AM113" s="347"/>
      <c r="AN113" s="347"/>
      <c r="AO113" s="352"/>
      <c r="AP113" s="347"/>
      <c r="AQ113" s="347"/>
      <c r="AR113" s="347"/>
      <c r="AS113" s="1880"/>
      <c r="AT113" s="1879"/>
      <c r="AU113" s="347"/>
      <c r="AV113" s="347"/>
      <c r="AW113" s="347"/>
      <c r="AX113" s="347"/>
      <c r="AY113" s="1880"/>
      <c r="AZ113" s="1879"/>
      <c r="BA113" s="347"/>
      <c r="BB113" s="347"/>
      <c r="BC113" s="347"/>
      <c r="BD113" s="347"/>
      <c r="BE113" s="347"/>
      <c r="BF113" s="347"/>
      <c r="BG113" s="352"/>
      <c r="BH113" s="347"/>
      <c r="BI113" s="347"/>
      <c r="BJ113" s="347"/>
      <c r="BK113" s="1880"/>
      <c r="BL113" s="1879"/>
      <c r="BM113" s="347"/>
      <c r="BN113" s="347"/>
      <c r="BO113" s="347"/>
      <c r="BP113" s="347"/>
      <c r="BQ113" s="1880"/>
      <c r="BR113" s="2119"/>
      <c r="BS113" s="348"/>
      <c r="BT113" s="348"/>
      <c r="BU113" s="348"/>
      <c r="BV113" s="348"/>
      <c r="BW113" s="348"/>
      <c r="BX113" s="347"/>
      <c r="BY113" s="352"/>
      <c r="BZ113" s="355"/>
      <c r="CA113" s="347"/>
      <c r="CB113" s="347"/>
      <c r="CC113" s="347"/>
      <c r="CD113" s="1880"/>
      <c r="CE113" s="1879"/>
      <c r="CF113" s="347"/>
      <c r="CG113" s="347"/>
      <c r="CH113" s="347"/>
      <c r="CI113" s="347"/>
      <c r="CJ113" s="1880"/>
      <c r="CK113" s="1879"/>
      <c r="CL113" s="347"/>
      <c r="CM113" s="347"/>
      <c r="CN113" s="347"/>
      <c r="CO113" s="347"/>
      <c r="CP113" s="347"/>
      <c r="CQ113" s="347"/>
      <c r="CR113" s="352"/>
      <c r="CS113" s="347"/>
      <c r="CT113" s="347"/>
      <c r="CU113" s="347"/>
      <c r="CV113" s="1880"/>
      <c r="CW113" s="1879"/>
      <c r="CX113" s="347"/>
      <c r="CY113" s="347"/>
      <c r="CZ113" s="347"/>
      <c r="DA113" s="347"/>
      <c r="DB113" s="1880"/>
      <c r="DC113" s="1879"/>
      <c r="DD113" s="347"/>
      <c r="DE113" s="347"/>
      <c r="DF113" s="347"/>
      <c r="DG113" s="347"/>
      <c r="DH113" s="347"/>
      <c r="DI113" s="347"/>
    </row>
    <row r="114" spans="3:114" s="368" customFormat="1" ht="15" thickBot="1" x14ac:dyDescent="0.4">
      <c r="C114" s="364" t="s">
        <v>184</v>
      </c>
      <c r="D114" s="364"/>
      <c r="E114" s="364"/>
      <c r="F114" s="2120" t="s">
        <v>156</v>
      </c>
      <c r="G114" s="2121">
        <v>14</v>
      </c>
      <c r="H114" s="2122" t="s">
        <v>193</v>
      </c>
      <c r="I114" s="2123">
        <v>3</v>
      </c>
      <c r="J114" s="2124" t="s">
        <v>136</v>
      </c>
      <c r="K114" s="2121">
        <f t="shared" si="81"/>
        <v>17</v>
      </c>
      <c r="L114" s="365"/>
      <c r="M114" s="365"/>
      <c r="N114" s="1802"/>
      <c r="O114" s="1801"/>
      <c r="P114" s="1800"/>
      <c r="Q114" s="365"/>
      <c r="R114" s="365"/>
      <c r="S114" s="1802"/>
      <c r="T114" s="1802"/>
      <c r="U114" s="1802"/>
      <c r="V114" s="365"/>
      <c r="W114" s="1803"/>
      <c r="X114" s="1800"/>
      <c r="Y114" s="365"/>
      <c r="Z114" s="365"/>
      <c r="AA114" s="1804"/>
      <c r="AB114" s="1800"/>
      <c r="AC114" s="365"/>
      <c r="AD114" s="365"/>
      <c r="AE114" s="365"/>
      <c r="AF114" s="365"/>
      <c r="AG114" s="1804"/>
      <c r="AH114" s="1800"/>
      <c r="AI114" s="365"/>
      <c r="AJ114" s="365"/>
      <c r="AK114" s="365"/>
      <c r="AL114" s="365"/>
      <c r="AM114" s="365"/>
      <c r="AN114" s="365"/>
      <c r="AO114" s="366"/>
      <c r="AP114" s="365"/>
      <c r="AQ114" s="365"/>
      <c r="AR114" s="365"/>
      <c r="AS114" s="1804"/>
      <c r="AT114" s="1800"/>
      <c r="AU114" s="365"/>
      <c r="AV114" s="365"/>
      <c r="AW114" s="365"/>
      <c r="AX114" s="365"/>
      <c r="AY114" s="1804"/>
      <c r="AZ114" s="1800"/>
      <c r="BA114" s="365"/>
      <c r="BB114" s="365"/>
      <c r="BC114" s="365"/>
      <c r="BD114" s="365"/>
      <c r="BE114" s="365"/>
      <c r="BF114" s="365"/>
      <c r="BG114" s="366"/>
      <c r="BH114" s="365"/>
      <c r="BI114" s="365"/>
      <c r="BJ114" s="365"/>
      <c r="BK114" s="1804"/>
      <c r="BL114" s="1800"/>
      <c r="BM114" s="365"/>
      <c r="BN114" s="365"/>
      <c r="BO114" s="365"/>
      <c r="BP114" s="365"/>
      <c r="BQ114" s="1804"/>
      <c r="BR114" s="2125"/>
      <c r="BS114" s="367"/>
      <c r="BT114" s="367"/>
      <c r="BU114" s="367"/>
      <c r="BV114" s="367"/>
      <c r="BW114" s="367"/>
      <c r="BX114" s="365"/>
      <c r="BY114" s="366"/>
      <c r="BZ114" s="367"/>
      <c r="CA114" s="365"/>
      <c r="CB114" s="365"/>
      <c r="CC114" s="365"/>
      <c r="CD114" s="1804"/>
      <c r="CE114" s="1800"/>
      <c r="CF114" s="365"/>
      <c r="CG114" s="365"/>
      <c r="CH114" s="365"/>
      <c r="CI114" s="365"/>
      <c r="CJ114" s="1804"/>
      <c r="CK114" s="1800"/>
      <c r="CL114" s="365"/>
      <c r="CM114" s="365"/>
      <c r="CN114" s="365"/>
      <c r="CO114" s="365"/>
      <c r="CP114" s="365"/>
      <c r="CQ114" s="365"/>
      <c r="CR114" s="366"/>
      <c r="CS114" s="365"/>
      <c r="CT114" s="365"/>
      <c r="CU114" s="365"/>
      <c r="CV114" s="1804"/>
      <c r="CW114" s="1800"/>
      <c r="CX114" s="365"/>
      <c r="CY114" s="365"/>
      <c r="CZ114" s="365"/>
      <c r="DA114" s="365"/>
      <c r="DB114" s="1804"/>
      <c r="DC114" s="1800"/>
      <c r="DD114" s="365"/>
      <c r="DE114" s="365"/>
      <c r="DF114" s="365"/>
      <c r="DG114" s="365"/>
      <c r="DH114" s="365"/>
      <c r="DI114" s="365"/>
    </row>
    <row r="115" spans="3:114" s="228" customFormat="1" ht="15" thickTop="1" x14ac:dyDescent="0.35">
      <c r="C115" s="227"/>
      <c r="D115" s="227"/>
      <c r="E115" s="227"/>
      <c r="F115" s="1774"/>
      <c r="G115" s="229"/>
      <c r="H115" s="229"/>
      <c r="I115" s="2098"/>
      <c r="J115" s="1774"/>
      <c r="K115" s="229"/>
      <c r="L115" s="300"/>
      <c r="M115" s="300"/>
      <c r="N115" s="2126"/>
      <c r="O115" s="2127"/>
      <c r="P115" s="1766"/>
      <c r="Q115" s="300"/>
      <c r="R115" s="300"/>
      <c r="S115" s="2126"/>
      <c r="T115" s="2126"/>
      <c r="U115" s="2126"/>
      <c r="V115" s="229"/>
      <c r="W115" s="1796"/>
      <c r="X115" s="1774"/>
      <c r="Y115" s="229"/>
      <c r="Z115" s="229"/>
      <c r="AA115" s="1773"/>
      <c r="AB115" s="1774"/>
      <c r="AC115" s="229"/>
      <c r="AD115" s="229"/>
      <c r="AE115" s="229"/>
      <c r="AF115" s="229"/>
      <c r="AG115" s="1773"/>
      <c r="AH115" s="1774"/>
      <c r="AI115" s="229"/>
      <c r="AJ115" s="229"/>
      <c r="AK115" s="229"/>
      <c r="AL115" s="229"/>
      <c r="AM115" s="229"/>
      <c r="AN115" s="229"/>
      <c r="AO115" s="356"/>
      <c r="AP115" s="229"/>
      <c r="AQ115" s="229"/>
      <c r="AR115" s="229"/>
      <c r="AS115" s="1773"/>
      <c r="AT115" s="1774"/>
      <c r="AU115" s="229"/>
      <c r="AV115" s="229"/>
      <c r="AW115" s="229"/>
      <c r="AX115" s="229"/>
      <c r="AY115" s="1773"/>
      <c r="AZ115" s="1774"/>
      <c r="BA115" s="229"/>
      <c r="BB115" s="229"/>
      <c r="BC115" s="229"/>
      <c r="BD115" s="229"/>
      <c r="BE115" s="229"/>
      <c r="BF115" s="229"/>
      <c r="BG115" s="356"/>
      <c r="BH115" s="229"/>
      <c r="BI115" s="229"/>
      <c r="BJ115" s="229"/>
      <c r="BK115" s="1773"/>
      <c r="BL115" s="1774"/>
      <c r="BM115" s="229"/>
      <c r="BN115" s="229"/>
      <c r="BO115" s="229"/>
      <c r="BP115" s="229"/>
      <c r="BQ115" s="1773"/>
      <c r="BR115" s="1774"/>
      <c r="BS115" s="349"/>
      <c r="BT115" s="349"/>
      <c r="BU115" s="349"/>
      <c r="BV115" s="349"/>
      <c r="BW115" s="349"/>
      <c r="BX115" s="229"/>
      <c r="BY115" s="356"/>
      <c r="BZ115" s="358"/>
      <c r="CA115" s="2751" t="s">
        <v>409</v>
      </c>
      <c r="CB115" s="2751"/>
      <c r="CC115" s="2751"/>
      <c r="CD115" s="2751"/>
      <c r="CE115" s="2751" t="s">
        <v>409</v>
      </c>
      <c r="CF115" s="2751"/>
      <c r="CG115" s="2751"/>
      <c r="CH115" s="2751"/>
      <c r="CI115" s="2751"/>
      <c r="CJ115" s="2751"/>
      <c r="CK115" s="2751" t="s">
        <v>409</v>
      </c>
      <c r="CL115" s="2751"/>
      <c r="CM115" s="2751"/>
      <c r="CN115" s="2751"/>
      <c r="CO115" s="2751"/>
      <c r="CP115" s="2751"/>
      <c r="CQ115" s="2128"/>
      <c r="CR115" s="396"/>
      <c r="CS115" s="2751" t="s">
        <v>410</v>
      </c>
      <c r="CT115" s="2751"/>
      <c r="CU115" s="2751"/>
      <c r="CV115" s="2751"/>
      <c r="CW115" s="2751" t="s">
        <v>408</v>
      </c>
      <c r="CX115" s="2751"/>
      <c r="CY115" s="2751"/>
      <c r="CZ115" s="2751"/>
      <c r="DA115" s="2751"/>
      <c r="DB115" s="2751"/>
      <c r="DC115" s="2751" t="s">
        <v>408</v>
      </c>
      <c r="DD115" s="2751"/>
      <c r="DE115" s="2751"/>
      <c r="DF115" s="2751"/>
      <c r="DG115" s="2751"/>
      <c r="DH115" s="2128"/>
      <c r="DI115" s="229"/>
    </row>
    <row r="116" spans="3:114" x14ac:dyDescent="0.35">
      <c r="F116" s="1767"/>
      <c r="G116" s="239"/>
      <c r="H116" s="239"/>
      <c r="I116" s="2129"/>
      <c r="J116" s="1767"/>
      <c r="K116" s="239"/>
      <c r="L116" s="239"/>
      <c r="M116" s="239"/>
      <c r="N116" s="2130"/>
      <c r="O116" s="2129"/>
      <c r="P116" s="1767"/>
      <c r="Q116" s="239"/>
      <c r="R116" s="239"/>
      <c r="S116" s="2130"/>
      <c r="T116" s="2130"/>
      <c r="U116" s="2130"/>
      <c r="BS116" s="241"/>
      <c r="BT116" s="241"/>
      <c r="BU116" s="241"/>
      <c r="BV116" s="241"/>
      <c r="BW116" s="241"/>
      <c r="BZ116" s="241" t="s">
        <v>219</v>
      </c>
      <c r="CA116" s="272"/>
      <c r="CB116" s="272"/>
      <c r="CC116" s="272"/>
      <c r="CD116" s="2131"/>
      <c r="CE116" s="2132"/>
      <c r="CF116" s="272"/>
      <c r="CG116" s="272"/>
      <c r="CH116" s="272"/>
      <c r="CI116" s="272"/>
      <c r="CJ116" s="2131"/>
      <c r="CK116" s="2132"/>
      <c r="CL116" s="272"/>
      <c r="CM116" s="272"/>
      <c r="CN116" s="272"/>
      <c r="CO116" s="272"/>
      <c r="CP116" s="272"/>
      <c r="CQ116" s="272"/>
      <c r="CR116" s="342"/>
      <c r="CS116" s="272"/>
      <c r="CT116" s="272"/>
      <c r="CU116" s="272"/>
      <c r="CV116" s="2131"/>
      <c r="CW116" s="2132"/>
      <c r="CX116" s="272"/>
      <c r="CY116" s="272"/>
      <c r="CZ116" s="272"/>
      <c r="DA116" s="272"/>
      <c r="DB116" s="2131"/>
      <c r="DC116" s="2132"/>
      <c r="DD116" s="272"/>
      <c r="DE116" s="272"/>
      <c r="DF116" s="272"/>
      <c r="DG116" s="272"/>
      <c r="DH116" s="272"/>
      <c r="DJ116" s="1" t="s">
        <v>220</v>
      </c>
    </row>
    <row r="117" spans="3:114" x14ac:dyDescent="0.35">
      <c r="BS117" s="241"/>
      <c r="BT117" s="241"/>
      <c r="BU117" s="241"/>
      <c r="BV117" s="241"/>
      <c r="BW117" s="241"/>
      <c r="BZ117" s="241" t="s">
        <v>137</v>
      </c>
      <c r="CA117" s="273">
        <f>($G$108/$K$108)*CA$107</f>
        <v>1.0010730212765957</v>
      </c>
      <c r="CB117" s="273">
        <f t="shared" ref="CB117:DH117" si="92">($G$108/$K$108)*CB$107</f>
        <v>0.65967999999999993</v>
      </c>
      <c r="CC117" s="273">
        <f t="shared" si="92"/>
        <v>0.76792800000000006</v>
      </c>
      <c r="CD117" s="1840">
        <f t="shared" si="92"/>
        <v>1.0717488172043008</v>
      </c>
      <c r="CE117" s="1841">
        <f t="shared" si="92"/>
        <v>2.0124453333333334</v>
      </c>
      <c r="CF117" s="273">
        <f t="shared" si="92"/>
        <v>1.4623433333333333</v>
      </c>
      <c r="CG117" s="273">
        <f t="shared" si="92"/>
        <v>1.5063639999999998</v>
      </c>
      <c r="CH117" s="273">
        <f t="shared" si="92"/>
        <v>1.2822766666666665</v>
      </c>
      <c r="CI117" s="273">
        <f t="shared" si="92"/>
        <v>1.41858</v>
      </c>
      <c r="CJ117" s="1840">
        <f t="shared" si="92"/>
        <v>1.5231450000000002</v>
      </c>
      <c r="CK117" s="1841">
        <f t="shared" si="92"/>
        <v>1.6270800000000003</v>
      </c>
      <c r="CL117" s="273">
        <f t="shared" si="92"/>
        <v>1.7121340000000005</v>
      </c>
      <c r="CM117" s="273">
        <f t="shared" si="92"/>
        <v>1.6266659999999999</v>
      </c>
      <c r="CN117" s="273">
        <f t="shared" si="92"/>
        <v>1.6707426666666667</v>
      </c>
      <c r="CO117" s="273">
        <f t="shared" si="92"/>
        <v>1.5436000000000001</v>
      </c>
      <c r="CP117" s="273">
        <f t="shared" si="92"/>
        <v>1.4748514285714287</v>
      </c>
      <c r="CQ117" s="272"/>
      <c r="CR117" s="342"/>
      <c r="CS117" s="272">
        <f t="shared" si="92"/>
        <v>0.22657600000000003</v>
      </c>
      <c r="CT117" s="272">
        <f t="shared" si="92"/>
        <v>3.0340799999999998E-2</v>
      </c>
      <c r="CU117" s="272">
        <f t="shared" si="92"/>
        <v>4.8300000000000003E-2</v>
      </c>
      <c r="CV117" s="2131">
        <f>($G$108/$K$108)*CV$107</f>
        <v>1.2731182795698926E-3</v>
      </c>
      <c r="CW117" s="2132">
        <f t="shared" si="92"/>
        <v>4.41E-2</v>
      </c>
      <c r="CX117" s="272">
        <f t="shared" si="92"/>
        <v>5.6493333333333333E-2</v>
      </c>
      <c r="CY117" s="272">
        <f t="shared" si="92"/>
        <v>3.4875999999999997E-2</v>
      </c>
      <c r="CZ117" s="272">
        <f t="shared" si="92"/>
        <v>3.5224000000000005E-2</v>
      </c>
      <c r="DA117" s="272">
        <f t="shared" si="92"/>
        <v>2.3925333333333337E-2</v>
      </c>
      <c r="DB117" s="2131">
        <f t="shared" si="92"/>
        <v>1.0766666666666668E-4</v>
      </c>
      <c r="DC117" s="2132">
        <f t="shared" si="92"/>
        <v>4.0066666666666674E-2</v>
      </c>
      <c r="DD117" s="272">
        <f t="shared" si="92"/>
        <v>0.11680900000000001</v>
      </c>
      <c r="DE117" s="272">
        <f t="shared" si="92"/>
        <v>0.13235833333333333</v>
      </c>
      <c r="DF117" s="272">
        <f t="shared" si="92"/>
        <v>4.0944999999999995E-2</v>
      </c>
      <c r="DG117" s="272">
        <f t="shared" si="92"/>
        <v>2.1673411764705885E-2</v>
      </c>
      <c r="DH117" s="272">
        <f t="shared" si="92"/>
        <v>5.3058857142857144E-2</v>
      </c>
      <c r="DJ117" s="1" t="s">
        <v>137</v>
      </c>
    </row>
    <row r="118" spans="3:114" x14ac:dyDescent="0.35">
      <c r="BS118" s="241"/>
      <c r="BT118" s="241"/>
      <c r="BU118" s="241"/>
      <c r="BV118" s="241"/>
      <c r="BW118" s="241"/>
      <c r="BZ118" s="241" t="s">
        <v>138</v>
      </c>
      <c r="CA118" s="273">
        <f>($G$109/$K$109)*CA$108</f>
        <v>0.91318839458413925</v>
      </c>
      <c r="CB118" s="273">
        <f t="shared" ref="CB118:DH118" si="93">($G$109/$K$109)*CB$108</f>
        <v>0.57362727272727276</v>
      </c>
      <c r="CC118" s="273">
        <f t="shared" si="93"/>
        <v>0.6384559090909091</v>
      </c>
      <c r="CD118" s="1840">
        <f t="shared" si="93"/>
        <v>0.87688539589442815</v>
      </c>
      <c r="CE118" s="1841">
        <f t="shared" si="93"/>
        <v>1.5653972727272729</v>
      </c>
      <c r="CF118" s="273">
        <f t="shared" si="93"/>
        <v>1.1638090909090908</v>
      </c>
      <c r="CG118" s="273">
        <f t="shared" si="93"/>
        <v>1.1801249999999999</v>
      </c>
      <c r="CH118" s="273">
        <f t="shared" si="93"/>
        <v>1.0460376136363636</v>
      </c>
      <c r="CI118" s="273">
        <f t="shared" si="93"/>
        <v>1.1431738636363638</v>
      </c>
      <c r="CJ118" s="1840">
        <f t="shared" si="93"/>
        <v>1.1826000000000003</v>
      </c>
      <c r="CK118" s="1841">
        <f t="shared" si="93"/>
        <v>1.2486027272727274</v>
      </c>
      <c r="CL118" s="273">
        <f t="shared" si="93"/>
        <v>1.2945477272727275</v>
      </c>
      <c r="CM118" s="273">
        <f t="shared" si="93"/>
        <v>1.2360968181818182</v>
      </c>
      <c r="CN118" s="273">
        <f t="shared" si="93"/>
        <v>1.2946213636363639</v>
      </c>
      <c r="CO118" s="273">
        <f t="shared" si="93"/>
        <v>1.1903863636363634</v>
      </c>
      <c r="CP118" s="273">
        <f t="shared" si="93"/>
        <v>1.1373691558441559</v>
      </c>
      <c r="CQ118" s="272"/>
      <c r="CR118" s="342"/>
      <c r="CS118" s="272">
        <f t="shared" si="93"/>
        <v>0.37525090909090913</v>
      </c>
      <c r="CT118" s="272">
        <f t="shared" si="93"/>
        <v>1.182109090909091E-2</v>
      </c>
      <c r="CU118" s="272">
        <f t="shared" si="93"/>
        <v>1.8818181818181821E-2</v>
      </c>
      <c r="CV118" s="2131">
        <f t="shared" si="93"/>
        <v>7.8123167155425216E-4</v>
      </c>
      <c r="CW118" s="2132">
        <f t="shared" si="93"/>
        <v>6.6150000000000014E-2</v>
      </c>
      <c r="CX118" s="272">
        <f t="shared" si="93"/>
        <v>8.2104545454545458E-2</v>
      </c>
      <c r="CY118" s="272">
        <f t="shared" si="93"/>
        <v>5.3502954545454555E-2</v>
      </c>
      <c r="CZ118" s="272">
        <f t="shared" si="93"/>
        <v>5.1463636363636364E-2</v>
      </c>
      <c r="DA118" s="272">
        <f t="shared" si="93"/>
        <v>3.3645000000000001E-2</v>
      </c>
      <c r="DB118" s="2131">
        <f t="shared" si="93"/>
        <v>1.4897727272727274E-4</v>
      </c>
      <c r="DC118" s="2132">
        <f t="shared" si="93"/>
        <v>7.3759090909090927E-2</v>
      </c>
      <c r="DD118" s="272">
        <f t="shared" si="93"/>
        <v>0.19186602272727274</v>
      </c>
      <c r="DE118" s="272">
        <f t="shared" si="93"/>
        <v>0.20498352272727274</v>
      </c>
      <c r="DF118" s="272">
        <f t="shared" si="93"/>
        <v>8.0959431818181812E-2</v>
      </c>
      <c r="DG118" s="272">
        <f t="shared" si="93"/>
        <v>3.9665454545454552E-2</v>
      </c>
      <c r="DH118" s="272">
        <f t="shared" si="93"/>
        <v>9.7105324675324706E-2</v>
      </c>
      <c r="DJ118" s="1" t="s">
        <v>138</v>
      </c>
    </row>
    <row r="119" spans="3:114" x14ac:dyDescent="0.35">
      <c r="BS119" s="241"/>
      <c r="BT119" s="241"/>
      <c r="BU119" s="241"/>
      <c r="BV119" s="241"/>
      <c r="BW119" s="241"/>
      <c r="BZ119" s="241" t="s">
        <v>139</v>
      </c>
      <c r="CA119" s="273">
        <f>($G$110/$K$110)*CA$109</f>
        <v>1.106645458547322</v>
      </c>
      <c r="CB119" s="273">
        <f t="shared" ref="CB119:DH119" si="94">($G$110/$K$110)*CB$109</f>
        <v>0.62424827586206899</v>
      </c>
      <c r="CC119" s="273">
        <f t="shared" si="94"/>
        <v>0.69037862068965516</v>
      </c>
      <c r="CD119" s="1840">
        <f t="shared" si="94"/>
        <v>0.83699470522803099</v>
      </c>
      <c r="CE119" s="1841">
        <f t="shared" si="94"/>
        <v>1.3490648275862072</v>
      </c>
      <c r="CF119" s="273">
        <f t="shared" si="94"/>
        <v>1.073441379310345</v>
      </c>
      <c r="CG119" s="273">
        <f t="shared" si="94"/>
        <v>1.0830020689655173</v>
      </c>
      <c r="CH119" s="273">
        <f t="shared" si="94"/>
        <v>1.0507496551724136</v>
      </c>
      <c r="CI119" s="273">
        <f t="shared" si="94"/>
        <v>1.1115310344827585</v>
      </c>
      <c r="CJ119" s="1840">
        <f t="shared" si="94"/>
        <v>1.0795189655172412</v>
      </c>
      <c r="CK119" s="1841">
        <f t="shared" si="94"/>
        <v>1.17936</v>
      </c>
      <c r="CL119" s="273">
        <f t="shared" si="94"/>
        <v>1.1624041379310344</v>
      </c>
      <c r="CM119" s="273">
        <f t="shared" si="94"/>
        <v>1.1405110344827585</v>
      </c>
      <c r="CN119" s="273">
        <f t="shared" si="94"/>
        <v>1.2047889655172412</v>
      </c>
      <c r="CO119" s="273">
        <f t="shared" si="94"/>
        <v>1.1571724137931034</v>
      </c>
      <c r="CP119" s="273">
        <f t="shared" si="94"/>
        <v>1.1056344827586206</v>
      </c>
      <c r="CQ119" s="272"/>
      <c r="CR119" s="342"/>
      <c r="CS119" s="272">
        <f t="shared" si="94"/>
        <v>0.56001931034482766</v>
      </c>
      <c r="CT119" s="272">
        <f t="shared" si="94"/>
        <v>2.8397793103448272E-2</v>
      </c>
      <c r="CU119" s="272">
        <f t="shared" si="94"/>
        <v>4.5206896551724142E-2</v>
      </c>
      <c r="CV119" s="2131">
        <f t="shared" si="94"/>
        <v>1.0536151279199111E-3</v>
      </c>
      <c r="CW119" s="2132">
        <f t="shared" si="94"/>
        <v>9.1241379310344831E-2</v>
      </c>
      <c r="CX119" s="272">
        <f t="shared" si="94"/>
        <v>0.12303448275862069</v>
      </c>
      <c r="CY119" s="272">
        <f t="shared" si="94"/>
        <v>8.718999999999999E-2</v>
      </c>
      <c r="CZ119" s="272">
        <f t="shared" si="94"/>
        <v>7.8082758620689641E-2</v>
      </c>
      <c r="DA119" s="272">
        <f t="shared" si="94"/>
        <v>5.1047586206896554E-2</v>
      </c>
      <c r="DB119" s="2131">
        <f t="shared" si="94"/>
        <v>2.0965517241379309E-4</v>
      </c>
      <c r="DC119" s="2132">
        <f t="shared" si="94"/>
        <v>0.12434482758620689</v>
      </c>
      <c r="DD119" s="272">
        <f t="shared" si="94"/>
        <v>0.29293793103448279</v>
      </c>
      <c r="DE119" s="272">
        <f t="shared" si="94"/>
        <v>0.30905344827586212</v>
      </c>
      <c r="DF119" s="272">
        <f t="shared" si="94"/>
        <v>0.12989448275862067</v>
      </c>
      <c r="DG119" s="272">
        <f t="shared" si="94"/>
        <v>6.2542150101419891E-2</v>
      </c>
      <c r="DH119" s="272">
        <f t="shared" si="94"/>
        <v>0.15310995073891628</v>
      </c>
      <c r="DJ119" s="1" t="s">
        <v>139</v>
      </c>
    </row>
    <row r="120" spans="3:114" x14ac:dyDescent="0.35">
      <c r="BS120" s="241"/>
      <c r="BT120" s="241"/>
      <c r="BU120" s="241"/>
      <c r="BV120" s="241"/>
      <c r="BW120" s="241"/>
      <c r="BZ120" s="241" t="s">
        <v>140</v>
      </c>
      <c r="CA120" s="273">
        <f>($G$111/$K$111)*CA$110</f>
        <v>1.2699432624113474</v>
      </c>
      <c r="CB120" s="273">
        <f t="shared" ref="CB120:DH120" si="95">($G$111/$K$111)*CB$110</f>
        <v>0.59533333333333327</v>
      </c>
      <c r="CC120" s="273">
        <f t="shared" si="95"/>
        <v>1.1237041666666667</v>
      </c>
      <c r="CD120" s="1840">
        <f t="shared" si="95"/>
        <v>0.60537455197132617</v>
      </c>
      <c r="CE120" s="1841">
        <f t="shared" si="95"/>
        <v>0.81424166666666675</v>
      </c>
      <c r="CF120" s="273">
        <f t="shared" si="95"/>
        <v>0.70460763888888889</v>
      </c>
      <c r="CG120" s="273">
        <f t="shared" si="95"/>
        <v>0.724465625</v>
      </c>
      <c r="CH120" s="273">
        <f t="shared" si="95"/>
        <v>0.75199131944444442</v>
      </c>
      <c r="CI120" s="273">
        <f t="shared" si="95"/>
        <v>0.76890625000000012</v>
      </c>
      <c r="CJ120" s="1840">
        <f t="shared" si="95"/>
        <v>0.73342187499999989</v>
      </c>
      <c r="CK120" s="1841">
        <f t="shared" si="95"/>
        <v>0.79056250000000006</v>
      </c>
      <c r="CL120" s="273">
        <f t="shared" si="95"/>
        <v>0.74716180555555556</v>
      </c>
      <c r="CM120" s="273">
        <f t="shared" si="95"/>
        <v>0.76938125000000002</v>
      </c>
      <c r="CN120" s="273">
        <f t="shared" si="95"/>
        <v>0.80087222222222221</v>
      </c>
      <c r="CO120" s="273">
        <f t="shared" si="95"/>
        <v>0.83111111111111113</v>
      </c>
      <c r="CP120" s="273">
        <f t="shared" si="95"/>
        <v>0.79409523809523819</v>
      </c>
      <c r="CQ120" s="272"/>
      <c r="CR120" s="342"/>
      <c r="CS120" s="272">
        <f t="shared" si="95"/>
        <v>0.51368333333333338</v>
      </c>
      <c r="CT120" s="272">
        <f t="shared" si="95"/>
        <v>0.10534999999999999</v>
      </c>
      <c r="CU120" s="272">
        <f t="shared" si="95"/>
        <v>0.16770833333333335</v>
      </c>
      <c r="CV120" s="2131">
        <f t="shared" si="95"/>
        <v>3.0501792114695342E-3</v>
      </c>
      <c r="CW120" s="2132">
        <f t="shared" si="95"/>
        <v>0.13781250000000003</v>
      </c>
      <c r="CX120" s="272">
        <f t="shared" si="95"/>
        <v>0.16105555555555554</v>
      </c>
      <c r="CY120" s="272">
        <f t="shared" si="95"/>
        <v>0.12412465277777776</v>
      </c>
      <c r="CZ120" s="272">
        <f t="shared" si="95"/>
        <v>0.11007499999999999</v>
      </c>
      <c r="DA120" s="272">
        <f t="shared" si="95"/>
        <v>6.5420833333333331E-2</v>
      </c>
      <c r="DB120" s="2131">
        <f t="shared" si="95"/>
        <v>2.6388888888888892E-4</v>
      </c>
      <c r="DC120" s="2132">
        <f t="shared" si="95"/>
        <v>0.16277083333333336</v>
      </c>
      <c r="DD120" s="272">
        <f t="shared" si="95"/>
        <v>0.34290520833333338</v>
      </c>
      <c r="DE120" s="272">
        <f t="shared" si="95"/>
        <v>0.35847048611111121</v>
      </c>
      <c r="DF120" s="272">
        <f t="shared" si="95"/>
        <v>0.16207395833333332</v>
      </c>
      <c r="DG120" s="272">
        <f t="shared" si="95"/>
        <v>7.248235294117647E-2</v>
      </c>
      <c r="DH120" s="272">
        <f t="shared" si="95"/>
        <v>0.17744464285714287</v>
      </c>
      <c r="DJ120" s="1" t="s">
        <v>140</v>
      </c>
    </row>
    <row r="121" spans="3:114" x14ac:dyDescent="0.35">
      <c r="AT121" s="1703"/>
      <c r="BI121" s="240"/>
      <c r="BJ121" s="240"/>
      <c r="BK121" s="486"/>
      <c r="BL121" s="1703"/>
      <c r="BS121" s="241"/>
      <c r="BT121" s="241"/>
      <c r="BU121" s="241"/>
      <c r="BV121" s="241"/>
      <c r="BW121" s="241"/>
      <c r="BZ121" s="241" t="s">
        <v>141</v>
      </c>
      <c r="CA121" s="273">
        <f>($G$112/$K$112)*CA$111</f>
        <v>1.5579745472538347</v>
      </c>
      <c r="CB121" s="273">
        <f t="shared" ref="CB121:DH121" si="96">($G$112/$K$112)*CB$111</f>
        <v>1.0864465116279072</v>
      </c>
      <c r="CC121" s="273">
        <f t="shared" si="96"/>
        <v>0.82277999999999996</v>
      </c>
      <c r="CD121" s="1840">
        <f t="shared" si="96"/>
        <v>0.6176685371342836</v>
      </c>
      <c r="CE121" s="1841">
        <f t="shared" si="96"/>
        <v>0.52342883720930233</v>
      </c>
      <c r="CF121" s="273">
        <f t="shared" si="96"/>
        <v>0.56545116279069785</v>
      </c>
      <c r="CG121" s="273">
        <f t="shared" si="96"/>
        <v>0.65098988372093014</v>
      </c>
      <c r="CH121" s="273">
        <f t="shared" si="96"/>
        <v>0.82945290697674412</v>
      </c>
      <c r="CI121" s="273">
        <f t="shared" si="96"/>
        <v>0.81778604651162801</v>
      </c>
      <c r="CJ121" s="1840">
        <f t="shared" si="96"/>
        <v>0.82506976744186045</v>
      </c>
      <c r="CK121" s="1841">
        <f t="shared" si="96"/>
        <v>0.82738046511627916</v>
      </c>
      <c r="CL121" s="273">
        <f t="shared" si="96"/>
        <v>0.6077138372093025</v>
      </c>
      <c r="CM121" s="273">
        <f t="shared" si="96"/>
        <v>0.72309139534883726</v>
      </c>
      <c r="CN121" s="273">
        <f t="shared" si="96"/>
        <v>0.67605209302325575</v>
      </c>
      <c r="CO121" s="273">
        <f t="shared" si="96"/>
        <v>1.0283023255813952</v>
      </c>
      <c r="CP121" s="273">
        <f t="shared" si="96"/>
        <v>0.98250398671096351</v>
      </c>
      <c r="CQ121" s="272"/>
      <c r="CR121" s="342"/>
      <c r="CS121" s="272">
        <f t="shared" si="96"/>
        <v>0.45740930232558141</v>
      </c>
      <c r="CT121" s="272">
        <f t="shared" si="96"/>
        <v>5.2919999999999995E-2</v>
      </c>
      <c r="CU121" s="272">
        <f t="shared" si="96"/>
        <v>8.424418604651164E-2</v>
      </c>
      <c r="CV121" s="2131">
        <f t="shared" si="96"/>
        <v>3.0643660915228806E-3</v>
      </c>
      <c r="CW121" s="2132">
        <f t="shared" si="96"/>
        <v>0.48920232558139548</v>
      </c>
      <c r="CX121" s="272">
        <f t="shared" si="96"/>
        <v>0.46052093023255808</v>
      </c>
      <c r="CY121" s="272">
        <f t="shared" si="96"/>
        <v>0.46230976744186042</v>
      </c>
      <c r="CZ121" s="272">
        <f t="shared" si="96"/>
        <v>0.37652232558139531</v>
      </c>
      <c r="DA121" s="272">
        <f t="shared" si="96"/>
        <v>0.20499976744186046</v>
      </c>
      <c r="DB121" s="2131">
        <f t="shared" si="96"/>
        <v>6.8930232558139532E-4</v>
      </c>
      <c r="DC121" s="2132">
        <f t="shared" si="96"/>
        <v>0.36059999999999998</v>
      </c>
      <c r="DD121" s="272">
        <f t="shared" si="96"/>
        <v>0.81494651162790721</v>
      </c>
      <c r="DE121" s="272">
        <f t="shared" si="96"/>
        <v>0.79546918604651173</v>
      </c>
      <c r="DF121" s="272">
        <f t="shared" si="96"/>
        <v>0.49134</v>
      </c>
      <c r="DG121" s="272">
        <f t="shared" si="96"/>
        <v>0.17190172366621068</v>
      </c>
      <c r="DH121" s="272">
        <f t="shared" si="96"/>
        <v>0.4208340199335549</v>
      </c>
      <c r="DJ121" s="1" t="s">
        <v>141</v>
      </c>
    </row>
    <row r="122" spans="3:114" x14ac:dyDescent="0.35">
      <c r="AP122" s="273"/>
      <c r="AQ122" s="273"/>
      <c r="AR122" s="273"/>
      <c r="AS122" s="1840"/>
      <c r="AT122" s="1841"/>
      <c r="AU122" s="273"/>
      <c r="AV122" s="273"/>
      <c r="AW122" s="273"/>
      <c r="AX122" s="273"/>
      <c r="AY122" s="1840"/>
      <c r="AZ122" s="1841"/>
      <c r="BA122" s="273"/>
      <c r="BB122" s="273"/>
      <c r="BC122" s="273"/>
      <c r="BD122" s="273"/>
      <c r="BE122" s="273"/>
      <c r="BF122" s="273"/>
      <c r="BH122" s="251"/>
      <c r="BI122" s="251"/>
      <c r="BJ122" s="251"/>
      <c r="BK122" s="1846"/>
      <c r="BL122" s="1839"/>
      <c r="BM122" s="251"/>
      <c r="BN122" s="251"/>
      <c r="BO122" s="251"/>
      <c r="BP122" s="251"/>
      <c r="BQ122" s="1846"/>
      <c r="BR122" s="1839"/>
      <c r="BS122" s="251"/>
      <c r="BT122" s="251"/>
      <c r="BU122" s="251"/>
      <c r="BV122" s="251"/>
      <c r="BW122" s="251"/>
      <c r="BZ122" s="241" t="s">
        <v>407</v>
      </c>
      <c r="CA122" s="467">
        <f>($G$112/$K$112)*CA$112</f>
        <v>2.2156662246412662</v>
      </c>
      <c r="CB122" s="467">
        <f t="shared" ref="CB122:DH122" si="97">($G$112/$K$112)*CB$112</f>
        <v>4.9041209302325584</v>
      </c>
      <c r="CC122" s="467">
        <f t="shared" si="97"/>
        <v>1.3722111627906977</v>
      </c>
      <c r="CD122" s="2133">
        <f t="shared" si="97"/>
        <v>0.29224726181545385</v>
      </c>
      <c r="CE122" s="2134">
        <f t="shared" si="97"/>
        <v>0.12606139534883723</v>
      </c>
      <c r="CF122" s="467">
        <f t="shared" si="97"/>
        <v>0.11030581395348839</v>
      </c>
      <c r="CG122" s="467">
        <f t="shared" si="97"/>
        <v>0.10868127906976743</v>
      </c>
      <c r="CH122" s="467">
        <f t="shared" si="97"/>
        <v>0.20498581395348836</v>
      </c>
      <c r="CI122" s="467">
        <f t="shared" si="97"/>
        <v>0.19515348837209301</v>
      </c>
      <c r="CJ122" s="2133">
        <f t="shared" si="97"/>
        <v>0.19480813953488374</v>
      </c>
      <c r="CK122" s="2134">
        <f t="shared" si="97"/>
        <v>0.16570465116279073</v>
      </c>
      <c r="CL122" s="467">
        <f t="shared" si="97"/>
        <v>8.1338372093023276E-2</v>
      </c>
      <c r="CM122" s="467">
        <f t="shared" si="97"/>
        <v>7.0269069767441864E-2</v>
      </c>
      <c r="CN122" s="467">
        <f t="shared" si="97"/>
        <v>6.0701860465116282E-2</v>
      </c>
      <c r="CO122" s="467">
        <f t="shared" si="97"/>
        <v>0.19332558139534883</v>
      </c>
      <c r="CP122" s="467">
        <f t="shared" si="97"/>
        <v>0.18471528239202656</v>
      </c>
      <c r="CQ122" s="274"/>
      <c r="CR122" s="343"/>
      <c r="CS122" s="274">
        <f t="shared" si="97"/>
        <v>0.10542976744186046</v>
      </c>
      <c r="CT122" s="274">
        <f t="shared" si="97"/>
        <v>8.3160000000000012E-2</v>
      </c>
      <c r="CU122" s="274">
        <f t="shared" si="97"/>
        <v>0.13238372093023257</v>
      </c>
      <c r="CV122" s="2135">
        <f t="shared" si="97"/>
        <v>4.5299324831207808E-3</v>
      </c>
      <c r="CW122" s="2136">
        <f t="shared" si="97"/>
        <v>0.1292232558139535</v>
      </c>
      <c r="CX122" s="274">
        <f t="shared" si="97"/>
        <v>0.1120186046511628</v>
      </c>
      <c r="CY122" s="274">
        <f t="shared" si="97"/>
        <v>0.11253593023255815</v>
      </c>
      <c r="CZ122" s="274">
        <f t="shared" si="97"/>
        <v>7.3724651162790714E-2</v>
      </c>
      <c r="DA122" s="274">
        <f t="shared" si="97"/>
        <v>3.9122093023255818E-2</v>
      </c>
      <c r="DB122" s="2135">
        <f t="shared" si="97"/>
        <v>1.1930232558139534E-4</v>
      </c>
      <c r="DC122" s="2136">
        <f t="shared" si="97"/>
        <v>5.0316279069767447E-2</v>
      </c>
      <c r="DD122" s="274">
        <f t="shared" si="97"/>
        <v>0.14817209302325585</v>
      </c>
      <c r="DE122" s="274">
        <f t="shared" si="97"/>
        <v>0.11872674418604652</v>
      </c>
      <c r="DF122" s="274">
        <f t="shared" si="97"/>
        <v>0.11426511627906978</v>
      </c>
      <c r="DG122" s="274">
        <f t="shared" si="97"/>
        <v>3.1037811217510265E-2</v>
      </c>
      <c r="DH122" s="274">
        <f t="shared" si="97"/>
        <v>7.5983920265780741E-2</v>
      </c>
      <c r="DJ122" s="1" t="s">
        <v>347</v>
      </c>
    </row>
    <row r="123" spans="3:114" x14ac:dyDescent="0.35">
      <c r="AP123" s="273"/>
      <c r="AQ123" s="273"/>
      <c r="AR123" s="273"/>
      <c r="AS123" s="1840"/>
      <c r="AT123" s="1841"/>
      <c r="AU123" s="273"/>
      <c r="AV123" s="273"/>
      <c r="AW123" s="273"/>
      <c r="AX123" s="273"/>
      <c r="AY123" s="1840"/>
      <c r="AZ123" s="1841"/>
      <c r="BA123" s="273"/>
      <c r="BB123" s="273"/>
      <c r="BC123" s="273"/>
      <c r="BD123" s="273"/>
      <c r="BE123" s="273"/>
      <c r="BF123" s="273"/>
      <c r="BH123" s="251"/>
      <c r="BI123" s="251"/>
      <c r="BJ123" s="251"/>
      <c r="BK123" s="1846"/>
      <c r="BL123" s="1839"/>
      <c r="BM123" s="251"/>
      <c r="BN123" s="251"/>
      <c r="BO123" s="251"/>
      <c r="BP123" s="251"/>
      <c r="BQ123" s="1846"/>
      <c r="BR123" s="1839"/>
      <c r="BS123" s="251"/>
      <c r="BT123" s="251"/>
      <c r="BU123" s="251"/>
      <c r="BV123" s="251"/>
      <c r="BW123" s="251"/>
      <c r="BZ123" s="241"/>
      <c r="CA123" s="274"/>
      <c r="CB123" s="274"/>
      <c r="CC123" s="274"/>
      <c r="CD123" s="2135"/>
      <c r="CE123" s="2136"/>
      <c r="CF123" s="274"/>
      <c r="CG123" s="274"/>
      <c r="CH123" s="274"/>
      <c r="CI123" s="274"/>
      <c r="CJ123" s="2135"/>
      <c r="CK123" s="2136"/>
      <c r="CL123" s="274"/>
      <c r="CM123" s="274"/>
      <c r="CN123" s="274"/>
      <c r="CO123" s="274"/>
      <c r="CP123" s="274"/>
      <c r="CQ123" s="274"/>
      <c r="CR123" s="343"/>
      <c r="CS123" s="274"/>
      <c r="CT123" s="274"/>
      <c r="CU123" s="274"/>
      <c r="CV123" s="2135"/>
      <c r="CW123" s="2136"/>
      <c r="CX123" s="274"/>
      <c r="CY123" s="274"/>
      <c r="CZ123" s="274"/>
      <c r="DA123" s="274"/>
      <c r="DB123" s="2135"/>
      <c r="DC123" s="2136"/>
      <c r="DD123" s="274"/>
      <c r="DE123" s="274"/>
      <c r="DF123" s="274"/>
      <c r="DG123" s="274"/>
      <c r="DH123" s="274"/>
    </row>
    <row r="124" spans="3:114" x14ac:dyDescent="0.35">
      <c r="BS124" s="241"/>
      <c r="BT124" s="241"/>
      <c r="BU124" s="241"/>
      <c r="BV124" s="241"/>
      <c r="BW124" s="241"/>
      <c r="BZ124" s="241" t="s">
        <v>369</v>
      </c>
      <c r="CA124" s="251">
        <f>CA$107-CA$117</f>
        <v>0.25026825531914887</v>
      </c>
      <c r="CB124" s="251">
        <f t="shared" ref="CB124:DH124" si="98">CB$107-CB$117</f>
        <v>0.16491999999999996</v>
      </c>
      <c r="CC124" s="251">
        <f t="shared" si="98"/>
        <v>0.19198199999999999</v>
      </c>
      <c r="CD124" s="1846">
        <f t="shared" si="98"/>
        <v>0.26793720430107526</v>
      </c>
      <c r="CE124" s="1839">
        <f t="shared" si="98"/>
        <v>0.50311133333333347</v>
      </c>
      <c r="CF124" s="251">
        <f t="shared" si="98"/>
        <v>0.36558583333333328</v>
      </c>
      <c r="CG124" s="251">
        <f t="shared" si="98"/>
        <v>0.3765909999999999</v>
      </c>
      <c r="CH124" s="251">
        <f t="shared" si="98"/>
        <v>0.32056916666666657</v>
      </c>
      <c r="CI124" s="251">
        <f t="shared" si="98"/>
        <v>0.35464499999999988</v>
      </c>
      <c r="CJ124" s="1846">
        <f t="shared" si="98"/>
        <v>0.38078624999999988</v>
      </c>
      <c r="CK124" s="1839">
        <f t="shared" si="98"/>
        <v>0.40676999999999985</v>
      </c>
      <c r="CL124" s="251">
        <f t="shared" si="98"/>
        <v>0.42803349999999996</v>
      </c>
      <c r="CM124" s="251">
        <f t="shared" si="98"/>
        <v>0.40666649999999982</v>
      </c>
      <c r="CN124" s="251">
        <f t="shared" si="98"/>
        <v>0.41768566666666662</v>
      </c>
      <c r="CO124" s="251">
        <f t="shared" si="98"/>
        <v>0.38589999999999991</v>
      </c>
      <c r="CP124" s="251">
        <f t="shared" si="98"/>
        <v>0.36871285714285706</v>
      </c>
      <c r="CQ124" s="270"/>
      <c r="CR124" s="341"/>
      <c r="CS124" s="270">
        <f t="shared" si="98"/>
        <v>5.6644E-2</v>
      </c>
      <c r="CT124" s="270">
        <f t="shared" si="98"/>
        <v>7.5851999999999968E-3</v>
      </c>
      <c r="CU124" s="270">
        <f t="shared" si="98"/>
        <v>1.2074999999999995E-2</v>
      </c>
      <c r="CV124" s="2102">
        <f t="shared" si="98"/>
        <v>3.1827956989247314E-4</v>
      </c>
      <c r="CW124" s="2103">
        <f t="shared" si="98"/>
        <v>1.1025E-2</v>
      </c>
      <c r="CX124" s="270">
        <f t="shared" si="98"/>
        <v>1.4123333333333328E-2</v>
      </c>
      <c r="CY124" s="270">
        <f t="shared" si="98"/>
        <v>8.7189999999999976E-3</v>
      </c>
      <c r="CZ124" s="270">
        <f t="shared" si="98"/>
        <v>8.8060000000000013E-3</v>
      </c>
      <c r="DA124" s="270">
        <f t="shared" si="98"/>
        <v>5.9813333333333316E-3</v>
      </c>
      <c r="DB124" s="2102">
        <f t="shared" si="98"/>
        <v>2.6916666666666666E-5</v>
      </c>
      <c r="DC124" s="2103">
        <f t="shared" si="98"/>
        <v>1.0016666666666667E-2</v>
      </c>
      <c r="DD124" s="270">
        <f t="shared" si="98"/>
        <v>2.9202249999999999E-2</v>
      </c>
      <c r="DE124" s="270">
        <f t="shared" si="98"/>
        <v>3.3089583333333311E-2</v>
      </c>
      <c r="DF124" s="270">
        <f t="shared" si="98"/>
        <v>1.0236249999999995E-2</v>
      </c>
      <c r="DG124" s="270">
        <f t="shared" si="98"/>
        <v>5.4183529411764679E-3</v>
      </c>
      <c r="DH124" s="270">
        <f t="shared" si="98"/>
        <v>1.3264714285714282E-2</v>
      </c>
      <c r="DJ124" s="1" t="s">
        <v>137</v>
      </c>
    </row>
    <row r="125" spans="3:114" x14ac:dyDescent="0.35">
      <c r="BS125" s="241"/>
      <c r="BT125" s="241"/>
      <c r="BU125" s="241"/>
      <c r="BV125" s="241"/>
      <c r="BW125" s="241"/>
      <c r="BZ125" s="241" t="s">
        <v>370</v>
      </c>
      <c r="CA125" s="251">
        <f>CA$108-CA$118</f>
        <v>0.2029307543520309</v>
      </c>
      <c r="CB125" s="251">
        <f t="shared" ref="CB125:DH125" si="99">CB$108-CB$118</f>
        <v>0.12747272727272718</v>
      </c>
      <c r="CC125" s="251">
        <f t="shared" si="99"/>
        <v>0.1418790909090909</v>
      </c>
      <c r="CD125" s="1846">
        <f t="shared" si="99"/>
        <v>0.19486342130987289</v>
      </c>
      <c r="CE125" s="1839">
        <f t="shared" si="99"/>
        <v>0.3478660606060604</v>
      </c>
      <c r="CF125" s="251">
        <f t="shared" si="99"/>
        <v>0.25862424242424242</v>
      </c>
      <c r="CG125" s="251">
        <f t="shared" si="99"/>
        <v>0.26224999999999987</v>
      </c>
      <c r="CH125" s="251">
        <f t="shared" si="99"/>
        <v>0.23245280303030302</v>
      </c>
      <c r="CI125" s="251">
        <f t="shared" si="99"/>
        <v>0.25403863636363622</v>
      </c>
      <c r="CJ125" s="1846">
        <f t="shared" si="99"/>
        <v>0.26279999999999992</v>
      </c>
      <c r="CK125" s="1839">
        <f t="shared" si="99"/>
        <v>0.27746727272727267</v>
      </c>
      <c r="CL125" s="251">
        <f t="shared" si="99"/>
        <v>0.28767727272727273</v>
      </c>
      <c r="CM125" s="251">
        <f t="shared" si="99"/>
        <v>0.27468818181818166</v>
      </c>
      <c r="CN125" s="251">
        <f t="shared" si="99"/>
        <v>0.28769363636363621</v>
      </c>
      <c r="CO125" s="251">
        <f t="shared" si="99"/>
        <v>0.264530303030303</v>
      </c>
      <c r="CP125" s="251">
        <f t="shared" si="99"/>
        <v>0.25274870129870131</v>
      </c>
      <c r="CQ125" s="270"/>
      <c r="CR125" s="341"/>
      <c r="CS125" s="270">
        <f t="shared" si="99"/>
        <v>8.3389090909090857E-2</v>
      </c>
      <c r="CT125" s="270">
        <f t="shared" si="99"/>
        <v>2.6269090909090895E-3</v>
      </c>
      <c r="CU125" s="270">
        <f t="shared" si="99"/>
        <v>4.1818181818181824E-3</v>
      </c>
      <c r="CV125" s="2102">
        <f t="shared" si="99"/>
        <v>1.7360703812316705E-4</v>
      </c>
      <c r="CW125" s="2103">
        <f t="shared" si="99"/>
        <v>1.4699999999999991E-2</v>
      </c>
      <c r="CX125" s="270">
        <f t="shared" si="99"/>
        <v>1.8245454545454537E-2</v>
      </c>
      <c r="CY125" s="270">
        <f t="shared" si="99"/>
        <v>1.1889545454545451E-2</v>
      </c>
      <c r="CZ125" s="270">
        <f t="shared" si="99"/>
        <v>1.1436363636363633E-2</v>
      </c>
      <c r="DA125" s="270">
        <f t="shared" si="99"/>
        <v>7.4766666666666662E-3</v>
      </c>
      <c r="DB125" s="2102">
        <f t="shared" si="99"/>
        <v>3.3106060606060594E-5</v>
      </c>
      <c r="DC125" s="2103">
        <f t="shared" si="99"/>
        <v>1.6390909090909081E-2</v>
      </c>
      <c r="DD125" s="270">
        <f t="shared" si="99"/>
        <v>4.2636893939393933E-2</v>
      </c>
      <c r="DE125" s="270">
        <f t="shared" si="99"/>
        <v>4.5551893939393934E-2</v>
      </c>
      <c r="DF125" s="270">
        <f t="shared" si="99"/>
        <v>1.7990984848484839E-2</v>
      </c>
      <c r="DG125" s="270">
        <f t="shared" si="99"/>
        <v>8.8145454545454568E-3</v>
      </c>
      <c r="DH125" s="270">
        <f t="shared" si="99"/>
        <v>2.1578961038961036E-2</v>
      </c>
      <c r="DJ125" s="1" t="s">
        <v>138</v>
      </c>
    </row>
    <row r="126" spans="3:114" x14ac:dyDescent="0.35">
      <c r="AP126" s="267"/>
      <c r="BS126" s="241"/>
      <c r="BT126" s="241"/>
      <c r="BU126" s="241"/>
      <c r="BV126" s="241"/>
      <c r="BW126" s="241"/>
      <c r="BZ126" s="241" t="s">
        <v>371</v>
      </c>
      <c r="CA126" s="251">
        <f>CA$109-CA$119</f>
        <v>0.23055113719735876</v>
      </c>
      <c r="CB126" s="251">
        <f t="shared" ref="CB126:DH126" si="100">CB$109-CB$119</f>
        <v>0.13005172413793109</v>
      </c>
      <c r="CC126" s="251">
        <f t="shared" si="100"/>
        <v>0.14382887931034483</v>
      </c>
      <c r="CD126" s="1846">
        <f t="shared" si="100"/>
        <v>0.17437389692250649</v>
      </c>
      <c r="CE126" s="1839">
        <f t="shared" si="100"/>
        <v>0.28105517241379308</v>
      </c>
      <c r="CF126" s="251">
        <f t="shared" si="100"/>
        <v>0.2236336206896552</v>
      </c>
      <c r="CG126" s="251">
        <f t="shared" si="100"/>
        <v>0.22562543103448274</v>
      </c>
      <c r="CH126" s="251">
        <f t="shared" si="100"/>
        <v>0.21890617816091962</v>
      </c>
      <c r="CI126" s="251">
        <f t="shared" si="100"/>
        <v>0.23156896551724149</v>
      </c>
      <c r="CJ126" s="1846">
        <f t="shared" si="100"/>
        <v>0.22489978448275849</v>
      </c>
      <c r="CK126" s="1839">
        <f t="shared" si="100"/>
        <v>0.24570000000000003</v>
      </c>
      <c r="CL126" s="251">
        <f t="shared" si="100"/>
        <v>0.24216752873563219</v>
      </c>
      <c r="CM126" s="251">
        <f t="shared" si="100"/>
        <v>0.23760646551724141</v>
      </c>
      <c r="CN126" s="251">
        <f t="shared" si="100"/>
        <v>0.25099770114942532</v>
      </c>
      <c r="CO126" s="251">
        <f t="shared" si="100"/>
        <v>0.24107758620689657</v>
      </c>
      <c r="CP126" s="251">
        <f t="shared" si="100"/>
        <v>0.23034051724137927</v>
      </c>
      <c r="CQ126" s="270"/>
      <c r="CR126" s="341"/>
      <c r="CS126" s="270">
        <f t="shared" si="100"/>
        <v>0.11667068965517247</v>
      </c>
      <c r="CT126" s="270">
        <f t="shared" si="100"/>
        <v>5.9162068965517255E-3</v>
      </c>
      <c r="CU126" s="270">
        <f t="shared" si="100"/>
        <v>9.4181034482758649E-3</v>
      </c>
      <c r="CV126" s="2102">
        <f t="shared" si="100"/>
        <v>2.1950315164998143E-4</v>
      </c>
      <c r="CW126" s="2103">
        <f t="shared" si="100"/>
        <v>1.900862068965517E-2</v>
      </c>
      <c r="CX126" s="270">
        <f t="shared" si="100"/>
        <v>2.5632183908045975E-2</v>
      </c>
      <c r="CY126" s="270">
        <f t="shared" si="100"/>
        <v>1.8164583333333331E-2</v>
      </c>
      <c r="CZ126" s="270">
        <f t="shared" si="100"/>
        <v>1.6267241379310349E-2</v>
      </c>
      <c r="DA126" s="270">
        <f t="shared" si="100"/>
        <v>1.0634913793103447E-2</v>
      </c>
      <c r="DB126" s="2102">
        <f t="shared" si="100"/>
        <v>4.3678160919540237E-5</v>
      </c>
      <c r="DC126" s="2103">
        <f t="shared" si="100"/>
        <v>2.5905172413793101E-2</v>
      </c>
      <c r="DD126" s="270">
        <f t="shared" si="100"/>
        <v>6.1028735632183917E-2</v>
      </c>
      <c r="DE126" s="270">
        <f t="shared" si="100"/>
        <v>6.4386135057471261E-2</v>
      </c>
      <c r="DF126" s="270">
        <f t="shared" si="100"/>
        <v>2.706135057471265E-2</v>
      </c>
      <c r="DG126" s="270">
        <f t="shared" si="100"/>
        <v>1.3029614604462475E-2</v>
      </c>
      <c r="DH126" s="270">
        <f t="shared" si="100"/>
        <v>3.1897906403940884E-2</v>
      </c>
      <c r="DJ126" s="1" t="s">
        <v>139</v>
      </c>
    </row>
    <row r="127" spans="3:114" x14ac:dyDescent="0.35">
      <c r="AP127" s="267"/>
      <c r="AQ127" s="267"/>
      <c r="BS127" s="241"/>
      <c r="BT127" s="241"/>
      <c r="BU127" s="241"/>
      <c r="BV127" s="241"/>
      <c r="BW127" s="241"/>
      <c r="BZ127" s="241" t="s">
        <v>372</v>
      </c>
      <c r="CA127" s="251">
        <f>CA$110-CA$120</f>
        <v>0.25398865248226943</v>
      </c>
      <c r="CB127" s="251">
        <f t="shared" ref="CB127:DH127" si="101">CB$110-CB$120</f>
        <v>0.11906666666666665</v>
      </c>
      <c r="CC127" s="251">
        <f t="shared" si="101"/>
        <v>0.22474083333333317</v>
      </c>
      <c r="CD127" s="1846">
        <f t="shared" si="101"/>
        <v>0.12107491039426521</v>
      </c>
      <c r="CE127" s="1839">
        <f t="shared" si="101"/>
        <v>0.16284833333333326</v>
      </c>
      <c r="CF127" s="251">
        <f t="shared" si="101"/>
        <v>0.14092152777777778</v>
      </c>
      <c r="CG127" s="251">
        <f t="shared" si="101"/>
        <v>0.14489312499999996</v>
      </c>
      <c r="CH127" s="251">
        <f t="shared" si="101"/>
        <v>0.15039826388888888</v>
      </c>
      <c r="CI127" s="251">
        <f t="shared" si="101"/>
        <v>0.15378124999999998</v>
      </c>
      <c r="CJ127" s="1846">
        <f t="shared" si="101"/>
        <v>0.14668437499999998</v>
      </c>
      <c r="CK127" s="1839">
        <f t="shared" si="101"/>
        <v>0.15811249999999999</v>
      </c>
      <c r="CL127" s="251">
        <f t="shared" si="101"/>
        <v>0.14943236111111113</v>
      </c>
      <c r="CM127" s="251">
        <f t="shared" si="101"/>
        <v>0.15387624999999994</v>
      </c>
      <c r="CN127" s="251">
        <f t="shared" si="101"/>
        <v>0.1601744444444444</v>
      </c>
      <c r="CO127" s="251">
        <f t="shared" si="101"/>
        <v>0.16622222222222216</v>
      </c>
      <c r="CP127" s="251">
        <f t="shared" si="101"/>
        <v>0.15881904761904764</v>
      </c>
      <c r="CQ127" s="270"/>
      <c r="CR127" s="341"/>
      <c r="CS127" s="270">
        <f t="shared" si="101"/>
        <v>0.1027366666666667</v>
      </c>
      <c r="CT127" s="270">
        <f t="shared" si="101"/>
        <v>2.1069999999999992E-2</v>
      </c>
      <c r="CU127" s="270">
        <f t="shared" si="101"/>
        <v>3.3541666666666664E-2</v>
      </c>
      <c r="CV127" s="2102">
        <f t="shared" si="101"/>
        <v>6.1003584229390659E-4</v>
      </c>
      <c r="CW127" s="2103">
        <f t="shared" si="101"/>
        <v>2.756249999999999E-2</v>
      </c>
      <c r="CX127" s="270">
        <f t="shared" si="101"/>
        <v>3.2211111111111107E-2</v>
      </c>
      <c r="CY127" s="270">
        <f t="shared" si="101"/>
        <v>2.4824930555555541E-2</v>
      </c>
      <c r="CZ127" s="270">
        <f t="shared" si="101"/>
        <v>2.2014999999999993E-2</v>
      </c>
      <c r="DA127" s="270">
        <f t="shared" si="101"/>
        <v>1.3084166666666661E-2</v>
      </c>
      <c r="DB127" s="2102">
        <f t="shared" si="101"/>
        <v>5.2777777777777784E-5</v>
      </c>
      <c r="DC127" s="2103">
        <f t="shared" si="101"/>
        <v>3.2554166666666662E-2</v>
      </c>
      <c r="DD127" s="270">
        <f t="shared" si="101"/>
        <v>6.8581041666666676E-2</v>
      </c>
      <c r="DE127" s="270">
        <f t="shared" si="101"/>
        <v>7.1694097222222197E-2</v>
      </c>
      <c r="DF127" s="270">
        <f t="shared" si="101"/>
        <v>3.2414791666666665E-2</v>
      </c>
      <c r="DG127" s="270">
        <f t="shared" si="101"/>
        <v>1.4496470588235291E-2</v>
      </c>
      <c r="DH127" s="270">
        <f t="shared" si="101"/>
        <v>3.5488928571428574E-2</v>
      </c>
      <c r="DJ127" s="1" t="s">
        <v>140</v>
      </c>
    </row>
    <row r="128" spans="3:114" x14ac:dyDescent="0.35">
      <c r="BS128" s="241"/>
      <c r="BT128" s="241"/>
      <c r="BU128" s="241"/>
      <c r="BV128" s="241"/>
      <c r="BW128" s="241"/>
      <c r="BZ128" s="241" t="s">
        <v>373</v>
      </c>
      <c r="CA128" s="251">
        <f>CA$111-CA$121</f>
        <v>0.30293949529935671</v>
      </c>
      <c r="CB128" s="251">
        <f t="shared" ref="CB128:DH128" si="102">CB$111-CB$121</f>
        <v>0.2112534883720929</v>
      </c>
      <c r="CC128" s="251">
        <f t="shared" si="102"/>
        <v>0.15998499999999993</v>
      </c>
      <c r="CD128" s="1846">
        <f t="shared" si="102"/>
        <v>0.12010221555388845</v>
      </c>
      <c r="CE128" s="1839">
        <f t="shared" si="102"/>
        <v>0.10177782945736435</v>
      </c>
      <c r="CF128" s="251">
        <f t="shared" si="102"/>
        <v>0.10994883720930226</v>
      </c>
      <c r="CG128" s="251">
        <f t="shared" si="102"/>
        <v>0.12658136627906968</v>
      </c>
      <c r="CH128" s="251">
        <f t="shared" si="102"/>
        <v>0.16128250968992242</v>
      </c>
      <c r="CI128" s="251">
        <f t="shared" si="102"/>
        <v>0.15901395348837211</v>
      </c>
      <c r="CJ128" s="1846">
        <f t="shared" si="102"/>
        <v>0.16043023255813949</v>
      </c>
      <c r="CK128" s="1839">
        <f t="shared" si="102"/>
        <v>0.16087953488372086</v>
      </c>
      <c r="CL128" s="251">
        <f t="shared" si="102"/>
        <v>0.11816657945736431</v>
      </c>
      <c r="CM128" s="251">
        <f t="shared" si="102"/>
        <v>0.14060110465116271</v>
      </c>
      <c r="CN128" s="251">
        <f t="shared" si="102"/>
        <v>0.13145457364341084</v>
      </c>
      <c r="CO128" s="251">
        <f t="shared" si="102"/>
        <v>0.19994767441860462</v>
      </c>
      <c r="CP128" s="251">
        <f t="shared" si="102"/>
        <v>0.19104244186046504</v>
      </c>
      <c r="CQ128" s="270"/>
      <c r="CR128" s="341"/>
      <c r="CS128" s="270">
        <f t="shared" si="102"/>
        <v>8.894069767441859E-2</v>
      </c>
      <c r="CT128" s="270">
        <f t="shared" si="102"/>
        <v>1.0289999999999994E-2</v>
      </c>
      <c r="CU128" s="270">
        <f t="shared" si="102"/>
        <v>1.6380813953488366E-2</v>
      </c>
      <c r="CV128" s="2102">
        <f t="shared" si="102"/>
        <v>5.9584896224056019E-4</v>
      </c>
      <c r="CW128" s="2103">
        <f t="shared" si="102"/>
        <v>9.5122674418604614E-2</v>
      </c>
      <c r="CX128" s="270">
        <f t="shared" si="102"/>
        <v>8.9545736434108514E-2</v>
      </c>
      <c r="CY128" s="270">
        <f t="shared" si="102"/>
        <v>8.9893565891472849E-2</v>
      </c>
      <c r="CZ128" s="270">
        <f t="shared" si="102"/>
        <v>7.3212674418604629E-2</v>
      </c>
      <c r="DA128" s="270">
        <f t="shared" si="102"/>
        <v>3.9861065891472869E-2</v>
      </c>
      <c r="DB128" s="2102">
        <f t="shared" si="102"/>
        <v>1.3403100775193793E-4</v>
      </c>
      <c r="DC128" s="2103">
        <f t="shared" si="102"/>
        <v>7.011666666666666E-2</v>
      </c>
      <c r="DD128" s="270">
        <f t="shared" si="102"/>
        <v>0.15846182170542633</v>
      </c>
      <c r="DE128" s="270">
        <f t="shared" si="102"/>
        <v>0.15467456395348833</v>
      </c>
      <c r="DF128" s="270">
        <f t="shared" si="102"/>
        <v>9.5538333333333281E-2</v>
      </c>
      <c r="DG128" s="270">
        <f t="shared" si="102"/>
        <v>3.3425335157318742E-2</v>
      </c>
      <c r="DH128" s="270">
        <f t="shared" si="102"/>
        <v>8.1828837209302285E-2</v>
      </c>
      <c r="DJ128" s="1" t="s">
        <v>141</v>
      </c>
    </row>
    <row r="129" spans="3:114" x14ac:dyDescent="0.35">
      <c r="BS129" s="241"/>
      <c r="BT129" s="241"/>
      <c r="BU129" s="241"/>
      <c r="BV129" s="241"/>
      <c r="BW129" s="241"/>
      <c r="BZ129" s="241" t="s">
        <v>406</v>
      </c>
      <c r="CA129" s="251">
        <f>CA$112-CA$122</f>
        <v>0.43082398812469069</v>
      </c>
      <c r="CB129" s="251">
        <f t="shared" ref="CB129:DH129" si="103">CB$112-CB$122</f>
        <v>0.95357906976744111</v>
      </c>
      <c r="CC129" s="251">
        <f t="shared" si="103"/>
        <v>0.26681883720930233</v>
      </c>
      <c r="CD129" s="1846">
        <f t="shared" si="103"/>
        <v>5.6825856464116031E-2</v>
      </c>
      <c r="CE129" s="1839">
        <f t="shared" si="103"/>
        <v>2.4511937984496107E-2</v>
      </c>
      <c r="CF129" s="251">
        <f t="shared" si="103"/>
        <v>2.1448352713178284E-2</v>
      </c>
      <c r="CG129" s="251">
        <f t="shared" si="103"/>
        <v>2.1132470930232544E-2</v>
      </c>
      <c r="CH129" s="251">
        <f t="shared" si="103"/>
        <v>3.985835271317828E-2</v>
      </c>
      <c r="CI129" s="251">
        <f t="shared" si="103"/>
        <v>3.7946511627906965E-2</v>
      </c>
      <c r="CJ129" s="1846">
        <f t="shared" si="103"/>
        <v>3.787936046511628E-2</v>
      </c>
      <c r="CK129" s="1839">
        <f t="shared" si="103"/>
        <v>3.2220348837209284E-2</v>
      </c>
      <c r="CL129" s="251">
        <f t="shared" si="103"/>
        <v>1.5815794573643405E-2</v>
      </c>
      <c r="CM129" s="251">
        <f t="shared" si="103"/>
        <v>1.3663430232558144E-2</v>
      </c>
      <c r="CN129" s="251">
        <f t="shared" si="103"/>
        <v>1.1803139534883718E-2</v>
      </c>
      <c r="CO129" s="251">
        <f t="shared" si="103"/>
        <v>3.7591085271317826E-2</v>
      </c>
      <c r="CP129" s="251">
        <f t="shared" si="103"/>
        <v>3.5916860465116274E-2</v>
      </c>
      <c r="CQ129" s="270"/>
      <c r="CR129" s="341"/>
      <c r="CS129" s="270">
        <f t="shared" si="103"/>
        <v>2.0500232558139528E-2</v>
      </c>
      <c r="CT129" s="270">
        <f t="shared" si="103"/>
        <v>1.616999999999999E-2</v>
      </c>
      <c r="CU129" s="270">
        <f t="shared" si="103"/>
        <v>2.5741279069767448E-2</v>
      </c>
      <c r="CV129" s="2102">
        <f t="shared" si="103"/>
        <v>8.8082020505126247E-4</v>
      </c>
      <c r="CW129" s="2103">
        <f t="shared" si="103"/>
        <v>2.512674418604649E-2</v>
      </c>
      <c r="CX129" s="270">
        <f t="shared" si="103"/>
        <v>2.1781395348837204E-2</v>
      </c>
      <c r="CY129" s="270">
        <f t="shared" si="103"/>
        <v>2.1881986434108519E-2</v>
      </c>
      <c r="CZ129" s="270">
        <f t="shared" si="103"/>
        <v>1.43353488372093E-2</v>
      </c>
      <c r="DA129" s="270">
        <f t="shared" si="103"/>
        <v>7.6070736434108513E-3</v>
      </c>
      <c r="DB129" s="2102">
        <f t="shared" si="103"/>
        <v>2.319767441860465E-5</v>
      </c>
      <c r="DC129" s="2103">
        <f t="shared" si="103"/>
        <v>9.7837209302325534E-3</v>
      </c>
      <c r="DD129" s="270">
        <f t="shared" si="103"/>
        <v>2.8811240310077507E-2</v>
      </c>
      <c r="DE129" s="270">
        <f t="shared" si="103"/>
        <v>2.3085755813953487E-2</v>
      </c>
      <c r="DF129" s="270">
        <f t="shared" si="103"/>
        <v>2.2218217054263564E-2</v>
      </c>
      <c r="DG129" s="270">
        <f t="shared" si="103"/>
        <v>6.035129958960328E-3</v>
      </c>
      <c r="DH129" s="270">
        <f t="shared" si="103"/>
        <v>1.4774651162790697E-2</v>
      </c>
      <c r="DJ129" s="1" t="s">
        <v>347</v>
      </c>
    </row>
    <row r="130" spans="3:114" ht="15" thickBot="1" x14ac:dyDescent="0.4">
      <c r="C130"/>
      <c r="D130"/>
      <c r="E130"/>
      <c r="F130" s="1768"/>
      <c r="G130" s="225"/>
      <c r="H130" s="225"/>
      <c r="I130" s="2072"/>
      <c r="J130" s="1768"/>
      <c r="K130" s="225"/>
      <c r="L130" s="225"/>
      <c r="M130" s="225"/>
      <c r="N130" s="2073"/>
      <c r="O130" s="2072"/>
      <c r="P130" s="1768"/>
      <c r="Q130" s="225"/>
      <c r="R130" s="225"/>
      <c r="S130" s="2073"/>
      <c r="T130" s="2073"/>
      <c r="U130" s="2073"/>
      <c r="V130" s="225"/>
      <c r="W130" s="1790"/>
      <c r="X130" s="1768"/>
      <c r="Y130" s="225"/>
      <c r="Z130" s="225"/>
      <c r="AA130" s="226"/>
      <c r="AB130" s="1768"/>
      <c r="AC130" s="225"/>
      <c r="AD130" s="225"/>
      <c r="AE130" s="225"/>
      <c r="AF130" s="225"/>
      <c r="AG130" s="226"/>
      <c r="AH130" s="1768"/>
      <c r="AI130" s="225"/>
      <c r="AJ130" s="225"/>
      <c r="AK130" s="225"/>
      <c r="AL130" s="225"/>
      <c r="AM130" s="225"/>
      <c r="AN130" s="225"/>
      <c r="AO130" s="344"/>
      <c r="AP130" s="225"/>
      <c r="AQ130" s="225"/>
      <c r="AR130" s="225"/>
      <c r="AS130" s="226"/>
      <c r="AT130" s="1768"/>
      <c r="AU130" s="225"/>
      <c r="AV130" s="225"/>
      <c r="AW130" s="225"/>
      <c r="AX130" s="225"/>
      <c r="AY130" s="226"/>
      <c r="AZ130" s="1768"/>
      <c r="BA130" s="225"/>
      <c r="BB130" s="225"/>
      <c r="BC130" s="225"/>
      <c r="BD130" s="225"/>
      <c r="BE130" s="225"/>
      <c r="BF130" s="225"/>
      <c r="BG130" s="344"/>
      <c r="BH130" s="225"/>
      <c r="BI130" s="225"/>
      <c r="BJ130" s="225"/>
      <c r="BK130" s="226"/>
      <c r="BL130" s="1768"/>
      <c r="BM130" s="225"/>
      <c r="BN130" s="225"/>
      <c r="BO130" s="225"/>
      <c r="BP130" s="225"/>
      <c r="BQ130" s="226"/>
      <c r="BR130" s="2111"/>
      <c r="BS130" s="351"/>
      <c r="BT130" s="351"/>
      <c r="BU130" s="351"/>
      <c r="BV130" s="351"/>
      <c r="BW130" s="351"/>
      <c r="BX130" s="225"/>
      <c r="BY130" s="344"/>
      <c r="BZ130" s="345"/>
      <c r="CA130" s="405"/>
      <c r="CB130" s="405"/>
      <c r="CC130" s="405"/>
      <c r="CD130" s="2113"/>
      <c r="CE130" s="2114"/>
      <c r="CF130" s="405"/>
      <c r="CG130" s="405"/>
      <c r="CH130" s="405"/>
      <c r="CI130" s="405"/>
      <c r="CJ130" s="2113"/>
      <c r="CK130" s="2114"/>
      <c r="CL130" s="405"/>
      <c r="CM130" s="405"/>
      <c r="CN130" s="405"/>
      <c r="CO130" s="405"/>
      <c r="CP130" s="405"/>
      <c r="CQ130" s="405"/>
      <c r="CR130" s="344"/>
      <c r="CS130" s="405"/>
      <c r="CT130" s="405"/>
      <c r="CU130" s="405"/>
      <c r="CV130" s="2113"/>
      <c r="CW130" s="2114"/>
      <c r="CX130" s="405"/>
      <c r="CY130" s="405"/>
      <c r="CZ130" s="405"/>
      <c r="DA130" s="405"/>
      <c r="DB130" s="2113"/>
      <c r="DC130" s="2114"/>
      <c r="DD130" s="405"/>
      <c r="DE130" s="405"/>
      <c r="DF130" s="225"/>
      <c r="DG130" s="403"/>
      <c r="DH130" s="225"/>
      <c r="DI130" s="225"/>
    </row>
    <row r="131" spans="3:114" s="377" customFormat="1" ht="15" thickTop="1" x14ac:dyDescent="0.35">
      <c r="F131" s="1879"/>
      <c r="G131" s="347"/>
      <c r="H131" s="347"/>
      <c r="I131" s="2118"/>
      <c r="J131" s="1879"/>
      <c r="K131" s="347"/>
      <c r="L131" s="347"/>
      <c r="M131" s="347"/>
      <c r="N131" s="1877"/>
      <c r="O131" s="2118"/>
      <c r="P131" s="1879"/>
      <c r="Q131" s="347"/>
      <c r="R131" s="347"/>
      <c r="S131" s="1877"/>
      <c r="T131" s="1877"/>
      <c r="U131" s="1877"/>
      <c r="V131" s="347"/>
      <c r="W131" s="1878"/>
      <c r="X131" s="1879"/>
      <c r="Y131" s="347"/>
      <c r="Z131" s="347"/>
      <c r="AA131" s="1880"/>
      <c r="AB131" s="1879"/>
      <c r="AC131" s="347"/>
      <c r="AD131" s="347"/>
      <c r="AE131" s="347"/>
      <c r="AF131" s="347"/>
      <c r="AG131" s="1880"/>
      <c r="AH131" s="1879"/>
      <c r="AI131" s="347"/>
      <c r="AJ131" s="347"/>
      <c r="AK131" s="347"/>
      <c r="AL131" s="347"/>
      <c r="AM131" s="347"/>
      <c r="AN131" s="347"/>
      <c r="AO131" s="352"/>
      <c r="AP131" s="347"/>
      <c r="AQ131" s="347"/>
      <c r="AR131" s="347"/>
      <c r="AS131" s="1880"/>
      <c r="AT131" s="1879"/>
      <c r="AU131" s="347"/>
      <c r="AV131" s="347"/>
      <c r="AW131" s="347"/>
      <c r="AX131" s="347"/>
      <c r="AY131" s="1880"/>
      <c r="AZ131" s="1879"/>
      <c r="BA131" s="347"/>
      <c r="BB131" s="347"/>
      <c r="BC131" s="347"/>
      <c r="BD131" s="347"/>
      <c r="BE131" s="347"/>
      <c r="BF131" s="347"/>
      <c r="BG131" s="352"/>
      <c r="BH131" s="347"/>
      <c r="BI131" s="347"/>
      <c r="BJ131" s="347"/>
      <c r="BK131" s="1880"/>
      <c r="BL131" s="1879"/>
      <c r="BM131" s="347"/>
      <c r="BN131" s="347"/>
      <c r="BO131" s="347"/>
      <c r="BP131" s="347"/>
      <c r="BQ131" s="1880"/>
      <c r="BR131" s="2119"/>
      <c r="BS131" s="348"/>
      <c r="BT131" s="348"/>
      <c r="BU131" s="348"/>
      <c r="BV131" s="348"/>
      <c r="BW131" s="348"/>
      <c r="BX131" s="347"/>
      <c r="BY131" s="352"/>
      <c r="BZ131" s="355"/>
      <c r="CA131" s="406"/>
      <c r="CB131" s="406"/>
      <c r="CC131" s="406"/>
      <c r="CD131" s="2137"/>
      <c r="CE131" s="2138"/>
      <c r="CF131" s="406"/>
      <c r="CG131" s="406"/>
      <c r="CH131" s="406"/>
      <c r="CI131" s="406"/>
      <c r="CJ131" s="2137"/>
      <c r="CK131" s="2138"/>
      <c r="CL131" s="406"/>
      <c r="CM131" s="406"/>
      <c r="CN131" s="406"/>
      <c r="CO131" s="406"/>
      <c r="CP131" s="406"/>
      <c r="CQ131" s="406"/>
      <c r="CR131" s="352"/>
      <c r="CS131" s="406"/>
      <c r="CT131" s="406"/>
      <c r="CU131" s="406"/>
      <c r="CV131" s="2137"/>
      <c r="CW131" s="2138"/>
      <c r="CX131" s="406"/>
      <c r="CY131" s="406"/>
      <c r="CZ131" s="406"/>
      <c r="DA131" s="406"/>
      <c r="DB131" s="2137"/>
      <c r="DC131" s="2138"/>
      <c r="DD131" s="406"/>
      <c r="DE131" s="406"/>
      <c r="DF131" s="347"/>
      <c r="DG131" s="346"/>
      <c r="DH131" s="347"/>
      <c r="DI131" s="347"/>
    </row>
    <row r="132" spans="3:114" x14ac:dyDescent="0.35">
      <c r="C132" s="444" t="s">
        <v>388</v>
      </c>
      <c r="D132" s="444"/>
      <c r="E132" s="444"/>
      <c r="F132" s="2139">
        <f>F$59</f>
        <v>339.57446808510639</v>
      </c>
      <c r="G132" s="459">
        <f t="shared" ref="G132:T132" si="104">G$59</f>
        <v>328.5</v>
      </c>
      <c r="H132" s="479">
        <f t="shared" si="104"/>
        <v>322.91046099290782</v>
      </c>
      <c r="I132" s="2140">
        <f>I$59</f>
        <v>323.13978494623655</v>
      </c>
      <c r="J132" s="2139">
        <f t="shared" si="104"/>
        <v>160.95360000000002</v>
      </c>
      <c r="K132" s="479">
        <f t="shared" si="104"/>
        <v>180.2608695652174</v>
      </c>
      <c r="L132" s="479">
        <f t="shared" si="104"/>
        <v>196.39130434782609</v>
      </c>
      <c r="M132" s="459">
        <f t="shared" si="104"/>
        <v>182.2608695652174</v>
      </c>
      <c r="N132" s="915">
        <f t="shared" si="104"/>
        <v>181.04347826086956</v>
      </c>
      <c r="O132" s="2141">
        <f t="shared" si="104"/>
        <v>183.47826086956522</v>
      </c>
      <c r="P132" s="2139">
        <f t="shared" si="104"/>
        <v>185</v>
      </c>
      <c r="Q132" s="479">
        <f t="shared" si="104"/>
        <v>185.91304347826087</v>
      </c>
      <c r="R132" s="459">
        <f t="shared" si="104"/>
        <v>195.17391304347825</v>
      </c>
      <c r="S132" s="916">
        <f t="shared" si="104"/>
        <v>186.52173913043478</v>
      </c>
      <c r="T132" s="915">
        <f t="shared" si="104"/>
        <v>180.875</v>
      </c>
      <c r="U132" s="916">
        <f>U$59</f>
        <v>184.76923076923077</v>
      </c>
      <c r="V132" s="459">
        <f>V$59</f>
        <v>0</v>
      </c>
      <c r="W132" s="2142"/>
      <c r="X132" s="2139">
        <f t="shared" ref="X132:BW132" si="105">X$59</f>
        <v>0.76595744680851063</v>
      </c>
      <c r="Y132" s="459">
        <f t="shared" si="105"/>
        <v>0.96499999999999997</v>
      </c>
      <c r="Z132" s="459">
        <f t="shared" si="105"/>
        <v>1.3815</v>
      </c>
      <c r="AA132" s="2143">
        <f t="shared" si="105"/>
        <v>0</v>
      </c>
      <c r="AB132" s="2139">
        <f t="shared" si="105"/>
        <v>1.25</v>
      </c>
      <c r="AC132" s="459">
        <f t="shared" si="105"/>
        <v>1.2790000000000001</v>
      </c>
      <c r="AD132" s="459">
        <f t="shared" si="105"/>
        <v>1.0962499999999999</v>
      </c>
      <c r="AE132" s="459">
        <f t="shared" si="105"/>
        <v>0.59833333333333327</v>
      </c>
      <c r="AF132" s="459">
        <f t="shared" si="105"/>
        <v>0</v>
      </c>
      <c r="AG132" s="2143">
        <f t="shared" si="105"/>
        <v>0</v>
      </c>
      <c r="AH132" s="2139">
        <f t="shared" si="105"/>
        <v>0</v>
      </c>
      <c r="AI132" s="459">
        <f t="shared" si="105"/>
        <v>1.1283333333333332</v>
      </c>
      <c r="AJ132" s="459">
        <f t="shared" si="105"/>
        <v>0.97916666666666663</v>
      </c>
      <c r="AK132" s="459">
        <f t="shared" si="105"/>
        <v>0.6974999999999999</v>
      </c>
      <c r="AL132" s="459">
        <f t="shared" si="105"/>
        <v>0</v>
      </c>
      <c r="AM132" s="459">
        <f t="shared" si="105"/>
        <v>0</v>
      </c>
      <c r="AN132" s="459"/>
      <c r="AO132" s="339"/>
      <c r="AP132" s="479">
        <f t="shared" si="105"/>
        <v>307.27659574468083</v>
      </c>
      <c r="AQ132" s="479">
        <f t="shared" si="105"/>
        <v>290</v>
      </c>
      <c r="AR132" s="479">
        <f t="shared" si="105"/>
        <v>284.5</v>
      </c>
      <c r="AS132" s="2144">
        <f t="shared" si="105"/>
        <v>284</v>
      </c>
      <c r="AT132" s="2139">
        <f t="shared" si="105"/>
        <v>134.5</v>
      </c>
      <c r="AU132" s="459">
        <f t="shared" si="105"/>
        <v>149.66666666666666</v>
      </c>
      <c r="AV132" s="459">
        <f t="shared" si="105"/>
        <v>166</v>
      </c>
      <c r="AW132" s="459">
        <f t="shared" si="105"/>
        <v>154.5</v>
      </c>
      <c r="AX132" s="459">
        <f t="shared" si="105"/>
        <v>156.58333333333334</v>
      </c>
      <c r="AY132" s="2143">
        <f t="shared" si="105"/>
        <v>154.75</v>
      </c>
      <c r="AZ132" s="2139">
        <f t="shared" si="105"/>
        <v>153.08333333333334</v>
      </c>
      <c r="BA132" s="459">
        <f t="shared" si="105"/>
        <v>152.25</v>
      </c>
      <c r="BB132" s="459">
        <f t="shared" si="105"/>
        <v>162.25</v>
      </c>
      <c r="BC132" s="459">
        <f t="shared" si="105"/>
        <v>153.16666666666666</v>
      </c>
      <c r="BD132" s="459">
        <f t="shared" si="105"/>
        <v>155.41176470588235</v>
      </c>
      <c r="BE132" s="459">
        <f t="shared" si="105"/>
        <v>131.85714285714286</v>
      </c>
      <c r="BF132" s="459"/>
      <c r="BG132" s="339"/>
      <c r="BH132" s="459">
        <f t="shared" si="105"/>
        <v>4.5319148936170217</v>
      </c>
      <c r="BI132" s="459">
        <f t="shared" si="105"/>
        <v>7.166666666666667</v>
      </c>
      <c r="BJ132" s="459">
        <f t="shared" si="105"/>
        <v>18.333333333333332</v>
      </c>
      <c r="BK132" s="2143">
        <f t="shared" si="105"/>
        <v>10.583333333333334</v>
      </c>
      <c r="BL132" s="2139">
        <f t="shared" si="105"/>
        <v>25.25</v>
      </c>
      <c r="BM132" s="459">
        <f t="shared" si="105"/>
        <v>6.666666666666667</v>
      </c>
      <c r="BN132" s="459">
        <f t="shared" si="105"/>
        <v>9.5833333333333339</v>
      </c>
      <c r="BO132" s="459">
        <f t="shared" si="105"/>
        <v>8</v>
      </c>
      <c r="BP132" s="459">
        <f t="shared" si="105"/>
        <v>6.833333333333333</v>
      </c>
      <c r="BQ132" s="2143">
        <f t="shared" si="105"/>
        <v>7.5</v>
      </c>
      <c r="BR132" s="2139">
        <f t="shared" si="105"/>
        <v>8.75</v>
      </c>
      <c r="BS132" s="459">
        <f t="shared" si="105"/>
        <v>8.8333333333333339</v>
      </c>
      <c r="BT132" s="459">
        <f t="shared" si="105"/>
        <v>10.333333333333334</v>
      </c>
      <c r="BU132" s="459">
        <f t="shared" si="105"/>
        <v>9.3333333333333339</v>
      </c>
      <c r="BV132" s="459">
        <f t="shared" si="105"/>
        <v>8.8235294117647065</v>
      </c>
      <c r="BW132" s="459">
        <f t="shared" si="105"/>
        <v>12.166666666666666</v>
      </c>
      <c r="BX132" s="459"/>
      <c r="BY132" s="339"/>
      <c r="BZ132" s="459"/>
      <c r="CA132" s="459">
        <f>SUM(CA$107:CA$112)</f>
        <v>9.73599319148936</v>
      </c>
      <c r="CB132" s="459">
        <f t="shared" ref="CB132:CP132" si="106">SUM(CB$107:CB$112)</f>
        <v>10.149799999999999</v>
      </c>
      <c r="CC132" s="459">
        <f>SUM(CC$107:CC$112)</f>
        <v>6.5446925</v>
      </c>
      <c r="CD132" s="2143">
        <f t="shared" si="106"/>
        <v>5.2360967741935482</v>
      </c>
      <c r="CE132" s="2139">
        <f t="shared" si="106"/>
        <v>7.8118100000000004</v>
      </c>
      <c r="CF132" s="459">
        <f t="shared" si="106"/>
        <v>6.2001208333333331</v>
      </c>
      <c r="CG132" s="459">
        <f t="shared" si="106"/>
        <v>6.4107012499999989</v>
      </c>
      <c r="CH132" s="459">
        <f t="shared" si="106"/>
        <v>6.2889612499999989</v>
      </c>
      <c r="CI132" s="459">
        <f t="shared" si="106"/>
        <v>6.6461250000000005</v>
      </c>
      <c r="CJ132" s="2143">
        <f t="shared" si="106"/>
        <v>6.7520437500000003</v>
      </c>
      <c r="CK132" s="2139">
        <f t="shared" si="106"/>
        <v>7.1198399999999999</v>
      </c>
      <c r="CL132" s="459">
        <f t="shared" si="106"/>
        <v>6.8465929166666673</v>
      </c>
      <c r="CM132" s="459">
        <f t="shared" si="106"/>
        <v>6.7931175000000001</v>
      </c>
      <c r="CN132" s="459">
        <f t="shared" si="106"/>
        <v>6.9675883333333326</v>
      </c>
      <c r="CO132" s="459">
        <f t="shared" si="106"/>
        <v>7.2391666666666667</v>
      </c>
      <c r="CP132" s="459">
        <f t="shared" si="106"/>
        <v>6.9167500000000004</v>
      </c>
      <c r="CQ132" s="459"/>
      <c r="CR132" s="339"/>
      <c r="CS132" s="459">
        <f>SUM(CS$107:CS$112)</f>
        <v>2.7072500000000002</v>
      </c>
      <c r="CT132" s="459">
        <f t="shared" ref="CT132:DH132" si="107">SUM(CT$107:CT$112)</f>
        <v>0.37564799999999998</v>
      </c>
      <c r="CU132" s="459">
        <f t="shared" si="107"/>
        <v>0.59800000000000009</v>
      </c>
      <c r="CV132" s="2143">
        <f t="shared" si="107"/>
        <v>1.6550537634408603E-2</v>
      </c>
      <c r="CW132" s="2139">
        <f t="shared" si="107"/>
        <v>1.1502750000000002</v>
      </c>
      <c r="CX132" s="459">
        <f t="shared" si="107"/>
        <v>1.1967666666666665</v>
      </c>
      <c r="CY132" s="459">
        <f t="shared" si="107"/>
        <v>1.0499129166666665</v>
      </c>
      <c r="CZ132" s="459">
        <f t="shared" si="107"/>
        <v>0.87116499999999997</v>
      </c>
      <c r="DA132" s="459">
        <f t="shared" si="107"/>
        <v>0.5028058333333334</v>
      </c>
      <c r="DB132" s="2143">
        <f t="shared" si="107"/>
        <v>1.8525E-3</v>
      </c>
      <c r="DC132" s="2139">
        <f t="shared" si="107"/>
        <v>0.97662500000000008</v>
      </c>
      <c r="DD132" s="459">
        <f t="shared" si="107"/>
        <v>2.2963587500000004</v>
      </c>
      <c r="DE132" s="459">
        <f t="shared" si="107"/>
        <v>2.3115437499999998</v>
      </c>
      <c r="DF132" s="459">
        <f t="shared" si="107"/>
        <v>1.2249379166666665</v>
      </c>
      <c r="DG132" s="459">
        <f t="shared" si="107"/>
        <v>0.48052235294117651</v>
      </c>
      <c r="DH132" s="459">
        <f t="shared" si="107"/>
        <v>1.1763707142857143</v>
      </c>
      <c r="DI132" s="468"/>
    </row>
    <row r="133" spans="3:114" hidden="1" x14ac:dyDescent="0.35">
      <c r="C133" s="444" t="s">
        <v>294</v>
      </c>
      <c r="D133" s="444"/>
      <c r="E133" s="444"/>
      <c r="F133" s="2050">
        <f t="shared" ref="F133:U133" si="108">(F$193+F$196+AP$59+BH$59+SUM(CA$107:CA$112)+SUM(CS$107:CS$112))/F$59</f>
        <v>0.99853026282447177</v>
      </c>
      <c r="G133" s="469">
        <f t="shared" si="108"/>
        <v>0.98147478282144696</v>
      </c>
      <c r="H133" s="469">
        <f t="shared" si="108"/>
        <v>1.0043665175246765</v>
      </c>
      <c r="I133" s="1973">
        <f t="shared" si="108"/>
        <v>0.97203548532426243</v>
      </c>
      <c r="J133" s="2145">
        <f t="shared" si="108"/>
        <v>1.1047490146216716</v>
      </c>
      <c r="K133" s="469">
        <f t="shared" si="108"/>
        <v>0.96161732242207532</v>
      </c>
      <c r="L133" s="469">
        <f t="shared" si="108"/>
        <v>0.98244268816923763</v>
      </c>
      <c r="M133" s="469">
        <f t="shared" si="108"/>
        <v>0.9818000917512556</v>
      </c>
      <c r="N133" s="914">
        <f t="shared" si="108"/>
        <v>0.99207313603643477</v>
      </c>
      <c r="O133" s="1973">
        <f t="shared" si="108"/>
        <v>0.97090380996485715</v>
      </c>
      <c r="P133" s="2145">
        <f t="shared" si="108"/>
        <v>0.96533455361373899</v>
      </c>
      <c r="Q133" s="469">
        <f t="shared" si="108"/>
        <v>0.96363418031084347</v>
      </c>
      <c r="R133" s="469">
        <f t="shared" si="108"/>
        <v>0.97777601292563376</v>
      </c>
      <c r="S133" s="914">
        <f t="shared" si="108"/>
        <v>0.96267784918675081</v>
      </c>
      <c r="T133" s="914">
        <f t="shared" si="108"/>
        <v>0.99729514525878904</v>
      </c>
      <c r="U133" s="914">
        <f t="shared" si="108"/>
        <v>0.8724992601702487</v>
      </c>
      <c r="V133" s="468"/>
      <c r="X133" s="2050"/>
      <c r="Y133" s="468"/>
      <c r="Z133" s="468"/>
      <c r="AA133" s="2051"/>
      <c r="AB133" s="2050"/>
      <c r="AC133" s="468"/>
      <c r="AD133" s="468"/>
      <c r="AE133" s="468"/>
      <c r="AF133" s="468"/>
      <c r="AG133" s="2051"/>
      <c r="AH133" s="2050"/>
      <c r="AI133" s="468"/>
      <c r="AJ133" s="468"/>
      <c r="AK133" s="468"/>
      <c r="AL133" s="468"/>
      <c r="AM133" s="468"/>
      <c r="AN133" s="468"/>
      <c r="AP133" s="468"/>
      <c r="AQ133" s="468"/>
      <c r="AR133" s="468"/>
      <c r="AS133" s="2051"/>
      <c r="AT133" s="2050"/>
      <c r="AU133" s="468"/>
      <c r="AV133" s="468"/>
      <c r="AW133" s="468"/>
      <c r="AX133" s="468"/>
      <c r="AY133" s="2051"/>
      <c r="AZ133" s="2050"/>
      <c r="BA133" s="468"/>
      <c r="BB133" s="468"/>
      <c r="BC133" s="468"/>
      <c r="BD133" s="468"/>
      <c r="BE133" s="468"/>
      <c r="BF133" s="468"/>
      <c r="BH133" s="468"/>
      <c r="BI133" s="468"/>
      <c r="BJ133" s="468"/>
      <c r="BK133" s="2051"/>
      <c r="BL133" s="2050"/>
      <c r="BM133" s="468"/>
      <c r="BN133" s="468"/>
      <c r="BO133" s="468"/>
      <c r="BP133" s="468"/>
      <c r="BQ133" s="2051"/>
      <c r="BR133" s="2146"/>
      <c r="BS133" s="470"/>
      <c r="BT133" s="470"/>
      <c r="BU133" s="470"/>
      <c r="BV133" s="470"/>
      <c r="BW133" s="470"/>
      <c r="BX133" s="468"/>
      <c r="BZ133" s="471"/>
      <c r="CA133" s="472"/>
      <c r="CB133" s="472"/>
      <c r="CC133" s="472"/>
      <c r="CD133" s="2147"/>
      <c r="CE133" s="2148"/>
      <c r="CF133" s="472"/>
      <c r="CG133" s="472"/>
      <c r="CH133" s="472"/>
      <c r="CI133" s="472"/>
      <c r="CJ133" s="2147"/>
      <c r="CK133" s="2148"/>
      <c r="CL133" s="472"/>
      <c r="CM133" s="472"/>
      <c r="CN133" s="472"/>
      <c r="CO133" s="472"/>
      <c r="CP133" s="472"/>
      <c r="CQ133" s="472"/>
      <c r="CS133" s="472"/>
      <c r="CT133" s="472"/>
      <c r="CU133" s="472"/>
      <c r="CV133" s="2147"/>
      <c r="CW133" s="2148"/>
      <c r="CX133" s="472"/>
      <c r="CY133" s="472"/>
      <c r="CZ133" s="472"/>
      <c r="DA133" s="472"/>
      <c r="DB133" s="2147"/>
      <c r="DC133" s="2148"/>
      <c r="DD133" s="472"/>
      <c r="DE133" s="472"/>
      <c r="DF133" s="468"/>
      <c r="DG133" s="473"/>
      <c r="DH133" s="468"/>
      <c r="DI133" s="468"/>
    </row>
    <row r="134" spans="3:114" x14ac:dyDescent="0.35">
      <c r="C134" s="444"/>
      <c r="D134" s="444"/>
      <c r="E134" s="444"/>
      <c r="F134" s="2050"/>
      <c r="G134" s="468"/>
      <c r="H134" s="468"/>
      <c r="J134" s="2050"/>
      <c r="K134" s="468"/>
      <c r="L134" s="468"/>
      <c r="M134" s="468"/>
      <c r="P134" s="2050"/>
      <c r="Q134" s="468"/>
      <c r="R134" s="468"/>
      <c r="V134" s="468"/>
      <c r="X134" s="2050"/>
      <c r="Y134" s="468"/>
      <c r="Z134" s="468"/>
      <c r="AA134" s="2051"/>
      <c r="AB134" s="2050"/>
      <c r="AC134" s="468"/>
      <c r="AD134" s="468"/>
      <c r="AE134" s="468"/>
      <c r="AF134" s="468"/>
      <c r="AG134" s="2051"/>
      <c r="AH134" s="2050"/>
      <c r="AI134" s="468"/>
      <c r="AJ134" s="468"/>
      <c r="AK134" s="468"/>
      <c r="AL134" s="468"/>
      <c r="AM134" s="468"/>
      <c r="AN134" s="468"/>
      <c r="AP134" s="468"/>
      <c r="AQ134" s="468"/>
      <c r="AR134" s="468"/>
      <c r="AS134" s="2051"/>
      <c r="AT134" s="2050"/>
      <c r="AU134" s="468"/>
      <c r="AV134" s="468"/>
      <c r="AW134" s="468"/>
      <c r="AX134" s="468"/>
      <c r="AY134" s="2051"/>
      <c r="AZ134" s="2050"/>
      <c r="BA134" s="468"/>
      <c r="BB134" s="468"/>
      <c r="BC134" s="468"/>
      <c r="BD134" s="468"/>
      <c r="BE134" s="468"/>
      <c r="BF134" s="468"/>
      <c r="BH134" s="468"/>
      <c r="BI134" s="468"/>
      <c r="BJ134" s="468"/>
      <c r="BK134" s="2051"/>
      <c r="BL134" s="2050"/>
      <c r="BM134" s="468"/>
      <c r="BN134" s="468"/>
      <c r="BO134" s="468"/>
      <c r="BP134" s="468"/>
      <c r="BQ134" s="2051"/>
      <c r="BR134" s="2146"/>
      <c r="BS134" s="470"/>
      <c r="BT134" s="470"/>
      <c r="BU134" s="470"/>
      <c r="BV134" s="470"/>
      <c r="BW134" s="470"/>
      <c r="BX134" s="468"/>
      <c r="BZ134" s="471"/>
      <c r="CA134" s="472"/>
      <c r="CB134" s="472"/>
      <c r="CC134" s="472"/>
      <c r="CD134" s="2147"/>
      <c r="CE134" s="2148"/>
      <c r="CF134" s="472"/>
      <c r="CG134" s="472"/>
      <c r="CH134" s="472"/>
      <c r="CI134" s="472"/>
      <c r="CJ134" s="2147"/>
      <c r="CK134" s="2148"/>
      <c r="CL134" s="472"/>
      <c r="CM134" s="472"/>
      <c r="CN134" s="472"/>
      <c r="CO134" s="472"/>
      <c r="CP134" s="472"/>
      <c r="CQ134" s="472"/>
      <c r="CS134" s="472"/>
      <c r="CT134" s="472"/>
      <c r="CU134" s="472"/>
      <c r="CV134" s="2147"/>
      <c r="CW134" s="2148"/>
      <c r="CX134" s="472"/>
      <c r="CY134" s="472"/>
      <c r="CZ134" s="472"/>
      <c r="DA134" s="472"/>
      <c r="DB134" s="2147"/>
      <c r="DC134" s="2148"/>
      <c r="DD134" s="472"/>
      <c r="DE134" s="472"/>
      <c r="DF134" s="468"/>
      <c r="DG134" s="473"/>
      <c r="DH134" s="468"/>
      <c r="DI134" s="468"/>
    </row>
    <row r="135" spans="3:114" x14ac:dyDescent="0.35">
      <c r="C135" s="444" t="s">
        <v>435</v>
      </c>
      <c r="D135" s="444"/>
      <c r="E135" s="444"/>
      <c r="F135" s="492">
        <f>(X$132+AP$132+BH$132+CA$132+CS$132+F$193+F$196)/F$132</f>
        <v>1.0007859019222158</v>
      </c>
      <c r="G135" s="446">
        <f t="shared" ref="G135:U135" si="109">(Y$132+AQ$132+BI$132+CB$132+CT$132+G$193+G$196)/G$132</f>
        <v>0.98441237795082281</v>
      </c>
      <c r="H135" s="446">
        <f t="shared" si="109"/>
        <v>1.0086447932911291</v>
      </c>
      <c r="I135" s="2149">
        <f t="shared" si="109"/>
        <v>0.97203548532426221</v>
      </c>
      <c r="J135" s="492">
        <f t="shared" si="109"/>
        <v>1.1125152279899964</v>
      </c>
      <c r="K135" s="446">
        <f t="shared" si="109"/>
        <v>0.96871259497393225</v>
      </c>
      <c r="L135" s="446">
        <f t="shared" si="109"/>
        <v>0.9880246562896714</v>
      </c>
      <c r="M135" s="446">
        <f t="shared" si="109"/>
        <v>0.98508293208204456</v>
      </c>
      <c r="N135" s="1867">
        <f t="shared" si="109"/>
        <v>0.99207313603643477</v>
      </c>
      <c r="O135" s="2149">
        <f t="shared" si="109"/>
        <v>0.97090380996485715</v>
      </c>
      <c r="P135" s="492">
        <f t="shared" si="109"/>
        <v>0.96533455361373877</v>
      </c>
      <c r="Q135" s="446">
        <f t="shared" si="109"/>
        <v>0.96970332592980202</v>
      </c>
      <c r="R135" s="446">
        <f t="shared" si="109"/>
        <v>0.982792906071843</v>
      </c>
      <c r="S135" s="1867">
        <f t="shared" si="109"/>
        <v>0.9664173596762613</v>
      </c>
      <c r="T135" s="1867">
        <f t="shared" si="109"/>
        <v>0.99729514525878904</v>
      </c>
      <c r="U135" s="2149">
        <f t="shared" si="109"/>
        <v>0.8724992601702487</v>
      </c>
      <c r="V135" s="493" t="e">
        <f t="shared" ref="V135" si="110">(AN$132+BF$132+BX$132+CQ$132+DI$132+V$192+V$195)/V$132</f>
        <v>#DIV/0!</v>
      </c>
      <c r="X135" s="2050"/>
      <c r="Y135" s="468"/>
      <c r="Z135" s="468"/>
      <c r="AA135" s="2051"/>
      <c r="AB135" s="2050"/>
      <c r="AC135" s="468"/>
      <c r="AD135" s="468"/>
      <c r="AE135" s="468"/>
      <c r="AF135" s="468"/>
      <c r="AG135" s="2051"/>
      <c r="AH135" s="2050"/>
      <c r="AI135" s="468"/>
      <c r="AJ135" s="468"/>
      <c r="AK135" s="468"/>
      <c r="AL135" s="468"/>
      <c r="AM135" s="468"/>
      <c r="AN135" s="468"/>
      <c r="AP135" s="468"/>
      <c r="AQ135" s="468"/>
      <c r="AR135" s="468"/>
      <c r="AS135" s="2051"/>
      <c r="AT135" s="2050"/>
      <c r="AU135" s="468"/>
      <c r="AV135" s="468"/>
      <c r="AW135" s="468"/>
      <c r="AX135" s="468"/>
      <c r="AY135" s="2051"/>
      <c r="AZ135" s="2050"/>
      <c r="BA135" s="468"/>
      <c r="BB135" s="468"/>
      <c r="BC135" s="468"/>
      <c r="BD135" s="468"/>
      <c r="BE135" s="468"/>
      <c r="BF135" s="468"/>
      <c r="BH135" s="468"/>
      <c r="BI135" s="468"/>
      <c r="BJ135" s="468"/>
      <c r="BK135" s="2051"/>
      <c r="BL135" s="2050"/>
      <c r="BM135" s="468"/>
      <c r="BN135" s="468"/>
      <c r="BO135" s="468"/>
      <c r="BP135" s="468"/>
      <c r="BQ135" s="2051"/>
      <c r="BR135" s="2146"/>
      <c r="BS135" s="470"/>
      <c r="BT135" s="470"/>
      <c r="BU135" s="470"/>
      <c r="BV135" s="470"/>
      <c r="BW135" s="470"/>
      <c r="BX135" s="468"/>
      <c r="BZ135" s="471"/>
      <c r="CA135" s="472"/>
      <c r="CB135" s="472"/>
      <c r="CC135" s="472"/>
      <c r="CD135" s="2147"/>
      <c r="CE135" s="2148"/>
      <c r="CF135" s="472"/>
      <c r="CG135" s="472"/>
      <c r="CH135" s="472"/>
      <c r="CI135" s="472"/>
      <c r="CJ135" s="2147"/>
      <c r="CK135" s="2148"/>
      <c r="CL135" s="472"/>
      <c r="CM135" s="472"/>
      <c r="CN135" s="472"/>
      <c r="CO135" s="472"/>
      <c r="CP135" s="472"/>
      <c r="CQ135" s="472"/>
      <c r="CS135" s="472"/>
      <c r="CT135" s="472"/>
      <c r="CU135" s="472"/>
      <c r="CV135" s="2147"/>
      <c r="CW135" s="2148"/>
      <c r="CX135" s="472"/>
      <c r="CY135" s="472"/>
      <c r="CZ135" s="472"/>
      <c r="DA135" s="472"/>
      <c r="DB135" s="2147"/>
      <c r="DC135" s="2148"/>
      <c r="DD135" s="472"/>
      <c r="DE135" s="472"/>
      <c r="DF135" s="468"/>
      <c r="DG135" s="473"/>
      <c r="DH135" s="468"/>
      <c r="DI135" s="468"/>
    </row>
    <row r="136" spans="3:114" x14ac:dyDescent="0.35">
      <c r="C136" s="444"/>
      <c r="D136" s="444"/>
      <c r="E136" s="444"/>
      <c r="F136" s="1818"/>
      <c r="G136" s="494"/>
      <c r="H136" s="446"/>
      <c r="I136" s="1864"/>
      <c r="J136" s="1818"/>
      <c r="K136" s="446"/>
      <c r="L136" s="446"/>
      <c r="M136" s="446"/>
      <c r="N136" s="1867"/>
      <c r="O136" s="1864"/>
      <c r="P136" s="1818"/>
      <c r="Q136" s="446"/>
      <c r="R136" s="446"/>
      <c r="S136" s="1867"/>
      <c r="T136" s="1867"/>
      <c r="U136" s="1867"/>
      <c r="V136" s="446"/>
      <c r="X136" s="2050"/>
      <c r="Y136" s="468"/>
      <c r="Z136" s="468"/>
      <c r="AA136" s="2051"/>
      <c r="AB136" s="2050"/>
      <c r="AC136" s="468"/>
      <c r="AD136" s="468"/>
      <c r="AE136" s="468"/>
      <c r="AF136" s="468"/>
      <c r="AG136" s="2051"/>
      <c r="AH136" s="2050"/>
      <c r="AI136" s="468"/>
      <c r="AJ136" s="468"/>
      <c r="AK136" s="468"/>
      <c r="AL136" s="468"/>
      <c r="AM136" s="468"/>
      <c r="AN136" s="468"/>
      <c r="AP136" s="468"/>
      <c r="AQ136" s="468"/>
      <c r="AR136" s="468"/>
      <c r="AS136" s="2051"/>
      <c r="AT136" s="2050"/>
      <c r="AU136" s="468"/>
      <c r="AV136" s="468"/>
      <c r="AW136" s="468"/>
      <c r="AX136" s="468"/>
      <c r="AY136" s="2051"/>
      <c r="AZ136" s="2050"/>
      <c r="BA136" s="468"/>
      <c r="BB136" s="468"/>
      <c r="BC136" s="468"/>
      <c r="BD136" s="468"/>
      <c r="BE136" s="468"/>
      <c r="BF136" s="468"/>
      <c r="BH136" s="468"/>
      <c r="BI136" s="468"/>
      <c r="BJ136" s="468"/>
      <c r="BK136" s="2051"/>
      <c r="BL136" s="2050"/>
      <c r="BM136" s="468"/>
      <c r="BN136" s="468"/>
      <c r="BO136" s="468"/>
      <c r="BP136" s="468"/>
      <c r="BQ136" s="2051"/>
      <c r="BR136" s="2146"/>
      <c r="BS136" s="470"/>
      <c r="BT136" s="470"/>
      <c r="BU136" s="470"/>
      <c r="BV136" s="470"/>
      <c r="BW136" s="470"/>
      <c r="BX136" s="468"/>
      <c r="BZ136" s="471"/>
      <c r="CA136" s="472"/>
      <c r="CB136" s="472"/>
      <c r="CC136" s="472"/>
      <c r="CD136" s="2147"/>
      <c r="CE136" s="2148"/>
      <c r="CF136" s="472"/>
      <c r="CG136" s="472"/>
      <c r="CH136" s="472"/>
      <c r="CI136" s="472"/>
      <c r="CJ136" s="2147"/>
      <c r="CK136" s="2148"/>
      <c r="CL136" s="472"/>
      <c r="CM136" s="472"/>
      <c r="CN136" s="472"/>
      <c r="CO136" s="472"/>
      <c r="CP136" s="472"/>
      <c r="CQ136" s="472"/>
      <c r="CS136" s="472"/>
      <c r="CT136" s="472"/>
      <c r="CU136" s="472"/>
      <c r="CV136" s="2147"/>
      <c r="CW136" s="2148"/>
      <c r="CX136" s="472"/>
      <c r="CY136" s="472"/>
      <c r="CZ136" s="472"/>
      <c r="DA136" s="472"/>
      <c r="DB136" s="2147"/>
      <c r="DC136" s="2148"/>
      <c r="DD136" s="472"/>
      <c r="DE136" s="472"/>
      <c r="DF136" s="468"/>
      <c r="DG136" s="473"/>
      <c r="DH136" s="468"/>
      <c r="DI136" s="468"/>
    </row>
    <row r="137" spans="3:114" x14ac:dyDescent="0.35">
      <c r="C137" s="444" t="s">
        <v>436</v>
      </c>
      <c r="D137" s="444"/>
      <c r="E137" s="444"/>
      <c r="F137" s="1818">
        <f>((SUM(CA$117:CA$122)+SUM(CS117:CS122)+AP$101+BH$101+X$101)/F$101)</f>
        <v>0.98511188766466373</v>
      </c>
      <c r="G137" s="446">
        <f>((SUM(CB$117:CB$122)+SUM(CT117:CT122)+AQ$101+BI$101+Y101)/G$101)</f>
        <v>0.97372510165141479</v>
      </c>
      <c r="H137" s="446">
        <f>((SUM(CC$117:CC$122)+SUM(CU117:CU122)+AR$101+BJ$101+Z101)/H$101)</f>
        <v>0.99459371973599497</v>
      </c>
      <c r="I137" s="1864">
        <f t="shared" ref="I137:V137" si="111">((SUM(CD$117:CD$122)+SUM(CV117:CV122)+AS$101+BK$101)/I$101)</f>
        <v>0.95228966447999785</v>
      </c>
      <c r="J137" s="1818">
        <f>((SUM(CE$117:CE$122)+SUM(CW117:CW122)+AT$101+BL$101)/J$101)</f>
        <v>1.0849377609074806</v>
      </c>
      <c r="K137" s="446">
        <f t="shared" si="111"/>
        <v>0.9407827541943472</v>
      </c>
      <c r="L137" s="446">
        <f t="shared" si="111"/>
        <v>0.96072044554413094</v>
      </c>
      <c r="M137" s="446">
        <f t="shared" si="111"/>
        <v>0.96081456253439645</v>
      </c>
      <c r="N137" s="1867">
        <f t="shared" si="111"/>
        <v>0.97174477144970517</v>
      </c>
      <c r="O137" s="1864">
        <f t="shared" si="111"/>
        <v>0.95096815871117013</v>
      </c>
      <c r="P137" s="1818">
        <f t="shared" si="111"/>
        <v>0.94413675010143894</v>
      </c>
      <c r="Q137" s="446">
        <f t="shared" si="111"/>
        <v>0.94070498151802739</v>
      </c>
      <c r="R137" s="446">
        <f t="shared" si="111"/>
        <v>0.95511410928927409</v>
      </c>
      <c r="S137" s="1867">
        <f t="shared" si="111"/>
        <v>0.93786695890308602</v>
      </c>
      <c r="T137" s="1867">
        <f t="shared" si="111"/>
        <v>0.97441931841094243</v>
      </c>
      <c r="U137" s="1867">
        <f t="shared" si="111"/>
        <v>0.84419735177105315</v>
      </c>
      <c r="V137" s="446" t="e">
        <f t="shared" si="111"/>
        <v>#DIV/0!</v>
      </c>
      <c r="X137" s="2050"/>
      <c r="Y137" s="468"/>
      <c r="Z137" s="468"/>
      <c r="AA137" s="2051"/>
      <c r="AB137" s="2050"/>
      <c r="AC137" s="468"/>
      <c r="AD137" s="468"/>
      <c r="AE137" s="468"/>
      <c r="AF137" s="468"/>
      <c r="AG137" s="2051"/>
      <c r="AH137" s="2050"/>
      <c r="AI137" s="468"/>
      <c r="AJ137" s="468"/>
      <c r="AK137" s="468"/>
      <c r="AL137" s="468"/>
      <c r="AM137" s="468"/>
      <c r="AN137" s="468"/>
      <c r="AP137" s="468"/>
      <c r="AQ137" s="468"/>
      <c r="AR137" s="468"/>
      <c r="AS137" s="2051"/>
      <c r="AT137" s="2050"/>
      <c r="AU137" s="468"/>
      <c r="AV137" s="468"/>
      <c r="AW137" s="468"/>
      <c r="AX137" s="468"/>
      <c r="AY137" s="2051"/>
      <c r="AZ137" s="2050"/>
      <c r="BA137" s="468"/>
      <c r="BB137" s="468"/>
      <c r="BC137" s="468"/>
      <c r="BD137" s="468"/>
      <c r="BE137" s="468"/>
      <c r="BF137" s="468"/>
      <c r="BH137" s="468"/>
      <c r="BI137" s="468"/>
      <c r="BJ137" s="468"/>
      <c r="BK137" s="2051"/>
      <c r="BL137" s="2050"/>
      <c r="BM137" s="468"/>
      <c r="BN137" s="468"/>
      <c r="BO137" s="468"/>
      <c r="BP137" s="468"/>
      <c r="BQ137" s="2051"/>
      <c r="BR137" s="2146"/>
      <c r="BS137" s="470"/>
      <c r="BT137" s="470"/>
      <c r="BU137" s="470"/>
      <c r="BV137" s="470"/>
      <c r="BW137" s="470"/>
      <c r="BX137" s="468"/>
      <c r="BZ137" s="471"/>
      <c r="CA137" s="472"/>
      <c r="CB137" s="472"/>
      <c r="CC137" s="472"/>
      <c r="CD137" s="2147"/>
      <c r="CE137" s="2148"/>
      <c r="CF137" s="472"/>
      <c r="CG137" s="472"/>
      <c r="CH137" s="472"/>
      <c r="CI137" s="472"/>
      <c r="CJ137" s="2147"/>
      <c r="CK137" s="2148"/>
      <c r="CL137" s="472"/>
      <c r="CM137" s="472"/>
      <c r="CN137" s="472"/>
      <c r="CO137" s="472"/>
      <c r="CP137" s="472"/>
      <c r="CQ137" s="472"/>
      <c r="CS137" s="472"/>
      <c r="CT137" s="472"/>
      <c r="CU137" s="472"/>
      <c r="CV137" s="2147"/>
      <c r="CW137" s="2148"/>
      <c r="CX137" s="472"/>
      <c r="CY137" s="472"/>
      <c r="CZ137" s="472"/>
      <c r="DA137" s="472"/>
      <c r="DB137" s="2147"/>
      <c r="DC137" s="2148"/>
      <c r="DD137" s="472"/>
      <c r="DE137" s="472"/>
      <c r="DF137" s="468"/>
      <c r="DG137" s="473"/>
      <c r="DH137" s="468"/>
      <c r="DI137" s="468"/>
    </row>
    <row r="138" spans="3:114" s="368" customFormat="1" ht="15" thickBot="1" x14ac:dyDescent="0.4">
      <c r="C138" s="364"/>
      <c r="D138" s="364"/>
      <c r="E138" s="364"/>
      <c r="F138" s="1800"/>
      <c r="G138" s="365"/>
      <c r="H138" s="365"/>
      <c r="I138" s="1801"/>
      <c r="J138" s="1800"/>
      <c r="K138" s="365"/>
      <c r="L138" s="365"/>
      <c r="M138" s="365"/>
      <c r="N138" s="1802"/>
      <c r="O138" s="1801"/>
      <c r="P138" s="1800"/>
      <c r="Q138" s="365"/>
      <c r="R138" s="365"/>
      <c r="S138" s="1802"/>
      <c r="T138" s="1802"/>
      <c r="U138" s="1802"/>
      <c r="V138" s="365"/>
      <c r="W138" s="1803"/>
      <c r="X138" s="1800"/>
      <c r="Y138" s="365"/>
      <c r="Z138" s="365"/>
      <c r="AA138" s="1804"/>
      <c r="AB138" s="1800"/>
      <c r="AC138" s="365"/>
      <c r="AD138" s="365"/>
      <c r="AE138" s="365"/>
      <c r="AF138" s="365"/>
      <c r="AG138" s="1804"/>
      <c r="AH138" s="1800"/>
      <c r="AI138" s="365"/>
      <c r="AJ138" s="365"/>
      <c r="AK138" s="365"/>
      <c r="AL138" s="365"/>
      <c r="AM138" s="365"/>
      <c r="AN138" s="365"/>
      <c r="AO138" s="366"/>
      <c r="AP138" s="365"/>
      <c r="AQ138" s="365"/>
      <c r="AR138" s="365"/>
      <c r="AS138" s="1804"/>
      <c r="AT138" s="1800"/>
      <c r="AU138" s="365"/>
      <c r="AV138" s="365"/>
      <c r="AW138" s="365"/>
      <c r="AX138" s="365"/>
      <c r="AY138" s="1804"/>
      <c r="AZ138" s="1800"/>
      <c r="BA138" s="365"/>
      <c r="BB138" s="365"/>
      <c r="BC138" s="365"/>
      <c r="BD138" s="365"/>
      <c r="BE138" s="365"/>
      <c r="BF138" s="365"/>
      <c r="BG138" s="366"/>
      <c r="BH138" s="365"/>
      <c r="BI138" s="365"/>
      <c r="BJ138" s="365"/>
      <c r="BK138" s="1804"/>
      <c r="BL138" s="1800"/>
      <c r="BM138" s="365"/>
      <c r="BN138" s="365"/>
      <c r="BO138" s="365"/>
      <c r="BP138" s="365"/>
      <c r="BQ138" s="1804"/>
      <c r="BR138" s="2150"/>
      <c r="BS138" s="409"/>
      <c r="BT138" s="409"/>
      <c r="BU138" s="409"/>
      <c r="BV138" s="409"/>
      <c r="BW138" s="409"/>
      <c r="BX138" s="365"/>
      <c r="BY138" s="366"/>
      <c r="BZ138" s="367"/>
      <c r="CA138" s="410"/>
      <c r="CB138" s="410"/>
      <c r="CC138" s="410"/>
      <c r="CD138" s="2151"/>
      <c r="CE138" s="2152"/>
      <c r="CF138" s="410"/>
      <c r="CG138" s="410"/>
      <c r="CH138" s="410"/>
      <c r="CI138" s="410"/>
      <c r="CJ138" s="2151"/>
      <c r="CK138" s="2152"/>
      <c r="CL138" s="410"/>
      <c r="CM138" s="410"/>
      <c r="CN138" s="410"/>
      <c r="CO138" s="410"/>
      <c r="CP138" s="410"/>
      <c r="CQ138" s="410"/>
      <c r="CR138" s="366"/>
      <c r="CS138" s="410"/>
      <c r="CT138" s="410"/>
      <c r="CU138" s="410"/>
      <c r="CV138" s="2151"/>
      <c r="CW138" s="2152"/>
      <c r="CX138" s="410"/>
      <c r="CY138" s="410"/>
      <c r="CZ138" s="410"/>
      <c r="DA138" s="410"/>
      <c r="DB138" s="2151"/>
      <c r="DC138" s="2152"/>
      <c r="DD138" s="410"/>
      <c r="DE138" s="410"/>
      <c r="DF138" s="365"/>
      <c r="DG138" s="404"/>
      <c r="DH138" s="365"/>
      <c r="DI138" s="365"/>
    </row>
    <row r="139" spans="3:114" ht="19" thickTop="1" x14ac:dyDescent="0.45">
      <c r="C139" s="407" t="s">
        <v>211</v>
      </c>
      <c r="D139" s="407"/>
      <c r="E139" s="407"/>
      <c r="F139" s="1774"/>
      <c r="G139" s="229"/>
      <c r="H139" s="229"/>
      <c r="I139" s="2098"/>
      <c r="J139" s="1774"/>
      <c r="K139" s="229"/>
      <c r="L139" s="229"/>
      <c r="M139" s="229"/>
      <c r="N139" s="2099"/>
      <c r="O139" s="2098"/>
      <c r="P139" s="1774"/>
      <c r="Q139" s="229"/>
      <c r="R139" s="229"/>
      <c r="S139" s="2099"/>
      <c r="T139" s="2099"/>
      <c r="U139" s="2099"/>
      <c r="V139" s="229"/>
      <c r="W139" s="1796"/>
      <c r="X139" s="1774"/>
      <c r="Y139" s="229"/>
      <c r="Z139" s="229"/>
      <c r="AA139" s="1773"/>
      <c r="AB139" s="1774"/>
      <c r="AC139" s="2153" t="s">
        <v>872</v>
      </c>
      <c r="AD139" s="2153" t="s">
        <v>832</v>
      </c>
      <c r="AE139" s="2153" t="s">
        <v>833</v>
      </c>
      <c r="AF139" s="229"/>
      <c r="AG139" s="1773"/>
      <c r="AH139" s="1774"/>
      <c r="AI139" s="229"/>
      <c r="AJ139" s="229"/>
      <c r="AK139" s="229"/>
      <c r="AL139" s="229"/>
      <c r="AM139" s="229"/>
      <c r="AN139" s="229"/>
      <c r="AO139" s="356"/>
      <c r="AP139" s="229"/>
      <c r="AQ139" s="229"/>
      <c r="AR139" s="229"/>
      <c r="AS139" s="1773"/>
      <c r="AT139" s="1774"/>
      <c r="AU139" s="229"/>
      <c r="AV139" s="229"/>
      <c r="AW139" s="229"/>
      <c r="AX139" s="229"/>
      <c r="AY139" s="1773"/>
      <c r="AZ139" s="1774"/>
      <c r="BA139" s="229"/>
      <c r="BB139" s="229"/>
      <c r="BC139" s="229"/>
      <c r="BD139" s="229"/>
      <c r="BE139" s="229"/>
      <c r="BF139" s="229"/>
      <c r="BG139" s="356"/>
      <c r="BH139" s="229"/>
      <c r="BI139" s="229"/>
      <c r="BJ139" s="229"/>
      <c r="BK139" s="1773"/>
      <c r="BL139" s="1774"/>
      <c r="BM139" s="229"/>
      <c r="BN139" s="229"/>
      <c r="BO139" s="229"/>
      <c r="BP139" s="229"/>
      <c r="BQ139" s="1773"/>
      <c r="BR139" s="2154"/>
      <c r="BS139" s="349"/>
      <c r="BT139" s="349"/>
      <c r="BU139" s="349"/>
      <c r="BV139" s="349"/>
      <c r="BW139" s="349"/>
      <c r="BX139" s="229"/>
      <c r="BY139" s="356"/>
      <c r="BZ139" s="358"/>
      <c r="CA139" s="408"/>
      <c r="CB139" s="408"/>
      <c r="CC139" s="408"/>
      <c r="CD139" s="2155"/>
      <c r="CE139" s="2156"/>
      <c r="CF139" s="408"/>
      <c r="CG139" s="408"/>
      <c r="CH139" s="408"/>
      <c r="CI139" s="408"/>
      <c r="CJ139" s="2155"/>
      <c r="CK139" s="2156"/>
      <c r="CL139" s="408"/>
      <c r="CM139" s="408"/>
      <c r="CN139" s="408"/>
      <c r="CO139" s="408"/>
      <c r="CP139" s="408"/>
      <c r="CQ139" s="408"/>
      <c r="CR139" s="356"/>
      <c r="CS139" s="408"/>
      <c r="CT139" s="408"/>
      <c r="CU139" s="408"/>
      <c r="CV139" s="2155"/>
      <c r="CW139" s="2156"/>
      <c r="CX139" s="408"/>
      <c r="CY139" s="408"/>
      <c r="CZ139" s="408"/>
      <c r="DA139" s="408"/>
      <c r="DB139" s="2155"/>
      <c r="DC139" s="2156"/>
      <c r="DD139" s="408"/>
      <c r="DE139" s="408"/>
      <c r="DF139" s="229"/>
      <c r="DG139" s="298"/>
      <c r="DH139" s="229"/>
      <c r="DI139" s="229"/>
    </row>
    <row r="140" spans="3:114" x14ac:dyDescent="0.35">
      <c r="C140" s="1" t="s">
        <v>275</v>
      </c>
      <c r="F140" s="250">
        <f>((F$80-AP$80)/F$80)*100</f>
        <v>38.617032080432409</v>
      </c>
      <c r="G140" s="250">
        <f t="shared" ref="G140:V140" si="112">((G$80-AQ$80)/G$80)*100</f>
        <v>36.960459791175097</v>
      </c>
      <c r="H140" s="250">
        <f t="shared" si="112"/>
        <v>39.346283596715722</v>
      </c>
      <c r="I140" s="2157">
        <f t="shared" si="112"/>
        <v>39.106101437805535</v>
      </c>
      <c r="J140" s="1871">
        <f t="shared" si="112"/>
        <v>69.515548902270027</v>
      </c>
      <c r="K140" s="250">
        <f t="shared" si="112"/>
        <v>64.603212456070878</v>
      </c>
      <c r="L140" s="250">
        <f t="shared" si="112"/>
        <v>66.089600096537808</v>
      </c>
      <c r="M140" s="250">
        <f t="shared" si="112"/>
        <v>65.198799755569965</v>
      </c>
      <c r="N140" s="2158">
        <f t="shared" si="112"/>
        <v>63.739784646471811</v>
      </c>
      <c r="O140" s="2157">
        <f>((O$80-AY$80)/O$80)*100</f>
        <v>63.158939021148072</v>
      </c>
      <c r="P140" s="1871">
        <f t="shared" si="112"/>
        <v>64.894359645947233</v>
      </c>
      <c r="Q140" s="250">
        <f>((Q$80-BA$80)/Q$80)*100</f>
        <v>63.138261069506271</v>
      </c>
      <c r="R140" s="250">
        <f>((R$80-BB$80)/R$80)*100</f>
        <v>65.34042509661657</v>
      </c>
      <c r="S140" s="2158">
        <f t="shared" si="112"/>
        <v>67.909430253472095</v>
      </c>
      <c r="T140" s="2158">
        <f t="shared" si="112"/>
        <v>67.334069056274643</v>
      </c>
      <c r="U140" s="2158">
        <f t="shared" si="112"/>
        <v>67.217660188327102</v>
      </c>
      <c r="V140" s="250" t="e">
        <f t="shared" si="112"/>
        <v>#DIV/0!</v>
      </c>
      <c r="X140" s="1726" t="s">
        <v>870</v>
      </c>
      <c r="Y140" s="267">
        <f>AVERAGE(K140:N140)</f>
        <v>64.907849238662621</v>
      </c>
      <c r="Z140" s="267">
        <f>AVERAGE(Q140:T140)</f>
        <v>65.930546368967384</v>
      </c>
      <c r="AA140" s="231" t="s">
        <v>295</v>
      </c>
      <c r="AC140" s="916">
        <f>AVERAGE(H140:I140)</f>
        <v>39.226192517260628</v>
      </c>
      <c r="AD140" s="916">
        <f>AVERAGE(M140:O140)</f>
        <v>64.032507807729942</v>
      </c>
      <c r="AE140" s="916">
        <f>AVERAGE(R140:T140)</f>
        <v>66.861308135454436</v>
      </c>
      <c r="BR140" s="2101"/>
      <c r="BS140" s="241"/>
      <c r="BT140" s="241"/>
      <c r="BU140" s="241"/>
      <c r="BV140" s="241"/>
      <c r="BW140" s="241"/>
      <c r="CA140" s="270"/>
      <c r="CB140" s="270"/>
      <c r="CC140" s="270"/>
      <c r="CD140" s="2102"/>
      <c r="CE140" s="2103"/>
      <c r="CF140" s="270"/>
      <c r="CG140" s="270"/>
      <c r="CH140" s="270"/>
      <c r="CI140" s="270"/>
      <c r="CJ140" s="2102"/>
      <c r="CK140" s="2103"/>
      <c r="CL140" s="270"/>
      <c r="CM140" s="270"/>
      <c r="CN140" s="270"/>
      <c r="CO140" s="270"/>
      <c r="CP140" s="270"/>
      <c r="CQ140" s="270"/>
      <c r="CS140" s="270"/>
      <c r="CT140" s="270"/>
      <c r="CU140" s="270"/>
      <c r="CV140" s="2102"/>
      <c r="CW140" s="2103"/>
      <c r="CX140" s="270"/>
      <c r="CY140" s="270"/>
      <c r="CZ140" s="270"/>
      <c r="DA140" s="270"/>
      <c r="DB140" s="2102"/>
      <c r="DC140" s="2103"/>
      <c r="DD140" s="270"/>
      <c r="DE140" s="270"/>
      <c r="DG140" s="240"/>
    </row>
    <row r="141" spans="3:114" x14ac:dyDescent="0.35">
      <c r="C141" s="1" t="s">
        <v>394</v>
      </c>
      <c r="F141" s="2159">
        <f t="shared" ref="F141:K141" si="113">100*(1-EXP(F$64/F$65*LN(1-F$140/100)))</f>
        <v>40.236399796473002</v>
      </c>
      <c r="G141" s="318">
        <f t="shared" si="113"/>
        <v>37.550545135069903</v>
      </c>
      <c r="H141" s="318">
        <f t="shared" si="113"/>
        <v>39.437809785284742</v>
      </c>
      <c r="I141" s="2160">
        <f t="shared" si="113"/>
        <v>39.218744456434621</v>
      </c>
      <c r="J141" s="495">
        <f t="shared" si="113"/>
        <v>64.580152068300663</v>
      </c>
      <c r="K141" s="318">
        <f t="shared" si="113"/>
        <v>63.803542052005113</v>
      </c>
      <c r="L141" s="318">
        <f>100*(1-EXP(L$64/L$65*LN(1-L$140/100)))</f>
        <v>68.427254697774018</v>
      </c>
      <c r="M141" s="318">
        <f t="shared" ref="M141:U141" si="114">M140-EXP((M$64-M$66)/M$65*M$140)</f>
        <v>65.198799755569965</v>
      </c>
      <c r="N141" s="2161">
        <f t="shared" si="114"/>
        <v>63.739784646471811</v>
      </c>
      <c r="O141" s="2162">
        <f t="shared" si="114"/>
        <v>63.158939021148072</v>
      </c>
      <c r="P141" s="496">
        <f t="shared" si="114"/>
        <v>64.894359645947233</v>
      </c>
      <c r="Q141" s="496">
        <f t="shared" si="114"/>
        <v>63.138261069506271</v>
      </c>
      <c r="R141" s="496">
        <f t="shared" si="114"/>
        <v>65.34042509661657</v>
      </c>
      <c r="S141" s="2161">
        <f t="shared" si="114"/>
        <v>67.909430253472095</v>
      </c>
      <c r="T141" s="2161">
        <f t="shared" si="114"/>
        <v>67.334069056274643</v>
      </c>
      <c r="U141" s="2161">
        <f t="shared" si="114"/>
        <v>67.217660188327102</v>
      </c>
      <c r="V141" s="318" t="e">
        <f t="shared" ref="V141" si="115">1-EXP((V$64-V$66)/V$65*V$140)</f>
        <v>#DIV/0!</v>
      </c>
      <c r="AC141" s="459">
        <f>AVERAGE(H142:I142)</f>
        <v>40.200000000000003</v>
      </c>
      <c r="AD141" s="459">
        <f>AVERAGE(M142:O142)</f>
        <v>68.133333333333326</v>
      </c>
      <c r="AE141" s="459">
        <f>AVERAGE(R142:T142)</f>
        <v>67.600000000000009</v>
      </c>
      <c r="BR141" s="2101"/>
      <c r="BS141" s="241"/>
      <c r="BT141" s="241"/>
      <c r="BU141" s="241"/>
      <c r="BV141" s="241"/>
      <c r="BW141" s="241"/>
      <c r="CA141" s="270"/>
      <c r="CB141" s="270"/>
      <c r="CC141" s="270"/>
      <c r="CD141" s="2102"/>
      <c r="CE141" s="2103"/>
      <c r="CF141" s="270"/>
      <c r="CG141" s="270"/>
      <c r="CH141" s="270"/>
      <c r="CI141" s="270"/>
      <c r="CJ141" s="2102"/>
      <c r="CK141" s="2103"/>
      <c r="CL141" s="270"/>
      <c r="CM141" s="270"/>
      <c r="CN141" s="270"/>
      <c r="CO141" s="270"/>
      <c r="CP141" s="270"/>
      <c r="CQ141" s="270"/>
      <c r="CS141" s="270"/>
      <c r="CT141" s="270"/>
      <c r="CU141" s="270"/>
      <c r="CV141" s="2102"/>
      <c r="CW141" s="2103"/>
      <c r="CX141" s="270"/>
      <c r="CY141" s="270"/>
      <c r="CZ141" s="270"/>
      <c r="DA141" s="270"/>
      <c r="DB141" s="2102"/>
      <c r="DC141" s="2103"/>
      <c r="DD141" s="270"/>
      <c r="DE141" s="270"/>
      <c r="DG141" s="240"/>
    </row>
    <row r="142" spans="3:114" x14ac:dyDescent="0.35">
      <c r="C142" s="444" t="s">
        <v>429</v>
      </c>
      <c r="D142" s="444"/>
      <c r="E142" s="444"/>
      <c r="F142" s="2163">
        <v>44</v>
      </c>
      <c r="G142" s="445">
        <v>41.5</v>
      </c>
      <c r="H142" s="445">
        <v>40.5</v>
      </c>
      <c r="I142" s="2157">
        <v>39.9</v>
      </c>
      <c r="J142" s="2163">
        <v>68</v>
      </c>
      <c r="K142" s="445">
        <v>67.5</v>
      </c>
      <c r="L142" s="445">
        <v>67.8</v>
      </c>
      <c r="M142" s="445">
        <v>68.2</v>
      </c>
      <c r="N142" s="2158">
        <v>68</v>
      </c>
      <c r="O142" s="2157">
        <v>68.2</v>
      </c>
      <c r="P142" s="2163">
        <v>66.5</v>
      </c>
      <c r="Q142" s="445">
        <v>65.8</v>
      </c>
      <c r="R142" s="445">
        <v>66.2</v>
      </c>
      <c r="S142" s="2158">
        <v>68.2</v>
      </c>
      <c r="T142" s="2158">
        <v>68.400000000000006</v>
      </c>
      <c r="U142" s="2158">
        <v>68</v>
      </c>
      <c r="X142" s="1726" t="s">
        <v>870</v>
      </c>
      <c r="Y142" s="267">
        <f>AVERAGE(K142:N142)</f>
        <v>67.875</v>
      </c>
      <c r="Z142" s="267">
        <f>AVERAGE(Q142:T142)</f>
        <v>67.150000000000006</v>
      </c>
      <c r="AA142" s="231" t="s">
        <v>608</v>
      </c>
      <c r="BR142" s="2101"/>
      <c r="BS142" s="241"/>
      <c r="BT142" s="241"/>
      <c r="BU142" s="241"/>
      <c r="BV142" s="241"/>
      <c r="BW142" s="241"/>
      <c r="CA142" s="270"/>
      <c r="CB142" s="270"/>
      <c r="CC142" s="270"/>
      <c r="CD142" s="2102"/>
      <c r="CE142" s="2103"/>
      <c r="CF142" s="270"/>
      <c r="CG142" s="270"/>
      <c r="CH142" s="270"/>
      <c r="CI142" s="270"/>
      <c r="CJ142" s="2102"/>
      <c r="CK142" s="2103"/>
      <c r="CL142" s="270"/>
      <c r="CM142" s="270"/>
      <c r="CN142" s="270"/>
      <c r="CO142" s="270"/>
      <c r="CP142" s="270"/>
      <c r="CQ142" s="270"/>
      <c r="CS142" s="270"/>
      <c r="CT142" s="270"/>
      <c r="CU142" s="270"/>
      <c r="CV142" s="2102"/>
      <c r="CW142" s="2103"/>
      <c r="CX142" s="270"/>
      <c r="CY142" s="270"/>
      <c r="CZ142" s="270"/>
      <c r="DA142" s="270"/>
      <c r="DB142" s="2102"/>
      <c r="DC142" s="2103"/>
      <c r="DD142" s="270"/>
      <c r="DE142" s="270"/>
      <c r="DG142" s="240"/>
    </row>
    <row r="143" spans="3:114" x14ac:dyDescent="0.35">
      <c r="C143" s="1" t="s">
        <v>230</v>
      </c>
      <c r="F143" s="1871">
        <f t="shared" ref="F143:U143" si="116">F$142*5%</f>
        <v>2.2000000000000002</v>
      </c>
      <c r="G143" s="250">
        <f t="shared" si="116"/>
        <v>2.0750000000000002</v>
      </c>
      <c r="H143" s="250">
        <f t="shared" si="116"/>
        <v>2.0249999999999999</v>
      </c>
      <c r="I143" s="2157">
        <f t="shared" si="116"/>
        <v>1.9950000000000001</v>
      </c>
      <c r="J143" s="1871">
        <f t="shared" si="116"/>
        <v>3.4000000000000004</v>
      </c>
      <c r="K143" s="250">
        <f t="shared" si="116"/>
        <v>3.375</v>
      </c>
      <c r="L143" s="250">
        <f t="shared" si="116"/>
        <v>3.39</v>
      </c>
      <c r="M143" s="250">
        <f t="shared" si="116"/>
        <v>3.41</v>
      </c>
      <c r="N143" s="2158">
        <f t="shared" si="116"/>
        <v>3.4000000000000004</v>
      </c>
      <c r="O143" s="2157">
        <f t="shared" si="116"/>
        <v>3.41</v>
      </c>
      <c r="P143" s="1871">
        <f t="shared" si="116"/>
        <v>3.3250000000000002</v>
      </c>
      <c r="Q143" s="250">
        <f t="shared" si="116"/>
        <v>3.29</v>
      </c>
      <c r="R143" s="250">
        <f t="shared" si="116"/>
        <v>3.3100000000000005</v>
      </c>
      <c r="S143" s="2158">
        <f t="shared" si="116"/>
        <v>3.41</v>
      </c>
      <c r="T143" s="2158">
        <f t="shared" si="116"/>
        <v>3.4200000000000004</v>
      </c>
      <c r="U143" s="2158">
        <f t="shared" si="116"/>
        <v>3.4000000000000004</v>
      </c>
      <c r="BR143" s="2101"/>
      <c r="BS143" s="241"/>
      <c r="BT143" s="241"/>
      <c r="BU143" s="241"/>
      <c r="BV143" s="241"/>
      <c r="BW143" s="241"/>
      <c r="CA143" s="270"/>
      <c r="CB143" s="270"/>
      <c r="CC143" s="270"/>
      <c r="CD143" s="2102"/>
      <c r="CE143" s="2103"/>
      <c r="CF143" s="270"/>
      <c r="CG143" s="270"/>
      <c r="CH143" s="270"/>
      <c r="CI143" s="270"/>
      <c r="CJ143" s="2102"/>
      <c r="CK143" s="2103"/>
      <c r="CL143" s="270"/>
      <c r="CM143" s="270"/>
      <c r="CN143" s="270"/>
      <c r="CO143" s="270"/>
      <c r="CP143" s="270"/>
      <c r="CQ143" s="270"/>
      <c r="CS143" s="270"/>
      <c r="CT143" s="270"/>
      <c r="CU143" s="270"/>
      <c r="CV143" s="2102"/>
      <c r="CW143" s="2103"/>
      <c r="CX143" s="270"/>
      <c r="CY143" s="270"/>
      <c r="CZ143" s="270"/>
      <c r="DA143" s="270"/>
      <c r="DB143" s="2102"/>
      <c r="DC143" s="2103"/>
      <c r="DD143" s="270"/>
      <c r="DE143" s="270"/>
      <c r="DG143" s="240"/>
    </row>
    <row r="144" spans="3:114" x14ac:dyDescent="0.35">
      <c r="C144" s="166" t="s">
        <v>231</v>
      </c>
      <c r="D144" s="166"/>
      <c r="E144" s="166"/>
      <c r="F144" s="1871">
        <f t="shared" ref="F144:U144" si="117">F$142+F$143</f>
        <v>46.2</v>
      </c>
      <c r="G144" s="250">
        <f t="shared" si="117"/>
        <v>43.575000000000003</v>
      </c>
      <c r="H144" s="250">
        <f t="shared" si="117"/>
        <v>42.524999999999999</v>
      </c>
      <c r="I144" s="2157">
        <f t="shared" si="117"/>
        <v>41.894999999999996</v>
      </c>
      <c r="J144" s="1871">
        <f t="shared" si="117"/>
        <v>71.400000000000006</v>
      </c>
      <c r="K144" s="250">
        <f t="shared" si="117"/>
        <v>70.875</v>
      </c>
      <c r="L144" s="250">
        <f t="shared" si="117"/>
        <v>71.19</v>
      </c>
      <c r="M144" s="250">
        <f t="shared" si="117"/>
        <v>71.61</v>
      </c>
      <c r="N144" s="2158">
        <f t="shared" si="117"/>
        <v>71.400000000000006</v>
      </c>
      <c r="O144" s="2157">
        <f t="shared" si="117"/>
        <v>71.61</v>
      </c>
      <c r="P144" s="1871">
        <f t="shared" si="117"/>
        <v>69.825000000000003</v>
      </c>
      <c r="Q144" s="250">
        <f t="shared" si="117"/>
        <v>69.09</v>
      </c>
      <c r="R144" s="250">
        <f t="shared" si="117"/>
        <v>69.510000000000005</v>
      </c>
      <c r="S144" s="2158">
        <f t="shared" si="117"/>
        <v>71.61</v>
      </c>
      <c r="T144" s="2158">
        <f t="shared" si="117"/>
        <v>71.820000000000007</v>
      </c>
      <c r="U144" s="2158">
        <f t="shared" si="117"/>
        <v>71.400000000000006</v>
      </c>
      <c r="BR144" s="2101"/>
      <c r="BS144" s="241"/>
      <c r="BT144" s="241"/>
      <c r="BU144" s="241"/>
      <c r="BV144" s="241"/>
      <c r="BW144" s="241"/>
      <c r="CA144" s="270"/>
      <c r="CB144" s="270"/>
      <c r="CC144" s="270"/>
      <c r="CD144" s="2102"/>
      <c r="CE144" s="2103"/>
      <c r="CF144" s="270"/>
      <c r="CG144" s="270"/>
      <c r="CH144" s="270"/>
      <c r="CI144" s="270"/>
      <c r="CJ144" s="2102"/>
      <c r="CK144" s="2103"/>
      <c r="CL144" s="270"/>
      <c r="CM144" s="270"/>
      <c r="CN144" s="270"/>
      <c r="CO144" s="270"/>
      <c r="CP144" s="270"/>
      <c r="CQ144" s="270"/>
      <c r="CS144" s="270"/>
      <c r="CT144" s="270"/>
      <c r="CU144" s="270"/>
      <c r="CV144" s="2102"/>
      <c r="CW144" s="2103"/>
      <c r="CX144" s="270"/>
      <c r="CY144" s="270"/>
      <c r="CZ144" s="270"/>
      <c r="DA144" s="270"/>
      <c r="DB144" s="2102"/>
      <c r="DC144" s="2103"/>
      <c r="DD144" s="270"/>
      <c r="DE144" s="270"/>
      <c r="DG144" s="240"/>
    </row>
    <row r="145" spans="3:113" x14ac:dyDescent="0.35">
      <c r="C145" s="166" t="s">
        <v>232</v>
      </c>
      <c r="D145" s="166"/>
      <c r="E145" s="166"/>
      <c r="F145" s="1871">
        <f t="shared" ref="F145:U145" si="118">F$142-F$143</f>
        <v>41.8</v>
      </c>
      <c r="G145" s="250">
        <f t="shared" si="118"/>
        <v>39.424999999999997</v>
      </c>
      <c r="H145" s="250">
        <f t="shared" si="118"/>
        <v>38.475000000000001</v>
      </c>
      <c r="I145" s="2157">
        <f t="shared" si="118"/>
        <v>37.905000000000001</v>
      </c>
      <c r="J145" s="1871">
        <f t="shared" si="118"/>
        <v>64.599999999999994</v>
      </c>
      <c r="K145" s="250">
        <f t="shared" si="118"/>
        <v>64.125</v>
      </c>
      <c r="L145" s="250">
        <f t="shared" si="118"/>
        <v>64.41</v>
      </c>
      <c r="M145" s="250">
        <f t="shared" si="118"/>
        <v>64.790000000000006</v>
      </c>
      <c r="N145" s="2158">
        <f t="shared" si="118"/>
        <v>64.599999999999994</v>
      </c>
      <c r="O145" s="2157">
        <f t="shared" si="118"/>
        <v>64.790000000000006</v>
      </c>
      <c r="P145" s="1871">
        <f t="shared" si="118"/>
        <v>63.174999999999997</v>
      </c>
      <c r="Q145" s="250">
        <f t="shared" si="118"/>
        <v>62.51</v>
      </c>
      <c r="R145" s="250">
        <f t="shared" si="118"/>
        <v>62.89</v>
      </c>
      <c r="S145" s="2158">
        <f t="shared" si="118"/>
        <v>64.790000000000006</v>
      </c>
      <c r="T145" s="2158">
        <f t="shared" si="118"/>
        <v>64.98</v>
      </c>
      <c r="U145" s="2158">
        <f t="shared" si="118"/>
        <v>64.599999999999994</v>
      </c>
      <c r="BR145" s="2101"/>
      <c r="BS145" s="241"/>
      <c r="BT145" s="241"/>
      <c r="BU145" s="241"/>
      <c r="BV145" s="241"/>
      <c r="BW145" s="241"/>
      <c r="CA145" s="270"/>
      <c r="CB145" s="270"/>
      <c r="CC145" s="270"/>
      <c r="CD145" s="2102"/>
      <c r="CE145" s="2103"/>
      <c r="CF145" s="270"/>
      <c r="CG145" s="270"/>
      <c r="CH145" s="270"/>
      <c r="CI145" s="270"/>
      <c r="CJ145" s="2102"/>
      <c r="CK145" s="2103"/>
      <c r="CL145" s="270"/>
      <c r="CM145" s="270"/>
      <c r="CN145" s="270"/>
      <c r="CO145" s="270"/>
      <c r="CP145" s="270"/>
      <c r="CQ145" s="270"/>
      <c r="CS145" s="270"/>
      <c r="CT145" s="270"/>
      <c r="CU145" s="270"/>
      <c r="CV145" s="2102"/>
      <c r="CW145" s="2103"/>
      <c r="CX145" s="270"/>
      <c r="CY145" s="270"/>
      <c r="CZ145" s="270"/>
      <c r="DA145" s="270"/>
      <c r="DB145" s="2102"/>
      <c r="DC145" s="2103"/>
      <c r="DD145" s="270"/>
      <c r="DE145" s="270"/>
      <c r="DG145" s="240"/>
    </row>
    <row r="146" spans="3:113" ht="15" thickBot="1" x14ac:dyDescent="0.4">
      <c r="F146" s="1768"/>
      <c r="G146" s="225"/>
      <c r="H146" s="225"/>
      <c r="I146" s="2072"/>
      <c r="J146" s="1768"/>
      <c r="K146" s="225"/>
      <c r="L146" s="225"/>
      <c r="M146" s="225"/>
      <c r="N146" s="2073"/>
      <c r="O146" s="2072"/>
      <c r="P146" s="1768"/>
      <c r="Q146" s="225"/>
      <c r="R146" s="225"/>
      <c r="S146" s="2073"/>
      <c r="T146" s="2073"/>
      <c r="U146" s="2073"/>
      <c r="V146" s="225"/>
      <c r="W146" s="1790"/>
      <c r="X146" s="1768"/>
      <c r="Y146" s="225"/>
      <c r="Z146" s="225"/>
      <c r="AA146" s="226"/>
      <c r="AB146" s="1768"/>
      <c r="AC146" s="225"/>
      <c r="AD146" s="225"/>
      <c r="AE146" s="225"/>
      <c r="AF146" s="225"/>
      <c r="AG146" s="226"/>
      <c r="AH146" s="1768"/>
      <c r="AI146" s="225"/>
      <c r="AJ146" s="225"/>
      <c r="AK146" s="225"/>
      <c r="AL146" s="225"/>
      <c r="AM146" s="225"/>
      <c r="AN146" s="225"/>
      <c r="AO146" s="344"/>
      <c r="AP146" s="225"/>
      <c r="AQ146" s="225"/>
      <c r="AR146" s="225"/>
      <c r="AS146" s="226"/>
      <c r="AT146" s="1768"/>
      <c r="AU146" s="225"/>
      <c r="AV146" s="225"/>
      <c r="AW146" s="225"/>
      <c r="AX146" s="225"/>
      <c r="AY146" s="226"/>
      <c r="AZ146" s="1768"/>
      <c r="BA146" s="225"/>
      <c r="BB146" s="225"/>
      <c r="BC146" s="225"/>
      <c r="BD146" s="225"/>
      <c r="BE146" s="225"/>
      <c r="BF146" s="225"/>
      <c r="BG146" s="344"/>
      <c r="BH146" s="225"/>
      <c r="BI146" s="225"/>
      <c r="BJ146" s="225"/>
      <c r="BK146" s="226"/>
      <c r="BL146" s="1768"/>
      <c r="BM146" s="225"/>
      <c r="BN146" s="225"/>
      <c r="BO146" s="225"/>
      <c r="BP146" s="225"/>
      <c r="BQ146" s="226"/>
      <c r="BR146" s="1768"/>
      <c r="BS146" s="225"/>
      <c r="BT146" s="225"/>
      <c r="BU146" s="225"/>
      <c r="BV146" s="225"/>
      <c r="BW146" s="225"/>
      <c r="BX146" s="225"/>
      <c r="BY146" s="344"/>
      <c r="BZ146" s="345"/>
      <c r="CA146" s="225"/>
      <c r="CB146" s="225"/>
      <c r="CC146" s="225"/>
      <c r="CD146" s="226"/>
      <c r="CE146" s="1768"/>
      <c r="CF146" s="225"/>
      <c r="CG146" s="225"/>
      <c r="CH146" s="225"/>
      <c r="CI146" s="225"/>
      <c r="CJ146" s="226"/>
      <c r="CK146" s="1768"/>
      <c r="CL146" s="225"/>
      <c r="CM146" s="225"/>
      <c r="CN146" s="225"/>
      <c r="CO146" s="225"/>
      <c r="CP146" s="225"/>
      <c r="CQ146" s="225"/>
      <c r="CR146" s="344"/>
      <c r="CS146" s="225"/>
      <c r="CT146" s="225"/>
      <c r="CU146" s="225"/>
      <c r="CV146" s="226"/>
      <c r="CW146" s="1768"/>
      <c r="CX146" s="225"/>
      <c r="CY146" s="225"/>
      <c r="CZ146" s="405"/>
      <c r="DA146" s="405"/>
      <c r="DB146" s="2113"/>
      <c r="DC146" s="2114"/>
      <c r="DD146" s="405"/>
      <c r="DE146" s="405"/>
      <c r="DF146" s="225"/>
      <c r="DG146" s="225"/>
      <c r="DH146" s="225"/>
      <c r="DI146" s="225"/>
    </row>
    <row r="147" spans="3:113" s="377" customFormat="1" ht="19" thickTop="1" x14ac:dyDescent="0.45">
      <c r="C147" s="451"/>
      <c r="D147" s="411"/>
      <c r="E147" s="411"/>
      <c r="F147" s="1879"/>
      <c r="G147" s="347"/>
      <c r="H147" s="347"/>
      <c r="I147" s="2118"/>
      <c r="J147" s="1879"/>
      <c r="K147" s="347"/>
      <c r="L147" s="347"/>
      <c r="M147" s="347"/>
      <c r="N147" s="1877"/>
      <c r="O147" s="2118"/>
      <c r="P147" s="1879"/>
      <c r="Q147" s="347"/>
      <c r="R147" s="347"/>
      <c r="S147" s="1877"/>
      <c r="T147" s="1877"/>
      <c r="U147" s="1877"/>
      <c r="V147" s="347"/>
      <c r="W147" s="1878"/>
      <c r="X147" s="1879"/>
      <c r="Y147" s="347"/>
      <c r="Z147" s="347"/>
      <c r="AA147" s="1880"/>
      <c r="AB147" s="1879"/>
      <c r="AC147" s="347"/>
      <c r="AD147" s="347"/>
      <c r="AE147" s="347"/>
      <c r="AF147" s="347"/>
      <c r="AG147" s="1880"/>
      <c r="AH147" s="1879"/>
      <c r="AI147" s="347"/>
      <c r="AJ147" s="347"/>
      <c r="AK147" s="347"/>
      <c r="AL147" s="347"/>
      <c r="AM147" s="347"/>
      <c r="AN147" s="347"/>
      <c r="AO147" s="352"/>
      <c r="AP147" s="347"/>
      <c r="AQ147" s="347"/>
      <c r="AR147" s="347"/>
      <c r="AS147" s="1880"/>
      <c r="AT147" s="1879"/>
      <c r="AU147" s="347"/>
      <c r="AV147" s="347"/>
      <c r="AW147" s="347"/>
      <c r="AX147" s="347"/>
      <c r="AY147" s="1880"/>
      <c r="AZ147" s="1879"/>
      <c r="BA147" s="347"/>
      <c r="BB147" s="347"/>
      <c r="BC147" s="347"/>
      <c r="BD147" s="347"/>
      <c r="BE147" s="347"/>
      <c r="BF147" s="347"/>
      <c r="BG147" s="352"/>
      <c r="BH147" s="347"/>
      <c r="BI147" s="347"/>
      <c r="BJ147" s="347"/>
      <c r="BK147" s="1880"/>
      <c r="BL147" s="1879"/>
      <c r="BM147" s="347"/>
      <c r="BN147" s="347"/>
      <c r="BO147" s="347"/>
      <c r="BP147" s="347"/>
      <c r="BQ147" s="1880"/>
      <c r="BR147" s="1879"/>
      <c r="BS147" s="347"/>
      <c r="BT147" s="347"/>
      <c r="BU147" s="347"/>
      <c r="BV147" s="347"/>
      <c r="BW147" s="347"/>
      <c r="BX147" s="347"/>
      <c r="BY147" s="352"/>
      <c r="BZ147" s="355"/>
      <c r="CA147" s="347"/>
      <c r="CB147" s="347"/>
      <c r="CC147" s="347"/>
      <c r="CD147" s="1880"/>
      <c r="CE147" s="1879"/>
      <c r="CF147" s="347"/>
      <c r="CG147" s="347"/>
      <c r="CH147" s="347"/>
      <c r="CI147" s="347"/>
      <c r="CJ147" s="1880"/>
      <c r="CK147" s="1879"/>
      <c r="CL147" s="347"/>
      <c r="CM147" s="347"/>
      <c r="CN147" s="347"/>
      <c r="CO147" s="347"/>
      <c r="CP147" s="347"/>
      <c r="CQ147" s="347"/>
      <c r="CR147" s="352"/>
      <c r="CS147" s="347"/>
      <c r="CT147" s="347"/>
      <c r="CU147" s="347"/>
      <c r="CV147" s="1880"/>
      <c r="CW147" s="1879"/>
      <c r="CX147" s="347"/>
      <c r="CY147" s="347"/>
      <c r="CZ147" s="347"/>
      <c r="DA147" s="347"/>
      <c r="DB147" s="1880"/>
      <c r="DC147" s="1879"/>
      <c r="DD147" s="347"/>
      <c r="DE147" s="347"/>
      <c r="DF147" s="347"/>
      <c r="DG147" s="347"/>
      <c r="DH147" s="347"/>
      <c r="DI147" s="347"/>
    </row>
    <row r="148" spans="3:113" x14ac:dyDescent="0.35">
      <c r="C148" s="1" t="s">
        <v>309</v>
      </c>
      <c r="F148" s="501">
        <f>((F$85-(AP$85))/F$85)*100</f>
        <v>63.483696206104412</v>
      </c>
      <c r="G148" s="249">
        <f t="shared" ref="G148:U148" si="119">((G$85-(AQ$85))/G$85)*100</f>
        <v>66.921826335884944</v>
      </c>
      <c r="H148" s="249">
        <f t="shared" si="119"/>
        <v>68.105223112220841</v>
      </c>
      <c r="I148" s="419">
        <f t="shared" si="119"/>
        <v>68.779565541382766</v>
      </c>
      <c r="J148" s="501">
        <f t="shared" si="119"/>
        <v>88.242298247189183</v>
      </c>
      <c r="K148" s="249">
        <f t="shared" si="119"/>
        <v>85.395424396041761</v>
      </c>
      <c r="L148" s="249">
        <f t="shared" si="119"/>
        <v>82.969707944065775</v>
      </c>
      <c r="M148" s="249">
        <f t="shared" si="119"/>
        <v>83.743211773475849</v>
      </c>
      <c r="N148" s="249">
        <f t="shared" si="119"/>
        <v>80.826769181676411</v>
      </c>
      <c r="O148" s="419">
        <f t="shared" si="119"/>
        <v>81.67472007562202</v>
      </c>
      <c r="P148" s="501">
        <f t="shared" si="119"/>
        <v>88.155430386603769</v>
      </c>
      <c r="Q148" s="249">
        <f t="shared" si="119"/>
        <v>85.25636919457601</v>
      </c>
      <c r="R148" s="249">
        <f t="shared" si="119"/>
        <v>79.947621851013636</v>
      </c>
      <c r="S148" s="249">
        <f t="shared" si="119"/>
        <v>83.308083302829374</v>
      </c>
      <c r="T148" s="249">
        <f t="shared" si="119"/>
        <v>76.034078623455301</v>
      </c>
      <c r="U148" s="419">
        <f t="shared" si="119"/>
        <v>82.094639950265218</v>
      </c>
      <c r="V148" s="249" t="e">
        <f t="shared" ref="V148" si="120">((V$85-(AN$85+BF$85))/V$85)*100</f>
        <v>#DIV/0!</v>
      </c>
    </row>
    <row r="149" spans="3:113" x14ac:dyDescent="0.35">
      <c r="C149" s="444" t="s">
        <v>310</v>
      </c>
      <c r="D149" s="444"/>
      <c r="E149" s="444"/>
      <c r="F149" s="1818">
        <v>77</v>
      </c>
      <c r="G149" s="446">
        <v>71.2</v>
      </c>
      <c r="H149" s="446">
        <v>69.099999999999994</v>
      </c>
      <c r="I149" s="1864">
        <v>67.7</v>
      </c>
      <c r="J149" s="1818">
        <v>94</v>
      </c>
      <c r="K149" s="446">
        <v>90.5</v>
      </c>
      <c r="L149" s="446">
        <v>89.8</v>
      </c>
      <c r="M149" s="446">
        <v>89</v>
      </c>
      <c r="N149" s="1867">
        <v>88.2</v>
      </c>
      <c r="O149" s="1864">
        <v>87.1</v>
      </c>
      <c r="P149" s="1818">
        <v>88.5</v>
      </c>
      <c r="Q149" s="446">
        <v>83.2</v>
      </c>
      <c r="R149" s="446">
        <v>83</v>
      </c>
      <c r="S149" s="1867">
        <v>84.1</v>
      </c>
      <c r="T149" s="1867">
        <v>83</v>
      </c>
      <c r="U149" s="1867">
        <v>82.9</v>
      </c>
    </row>
    <row r="150" spans="3:113" s="368" customFormat="1" ht="15" thickBot="1" x14ac:dyDescent="0.4">
      <c r="C150" s="413">
        <v>0.95</v>
      </c>
      <c r="D150" s="413"/>
      <c r="E150" s="413"/>
      <c r="F150" s="2164">
        <f>$C$150*F$149</f>
        <v>73.149999999999991</v>
      </c>
      <c r="G150" s="374">
        <f>$C$150*G$149</f>
        <v>67.64</v>
      </c>
      <c r="H150" s="374">
        <f t="shared" ref="H150:K150" si="121">$C$150*H$149</f>
        <v>65.644999999999996</v>
      </c>
      <c r="I150" s="2165">
        <f t="shared" si="121"/>
        <v>64.314999999999998</v>
      </c>
      <c r="J150" s="2164">
        <f t="shared" si="121"/>
        <v>89.3</v>
      </c>
      <c r="K150" s="374">
        <f t="shared" si="121"/>
        <v>85.974999999999994</v>
      </c>
      <c r="L150" s="374">
        <f>$C$150*L$149</f>
        <v>85.309999999999988</v>
      </c>
      <c r="M150" s="374">
        <f t="shared" ref="M150:T150" si="122">$C$150*M$149</f>
        <v>84.55</v>
      </c>
      <c r="N150" s="2166">
        <f t="shared" si="122"/>
        <v>83.789999999999992</v>
      </c>
      <c r="O150" s="2166">
        <f t="shared" si="122"/>
        <v>82.74499999999999</v>
      </c>
      <c r="P150" s="374">
        <f t="shared" si="122"/>
        <v>84.075000000000003</v>
      </c>
      <c r="Q150" s="374">
        <f t="shared" si="122"/>
        <v>79.039999999999992</v>
      </c>
      <c r="R150" s="374">
        <f t="shared" si="122"/>
        <v>78.849999999999994</v>
      </c>
      <c r="S150" s="2166">
        <f t="shared" si="122"/>
        <v>79.894999999999996</v>
      </c>
      <c r="T150" s="2166">
        <f t="shared" si="122"/>
        <v>78.849999999999994</v>
      </c>
      <c r="U150" s="2166">
        <f>$C$150*U$149</f>
        <v>78.754999999999995</v>
      </c>
      <c r="V150" s="365"/>
      <c r="W150" s="1803"/>
      <c r="X150" s="1800"/>
      <c r="Y150" s="365"/>
      <c r="Z150" s="365"/>
      <c r="AA150" s="1804"/>
      <c r="AB150" s="1800"/>
      <c r="AC150" s="365"/>
      <c r="AD150" s="365"/>
      <c r="AE150" s="365"/>
      <c r="AF150" s="365"/>
      <c r="AG150" s="1804"/>
      <c r="AH150" s="1800"/>
      <c r="AI150" s="365"/>
      <c r="AJ150" s="365"/>
      <c r="AK150" s="365"/>
      <c r="AL150" s="365"/>
      <c r="AM150" s="365"/>
      <c r="AN150" s="365"/>
      <c r="AO150" s="366"/>
      <c r="AP150" s="365"/>
      <c r="AQ150" s="365"/>
      <c r="AR150" s="365"/>
      <c r="AS150" s="1804"/>
      <c r="AT150" s="1800"/>
      <c r="AU150" s="365"/>
      <c r="AV150" s="365"/>
      <c r="AW150" s="365"/>
      <c r="AX150" s="365"/>
      <c r="AY150" s="1804"/>
      <c r="AZ150" s="1800"/>
      <c r="BA150" s="365"/>
      <c r="BB150" s="365"/>
      <c r="BC150" s="365"/>
      <c r="BD150" s="365"/>
      <c r="BE150" s="365"/>
      <c r="BF150" s="365"/>
      <c r="BG150" s="366"/>
      <c r="BH150" s="365"/>
      <c r="BI150" s="365"/>
      <c r="BJ150" s="365"/>
      <c r="BK150" s="1804"/>
      <c r="BL150" s="1800"/>
      <c r="BM150" s="365"/>
      <c r="BN150" s="365"/>
      <c r="BO150" s="365"/>
      <c r="BP150" s="365"/>
      <c r="BQ150" s="1804"/>
      <c r="BR150" s="1800"/>
      <c r="BS150" s="365"/>
      <c r="BT150" s="365"/>
      <c r="BU150" s="365"/>
      <c r="BV150" s="365"/>
      <c r="BW150" s="365"/>
      <c r="BX150" s="365"/>
      <c r="BY150" s="366"/>
      <c r="BZ150" s="367"/>
      <c r="CA150" s="365"/>
      <c r="CB150" s="365"/>
      <c r="CC150" s="365"/>
      <c r="CD150" s="1804"/>
      <c r="CE150" s="1800"/>
      <c r="CF150" s="365"/>
      <c r="CG150" s="365"/>
      <c r="CH150" s="365"/>
      <c r="CI150" s="365"/>
      <c r="CJ150" s="1804"/>
      <c r="CK150" s="1800"/>
      <c r="CL150" s="365"/>
      <c r="CM150" s="365"/>
      <c r="CN150" s="365"/>
      <c r="CO150" s="365"/>
      <c r="CP150" s="365"/>
      <c r="CQ150" s="365"/>
      <c r="CR150" s="366"/>
      <c r="CS150" s="365"/>
      <c r="CT150" s="365"/>
      <c r="CU150" s="365"/>
      <c r="CV150" s="1804"/>
      <c r="CW150" s="1800"/>
      <c r="CX150" s="365"/>
      <c r="CY150" s="365"/>
      <c r="CZ150" s="365"/>
      <c r="DA150" s="365"/>
      <c r="DB150" s="1804"/>
      <c r="DC150" s="1800"/>
      <c r="DD150" s="365"/>
      <c r="DE150" s="365"/>
      <c r="DF150" s="365"/>
      <c r="DG150" s="365"/>
      <c r="DH150" s="365"/>
      <c r="DI150" s="365"/>
    </row>
    <row r="151" spans="3:113" ht="15" thickTop="1" x14ac:dyDescent="0.35">
      <c r="C151" s="412"/>
      <c r="D151" s="412"/>
      <c r="E151" s="412"/>
      <c r="F151" s="1812"/>
      <c r="G151" s="309"/>
      <c r="H151" s="309"/>
      <c r="I151" s="1858"/>
      <c r="J151" s="1812"/>
      <c r="K151" s="309"/>
      <c r="L151" s="309"/>
      <c r="M151" s="309"/>
      <c r="N151" s="1859"/>
      <c r="O151" s="1858"/>
      <c r="P151" s="1812"/>
      <c r="Q151" s="309"/>
      <c r="R151" s="309"/>
      <c r="S151" s="1859"/>
      <c r="T151" s="1859"/>
      <c r="U151" s="1859"/>
      <c r="V151" s="229"/>
      <c r="W151" s="1796"/>
      <c r="X151" s="1774"/>
      <c r="Y151" s="229"/>
      <c r="Z151" s="229"/>
      <c r="AA151" s="1773"/>
      <c r="AB151" s="1774"/>
      <c r="AC151" s="229"/>
      <c r="AD151" s="229"/>
      <c r="AE151" s="229"/>
      <c r="AF151" s="229"/>
      <c r="AG151" s="1773"/>
      <c r="AH151" s="1774"/>
      <c r="AI151" s="229"/>
      <c r="AJ151" s="229"/>
      <c r="AK151" s="229"/>
      <c r="AL151" s="229"/>
      <c r="AM151" s="229"/>
      <c r="AN151" s="229"/>
      <c r="AO151" s="356"/>
      <c r="AP151" s="229"/>
      <c r="AQ151" s="229"/>
      <c r="AR151" s="229"/>
      <c r="AS151" s="1773"/>
      <c r="AT151" s="1774"/>
      <c r="AU151" s="229"/>
      <c r="AV151" s="229"/>
      <c r="AW151" s="229"/>
      <c r="AX151" s="229"/>
      <c r="AY151" s="1773"/>
      <c r="AZ151" s="1774"/>
      <c r="BA151" s="229"/>
      <c r="BB151" s="229"/>
      <c r="BC151" s="229"/>
      <c r="BD151" s="229"/>
      <c r="BE151" s="229"/>
      <c r="BF151" s="229"/>
      <c r="BG151" s="356"/>
      <c r="BH151" s="229"/>
      <c r="BI151" s="229"/>
      <c r="BJ151" s="229"/>
      <c r="BK151" s="1773"/>
      <c r="BL151" s="1774"/>
      <c r="BM151" s="229"/>
      <c r="BN151" s="229"/>
      <c r="BO151" s="229"/>
      <c r="BP151" s="229"/>
      <c r="BQ151" s="1773"/>
      <c r="BR151" s="1774"/>
      <c r="BS151" s="229"/>
      <c r="BT151" s="229"/>
      <c r="BU151" s="229"/>
      <c r="BV151" s="229"/>
      <c r="BW151" s="229"/>
      <c r="BX151" s="229"/>
      <c r="BY151" s="356"/>
      <c r="BZ151" s="358"/>
      <c r="CA151" s="229"/>
      <c r="CB151" s="229"/>
      <c r="CC151" s="229"/>
      <c r="CD151" s="1773"/>
      <c r="CE151" s="1774"/>
      <c r="CF151" s="229"/>
      <c r="CG151" s="229"/>
      <c r="CH151" s="229"/>
      <c r="CI151" s="229"/>
      <c r="CJ151" s="1773"/>
      <c r="CK151" s="1774"/>
      <c r="CL151" s="229"/>
      <c r="CM151" s="229"/>
      <c r="CN151" s="229"/>
      <c r="CO151" s="229"/>
      <c r="CP151" s="229"/>
      <c r="CQ151" s="229"/>
      <c r="CR151" s="356"/>
      <c r="CS151" s="229"/>
      <c r="CT151" s="229"/>
      <c r="CU151" s="229"/>
      <c r="CV151" s="1773"/>
      <c r="CW151" s="1774"/>
      <c r="CX151" s="229"/>
      <c r="CY151" s="229"/>
      <c r="CZ151" s="229"/>
      <c r="DA151" s="229"/>
      <c r="DB151" s="1773"/>
      <c r="DC151" s="1774"/>
      <c r="DD151" s="229"/>
      <c r="DE151" s="229"/>
      <c r="DF151" s="229"/>
      <c r="DG151" s="229"/>
      <c r="DH151" s="229"/>
      <c r="DI151" s="229"/>
    </row>
    <row r="152" spans="3:113" x14ac:dyDescent="0.35">
      <c r="C152" s="1" t="s">
        <v>307</v>
      </c>
      <c r="F152" s="501">
        <f>((F$88-(AP$88))/F$88)*100</f>
        <v>82.393196663352413</v>
      </c>
      <c r="G152" s="249">
        <f t="shared" ref="G152:T152" si="123">((G$88-(AQ$88))/G$88)*100</f>
        <v>83.745417317250343</v>
      </c>
      <c r="H152" s="249">
        <f t="shared" si="123"/>
        <v>83.673356241923699</v>
      </c>
      <c r="I152" s="419">
        <f t="shared" si="123"/>
        <v>84.120775648935904</v>
      </c>
      <c r="J152" s="501">
        <f t="shared" si="123"/>
        <v>96.437785995494835</v>
      </c>
      <c r="K152" s="249">
        <f t="shared" si="123"/>
        <v>95.098931432876725</v>
      </c>
      <c r="L152" s="249">
        <f t="shared" si="123"/>
        <v>93.544451041530891</v>
      </c>
      <c r="M152" s="249">
        <f t="shared" si="123"/>
        <v>94.195798984056921</v>
      </c>
      <c r="N152" s="249">
        <f t="shared" si="123"/>
        <v>92.583861588607917</v>
      </c>
      <c r="O152" s="419">
        <f t="shared" si="123"/>
        <v>92.564441410955297</v>
      </c>
      <c r="P152" s="501">
        <f t="shared" si="123"/>
        <v>96.170295347279151</v>
      </c>
      <c r="Q152" s="249">
        <f t="shared" si="123"/>
        <v>94.569944887125672</v>
      </c>
      <c r="R152" s="249">
        <f t="shared" si="123"/>
        <v>91.338075818996401</v>
      </c>
      <c r="S152" s="249">
        <f t="shared" si="123"/>
        <v>93.785761888483108</v>
      </c>
      <c r="T152" s="249">
        <f t="shared" si="123"/>
        <v>88.734090659631264</v>
      </c>
      <c r="U152" s="419">
        <f>((U$88-(BE$88))/U$88)*100</f>
        <v>91.726677632133274</v>
      </c>
      <c r="V152" s="249" t="e">
        <f t="shared" ref="V152" si="124">((V$88-(AN$88+BF$88))/V$88)*100</f>
        <v>#DIV/0!</v>
      </c>
      <c r="X152" s="1726">
        <v>95.93</v>
      </c>
      <c r="CE152" s="1703" t="s">
        <v>222</v>
      </c>
      <c r="CW152" s="1703" t="s">
        <v>218</v>
      </c>
    </row>
    <row r="153" spans="3:113" x14ac:dyDescent="0.35">
      <c r="C153" s="444" t="s">
        <v>308</v>
      </c>
      <c r="D153" s="444"/>
      <c r="E153" s="444"/>
      <c r="F153" s="1818">
        <v>92</v>
      </c>
      <c r="G153" s="446">
        <v>88.5</v>
      </c>
      <c r="H153" s="446">
        <v>86.2</v>
      </c>
      <c r="I153" s="1864">
        <v>85.2</v>
      </c>
      <c r="J153" s="1818">
        <v>98.5</v>
      </c>
      <c r="K153" s="446">
        <v>98.2</v>
      </c>
      <c r="L153" s="446">
        <v>98</v>
      </c>
      <c r="M153" s="446">
        <v>97.8</v>
      </c>
      <c r="N153" s="1867">
        <v>97.6</v>
      </c>
      <c r="O153" s="1864">
        <v>97.4</v>
      </c>
      <c r="P153" s="1818">
        <v>97</v>
      </c>
      <c r="Q153" s="446">
        <v>94.4</v>
      </c>
      <c r="R153" s="446">
        <v>94</v>
      </c>
      <c r="S153" s="1867">
        <v>95</v>
      </c>
      <c r="T153" s="1867">
        <v>94.5</v>
      </c>
      <c r="U153" s="1867">
        <v>93.9</v>
      </c>
      <c r="CE153" s="1703"/>
      <c r="CW153" s="1703"/>
    </row>
    <row r="154" spans="3:113" ht="15" thickBot="1" x14ac:dyDescent="0.4">
      <c r="C154" s="167">
        <v>0.95</v>
      </c>
      <c r="D154" s="167"/>
      <c r="E154" s="167"/>
      <c r="F154" s="1830">
        <f>$C$154*F$153</f>
        <v>87.399999999999991</v>
      </c>
      <c r="G154" s="311">
        <f t="shared" ref="G154:T154" si="125">$C$154*G$153</f>
        <v>84.075000000000003</v>
      </c>
      <c r="H154" s="311">
        <f t="shared" si="125"/>
        <v>81.89</v>
      </c>
      <c r="I154" s="1860">
        <f t="shared" si="125"/>
        <v>80.94</v>
      </c>
      <c r="J154" s="1830">
        <f t="shared" si="125"/>
        <v>93.574999999999989</v>
      </c>
      <c r="K154" s="311">
        <f t="shared" si="125"/>
        <v>93.289999999999992</v>
      </c>
      <c r="L154" s="311">
        <f t="shared" si="125"/>
        <v>93.1</v>
      </c>
      <c r="M154" s="311">
        <f t="shared" si="125"/>
        <v>92.91</v>
      </c>
      <c r="N154" s="1861">
        <f t="shared" si="125"/>
        <v>92.719999999999985</v>
      </c>
      <c r="O154" s="1860">
        <f t="shared" si="125"/>
        <v>92.53</v>
      </c>
      <c r="P154" s="1830">
        <f t="shared" si="125"/>
        <v>92.149999999999991</v>
      </c>
      <c r="Q154" s="311">
        <f t="shared" si="125"/>
        <v>89.68</v>
      </c>
      <c r="R154" s="311">
        <f t="shared" si="125"/>
        <v>89.3</v>
      </c>
      <c r="S154" s="1861">
        <f t="shared" si="125"/>
        <v>90.25</v>
      </c>
      <c r="T154" s="1861">
        <f t="shared" si="125"/>
        <v>89.774999999999991</v>
      </c>
      <c r="U154" s="1861">
        <f>$C$154*U$153</f>
        <v>89.204999999999998</v>
      </c>
      <c r="V154" s="225"/>
      <c r="W154" s="1790"/>
      <c r="X154" s="1768"/>
      <c r="Y154" s="225"/>
      <c r="Z154" s="225"/>
      <c r="AA154" s="226"/>
      <c r="AB154" s="1768"/>
      <c r="AC154" s="225"/>
      <c r="AD154" s="225"/>
      <c r="AE154" s="225"/>
      <c r="AF154" s="225"/>
      <c r="AG154" s="226"/>
      <c r="AH154" s="1768"/>
      <c r="AI154" s="225"/>
      <c r="AJ154" s="225"/>
      <c r="AK154" s="225"/>
      <c r="AL154" s="225"/>
      <c r="AM154" s="225"/>
      <c r="AN154" s="225"/>
      <c r="AO154" s="344"/>
      <c r="AP154" s="225"/>
      <c r="AQ154" s="225"/>
      <c r="AR154" s="225"/>
      <c r="AS154" s="226"/>
      <c r="AT154" s="1768"/>
      <c r="AU154" s="225"/>
      <c r="AV154" s="225"/>
      <c r="AW154" s="225"/>
      <c r="AX154" s="225"/>
      <c r="AY154" s="226"/>
      <c r="AZ154" s="1768"/>
      <c r="BA154" s="225"/>
      <c r="BB154" s="225"/>
      <c r="BC154" s="225"/>
      <c r="BD154" s="225"/>
      <c r="BE154" s="225"/>
      <c r="BF154" s="225"/>
      <c r="BG154" s="344"/>
      <c r="BH154" s="225"/>
      <c r="BI154" s="225"/>
      <c r="BJ154" s="225"/>
      <c r="BK154" s="226"/>
      <c r="BL154" s="1768"/>
      <c r="BM154" s="225"/>
      <c r="BN154" s="225"/>
      <c r="BO154" s="225"/>
      <c r="BP154" s="225"/>
      <c r="BQ154" s="226"/>
      <c r="BR154" s="1768"/>
      <c r="BS154" s="225"/>
      <c r="BT154" s="225"/>
      <c r="BU154" s="225"/>
      <c r="BV154" s="225"/>
      <c r="BW154" s="225"/>
      <c r="BX154" s="225"/>
      <c r="BY154" s="344"/>
      <c r="BZ154" s="345"/>
      <c r="CA154" s="225"/>
      <c r="CB154" s="225"/>
      <c r="CC154" s="225"/>
      <c r="CD154" s="226"/>
      <c r="CE154" s="2059"/>
      <c r="CF154" s="225"/>
      <c r="CG154" s="225"/>
      <c r="CH154" s="225"/>
      <c r="CI154" s="225"/>
      <c r="CJ154" s="226"/>
      <c r="CK154" s="1768"/>
      <c r="CL154" s="225"/>
      <c r="CM154" s="225"/>
      <c r="CN154" s="225"/>
      <c r="CO154" s="225"/>
      <c r="CP154" s="225"/>
      <c r="CQ154" s="225"/>
      <c r="CR154" s="344"/>
      <c r="CS154" s="225"/>
      <c r="CT154" s="225"/>
      <c r="CU154" s="225"/>
      <c r="CV154" s="226"/>
      <c r="CW154" s="2059"/>
      <c r="CX154" s="225"/>
      <c r="CY154" s="225"/>
      <c r="CZ154" s="225"/>
      <c r="DA154" s="225"/>
      <c r="DB154" s="226"/>
      <c r="DC154" s="1768"/>
      <c r="DD154" s="225"/>
      <c r="DE154" s="225"/>
      <c r="DF154" s="225"/>
      <c r="DG154" s="225"/>
      <c r="DH154" s="225"/>
      <c r="DI154" s="225"/>
    </row>
    <row r="155" spans="3:113" s="377" customFormat="1" ht="15" thickTop="1" x14ac:dyDescent="0.35">
      <c r="C155" s="414"/>
      <c r="D155" s="414"/>
      <c r="E155" s="414"/>
      <c r="F155" s="2088"/>
      <c r="G155" s="371"/>
      <c r="H155" s="371"/>
      <c r="I155" s="2167"/>
      <c r="J155" s="2088"/>
      <c r="K155" s="371"/>
      <c r="L155" s="371"/>
      <c r="M155" s="371"/>
      <c r="N155" s="2168"/>
      <c r="O155" s="2167"/>
      <c r="P155" s="2088"/>
      <c r="Q155" s="371"/>
      <c r="R155" s="371"/>
      <c r="S155" s="2168"/>
      <c r="T155" s="2168"/>
      <c r="U155" s="2168"/>
      <c r="V155" s="347"/>
      <c r="W155" s="1878"/>
      <c r="X155" s="1879"/>
      <c r="Y155" s="347"/>
      <c r="Z155" s="347"/>
      <c r="AA155" s="1880"/>
      <c r="AB155" s="1879"/>
      <c r="AC155" s="347"/>
      <c r="AD155" s="347"/>
      <c r="AE155" s="347"/>
      <c r="AF155" s="347"/>
      <c r="AG155" s="1880"/>
      <c r="AH155" s="1879"/>
      <c r="AI155" s="347"/>
      <c r="AJ155" s="347"/>
      <c r="AK155" s="347"/>
      <c r="AL155" s="347"/>
      <c r="AM155" s="347"/>
      <c r="AN155" s="347"/>
      <c r="AO155" s="352"/>
      <c r="AP155" s="347"/>
      <c r="AQ155" s="347"/>
      <c r="AR155" s="347"/>
      <c r="AS155" s="1880"/>
      <c r="AT155" s="1879"/>
      <c r="AU155" s="347"/>
      <c r="AV155" s="347"/>
      <c r="AW155" s="347"/>
      <c r="AX155" s="347"/>
      <c r="AY155" s="1880"/>
      <c r="AZ155" s="1879"/>
      <c r="BA155" s="347"/>
      <c r="BB155" s="347"/>
      <c r="BC155" s="347"/>
      <c r="BD155" s="347"/>
      <c r="BE155" s="347"/>
      <c r="BF155" s="347"/>
      <c r="BG155" s="352"/>
      <c r="BH155" s="347"/>
      <c r="BI155" s="347"/>
      <c r="BJ155" s="347"/>
      <c r="BK155" s="1880"/>
      <c r="BL155" s="1879"/>
      <c r="BM155" s="347"/>
      <c r="BN155" s="347"/>
      <c r="BO155" s="347"/>
      <c r="BP155" s="347"/>
      <c r="BQ155" s="1880"/>
      <c r="BR155" s="1879"/>
      <c r="BS155" s="347"/>
      <c r="BT155" s="347"/>
      <c r="BU155" s="347"/>
      <c r="BV155" s="347"/>
      <c r="BW155" s="347"/>
      <c r="BX155" s="347"/>
      <c r="BY155" s="352"/>
      <c r="BZ155" s="355"/>
      <c r="CA155" s="347"/>
      <c r="CB155" s="347"/>
      <c r="CC155" s="347"/>
      <c r="CD155" s="1880"/>
      <c r="CE155" s="1882"/>
      <c r="CF155" s="347"/>
      <c r="CG155" s="347"/>
      <c r="CH155" s="347"/>
      <c r="CI155" s="347"/>
      <c r="CJ155" s="1880"/>
      <c r="CK155" s="1879"/>
      <c r="CL155" s="347"/>
      <c r="CM155" s="347"/>
      <c r="CN155" s="347"/>
      <c r="CO155" s="347"/>
      <c r="CP155" s="347"/>
      <c r="CQ155" s="347"/>
      <c r="CR155" s="352"/>
      <c r="CS155" s="347"/>
      <c r="CT155" s="347"/>
      <c r="CU155" s="347"/>
      <c r="CV155" s="1880"/>
      <c r="CW155" s="1882"/>
      <c r="CX155" s="347"/>
      <c r="CY155" s="347"/>
      <c r="CZ155" s="347"/>
      <c r="DA155" s="347"/>
      <c r="DB155" s="1880"/>
      <c r="DC155" s="1879"/>
      <c r="DD155" s="347"/>
      <c r="DE155" s="347"/>
      <c r="DF155" s="347"/>
      <c r="DG155" s="347"/>
      <c r="DH155" s="347"/>
      <c r="DI155" s="347"/>
    </row>
    <row r="156" spans="3:113" x14ac:dyDescent="0.35">
      <c r="C156" s="1" t="s">
        <v>305</v>
      </c>
      <c r="F156" s="1839">
        <f>F$148*F$85/100</f>
        <v>1.2404152340425531E-2</v>
      </c>
      <c r="G156" s="251">
        <f t="shared" ref="G156:V156" si="126">G$148*G$85/100</f>
        <v>1.2649490000000001E-2</v>
      </c>
      <c r="H156" s="251">
        <f t="shared" si="126"/>
        <v>1.2654132925531919E-2</v>
      </c>
      <c r="I156" s="2066">
        <f t="shared" si="126"/>
        <v>1.2788503225806451E-2</v>
      </c>
      <c r="J156" s="1839">
        <f t="shared" si="126"/>
        <v>1.6100425096000005E-2</v>
      </c>
      <c r="K156" s="251">
        <f t="shared" si="126"/>
        <v>1.7450018840579708E-2</v>
      </c>
      <c r="L156" s="251">
        <f t="shared" si="126"/>
        <v>1.8471478260869565E-2</v>
      </c>
      <c r="M156" s="251">
        <f t="shared" si="126"/>
        <v>1.7302262173913049E-2</v>
      </c>
      <c r="N156" s="2067">
        <f t="shared" si="126"/>
        <v>1.6588149528985505E-2</v>
      </c>
      <c r="O156" s="2066">
        <f t="shared" si="126"/>
        <v>1.6987603152173913E-2</v>
      </c>
      <c r="P156" s="1839">
        <f t="shared" si="126"/>
        <v>2.7936896666666669E-2</v>
      </c>
      <c r="Q156" s="251">
        <f t="shared" si="126"/>
        <v>2.7151514347826092E-2</v>
      </c>
      <c r="R156" s="251">
        <f t="shared" si="126"/>
        <v>2.6729121304347823E-2</v>
      </c>
      <c r="S156" s="2067">
        <f t="shared" si="126"/>
        <v>2.661791057971015E-2</v>
      </c>
      <c r="T156" s="2067">
        <f t="shared" si="126"/>
        <v>2.3558313382352938E-2</v>
      </c>
      <c r="U156" s="2067">
        <f t="shared" si="126"/>
        <v>2.5983749230769231E-2</v>
      </c>
      <c r="V156" s="244" t="e">
        <f t="shared" si="126"/>
        <v>#DIV/0!</v>
      </c>
      <c r="CA156" s="251">
        <f t="shared" ref="CA156:CP156" si="127">SUM(CA124:CA133)</f>
        <v>11.407495474264216</v>
      </c>
      <c r="CB156" s="251">
        <f t="shared" si="127"/>
        <v>11.856143676216858</v>
      </c>
      <c r="CC156" s="251">
        <f t="shared" si="127"/>
        <v>7.6739271407620713</v>
      </c>
      <c r="CD156" s="1846">
        <f t="shared" si="127"/>
        <v>6.1712742791392721</v>
      </c>
      <c r="CE156" s="1839">
        <f t="shared" si="127"/>
        <v>9.2329806671283805</v>
      </c>
      <c r="CF156" s="251">
        <f t="shared" si="127"/>
        <v>7.3202832474808224</v>
      </c>
      <c r="CG156" s="251">
        <f t="shared" si="127"/>
        <v>7.5677746432437836</v>
      </c>
      <c r="CH156" s="251">
        <f t="shared" si="127"/>
        <v>7.4124285241498775</v>
      </c>
      <c r="CI156" s="251">
        <f t="shared" si="127"/>
        <v>7.8371193169971569</v>
      </c>
      <c r="CJ156" s="1846">
        <f t="shared" si="127"/>
        <v>7.9655237525060141</v>
      </c>
      <c r="CK156" s="1839">
        <f t="shared" si="127"/>
        <v>8.4009896564482034</v>
      </c>
      <c r="CL156" s="251">
        <f t="shared" si="127"/>
        <v>8.0878859532716909</v>
      </c>
      <c r="CM156" s="251">
        <f t="shared" si="127"/>
        <v>8.0202194322191431</v>
      </c>
      <c r="CN156" s="251">
        <f t="shared" si="127"/>
        <v>8.2273974951358007</v>
      </c>
      <c r="CO156" s="251">
        <f t="shared" si="127"/>
        <v>8.5344355378160106</v>
      </c>
      <c r="CP156" s="251">
        <f t="shared" si="127"/>
        <v>8.1543304256275668</v>
      </c>
      <c r="CQ156" s="251"/>
      <c r="CR156" s="325"/>
      <c r="CS156" s="251">
        <f t="shared" ref="CS156:CY156" si="128">SUM(CS124:CS133)</f>
        <v>3.1761313774634883</v>
      </c>
      <c r="CT156" s="251">
        <f t="shared" si="128"/>
        <v>0.43930631598746078</v>
      </c>
      <c r="CU156" s="251">
        <f t="shared" si="128"/>
        <v>0.69933868132001664</v>
      </c>
      <c r="CV156" s="1846">
        <f t="shared" si="128"/>
        <v>1.9348632403659954E-2</v>
      </c>
      <c r="CW156" s="1839">
        <f t="shared" si="128"/>
        <v>1.3428205392943064</v>
      </c>
      <c r="CX156" s="251">
        <f t="shared" si="128"/>
        <v>1.3983058813475573</v>
      </c>
      <c r="CY156" s="251">
        <f t="shared" si="128"/>
        <v>1.2252865283356822</v>
      </c>
      <c r="CZ156" s="251">
        <f t="shared" ref="CZ156:DH156" si="129">SUM(CZ124:CZ146)</f>
        <v>1.0172376282714879</v>
      </c>
      <c r="DA156" s="251">
        <f t="shared" si="129"/>
        <v>0.58745105332798719</v>
      </c>
      <c r="DB156" s="1846">
        <f t="shared" si="129"/>
        <v>2.1662073481405878E-3</v>
      </c>
      <c r="DC156" s="1839">
        <f t="shared" si="129"/>
        <v>1.1413923024349348</v>
      </c>
      <c r="DD156" s="251">
        <f t="shared" si="129"/>
        <v>2.685080733253749</v>
      </c>
      <c r="DE156" s="251">
        <f t="shared" si="129"/>
        <v>2.7040257793198625</v>
      </c>
      <c r="DF156" s="251">
        <f t="shared" si="129"/>
        <v>1.4303978441441276</v>
      </c>
      <c r="DG156" s="251">
        <f t="shared" si="129"/>
        <v>0.56174180164587528</v>
      </c>
      <c r="DH156" s="251">
        <f t="shared" si="129"/>
        <v>1.375204712957852</v>
      </c>
    </row>
    <row r="157" spans="3:113" x14ac:dyDescent="0.35">
      <c r="C157" s="1" t="s">
        <v>306</v>
      </c>
      <c r="F157" s="1819">
        <f t="shared" ref="F157:V157" si="130">F$152*F$88/100</f>
        <v>5.4354076595744684E-2</v>
      </c>
      <c r="G157" s="249">
        <f t="shared" si="130"/>
        <v>5.3444395000000006E-2</v>
      </c>
      <c r="H157" s="249">
        <f t="shared" si="130"/>
        <v>5.2489815257092204E-2</v>
      </c>
      <c r="I157" s="1864">
        <f t="shared" si="130"/>
        <v>5.2807966021505365E-2</v>
      </c>
      <c r="J157" s="1819">
        <f t="shared" si="130"/>
        <v>4.4386736456000005E-2</v>
      </c>
      <c r="K157" s="249">
        <f t="shared" si="130"/>
        <v>4.9021024927536239E-2</v>
      </c>
      <c r="L157" s="249">
        <f t="shared" si="130"/>
        <v>5.2534617391304342E-2</v>
      </c>
      <c r="M157" s="249">
        <f t="shared" si="130"/>
        <v>4.9094208260869562E-2</v>
      </c>
      <c r="N157" s="1867">
        <f t="shared" si="130"/>
        <v>4.7931769710144921E-2</v>
      </c>
      <c r="O157" s="1864">
        <f t="shared" si="130"/>
        <v>4.8566195978260868E-2</v>
      </c>
      <c r="P157" s="1819">
        <f t="shared" si="130"/>
        <v>8.5648303333333328E-2</v>
      </c>
      <c r="Q157" s="249">
        <f t="shared" si="130"/>
        <v>8.4638719130434761E-2</v>
      </c>
      <c r="R157" s="249">
        <f t="shared" si="130"/>
        <v>8.581826173913043E-2</v>
      </c>
      <c r="S157" s="1867">
        <f t="shared" si="130"/>
        <v>8.4211703550724618E-2</v>
      </c>
      <c r="T157" s="1867">
        <f t="shared" si="130"/>
        <v>7.7263634411764703E-2</v>
      </c>
      <c r="U157" s="1867">
        <f t="shared" si="130"/>
        <v>8.1588960549450557E-2</v>
      </c>
      <c r="V157" s="249" t="e">
        <f t="shared" si="130"/>
        <v>#DIV/0!</v>
      </c>
    </row>
    <row r="158" spans="3:113" ht="15.65" customHeight="1" x14ac:dyDescent="0.35">
      <c r="C158" s="1" t="s">
        <v>311</v>
      </c>
      <c r="F158" s="2169">
        <f t="shared" ref="F158:V158" si="131">F156+F157</f>
        <v>6.6758228936170214E-2</v>
      </c>
      <c r="G158" s="249">
        <f t="shared" si="131"/>
        <v>6.6093885000000005E-2</v>
      </c>
      <c r="H158" s="249">
        <f t="shared" si="131"/>
        <v>6.5143948182624117E-2</v>
      </c>
      <c r="I158" s="1864">
        <f t="shared" si="131"/>
        <v>6.5596469247311814E-2</v>
      </c>
      <c r="J158" s="1819">
        <f t="shared" si="131"/>
        <v>6.0487161552000013E-2</v>
      </c>
      <c r="K158" s="249">
        <f t="shared" si="131"/>
        <v>6.6471043768115939E-2</v>
      </c>
      <c r="L158" s="249">
        <f t="shared" si="131"/>
        <v>7.1006095652173903E-2</v>
      </c>
      <c r="M158" s="249">
        <f t="shared" si="131"/>
        <v>6.6396470434782612E-2</v>
      </c>
      <c r="N158" s="1867">
        <f t="shared" si="131"/>
        <v>6.4519919239130419E-2</v>
      </c>
      <c r="O158" s="1864">
        <f t="shared" si="131"/>
        <v>6.5553799130434784E-2</v>
      </c>
      <c r="P158" s="1819">
        <f t="shared" si="131"/>
        <v>0.1135852</v>
      </c>
      <c r="Q158" s="249">
        <f t="shared" si="131"/>
        <v>0.11179023347826085</v>
      </c>
      <c r="R158" s="249">
        <f t="shared" si="131"/>
        <v>0.11254738304347825</v>
      </c>
      <c r="S158" s="1867">
        <f t="shared" si="131"/>
        <v>0.11082961413043477</v>
      </c>
      <c r="T158" s="1867">
        <f t="shared" si="131"/>
        <v>0.10082194779411764</v>
      </c>
      <c r="U158" s="1867">
        <f t="shared" si="131"/>
        <v>0.10757270978021979</v>
      </c>
      <c r="V158" s="249" t="e">
        <f t="shared" si="131"/>
        <v>#DIV/0!</v>
      </c>
    </row>
    <row r="159" spans="3:113" ht="15.65" customHeight="1" x14ac:dyDescent="0.35">
      <c r="C159" s="1" t="s">
        <v>843</v>
      </c>
      <c r="F159" s="1819">
        <f>F$158*24</f>
        <v>1.602197494468085</v>
      </c>
      <c r="G159" s="249">
        <f>G$158*24</f>
        <v>1.58625324</v>
      </c>
      <c r="H159" s="249">
        <f>H$158*24</f>
        <v>1.5634547563829788</v>
      </c>
      <c r="I159" s="1864">
        <f>I$158*24</f>
        <v>1.5743152619354834</v>
      </c>
      <c r="J159" s="294">
        <f t="shared" ref="J159:V159" si="132">J$158*24</f>
        <v>1.4516918772480003</v>
      </c>
      <c r="K159" s="294">
        <f t="shared" si="132"/>
        <v>1.5953050504347825</v>
      </c>
      <c r="L159" s="294">
        <f t="shared" si="132"/>
        <v>1.7041462956521736</v>
      </c>
      <c r="M159" s="294">
        <f t="shared" si="132"/>
        <v>1.5935152904347827</v>
      </c>
      <c r="N159" s="1864">
        <f t="shared" si="132"/>
        <v>1.5484780617391301</v>
      </c>
      <c r="O159" s="1864">
        <f t="shared" si="132"/>
        <v>1.5732911791304347</v>
      </c>
      <c r="P159" s="294">
        <f t="shared" si="132"/>
        <v>2.7260447999999999</v>
      </c>
      <c r="Q159" s="294">
        <f t="shared" si="132"/>
        <v>2.6829656034782605</v>
      </c>
      <c r="R159" s="294">
        <f t="shared" si="132"/>
        <v>2.7011371930434782</v>
      </c>
      <c r="S159" s="1864">
        <f t="shared" si="132"/>
        <v>2.6599107391304342</v>
      </c>
      <c r="T159" s="1864">
        <f t="shared" si="132"/>
        <v>2.4197267470588235</v>
      </c>
      <c r="U159" s="1864">
        <f t="shared" si="132"/>
        <v>2.5817450347252748</v>
      </c>
      <c r="V159" s="294" t="e">
        <f t="shared" si="132"/>
        <v>#DIV/0!</v>
      </c>
    </row>
    <row r="160" spans="3:113" ht="15.65" customHeight="1" x14ac:dyDescent="0.35">
      <c r="C160" s="1" t="s">
        <v>845</v>
      </c>
      <c r="F160" s="1819">
        <f>F159</f>
        <v>1.602197494468085</v>
      </c>
      <c r="G160" s="249">
        <f>F160+G159</f>
        <v>3.188450734468085</v>
      </c>
      <c r="H160" s="249">
        <f t="shared" ref="H160:V160" si="133">G160+H159</f>
        <v>4.7519054908510636</v>
      </c>
      <c r="I160" s="249">
        <f t="shared" si="133"/>
        <v>6.3262207527865471</v>
      </c>
      <c r="J160" s="249">
        <f t="shared" si="133"/>
        <v>7.7779126300345478</v>
      </c>
      <c r="K160" s="249">
        <f t="shared" si="133"/>
        <v>9.373217680469331</v>
      </c>
      <c r="L160" s="249">
        <f t="shared" si="133"/>
        <v>11.077363976121504</v>
      </c>
      <c r="M160" s="249">
        <f t="shared" si="133"/>
        <v>12.670879266556286</v>
      </c>
      <c r="N160" s="249">
        <f t="shared" si="133"/>
        <v>14.219357328295416</v>
      </c>
      <c r="O160" s="249">
        <f t="shared" si="133"/>
        <v>15.79264850742585</v>
      </c>
      <c r="P160" s="249">
        <f t="shared" si="133"/>
        <v>18.518693307425849</v>
      </c>
      <c r="Q160" s="249">
        <f t="shared" si="133"/>
        <v>21.201658910904108</v>
      </c>
      <c r="R160" s="249">
        <f t="shared" si="133"/>
        <v>23.902796103947587</v>
      </c>
      <c r="S160" s="249">
        <f t="shared" si="133"/>
        <v>26.562706843078022</v>
      </c>
      <c r="T160" s="249">
        <f t="shared" si="133"/>
        <v>28.982433590136846</v>
      </c>
      <c r="U160" s="249">
        <f t="shared" si="133"/>
        <v>31.564178624862123</v>
      </c>
      <c r="V160" s="249" t="e">
        <f t="shared" si="133"/>
        <v>#DIV/0!</v>
      </c>
    </row>
    <row r="161" spans="3:113" ht="15.65" customHeight="1" x14ac:dyDescent="0.35">
      <c r="C161" s="1" t="s">
        <v>414</v>
      </c>
      <c r="F161" s="1819">
        <v>172.26</v>
      </c>
      <c r="G161" s="249">
        <v>172.26</v>
      </c>
      <c r="H161" s="243">
        <v>172.26</v>
      </c>
      <c r="I161" s="2170">
        <v>172.26</v>
      </c>
      <c r="J161" s="1819">
        <v>172.26</v>
      </c>
      <c r="K161" s="243">
        <v>172.26</v>
      </c>
      <c r="L161" s="243">
        <v>172.26</v>
      </c>
      <c r="M161" s="249">
        <v>172.26</v>
      </c>
      <c r="N161" s="1867">
        <v>172.26</v>
      </c>
      <c r="O161" s="1864">
        <v>172.26</v>
      </c>
      <c r="P161" s="1819">
        <v>172.26</v>
      </c>
      <c r="Q161" s="243">
        <v>172.26</v>
      </c>
      <c r="R161" s="249">
        <v>172.26</v>
      </c>
      <c r="S161" s="1867">
        <v>172.26</v>
      </c>
      <c r="T161" s="2171">
        <v>172.26</v>
      </c>
      <c r="U161" s="1867">
        <v>172.26</v>
      </c>
      <c r="V161" s="249">
        <v>172.26</v>
      </c>
    </row>
    <row r="162" spans="3:113" ht="15.65" customHeight="1" x14ac:dyDescent="0.35">
      <c r="C162" s="1" t="s">
        <v>844</v>
      </c>
      <c r="F162" s="653">
        <f>F160*100/F161</f>
        <v>0.93010419973765535</v>
      </c>
      <c r="G162" s="249">
        <f t="shared" ref="G162:V162" si="134">G160*100/G161</f>
        <v>1.8509524755997244</v>
      </c>
      <c r="H162" s="249">
        <f t="shared" si="134"/>
        <v>2.7585658254098826</v>
      </c>
      <c r="I162" s="654">
        <f t="shared" si="134"/>
        <v>3.6724838922480831</v>
      </c>
      <c r="J162" s="653">
        <f t="shared" si="134"/>
        <v>4.5152168988938515</v>
      </c>
      <c r="K162" s="249">
        <f t="shared" si="134"/>
        <v>5.4413199120337463</v>
      </c>
      <c r="L162" s="249">
        <f t="shared" si="134"/>
        <v>6.4306072077798113</v>
      </c>
      <c r="M162" s="249">
        <f t="shared" si="134"/>
        <v>7.3556712333427878</v>
      </c>
      <c r="N162" s="249">
        <f t="shared" si="134"/>
        <v>8.2545903449990803</v>
      </c>
      <c r="O162" s="654">
        <f t="shared" si="134"/>
        <v>9.1679139135178502</v>
      </c>
      <c r="P162" s="653">
        <f t="shared" si="134"/>
        <v>10.750431503207855</v>
      </c>
      <c r="Q162" s="249">
        <f t="shared" si="134"/>
        <v>12.307940851563977</v>
      </c>
      <c r="R162" s="249">
        <f t="shared" si="134"/>
        <v>13.875999131514911</v>
      </c>
      <c r="S162" s="249">
        <f t="shared" si="134"/>
        <v>15.420124720235703</v>
      </c>
      <c r="T162" s="249">
        <f t="shared" si="134"/>
        <v>16.824819221024526</v>
      </c>
      <c r="U162" s="249">
        <f t="shared" si="134"/>
        <v>18.323568225276979</v>
      </c>
      <c r="V162" s="654" t="e">
        <f t="shared" si="134"/>
        <v>#DIV/0!</v>
      </c>
      <c r="W162" s="1790"/>
      <c r="X162" s="1768"/>
      <c r="Y162" s="225"/>
      <c r="Z162" s="225"/>
      <c r="AA162" s="226"/>
      <c r="AB162" s="1768"/>
      <c r="AC162" s="225" t="s">
        <v>872</v>
      </c>
      <c r="AD162" s="225" t="s">
        <v>832</v>
      </c>
      <c r="AE162" s="225" t="s">
        <v>833</v>
      </c>
      <c r="AF162" s="225"/>
      <c r="AG162" s="226"/>
      <c r="AH162" s="1768"/>
      <c r="AI162" s="225"/>
      <c r="AJ162" s="225"/>
      <c r="AK162" s="225"/>
      <c r="AL162" s="225"/>
      <c r="AM162" s="225"/>
      <c r="AN162" s="225"/>
      <c r="AO162" s="344"/>
      <c r="AP162" s="225"/>
      <c r="AQ162" s="225"/>
      <c r="AR162" s="225"/>
      <c r="AS162" s="226"/>
      <c r="AT162" s="1768"/>
      <c r="AU162" s="225"/>
      <c r="AV162" s="225"/>
      <c r="AW162" s="225"/>
      <c r="AX162" s="225"/>
      <c r="AY162" s="226"/>
      <c r="AZ162" s="1768"/>
      <c r="BA162" s="225"/>
      <c r="BB162" s="225"/>
      <c r="BC162" s="225"/>
      <c r="BD162" s="225"/>
      <c r="BE162" s="225"/>
      <c r="BF162" s="225"/>
      <c r="BG162" s="344"/>
      <c r="BH162" s="225"/>
      <c r="BI162" s="225"/>
      <c r="BJ162" s="225"/>
      <c r="BK162" s="226"/>
      <c r="BL162" s="1768"/>
      <c r="BM162" s="225"/>
      <c r="BN162" s="225"/>
      <c r="BO162" s="225"/>
      <c r="BP162" s="225"/>
      <c r="BQ162" s="226"/>
      <c r="BR162" s="1768"/>
      <c r="BS162" s="225"/>
      <c r="BT162" s="225"/>
      <c r="BU162" s="225"/>
      <c r="BV162" s="225"/>
      <c r="BW162" s="225"/>
      <c r="BX162" s="225"/>
      <c r="BY162" s="344"/>
      <c r="BZ162" s="345"/>
      <c r="CA162" s="225"/>
      <c r="CB162" s="225"/>
      <c r="CC162" s="225"/>
      <c r="CD162" s="226"/>
      <c r="CE162" s="1768"/>
      <c r="CF162" s="225"/>
      <c r="CG162" s="225"/>
      <c r="CH162" s="225"/>
      <c r="CI162" s="225"/>
      <c r="CJ162" s="226"/>
      <c r="CK162" s="1768"/>
      <c r="CL162" s="225"/>
      <c r="CM162" s="225"/>
      <c r="CN162" s="225"/>
      <c r="CO162" s="225"/>
      <c r="CP162" s="225"/>
      <c r="CQ162" s="225"/>
      <c r="CR162" s="344"/>
      <c r="CS162" s="225"/>
      <c r="CT162" s="225"/>
      <c r="CU162" s="225"/>
      <c r="CV162" s="226"/>
      <c r="CW162" s="1768"/>
      <c r="CX162" s="225"/>
      <c r="CY162" s="225"/>
      <c r="CZ162" s="225"/>
      <c r="DA162" s="225"/>
      <c r="DB162" s="226"/>
      <c r="DC162" s="1768"/>
      <c r="DD162" s="225"/>
      <c r="DE162" s="225"/>
      <c r="DF162" s="225"/>
      <c r="DG162" s="225"/>
      <c r="DH162" s="225"/>
      <c r="DI162" s="225"/>
    </row>
    <row r="163" spans="3:113" ht="15.65" customHeight="1" x14ac:dyDescent="0.35">
      <c r="C163" s="1" t="s">
        <v>304</v>
      </c>
      <c r="F163" s="2172">
        <f>100*F$158/(F$85+F$88)</f>
        <v>78.072269550409914</v>
      </c>
      <c r="G163" s="652">
        <f t="shared" ref="G163:V163" si="135">100*G$158/(G$85+G$88)</f>
        <v>79.901132240931815</v>
      </c>
      <c r="H163" s="652">
        <f t="shared" si="135"/>
        <v>80.115950339524659</v>
      </c>
      <c r="I163" s="1860">
        <f t="shared" si="135"/>
        <v>80.61522293225029</v>
      </c>
      <c r="J163" s="2172">
        <f t="shared" si="135"/>
        <v>94.111229621789718</v>
      </c>
      <c r="K163" s="652">
        <f t="shared" si="135"/>
        <v>92.344274622059316</v>
      </c>
      <c r="L163" s="652">
        <f t="shared" si="135"/>
        <v>90.542465472241489</v>
      </c>
      <c r="M163" s="652">
        <f t="shared" si="135"/>
        <v>91.228491345592857</v>
      </c>
      <c r="N163" s="1861">
        <f t="shared" si="135"/>
        <v>89.246227622741543</v>
      </c>
      <c r="O163" s="1860">
        <f t="shared" si="135"/>
        <v>89.473039000423952</v>
      </c>
      <c r="P163" s="2172">
        <f t="shared" si="135"/>
        <v>94.066807730052702</v>
      </c>
      <c r="Q163" s="652">
        <f t="shared" si="135"/>
        <v>92.125612856891621</v>
      </c>
      <c r="R163" s="652">
        <f t="shared" si="135"/>
        <v>88.348670633282524</v>
      </c>
      <c r="S163" s="1861">
        <f t="shared" si="135"/>
        <v>91.035913042577661</v>
      </c>
      <c r="T163" s="1861">
        <f t="shared" si="135"/>
        <v>85.400994196023262</v>
      </c>
      <c r="U163" s="1861">
        <f t="shared" si="135"/>
        <v>89.198765796827644</v>
      </c>
      <c r="V163" s="652" t="e">
        <f t="shared" si="135"/>
        <v>#DIV/0!</v>
      </c>
      <c r="W163" s="1790"/>
      <c r="X163" s="1768"/>
      <c r="Y163" s="373"/>
      <c r="Z163" s="225"/>
      <c r="AA163" s="226"/>
      <c r="AB163" s="1768" t="s">
        <v>56</v>
      </c>
      <c r="AC163" s="2173">
        <f>AVERAGE(H163:I163)</f>
        <v>80.365586635887468</v>
      </c>
      <c r="AD163" s="2173">
        <f>AVERAGE(M163:O163)</f>
        <v>89.982585989586127</v>
      </c>
      <c r="AE163" s="2173">
        <f>AVERAGE(R163:T163)</f>
        <v>88.261859290627811</v>
      </c>
      <c r="AF163" s="225"/>
      <c r="AG163" s="226"/>
      <c r="AH163" s="1768"/>
      <c r="AI163" s="225"/>
      <c r="AJ163" s="225"/>
      <c r="AK163" s="225"/>
      <c r="AL163" s="225"/>
      <c r="AM163" s="225"/>
      <c r="AN163" s="225"/>
      <c r="AO163" s="344"/>
      <c r="AP163" s="373"/>
      <c r="AQ163" s="225"/>
      <c r="AR163" s="225"/>
      <c r="AS163" s="226"/>
      <c r="AT163" s="1768"/>
      <c r="AU163" s="225"/>
      <c r="AV163" s="225"/>
      <c r="AW163" s="225"/>
      <c r="AX163" s="225"/>
      <c r="AY163" s="226"/>
      <c r="AZ163" s="1768"/>
      <c r="BA163" s="225"/>
      <c r="BB163" s="225"/>
      <c r="BC163" s="225"/>
      <c r="BD163" s="225"/>
      <c r="BE163" s="225"/>
      <c r="BF163" s="225"/>
      <c r="BG163" s="344"/>
      <c r="BH163" s="225"/>
      <c r="BI163" s="225"/>
      <c r="BJ163" s="225"/>
      <c r="BK163" s="226"/>
      <c r="BL163" s="1768"/>
      <c r="BM163" s="225"/>
      <c r="BN163" s="225"/>
      <c r="BO163" s="225"/>
      <c r="BP163" s="225"/>
      <c r="BQ163" s="226"/>
      <c r="BR163" s="1768"/>
      <c r="BS163" s="225"/>
      <c r="BT163" s="225"/>
      <c r="BU163" s="225"/>
      <c r="BV163" s="225"/>
      <c r="BW163" s="225"/>
      <c r="BX163" s="225"/>
      <c r="BY163" s="344"/>
      <c r="BZ163" s="345"/>
      <c r="CA163" s="225"/>
      <c r="CB163" s="225"/>
      <c r="CC163" s="225"/>
      <c r="CD163" s="226"/>
      <c r="CE163" s="1768"/>
      <c r="CF163" s="225"/>
      <c r="CG163" s="225"/>
      <c r="CH163" s="225"/>
      <c r="CI163" s="225"/>
      <c r="CJ163" s="226"/>
      <c r="CK163" s="1768"/>
      <c r="CL163" s="225"/>
      <c r="CM163" s="225"/>
      <c r="CN163" s="225"/>
      <c r="CO163" s="225"/>
      <c r="CP163" s="225"/>
      <c r="CQ163" s="225"/>
      <c r="CR163" s="344"/>
      <c r="CS163" s="225"/>
      <c r="CT163" s="225"/>
      <c r="CU163" s="225"/>
      <c r="CV163" s="226"/>
      <c r="CW163" s="1768"/>
      <c r="CX163" s="225"/>
      <c r="CY163" s="225"/>
      <c r="CZ163" s="225"/>
      <c r="DA163" s="225"/>
      <c r="DB163" s="226"/>
      <c r="DC163" s="1768"/>
      <c r="DD163" s="225"/>
      <c r="DE163" s="225"/>
      <c r="DF163" s="225"/>
      <c r="DG163" s="225"/>
      <c r="DH163" s="225"/>
      <c r="DI163" s="225"/>
    </row>
    <row r="164" spans="3:113" s="224" customFormat="1" ht="15.65" customHeight="1" x14ac:dyDescent="0.35">
      <c r="C164" s="2174" t="s">
        <v>624</v>
      </c>
      <c r="D164" s="2175">
        <v>0.65</v>
      </c>
      <c r="E164" s="2175"/>
      <c r="F164" s="501">
        <f>24*F158*$D$164</f>
        <v>1.0414283714042554</v>
      </c>
      <c r="G164" s="249">
        <f t="shared" ref="G164:U164" si="136">24*G158*$D$164</f>
        <v>1.0310646059999999</v>
      </c>
      <c r="H164" s="249">
        <f t="shared" si="136"/>
        <v>1.0162455916489364</v>
      </c>
      <c r="I164" s="2149">
        <f t="shared" si="136"/>
        <v>1.0233049202580642</v>
      </c>
      <c r="J164" s="501">
        <f t="shared" si="136"/>
        <v>0.9435997202112002</v>
      </c>
      <c r="K164" s="249">
        <f t="shared" si="136"/>
        <v>1.0369482827826086</v>
      </c>
      <c r="L164" s="249">
        <f t="shared" si="136"/>
        <v>1.1076950921739128</v>
      </c>
      <c r="M164" s="249">
        <f t="shared" si="136"/>
        <v>1.0357849387826088</v>
      </c>
      <c r="N164" s="1867">
        <f t="shared" si="136"/>
        <v>1.0065107401304345</v>
      </c>
      <c r="O164" s="2149">
        <f t="shared" si="136"/>
        <v>1.0226392664347825</v>
      </c>
      <c r="P164" s="501">
        <f t="shared" si="136"/>
        <v>1.77192912</v>
      </c>
      <c r="Q164" s="249">
        <f t="shared" si="136"/>
        <v>1.7439276422608694</v>
      </c>
      <c r="R164" s="249">
        <f t="shared" si="136"/>
        <v>1.755739175478261</v>
      </c>
      <c r="S164" s="1867">
        <f t="shared" si="136"/>
        <v>1.7289419804347823</v>
      </c>
      <c r="T164" s="1867">
        <f t="shared" si="136"/>
        <v>1.5728223855882353</v>
      </c>
      <c r="U164" s="1867">
        <f t="shared" si="136"/>
        <v>1.6781342725714288</v>
      </c>
      <c r="V164" s="478" t="e">
        <f t="shared" ref="V164" si="137">24*(V158+V184)*$D$164</f>
        <v>#DIV/0!</v>
      </c>
      <c r="W164" s="1701"/>
      <c r="X164" s="1726"/>
      <c r="Y164" s="232"/>
      <c r="Z164" s="232"/>
      <c r="AA164" s="231"/>
      <c r="AB164" s="1726"/>
      <c r="AC164" s="459">
        <f>AVERAGE(H179:I179)</f>
        <v>81.849999999999994</v>
      </c>
      <c r="AD164" s="459">
        <f>AVERAGE(M179:O179)</f>
        <v>95.033333333333346</v>
      </c>
      <c r="AE164" s="459">
        <f>AVERAGE(R179:T179)</f>
        <v>91.333333333333329</v>
      </c>
      <c r="AF164" s="232"/>
      <c r="AG164" s="231"/>
      <c r="AH164" s="1726"/>
      <c r="AI164" s="232"/>
      <c r="AJ164" s="232"/>
      <c r="AK164" s="232"/>
      <c r="AL164" s="232"/>
      <c r="AM164" s="232"/>
      <c r="AN164" s="232"/>
      <c r="AO164" s="323"/>
      <c r="AP164" s="267"/>
      <c r="AQ164" s="232"/>
      <c r="AR164" s="232"/>
      <c r="AS164" s="231"/>
      <c r="AT164" s="1726"/>
      <c r="AU164" s="232"/>
      <c r="AV164" s="232"/>
      <c r="AW164" s="232"/>
      <c r="AX164" s="232"/>
      <c r="AY164" s="231"/>
      <c r="AZ164" s="1726"/>
      <c r="BA164" s="232"/>
      <c r="BB164" s="232"/>
      <c r="BC164" s="232"/>
      <c r="BD164" s="232"/>
      <c r="BE164" s="232"/>
      <c r="BF164" s="232"/>
      <c r="BG164" s="323"/>
      <c r="BH164" s="232"/>
      <c r="BI164" s="232"/>
      <c r="BJ164" s="232"/>
      <c r="BK164" s="231"/>
      <c r="BL164" s="1726"/>
      <c r="BM164" s="232"/>
      <c r="BN164" s="232"/>
      <c r="BO164" s="232"/>
      <c r="BP164" s="232"/>
      <c r="BQ164" s="231"/>
      <c r="BR164" s="1726"/>
      <c r="BS164" s="232"/>
      <c r="BT164" s="232"/>
      <c r="BU164" s="232"/>
      <c r="BV164" s="232"/>
      <c r="BW164" s="232"/>
      <c r="BX164" s="232"/>
      <c r="BY164" s="323"/>
      <c r="BZ164" s="238"/>
      <c r="CA164" s="232"/>
      <c r="CB164" s="232"/>
      <c r="CC164" s="232"/>
      <c r="CD164" s="231"/>
      <c r="CE164" s="1726"/>
      <c r="CF164" s="232"/>
      <c r="CG164" s="232"/>
      <c r="CH164" s="232"/>
      <c r="CI164" s="232"/>
      <c r="CJ164" s="231"/>
      <c r="CK164" s="1726"/>
      <c r="CL164" s="232"/>
      <c r="CM164" s="232"/>
      <c r="CN164" s="232"/>
      <c r="CO164" s="232"/>
      <c r="CP164" s="232"/>
      <c r="CQ164" s="232"/>
      <c r="CR164" s="323"/>
      <c r="CS164" s="232"/>
      <c r="CT164" s="232"/>
      <c r="CU164" s="232"/>
      <c r="CV164" s="231"/>
      <c r="CW164" s="1726"/>
      <c r="CX164" s="232"/>
      <c r="CY164" s="232"/>
      <c r="CZ164" s="232"/>
      <c r="DA164" s="232"/>
      <c r="DB164" s="231"/>
      <c r="DC164" s="1726"/>
      <c r="DD164" s="232"/>
      <c r="DE164" s="232"/>
      <c r="DF164" s="232"/>
      <c r="DG164" s="232"/>
      <c r="DH164" s="232"/>
      <c r="DI164" s="232"/>
    </row>
    <row r="165" spans="3:113" ht="15.65" customHeight="1" x14ac:dyDescent="0.35">
      <c r="C165" s="163" t="s">
        <v>625</v>
      </c>
      <c r="D165" s="415"/>
      <c r="E165" s="415"/>
      <c r="F165" s="501">
        <f>F164</f>
        <v>1.0414283714042554</v>
      </c>
      <c r="G165" s="249">
        <f>F$165+G$164</f>
        <v>2.0724929774042553</v>
      </c>
      <c r="H165" s="249">
        <f t="shared" ref="H165:I165" si="138">G$165+H$164</f>
        <v>3.0887385690531914</v>
      </c>
      <c r="I165" s="2149">
        <f t="shared" si="138"/>
        <v>4.1120434893112554</v>
      </c>
      <c r="J165" s="501">
        <f>I$165+J$164</f>
        <v>5.0556432095224553</v>
      </c>
      <c r="K165" s="249">
        <f t="shared" ref="K165:U165" si="139">J$165+K$164</f>
        <v>6.0925914923050639</v>
      </c>
      <c r="L165" s="249">
        <f t="shared" si="139"/>
        <v>7.2002865844789765</v>
      </c>
      <c r="M165" s="249">
        <f t="shared" si="139"/>
        <v>8.236071523261586</v>
      </c>
      <c r="N165" s="1867">
        <f t="shared" si="139"/>
        <v>9.2425822633920198</v>
      </c>
      <c r="O165" s="2149">
        <f t="shared" si="139"/>
        <v>10.265221529826803</v>
      </c>
      <c r="P165" s="501">
        <f t="shared" si="139"/>
        <v>12.037150649826803</v>
      </c>
      <c r="Q165" s="249">
        <f t="shared" si="139"/>
        <v>13.781078292087672</v>
      </c>
      <c r="R165" s="249">
        <f t="shared" si="139"/>
        <v>15.536817467565934</v>
      </c>
      <c r="S165" s="1867">
        <f t="shared" si="139"/>
        <v>17.265759448000715</v>
      </c>
      <c r="T165" s="1867">
        <f t="shared" si="139"/>
        <v>18.83858183358895</v>
      </c>
      <c r="U165" s="2149">
        <f t="shared" si="139"/>
        <v>20.516716106160381</v>
      </c>
      <c r="V165" s="419"/>
      <c r="AP165" s="267"/>
    </row>
    <row r="166" spans="3:113" ht="15.65" customHeight="1" x14ac:dyDescent="0.35">
      <c r="C166" s="163" t="s">
        <v>623</v>
      </c>
      <c r="D166" s="415"/>
      <c r="E166" s="415"/>
      <c r="F166" s="501">
        <v>53.049300000000002</v>
      </c>
      <c r="G166" s="249">
        <v>53.049300000000002</v>
      </c>
      <c r="H166" s="249">
        <v>53.049300000000002</v>
      </c>
      <c r="I166" s="2149">
        <v>53.049300000000002</v>
      </c>
      <c r="J166" s="501">
        <v>53.049300000000002</v>
      </c>
      <c r="K166" s="249">
        <v>53.049300000000002</v>
      </c>
      <c r="L166" s="249">
        <v>53.049300000000002</v>
      </c>
      <c r="M166" s="249">
        <v>53.049300000000002</v>
      </c>
      <c r="N166" s="1867">
        <v>53.049300000000002</v>
      </c>
      <c r="O166" s="2149">
        <v>53.049300000000002</v>
      </c>
      <c r="P166" s="501">
        <v>53.049300000000002</v>
      </c>
      <c r="Q166" s="249">
        <v>53.049300000000002</v>
      </c>
      <c r="R166" s="249">
        <v>53.049300000000002</v>
      </c>
      <c r="S166" s="1867">
        <v>53.049300000000002</v>
      </c>
      <c r="T166" s="1867">
        <v>53.049300000000002</v>
      </c>
      <c r="U166" s="2149">
        <v>53.049300000000002</v>
      </c>
      <c r="V166" s="419"/>
      <c r="AP166" s="267"/>
    </row>
    <row r="167" spans="3:113" ht="15.65" customHeight="1" x14ac:dyDescent="0.35">
      <c r="C167" s="163" t="s">
        <v>629</v>
      </c>
      <c r="D167" s="415"/>
      <c r="E167" s="415"/>
      <c r="F167" s="655">
        <f>F165*100/F166</f>
        <v>1.9631331071366735</v>
      </c>
      <c r="G167" s="249">
        <f t="shared" ref="G167:U167" si="140">G165*100/G166</f>
        <v>3.9067301121866929</v>
      </c>
      <c r="H167" s="249">
        <f t="shared" si="140"/>
        <v>5.8223926970821314</v>
      </c>
      <c r="I167" s="2149">
        <f t="shared" si="140"/>
        <v>7.7513623917964143</v>
      </c>
      <c r="J167" s="501">
        <f t="shared" si="140"/>
        <v>9.5300846750521782</v>
      </c>
      <c r="K167" s="249">
        <f t="shared" si="140"/>
        <v>11.484772640364838</v>
      </c>
      <c r="L167" s="249">
        <f t="shared" si="140"/>
        <v>13.572821101275562</v>
      </c>
      <c r="M167" s="249">
        <f t="shared" si="140"/>
        <v>15.525316117765145</v>
      </c>
      <c r="N167" s="1867">
        <f t="shared" si="140"/>
        <v>17.42262812778306</v>
      </c>
      <c r="O167" s="2149">
        <f t="shared" si="140"/>
        <v>19.350343039072719</v>
      </c>
      <c r="P167" s="501">
        <f t="shared" si="140"/>
        <v>22.690498554791116</v>
      </c>
      <c r="Q167" s="249">
        <f t="shared" si="140"/>
        <v>25.977870192608897</v>
      </c>
      <c r="R167" s="249">
        <f t="shared" si="140"/>
        <v>29.287507031319798</v>
      </c>
      <c r="S167" s="1867">
        <f t="shared" si="140"/>
        <v>32.546630111991512</v>
      </c>
      <c r="T167" s="1867">
        <f t="shared" si="140"/>
        <v>35.511461666014348</v>
      </c>
      <c r="U167" s="2149">
        <f t="shared" si="140"/>
        <v>38.674810235310133</v>
      </c>
      <c r="V167" s="419" t="e">
        <f t="shared" ref="V167" si="141">(U$164+V$164)*100/V$161</f>
        <v>#DIV/0!</v>
      </c>
      <c r="AP167" s="267"/>
    </row>
    <row r="168" spans="3:113" ht="17.149999999999999" customHeight="1" x14ac:dyDescent="0.35">
      <c r="C168" s="163" t="s">
        <v>608</v>
      </c>
      <c r="D168" s="415"/>
      <c r="E168" s="415"/>
      <c r="F168" s="653"/>
      <c r="G168" s="249"/>
      <c r="H168" s="249"/>
      <c r="I168" s="2176">
        <v>4.3</v>
      </c>
      <c r="J168" s="653"/>
      <c r="K168" s="249"/>
      <c r="L168" s="249"/>
      <c r="M168" s="249"/>
      <c r="N168" s="1867"/>
      <c r="O168" s="2176">
        <v>17</v>
      </c>
      <c r="P168" s="653"/>
      <c r="Q168" s="249"/>
      <c r="R168" s="249"/>
      <c r="S168" s="1867"/>
      <c r="T168" s="1867">
        <v>29.8</v>
      </c>
      <c r="U168" s="2176">
        <v>31</v>
      </c>
      <c r="V168" s="654"/>
      <c r="W168" s="1790"/>
      <c r="X168" s="1768"/>
      <c r="Y168" s="225"/>
      <c r="Z168" s="225"/>
      <c r="AA168" s="226"/>
      <c r="AB168" s="1768"/>
      <c r="AC168" s="225"/>
      <c r="AD168" s="225"/>
      <c r="AE168" s="225"/>
      <c r="AF168" s="225"/>
      <c r="AG168" s="226"/>
      <c r="AH168" s="1768"/>
      <c r="AI168" s="225"/>
      <c r="AJ168" s="225"/>
      <c r="AK168" s="225"/>
      <c r="AL168" s="225"/>
      <c r="AM168" s="225"/>
      <c r="AN168" s="225"/>
      <c r="AO168" s="344"/>
      <c r="AP168" s="373"/>
      <c r="AQ168" s="225"/>
      <c r="AR168" s="225"/>
      <c r="AS168" s="226"/>
      <c r="AT168" s="1768"/>
      <c r="AU168" s="225"/>
      <c r="AV168" s="225"/>
      <c r="AW168" s="225"/>
      <c r="AX168" s="225"/>
      <c r="AY168" s="226"/>
      <c r="AZ168" s="1768"/>
      <c r="BA168" s="225"/>
      <c r="BB168" s="225"/>
      <c r="BC168" s="225"/>
      <c r="BD168" s="225"/>
      <c r="BE168" s="225"/>
      <c r="BF168" s="225"/>
      <c r="BG168" s="344"/>
      <c r="BH168" s="225"/>
      <c r="BI168" s="225"/>
      <c r="BJ168" s="225"/>
      <c r="BK168" s="226"/>
      <c r="BL168" s="1768"/>
      <c r="BM168" s="225"/>
      <c r="BN168" s="225"/>
      <c r="BO168" s="225"/>
      <c r="BP168" s="225"/>
      <c r="BQ168" s="226"/>
      <c r="BR168" s="1768"/>
      <c r="BS168" s="225"/>
      <c r="BT168" s="225"/>
      <c r="BU168" s="225"/>
      <c r="BV168" s="225"/>
      <c r="BW168" s="225"/>
      <c r="BX168" s="225"/>
      <c r="BY168" s="344"/>
      <c r="BZ168" s="345"/>
      <c r="CA168" s="225"/>
      <c r="CB168" s="225"/>
      <c r="CC168" s="225"/>
      <c r="CD168" s="226"/>
      <c r="CE168" s="1768"/>
      <c r="CF168" s="225"/>
      <c r="CG168" s="225"/>
      <c r="CH168" s="225"/>
      <c r="CI168" s="225"/>
      <c r="CJ168" s="226"/>
      <c r="CK168" s="1768"/>
      <c r="CL168" s="225"/>
      <c r="CM168" s="225"/>
      <c r="CN168" s="225"/>
      <c r="CO168" s="225"/>
      <c r="CP168" s="225"/>
      <c r="CQ168" s="225"/>
      <c r="CR168" s="344"/>
      <c r="CS168" s="225"/>
      <c r="CT168" s="225"/>
      <c r="CU168" s="225"/>
      <c r="CV168" s="226"/>
      <c r="CW168" s="1768"/>
      <c r="CX168" s="225"/>
      <c r="CY168" s="225"/>
      <c r="CZ168" s="225"/>
      <c r="DA168" s="225"/>
      <c r="DB168" s="226"/>
      <c r="DC168" s="1768"/>
      <c r="DD168" s="225"/>
      <c r="DE168" s="225"/>
      <c r="DF168" s="225"/>
      <c r="DG168" s="225"/>
      <c r="DH168" s="225"/>
      <c r="DI168" s="225"/>
    </row>
    <row r="169" spans="3:113" s="224" customFormat="1" ht="15.65" customHeight="1" x14ac:dyDescent="0.35">
      <c r="C169" s="2174" t="s">
        <v>626</v>
      </c>
      <c r="D169" s="2175">
        <v>0.25</v>
      </c>
      <c r="E169" s="2175">
        <v>0.7</v>
      </c>
      <c r="F169" s="501">
        <f>F158*24*$D$169</f>
        <v>0.40054937361702125</v>
      </c>
      <c r="G169" s="249">
        <f t="shared" ref="G169:U169" si="142">G158*24*$D$169</f>
        <v>0.39656331</v>
      </c>
      <c r="H169" s="249">
        <f t="shared" si="142"/>
        <v>0.3908636890957447</v>
      </c>
      <c r="I169" s="2149">
        <f t="shared" si="142"/>
        <v>0.39357881548387086</v>
      </c>
      <c r="J169" s="501">
        <f t="shared" si="142"/>
        <v>0.36292296931200008</v>
      </c>
      <c r="K169" s="249">
        <f t="shared" si="142"/>
        <v>0.39882626260869564</v>
      </c>
      <c r="L169" s="249">
        <f t="shared" si="142"/>
        <v>0.42603657391304339</v>
      </c>
      <c r="M169" s="249">
        <f t="shared" si="142"/>
        <v>0.39837882260869567</v>
      </c>
      <c r="N169" s="1867">
        <f t="shared" si="142"/>
        <v>0.38711951543478251</v>
      </c>
      <c r="O169" s="2149">
        <f t="shared" si="142"/>
        <v>0.39332279478260868</v>
      </c>
      <c r="P169" s="501">
        <f t="shared" si="142"/>
        <v>0.68151119999999998</v>
      </c>
      <c r="Q169" s="249">
        <f t="shared" si="142"/>
        <v>0.67074140086956513</v>
      </c>
      <c r="R169" s="249">
        <f t="shared" si="142"/>
        <v>0.67528429826086955</v>
      </c>
      <c r="S169" s="1867">
        <f t="shared" si="142"/>
        <v>0.66497768478260855</v>
      </c>
      <c r="T169" s="1867">
        <f t="shared" si="142"/>
        <v>0.60493168676470588</v>
      </c>
      <c r="U169" s="2149">
        <f t="shared" si="142"/>
        <v>0.64543625868131871</v>
      </c>
      <c r="V169" s="419">
        <f t="shared" ref="V169" si="143">24*($D$169*(V$83+V$86)+$E$169*(V$84+V$87))</f>
        <v>0</v>
      </c>
      <c r="W169" s="1701"/>
      <c r="X169" s="1726"/>
      <c r="Y169" s="232"/>
      <c r="Z169" s="232"/>
      <c r="AA169" s="231"/>
      <c r="AB169" s="1726"/>
      <c r="AC169" s="232"/>
      <c r="AD169" s="232"/>
      <c r="AE169" s="232"/>
      <c r="AF169" s="232"/>
      <c r="AG169" s="231"/>
      <c r="AH169" s="1726"/>
      <c r="AI169" s="232"/>
      <c r="AJ169" s="232"/>
      <c r="AK169" s="232"/>
      <c r="AL169" s="232"/>
      <c r="AM169" s="232"/>
      <c r="AN169" s="232"/>
      <c r="AO169" s="323"/>
      <c r="AP169" s="267"/>
      <c r="AQ169" s="232"/>
      <c r="AR169" s="232"/>
      <c r="AS169" s="231"/>
      <c r="AT169" s="1726"/>
      <c r="AU169" s="232"/>
      <c r="AV169" s="232"/>
      <c r="AW169" s="232"/>
      <c r="AX169" s="232"/>
      <c r="AY169" s="231"/>
      <c r="AZ169" s="1726"/>
      <c r="BA169" s="232"/>
      <c r="BB169" s="232"/>
      <c r="BC169" s="232"/>
      <c r="BD169" s="232"/>
      <c r="BE169" s="232"/>
      <c r="BF169" s="232"/>
      <c r="BG169" s="323"/>
      <c r="BH169" s="232"/>
      <c r="BI169" s="232"/>
      <c r="BJ169" s="232"/>
      <c r="BK169" s="231"/>
      <c r="BL169" s="1726"/>
      <c r="BM169" s="232"/>
      <c r="BN169" s="232"/>
      <c r="BO169" s="232"/>
      <c r="BP169" s="232"/>
      <c r="BQ169" s="231"/>
      <c r="BR169" s="1726"/>
      <c r="BS169" s="232"/>
      <c r="BT169" s="232"/>
      <c r="BU169" s="232"/>
      <c r="BV169" s="232"/>
      <c r="BW169" s="232"/>
      <c r="BX169" s="232"/>
      <c r="BY169" s="323"/>
      <c r="BZ169" s="238"/>
      <c r="CA169" s="232"/>
      <c r="CB169" s="232"/>
      <c r="CC169" s="232"/>
      <c r="CD169" s="231"/>
      <c r="CE169" s="1726"/>
      <c r="CF169" s="232"/>
      <c r="CG169" s="232"/>
      <c r="CH169" s="232"/>
      <c r="CI169" s="232"/>
      <c r="CJ169" s="231"/>
      <c r="CK169" s="1726"/>
      <c r="CL169" s="232"/>
      <c r="CM169" s="232"/>
      <c r="CN169" s="232"/>
      <c r="CO169" s="232"/>
      <c r="CP169" s="232"/>
      <c r="CQ169" s="232"/>
      <c r="CR169" s="323"/>
      <c r="CS169" s="232"/>
      <c r="CT169" s="232"/>
      <c r="CU169" s="232"/>
      <c r="CV169" s="231"/>
      <c r="CW169" s="1726"/>
      <c r="CX169" s="232"/>
      <c r="CY169" s="232"/>
      <c r="CZ169" s="232"/>
      <c r="DA169" s="232"/>
      <c r="DB169" s="231"/>
      <c r="DC169" s="1726"/>
      <c r="DD169" s="232"/>
      <c r="DE169" s="232"/>
      <c r="DF169" s="232"/>
      <c r="DG169" s="232"/>
      <c r="DH169" s="232"/>
      <c r="DI169" s="232"/>
    </row>
    <row r="170" spans="3:113" ht="15.65" customHeight="1" x14ac:dyDescent="0.35">
      <c r="C170" s="163" t="s">
        <v>625</v>
      </c>
      <c r="D170" s="415"/>
      <c r="E170" s="415"/>
      <c r="F170" s="501">
        <f>F169</f>
        <v>0.40054937361702125</v>
      </c>
      <c r="G170" s="249">
        <f>F$170+G$169</f>
        <v>0.79711268361702126</v>
      </c>
      <c r="H170" s="249">
        <f t="shared" ref="H170:I170" si="144">G$170+H$169</f>
        <v>1.1879763727127659</v>
      </c>
      <c r="I170" s="2149">
        <f t="shared" si="144"/>
        <v>1.5815551881966368</v>
      </c>
      <c r="J170" s="501">
        <f>I$170+J$169</f>
        <v>1.944478157508637</v>
      </c>
      <c r="K170" s="249">
        <f t="shared" ref="K170:U170" si="145">J$170+K$169</f>
        <v>2.3433044201173328</v>
      </c>
      <c r="L170" s="249">
        <f t="shared" si="145"/>
        <v>2.7693409940303759</v>
      </c>
      <c r="M170" s="249">
        <f t="shared" si="145"/>
        <v>3.1677198166390714</v>
      </c>
      <c r="N170" s="1867">
        <f t="shared" si="145"/>
        <v>3.5548393320738541</v>
      </c>
      <c r="O170" s="2149">
        <f t="shared" si="145"/>
        <v>3.9481621268564626</v>
      </c>
      <c r="P170" s="501">
        <f t="shared" si="145"/>
        <v>4.6296733268564623</v>
      </c>
      <c r="Q170" s="249">
        <f t="shared" si="145"/>
        <v>5.300414727726027</v>
      </c>
      <c r="R170" s="249">
        <f t="shared" si="145"/>
        <v>5.9756990259868967</v>
      </c>
      <c r="S170" s="1867">
        <f t="shared" si="145"/>
        <v>6.6406767107695055</v>
      </c>
      <c r="T170" s="1867">
        <f t="shared" si="145"/>
        <v>7.2456083975342116</v>
      </c>
      <c r="U170" s="2149">
        <f t="shared" si="145"/>
        <v>7.8910446562155308</v>
      </c>
      <c r="V170" s="419"/>
      <c r="AP170" s="267"/>
    </row>
    <row r="171" spans="3:113" ht="15.65" customHeight="1" x14ac:dyDescent="0.35">
      <c r="C171" s="163" t="s">
        <v>628</v>
      </c>
      <c r="D171" s="415"/>
      <c r="E171" s="415"/>
      <c r="F171" s="501">
        <v>59.604900000000001</v>
      </c>
      <c r="G171" s="249">
        <v>59.604900000000001</v>
      </c>
      <c r="H171" s="249">
        <v>59.604900000000001</v>
      </c>
      <c r="I171" s="2149">
        <v>59.604900000000001</v>
      </c>
      <c r="J171" s="501">
        <v>59.604900000000001</v>
      </c>
      <c r="K171" s="249">
        <v>59.604900000000001</v>
      </c>
      <c r="L171" s="249">
        <v>59.604900000000001</v>
      </c>
      <c r="M171" s="249">
        <v>59.604900000000001</v>
      </c>
      <c r="N171" s="1867">
        <v>59.604900000000001</v>
      </c>
      <c r="O171" s="2149">
        <v>59.604900000000001</v>
      </c>
      <c r="P171" s="501">
        <v>59.604900000000001</v>
      </c>
      <c r="Q171" s="249">
        <v>59.604900000000001</v>
      </c>
      <c r="R171" s="249">
        <v>59.604900000000001</v>
      </c>
      <c r="S171" s="1867">
        <v>59.604900000000001</v>
      </c>
      <c r="T171" s="1867">
        <v>59.604900000000001</v>
      </c>
      <c r="U171" s="2149">
        <v>59.604900000000001</v>
      </c>
      <c r="V171" s="419"/>
      <c r="AP171" s="267"/>
    </row>
    <row r="172" spans="3:113" ht="15.65" customHeight="1" x14ac:dyDescent="0.35">
      <c r="C172" s="163" t="s">
        <v>627</v>
      </c>
      <c r="D172" s="415"/>
      <c r="E172" s="415"/>
      <c r="F172" s="501">
        <f>100*F$170/F$171</f>
        <v>0.67200745847576493</v>
      </c>
      <c r="G172" s="249">
        <f t="shared" ref="G172:I172" si="146">100*G$170/G$171</f>
        <v>1.3373274405577751</v>
      </c>
      <c r="H172" s="249">
        <f t="shared" si="146"/>
        <v>1.9930850864824299</v>
      </c>
      <c r="I172" s="2149">
        <f t="shared" si="146"/>
        <v>2.6533979390899689</v>
      </c>
      <c r="J172" s="501">
        <f>100*J$170/J$171</f>
        <v>3.2622790366373184</v>
      </c>
      <c r="K172" s="249">
        <f t="shared" ref="K172:U172" si="147">100*K$170/K$171</f>
        <v>3.9313956069338811</v>
      </c>
      <c r="L172" s="249">
        <f t="shared" si="147"/>
        <v>4.6461633087722243</v>
      </c>
      <c r="M172" s="249">
        <f t="shared" si="147"/>
        <v>5.3145292025304487</v>
      </c>
      <c r="N172" s="1867">
        <f t="shared" si="147"/>
        <v>5.9640051943277381</v>
      </c>
      <c r="O172" s="2149">
        <f t="shared" si="147"/>
        <v>6.6238885173139499</v>
      </c>
      <c r="P172" s="501">
        <f t="shared" si="147"/>
        <v>7.7672696822852858</v>
      </c>
      <c r="Q172" s="249">
        <f t="shared" si="147"/>
        <v>8.8925821999970243</v>
      </c>
      <c r="R172" s="249">
        <f t="shared" si="147"/>
        <v>10.025516402153004</v>
      </c>
      <c r="S172" s="1867">
        <f t="shared" si="147"/>
        <v>11.141159050295371</v>
      </c>
      <c r="T172" s="1867">
        <f t="shared" si="147"/>
        <v>12.15606166193419</v>
      </c>
      <c r="U172" s="2149">
        <f t="shared" si="147"/>
        <v>13.238919377795334</v>
      </c>
      <c r="V172" s="419"/>
      <c r="AP172" s="267"/>
    </row>
    <row r="173" spans="3:113" ht="15.65" customHeight="1" x14ac:dyDescent="0.35">
      <c r="C173" s="163" t="s">
        <v>608</v>
      </c>
      <c r="D173" s="415"/>
      <c r="E173" s="415"/>
      <c r="F173" s="653"/>
      <c r="G173" s="249"/>
      <c r="H173" s="249"/>
      <c r="I173" s="2176">
        <v>5.8</v>
      </c>
      <c r="J173" s="653"/>
      <c r="K173" s="249"/>
      <c r="L173" s="249"/>
      <c r="M173" s="249"/>
      <c r="N173" s="1867"/>
      <c r="O173" s="2176">
        <v>8.6999999999999993</v>
      </c>
      <c r="P173" s="653"/>
      <c r="Q173" s="249"/>
      <c r="R173" s="249"/>
      <c r="S173" s="1867"/>
      <c r="T173" s="1867">
        <v>13</v>
      </c>
      <c r="U173" s="2176">
        <v>13.7</v>
      </c>
      <c r="V173" s="654"/>
      <c r="W173" s="1790"/>
      <c r="X173" s="1768"/>
      <c r="Y173" s="225"/>
      <c r="Z173" s="225"/>
      <c r="AA173" s="226"/>
      <c r="AB173" s="1768"/>
      <c r="AC173" s="225"/>
      <c r="AD173" s="225"/>
      <c r="AE173" s="225"/>
      <c r="AF173" s="225"/>
      <c r="AG173" s="226"/>
      <c r="AH173" s="1768"/>
      <c r="AI173" s="225"/>
      <c r="AJ173" s="225"/>
      <c r="AK173" s="225"/>
      <c r="AL173" s="225"/>
      <c r="AM173" s="225"/>
      <c r="AN173" s="225"/>
      <c r="AO173" s="344"/>
      <c r="AP173" s="373"/>
      <c r="AQ173" s="225"/>
      <c r="AR173" s="225"/>
      <c r="AS173" s="226"/>
      <c r="AT173" s="1768"/>
      <c r="AU173" s="225"/>
      <c r="AV173" s="225"/>
      <c r="AW173" s="225"/>
      <c r="AX173" s="225"/>
      <c r="AY173" s="226"/>
      <c r="AZ173" s="1768"/>
      <c r="BA173" s="225"/>
      <c r="BB173" s="225"/>
      <c r="BC173" s="225"/>
      <c r="BD173" s="225"/>
      <c r="BE173" s="225"/>
      <c r="BF173" s="225"/>
      <c r="BG173" s="344"/>
      <c r="BH173" s="225"/>
      <c r="BI173" s="225"/>
      <c r="BJ173" s="225"/>
      <c r="BK173" s="226"/>
      <c r="BL173" s="1768"/>
      <c r="BM173" s="225"/>
      <c r="BN173" s="225"/>
      <c r="BO173" s="225"/>
      <c r="BP173" s="225"/>
      <c r="BQ173" s="226"/>
      <c r="BR173" s="1768"/>
      <c r="BS173" s="225"/>
      <c r="BT173" s="225"/>
      <c r="BU173" s="225"/>
      <c r="BV173" s="225"/>
      <c r="BW173" s="225"/>
      <c r="BX173" s="225"/>
      <c r="BY173" s="344"/>
      <c r="BZ173" s="345"/>
      <c r="CA173" s="225"/>
      <c r="CB173" s="225"/>
      <c r="CC173" s="225"/>
      <c r="CD173" s="226"/>
      <c r="CE173" s="1768"/>
      <c r="CF173" s="225"/>
      <c r="CG173" s="225"/>
      <c r="CH173" s="225"/>
      <c r="CI173" s="225"/>
      <c r="CJ173" s="226"/>
      <c r="CK173" s="1768"/>
      <c r="CL173" s="225"/>
      <c r="CM173" s="225"/>
      <c r="CN173" s="225"/>
      <c r="CO173" s="225"/>
      <c r="CP173" s="225"/>
      <c r="CQ173" s="225"/>
      <c r="CR173" s="344"/>
      <c r="CS173" s="225"/>
      <c r="CT173" s="225"/>
      <c r="CU173" s="225"/>
      <c r="CV173" s="226"/>
      <c r="CW173" s="1768"/>
      <c r="CX173" s="225"/>
      <c r="CY173" s="225"/>
      <c r="CZ173" s="225"/>
      <c r="DA173" s="225"/>
      <c r="DB173" s="226"/>
      <c r="DC173" s="1768"/>
      <c r="DD173" s="225"/>
      <c r="DE173" s="225"/>
      <c r="DF173" s="225"/>
      <c r="DG173" s="225"/>
      <c r="DH173" s="225"/>
      <c r="DI173" s="225"/>
    </row>
    <row r="174" spans="3:113" s="224" customFormat="1" ht="15.65" customHeight="1" x14ac:dyDescent="0.35">
      <c r="C174" s="2174" t="s">
        <v>630</v>
      </c>
      <c r="D174" s="2175">
        <v>0.1</v>
      </c>
      <c r="E174" s="2175">
        <v>0.3</v>
      </c>
      <c r="F174" s="501">
        <f>F158*$D$174*24</f>
        <v>0.16021974944680853</v>
      </c>
      <c r="G174" s="249">
        <f t="shared" ref="G174:U174" si="148">G158*$D$174*24</f>
        <v>0.15862532400000001</v>
      </c>
      <c r="H174" s="249">
        <f t="shared" si="148"/>
        <v>0.1563454756382979</v>
      </c>
      <c r="I174" s="2149">
        <f t="shared" si="148"/>
        <v>0.15743152619354836</v>
      </c>
      <c r="J174" s="501">
        <f t="shared" si="148"/>
        <v>0.14516918772480003</v>
      </c>
      <c r="K174" s="249">
        <f t="shared" si="148"/>
        <v>0.15953050504347827</v>
      </c>
      <c r="L174" s="249">
        <f t="shared" si="148"/>
        <v>0.17041462956521738</v>
      </c>
      <c r="M174" s="249">
        <f t="shared" si="148"/>
        <v>0.15935152904347827</v>
      </c>
      <c r="N174" s="1867">
        <f t="shared" si="148"/>
        <v>0.15484780617391303</v>
      </c>
      <c r="O174" s="2149">
        <f t="shared" si="148"/>
        <v>0.15732911791304349</v>
      </c>
      <c r="P174" s="501">
        <f t="shared" si="148"/>
        <v>0.27260448000000004</v>
      </c>
      <c r="Q174" s="249">
        <f t="shared" si="148"/>
        <v>0.26829656034782606</v>
      </c>
      <c r="R174" s="249">
        <f t="shared" si="148"/>
        <v>0.2701137193043478</v>
      </c>
      <c r="S174" s="1867">
        <f t="shared" si="148"/>
        <v>0.26599107391304344</v>
      </c>
      <c r="T174" s="1867">
        <f t="shared" si="148"/>
        <v>0.24197267470588235</v>
      </c>
      <c r="U174" s="2149">
        <f t="shared" si="148"/>
        <v>0.25817450347252752</v>
      </c>
      <c r="V174" s="419">
        <f t="shared" ref="V174" si="149">24*($D$174*(V$83+V$86)+$E$174*(V$84+V$87))</f>
        <v>0</v>
      </c>
      <c r="W174" s="1701"/>
      <c r="X174" s="1726"/>
      <c r="Y174" s="232"/>
      <c r="Z174" s="232"/>
      <c r="AA174" s="231"/>
      <c r="AB174" s="1726"/>
      <c r="AC174" s="232"/>
      <c r="AD174" s="232"/>
      <c r="AE174" s="232"/>
      <c r="AF174" s="232"/>
      <c r="AG174" s="231"/>
      <c r="AH174" s="1726"/>
      <c r="AI174" s="232"/>
      <c r="AJ174" s="232"/>
      <c r="AK174" s="232"/>
      <c r="AL174" s="232"/>
      <c r="AM174" s="232"/>
      <c r="AN174" s="232"/>
      <c r="AO174" s="323"/>
      <c r="AP174" s="267"/>
      <c r="AQ174" s="232"/>
      <c r="AR174" s="232"/>
      <c r="AS174" s="231"/>
      <c r="AT174" s="1726"/>
      <c r="AU174" s="232"/>
      <c r="AV174" s="232"/>
      <c r="AW174" s="232"/>
      <c r="AX174" s="232"/>
      <c r="AY174" s="231"/>
      <c r="AZ174" s="1726"/>
      <c r="BA174" s="232"/>
      <c r="BB174" s="232"/>
      <c r="BC174" s="232"/>
      <c r="BD174" s="232"/>
      <c r="BE174" s="232"/>
      <c r="BF174" s="232"/>
      <c r="BG174" s="323"/>
      <c r="BH174" s="232"/>
      <c r="BI174" s="232"/>
      <c r="BJ174" s="232"/>
      <c r="BK174" s="231"/>
      <c r="BL174" s="1726"/>
      <c r="BM174" s="232"/>
      <c r="BN174" s="232"/>
      <c r="BO174" s="232"/>
      <c r="BP174" s="232"/>
      <c r="BQ174" s="231"/>
      <c r="BR174" s="1726"/>
      <c r="BS174" s="232"/>
      <c r="BT174" s="232"/>
      <c r="BU174" s="232"/>
      <c r="BV174" s="232"/>
      <c r="BW174" s="232"/>
      <c r="BX174" s="232"/>
      <c r="BY174" s="323"/>
      <c r="BZ174" s="238"/>
      <c r="CA174" s="232"/>
      <c r="CB174" s="232"/>
      <c r="CC174" s="232"/>
      <c r="CD174" s="231"/>
      <c r="CE174" s="1726"/>
      <c r="CF174" s="232"/>
      <c r="CG174" s="232"/>
      <c r="CH174" s="232"/>
      <c r="CI174" s="232"/>
      <c r="CJ174" s="231"/>
      <c r="CK174" s="1726"/>
      <c r="CL174" s="232"/>
      <c r="CM174" s="232"/>
      <c r="CN174" s="232"/>
      <c r="CO174" s="232"/>
      <c r="CP174" s="232"/>
      <c r="CQ174" s="232"/>
      <c r="CR174" s="323"/>
      <c r="CS174" s="232"/>
      <c r="CT174" s="232"/>
      <c r="CU174" s="232"/>
      <c r="CV174" s="231"/>
      <c r="CW174" s="1726"/>
      <c r="CX174" s="232"/>
      <c r="CY174" s="232"/>
      <c r="CZ174" s="232"/>
      <c r="DA174" s="232"/>
      <c r="DB174" s="231"/>
      <c r="DC174" s="1726"/>
      <c r="DD174" s="232"/>
      <c r="DE174" s="232"/>
      <c r="DF174" s="232"/>
      <c r="DG174" s="232"/>
      <c r="DH174" s="232"/>
      <c r="DI174" s="232"/>
    </row>
    <row r="175" spans="3:113" ht="15.65" customHeight="1" x14ac:dyDescent="0.35">
      <c r="C175" s="163" t="s">
        <v>631</v>
      </c>
      <c r="D175" s="415"/>
      <c r="E175" s="415"/>
      <c r="F175" s="501">
        <f>F174</f>
        <v>0.16021974944680853</v>
      </c>
      <c r="G175" s="249">
        <f>F$175+G$174</f>
        <v>0.31884507344680857</v>
      </c>
      <c r="H175" s="249">
        <f t="shared" ref="H175:I175" si="150">G$175+H$174</f>
        <v>0.4751905490851065</v>
      </c>
      <c r="I175" s="2177">
        <f t="shared" si="150"/>
        <v>0.63262207527865488</v>
      </c>
      <c r="J175" s="501">
        <f>I$175+J$174</f>
        <v>0.77779126300345491</v>
      </c>
      <c r="K175" s="249">
        <f t="shared" ref="K175:U175" si="151">J$175+K$174</f>
        <v>0.93732176804693323</v>
      </c>
      <c r="L175" s="249">
        <f t="shared" si="151"/>
        <v>1.1077363976121506</v>
      </c>
      <c r="M175" s="249">
        <f t="shared" si="151"/>
        <v>1.2670879266556287</v>
      </c>
      <c r="N175" s="1867">
        <f t="shared" si="151"/>
        <v>1.4219357328295419</v>
      </c>
      <c r="O175" s="2177">
        <f t="shared" si="151"/>
        <v>1.5792648507425855</v>
      </c>
      <c r="P175" s="501">
        <f t="shared" si="151"/>
        <v>1.8518693307425855</v>
      </c>
      <c r="Q175" s="249">
        <f t="shared" si="151"/>
        <v>2.1201658910904118</v>
      </c>
      <c r="R175" s="249">
        <f t="shared" si="151"/>
        <v>2.3902796103947597</v>
      </c>
      <c r="S175" s="1867">
        <f t="shared" si="151"/>
        <v>2.656270684307803</v>
      </c>
      <c r="T175" s="1867">
        <f t="shared" si="151"/>
        <v>2.8982433590136853</v>
      </c>
      <c r="U175" s="2177">
        <f t="shared" si="151"/>
        <v>3.1564178624862129</v>
      </c>
      <c r="AP175" s="267"/>
    </row>
    <row r="176" spans="3:113" ht="15.65" customHeight="1" x14ac:dyDescent="0.35">
      <c r="C176" s="163" t="s">
        <v>632</v>
      </c>
      <c r="D176" s="415"/>
      <c r="E176" s="415"/>
      <c r="F176" s="501">
        <v>59.604900000000001</v>
      </c>
      <c r="G176" s="249">
        <v>59.604900000000001</v>
      </c>
      <c r="H176" s="249">
        <v>59.604900000000001</v>
      </c>
      <c r="I176" s="2177">
        <v>59.604900000000001</v>
      </c>
      <c r="J176" s="501">
        <v>59.604900000000001</v>
      </c>
      <c r="K176" s="249">
        <v>59.604900000000001</v>
      </c>
      <c r="L176" s="249">
        <v>59.604900000000001</v>
      </c>
      <c r="M176" s="249">
        <v>59.604900000000001</v>
      </c>
      <c r="N176" s="1867">
        <v>59.604900000000001</v>
      </c>
      <c r="O176" s="2177">
        <v>59.604900000000001</v>
      </c>
      <c r="P176" s="501">
        <v>59.604900000000001</v>
      </c>
      <c r="Q176" s="249">
        <v>59.604900000000001</v>
      </c>
      <c r="R176" s="249">
        <v>59.604900000000001</v>
      </c>
      <c r="S176" s="1867">
        <v>59.604900000000001</v>
      </c>
      <c r="T176" s="1867">
        <v>59.604900000000001</v>
      </c>
      <c r="U176" s="2177">
        <v>59.604900000000001</v>
      </c>
      <c r="AP176" s="267"/>
    </row>
    <row r="177" spans="3:113" ht="15.65" customHeight="1" x14ac:dyDescent="0.35">
      <c r="C177" s="163" t="s">
        <v>633</v>
      </c>
      <c r="D177" s="415"/>
      <c r="E177" s="415"/>
      <c r="F177" s="655">
        <f>100*F$175/F$176</f>
        <v>0.26880298339030606</v>
      </c>
      <c r="G177" s="249">
        <f t="shared" ref="G177:I177" si="152">100*G$175/G$176</f>
        <v>0.53493097622311014</v>
      </c>
      <c r="H177" s="249">
        <f t="shared" si="152"/>
        <v>0.79723403459297215</v>
      </c>
      <c r="I177" s="2177">
        <f t="shared" si="152"/>
        <v>1.0613591756359877</v>
      </c>
      <c r="J177" s="501">
        <f>100*J$175/J$176</f>
        <v>1.3049116146549276</v>
      </c>
      <c r="K177" s="249">
        <f t="shared" ref="K177:U177" si="153">100*K$175/K$176</f>
        <v>1.5725582427735525</v>
      </c>
      <c r="L177" s="249">
        <f t="shared" si="153"/>
        <v>1.8584653235088904</v>
      </c>
      <c r="M177" s="249">
        <f t="shared" si="153"/>
        <v>2.1258116810121797</v>
      </c>
      <c r="N177" s="1867">
        <f t="shared" si="153"/>
        <v>2.3856020777310958</v>
      </c>
      <c r="O177" s="2177">
        <f t="shared" si="153"/>
        <v>2.6495554069255807</v>
      </c>
      <c r="P177" s="501">
        <f t="shared" si="153"/>
        <v>3.1069078729141153</v>
      </c>
      <c r="Q177" s="249">
        <f t="shared" si="153"/>
        <v>3.5570328799988116</v>
      </c>
      <c r="R177" s="249">
        <f t="shared" si="153"/>
        <v>4.0102065608612039</v>
      </c>
      <c r="S177" s="1867">
        <f t="shared" si="153"/>
        <v>4.45646362011815</v>
      </c>
      <c r="T177" s="1867">
        <f t="shared" si="153"/>
        <v>4.8624246647736769</v>
      </c>
      <c r="U177" s="2177">
        <f t="shared" si="153"/>
        <v>5.2955677511181349</v>
      </c>
      <c r="AP177" s="267"/>
    </row>
    <row r="178" spans="3:113" ht="15.65" customHeight="1" x14ac:dyDescent="0.35">
      <c r="C178" s="163"/>
      <c r="D178" s="415"/>
      <c r="E178" s="415"/>
      <c r="F178" s="1830"/>
      <c r="G178" s="654"/>
      <c r="H178" s="654"/>
      <c r="I178" s="2176">
        <v>2.5</v>
      </c>
      <c r="J178" s="1830"/>
      <c r="K178" s="654"/>
      <c r="L178" s="654"/>
      <c r="M178" s="654"/>
      <c r="N178" s="2178"/>
      <c r="O178" s="2176">
        <v>3.7</v>
      </c>
      <c r="P178" s="1830"/>
      <c r="Q178" s="654"/>
      <c r="R178" s="654"/>
      <c r="S178" s="2178"/>
      <c r="T178" s="2178">
        <v>5.5</v>
      </c>
      <c r="U178" s="2178">
        <v>5.9</v>
      </c>
      <c r="V178" s="225"/>
      <c r="W178" s="1790"/>
      <c r="X178" s="1768"/>
      <c r="Y178" s="225"/>
      <c r="Z178" s="225"/>
      <c r="AA178" s="226"/>
      <c r="AB178" s="1768"/>
      <c r="AC178" s="225"/>
      <c r="AD178" s="225"/>
      <c r="AE178" s="225"/>
      <c r="AF178" s="225"/>
      <c r="AG178" s="226"/>
      <c r="AH178" s="1768"/>
      <c r="AI178" s="225"/>
      <c r="AJ178" s="225"/>
      <c r="AK178" s="225"/>
      <c r="AL178" s="225"/>
      <c r="AM178" s="225"/>
      <c r="AN178" s="225"/>
      <c r="AO178" s="344"/>
      <c r="AP178" s="373"/>
      <c r="AQ178" s="225"/>
      <c r="AR178" s="225"/>
      <c r="AS178" s="226"/>
      <c r="AT178" s="1768"/>
      <c r="AU178" s="225"/>
      <c r="AV178" s="225"/>
      <c r="AW178" s="225"/>
      <c r="AX178" s="225"/>
      <c r="AY178" s="226"/>
      <c r="AZ178" s="1768"/>
      <c r="BA178" s="225"/>
      <c r="BB178" s="225"/>
      <c r="BC178" s="225"/>
      <c r="BD178" s="225"/>
      <c r="BE178" s="225"/>
      <c r="BF178" s="225"/>
      <c r="BG178" s="344"/>
      <c r="BH178" s="225"/>
      <c r="BI178" s="225"/>
      <c r="BJ178" s="225"/>
      <c r="BK178" s="226"/>
      <c r="BL178" s="1768"/>
      <c r="BM178" s="225"/>
      <c r="BN178" s="225"/>
      <c r="BO178" s="225"/>
      <c r="BP178" s="225"/>
      <c r="BQ178" s="226"/>
      <c r="BR178" s="1768"/>
      <c r="BS178" s="225"/>
      <c r="BT178" s="225"/>
      <c r="BU178" s="225"/>
      <c r="BV178" s="225"/>
      <c r="BW178" s="225"/>
      <c r="BX178" s="225"/>
      <c r="BY178" s="344"/>
      <c r="BZ178" s="345"/>
      <c r="CA178" s="225"/>
      <c r="CB178" s="225"/>
      <c r="CC178" s="225"/>
      <c r="CD178" s="226"/>
      <c r="CE178" s="1768"/>
      <c r="CF178" s="225"/>
      <c r="CG178" s="225"/>
      <c r="CH178" s="225"/>
      <c r="CI178" s="225"/>
      <c r="CJ178" s="226"/>
      <c r="CK178" s="1768"/>
      <c r="CL178" s="225"/>
      <c r="CM178" s="225"/>
      <c r="CN178" s="225"/>
      <c r="CO178" s="225"/>
      <c r="CP178" s="225"/>
      <c r="CQ178" s="225"/>
      <c r="CR178" s="344"/>
      <c r="CS178" s="225"/>
      <c r="CT178" s="225"/>
      <c r="CU178" s="225"/>
      <c r="CV178" s="226"/>
      <c r="CW178" s="1768"/>
      <c r="CX178" s="225"/>
      <c r="CY178" s="225"/>
      <c r="CZ178" s="225"/>
      <c r="DA178" s="225"/>
      <c r="DB178" s="226"/>
      <c r="DC178" s="1768"/>
      <c r="DD178" s="225"/>
      <c r="DE178" s="225"/>
      <c r="DF178" s="225"/>
      <c r="DG178" s="225"/>
      <c r="DH178" s="225"/>
      <c r="DI178" s="225"/>
    </row>
    <row r="179" spans="3:113" s="224" customFormat="1" ht="16" x14ac:dyDescent="0.4">
      <c r="C179" s="2179" t="s">
        <v>430</v>
      </c>
      <c r="D179" s="2179"/>
      <c r="E179" s="2179"/>
      <c r="F179" s="1818">
        <v>88</v>
      </c>
      <c r="G179" s="446">
        <v>84.3</v>
      </c>
      <c r="H179" s="446">
        <v>82.5</v>
      </c>
      <c r="I179" s="1864">
        <v>81.2</v>
      </c>
      <c r="J179" s="1818">
        <v>97.6</v>
      </c>
      <c r="K179" s="446">
        <v>97</v>
      </c>
      <c r="L179" s="446">
        <v>96</v>
      </c>
      <c r="M179" s="446">
        <v>95.5</v>
      </c>
      <c r="N179" s="1867">
        <v>95</v>
      </c>
      <c r="O179" s="1864">
        <v>94.6</v>
      </c>
      <c r="P179" s="1818">
        <v>94.6</v>
      </c>
      <c r="Q179" s="446">
        <v>91</v>
      </c>
      <c r="R179" s="446">
        <v>90.5</v>
      </c>
      <c r="S179" s="1867">
        <v>92</v>
      </c>
      <c r="T179" s="1867">
        <v>91.5</v>
      </c>
      <c r="U179" s="1867">
        <v>90.7</v>
      </c>
      <c r="V179" s="232"/>
      <c r="W179" s="1701"/>
      <c r="X179" s="1726"/>
      <c r="Y179" s="267"/>
      <c r="Z179" s="232"/>
      <c r="AA179" s="231"/>
      <c r="AB179" s="1726"/>
      <c r="AC179" s="232"/>
      <c r="AD179" s="232"/>
      <c r="AE179" s="232"/>
      <c r="AF179" s="232"/>
      <c r="AG179" s="231"/>
      <c r="AH179" s="1726"/>
      <c r="AI179" s="232"/>
      <c r="AJ179" s="232"/>
      <c r="AK179" s="232"/>
      <c r="AL179" s="232"/>
      <c r="AM179" s="232"/>
      <c r="AN179" s="232"/>
      <c r="AO179" s="323"/>
      <c r="AP179" s="232"/>
      <c r="AQ179" s="232"/>
      <c r="AR179" s="232"/>
      <c r="AS179" s="231"/>
      <c r="AT179" s="1726"/>
      <c r="AU179" s="232"/>
      <c r="AV179" s="232"/>
      <c r="AW179" s="232"/>
      <c r="AX179" s="232"/>
      <c r="AY179" s="231"/>
      <c r="AZ179" s="1726"/>
      <c r="BA179" s="232"/>
      <c r="BB179" s="232"/>
      <c r="BC179" s="232"/>
      <c r="BD179" s="232"/>
      <c r="BE179" s="232"/>
      <c r="BF179" s="232"/>
      <c r="BG179" s="323"/>
      <c r="BH179" s="232"/>
      <c r="BI179" s="232"/>
      <c r="BJ179" s="232"/>
      <c r="BK179" s="231"/>
      <c r="BL179" s="1726"/>
      <c r="BM179" s="232"/>
      <c r="BN179" s="232"/>
      <c r="BO179" s="232"/>
      <c r="BP179" s="232"/>
      <c r="BQ179" s="231"/>
      <c r="BR179" s="1726"/>
      <c r="BS179" s="232"/>
      <c r="BT179" s="232"/>
      <c r="BU179" s="232"/>
      <c r="BV179" s="232"/>
      <c r="BW179" s="232"/>
      <c r="BX179" s="232"/>
      <c r="BY179" s="323"/>
      <c r="BZ179" s="238"/>
      <c r="CA179" s="232"/>
      <c r="CB179" s="232"/>
      <c r="CC179" s="232"/>
      <c r="CD179" s="231"/>
      <c r="CE179" s="1726"/>
      <c r="CF179" s="232"/>
      <c r="CG179" s="232"/>
      <c r="CH179" s="232"/>
      <c r="CI179" s="232"/>
      <c r="CJ179" s="231"/>
      <c r="CK179" s="1726"/>
      <c r="CL179" s="232"/>
      <c r="CM179" s="232"/>
      <c r="CN179" s="232"/>
      <c r="CO179" s="232"/>
      <c r="CP179" s="232"/>
      <c r="CQ179" s="232"/>
      <c r="CR179" s="323"/>
      <c r="CS179" s="232"/>
      <c r="CT179" s="232"/>
      <c r="CU179" s="232"/>
      <c r="CV179" s="231"/>
      <c r="CW179" s="1726"/>
      <c r="CX179" s="232"/>
      <c r="CY179" s="232"/>
      <c r="CZ179" s="232"/>
      <c r="DA179" s="232"/>
      <c r="DB179" s="231"/>
      <c r="DC179" s="1726"/>
      <c r="DD179" s="232"/>
      <c r="DE179" s="232"/>
      <c r="DF179" s="232"/>
      <c r="DG179" s="232"/>
      <c r="DH179" s="232"/>
      <c r="DI179" s="232"/>
    </row>
    <row r="180" spans="3:113" ht="16" x14ac:dyDescent="0.4">
      <c r="C180" s="416">
        <v>0.05</v>
      </c>
      <c r="D180" s="416"/>
      <c r="E180" s="420"/>
      <c r="F180" s="419">
        <f>F$179*5%</f>
        <v>4.4000000000000004</v>
      </c>
      <c r="G180" s="249">
        <f>G$179*5%</f>
        <v>4.2149999999999999</v>
      </c>
      <c r="H180" s="249">
        <f t="shared" ref="H180:O180" si="154">H$179*5%</f>
        <v>4.125</v>
      </c>
      <c r="I180" s="1864">
        <f t="shared" si="154"/>
        <v>4.0600000000000005</v>
      </c>
      <c r="J180" s="1819">
        <f t="shared" si="154"/>
        <v>4.88</v>
      </c>
      <c r="K180" s="249">
        <f t="shared" si="154"/>
        <v>4.8500000000000005</v>
      </c>
      <c r="L180" s="249">
        <f t="shared" si="154"/>
        <v>4.8000000000000007</v>
      </c>
      <c r="M180" s="249">
        <f t="shared" si="154"/>
        <v>4.7750000000000004</v>
      </c>
      <c r="N180" s="1867">
        <f t="shared" si="154"/>
        <v>4.75</v>
      </c>
      <c r="O180" s="1864">
        <f t="shared" si="154"/>
        <v>4.7299999999999995</v>
      </c>
      <c r="P180" s="1819">
        <f>P$179*5%</f>
        <v>4.7299999999999995</v>
      </c>
      <c r="Q180" s="249">
        <f>Q$179*5%</f>
        <v>4.55</v>
      </c>
      <c r="R180" s="249">
        <f t="shared" ref="R180:U180" si="155">R$179*5%</f>
        <v>4.5250000000000004</v>
      </c>
      <c r="S180" s="1867">
        <f t="shared" si="155"/>
        <v>4.6000000000000005</v>
      </c>
      <c r="T180" s="1867">
        <f t="shared" si="155"/>
        <v>4.5750000000000002</v>
      </c>
      <c r="U180" s="1867">
        <f t="shared" si="155"/>
        <v>4.5350000000000001</v>
      </c>
      <c r="V180" s="249">
        <f>V$179*5%</f>
        <v>0</v>
      </c>
    </row>
    <row r="181" spans="3:113" ht="16" x14ac:dyDescent="0.4">
      <c r="C181" s="416">
        <v>0.05</v>
      </c>
      <c r="D181" s="416"/>
      <c r="E181" s="420"/>
      <c r="F181" s="419">
        <f>F$179+F$180</f>
        <v>92.4</v>
      </c>
      <c r="G181" s="249">
        <f>G$179+G$180</f>
        <v>88.515000000000001</v>
      </c>
      <c r="H181" s="249">
        <f t="shared" ref="H181:O181" si="156">H$179+H$180</f>
        <v>86.625</v>
      </c>
      <c r="I181" s="1864">
        <f t="shared" si="156"/>
        <v>85.26</v>
      </c>
      <c r="J181" s="1819">
        <f t="shared" si="156"/>
        <v>102.47999999999999</v>
      </c>
      <c r="K181" s="243">
        <f t="shared" si="156"/>
        <v>101.85</v>
      </c>
      <c r="L181" s="243">
        <f t="shared" si="156"/>
        <v>100.8</v>
      </c>
      <c r="M181" s="249">
        <f t="shared" si="156"/>
        <v>100.27500000000001</v>
      </c>
      <c r="N181" s="1867">
        <f t="shared" si="156"/>
        <v>99.75</v>
      </c>
      <c r="O181" s="1864">
        <f t="shared" si="156"/>
        <v>99.33</v>
      </c>
      <c r="P181" s="1819">
        <f>P$179+P$180</f>
        <v>99.33</v>
      </c>
      <c r="Q181" s="249">
        <f>Q$179+Q$180</f>
        <v>95.55</v>
      </c>
      <c r="R181" s="249">
        <f t="shared" ref="R181:V181" si="157">R$179+R$180</f>
        <v>95.025000000000006</v>
      </c>
      <c r="S181" s="1867">
        <f t="shared" si="157"/>
        <v>96.6</v>
      </c>
      <c r="T181" s="1867">
        <f t="shared" si="157"/>
        <v>96.075000000000003</v>
      </c>
      <c r="U181" s="1867">
        <f t="shared" si="157"/>
        <v>95.234999999999999</v>
      </c>
      <c r="V181" s="249">
        <f t="shared" si="157"/>
        <v>0</v>
      </c>
    </row>
    <row r="182" spans="3:113" ht="16" x14ac:dyDescent="0.4">
      <c r="C182" s="416">
        <v>-0.05</v>
      </c>
      <c r="D182" s="416"/>
      <c r="E182" s="420"/>
      <c r="F182" s="654">
        <f>F$179-F$180</f>
        <v>83.6</v>
      </c>
      <c r="G182" s="311">
        <f>G$179-G$180</f>
        <v>80.084999999999994</v>
      </c>
      <c r="H182" s="311">
        <f t="shared" ref="H182:N182" si="158">H$179-H$180</f>
        <v>78.375</v>
      </c>
      <c r="I182" s="1860">
        <f t="shared" si="158"/>
        <v>77.14</v>
      </c>
      <c r="J182" s="1830">
        <f t="shared" si="158"/>
        <v>92.72</v>
      </c>
      <c r="K182" s="311">
        <f t="shared" si="158"/>
        <v>92.15</v>
      </c>
      <c r="L182" s="311">
        <f t="shared" si="158"/>
        <v>91.2</v>
      </c>
      <c r="M182" s="311">
        <f t="shared" si="158"/>
        <v>90.724999999999994</v>
      </c>
      <c r="N182" s="1861">
        <f t="shared" si="158"/>
        <v>90.25</v>
      </c>
      <c r="O182" s="1860">
        <f>O$179-O$180</f>
        <v>89.86999999999999</v>
      </c>
      <c r="P182" s="1830">
        <f>P$179-P$180</f>
        <v>89.86999999999999</v>
      </c>
      <c r="Q182" s="311">
        <f>Q$179-Q$180</f>
        <v>86.45</v>
      </c>
      <c r="R182" s="311">
        <f t="shared" ref="R182:V182" si="159">R$179-R$180</f>
        <v>85.974999999999994</v>
      </c>
      <c r="S182" s="1861">
        <f t="shared" si="159"/>
        <v>87.4</v>
      </c>
      <c r="T182" s="1861">
        <f t="shared" si="159"/>
        <v>86.924999999999997</v>
      </c>
      <c r="U182" s="1861">
        <f t="shared" si="159"/>
        <v>86.165000000000006</v>
      </c>
      <c r="V182" s="311">
        <f t="shared" si="159"/>
        <v>0</v>
      </c>
      <c r="W182" s="1790"/>
      <c r="X182" s="1768"/>
      <c r="Y182" s="225"/>
      <c r="Z182" s="225"/>
      <c r="AA182" s="226"/>
      <c r="AB182" s="1768"/>
      <c r="AC182" s="225"/>
      <c r="AD182" s="225"/>
      <c r="AE182" s="225"/>
      <c r="AF182" s="225"/>
      <c r="AG182" s="226"/>
      <c r="AH182" s="1768"/>
      <c r="AI182" s="225"/>
      <c r="AJ182" s="225"/>
      <c r="AK182" s="225"/>
      <c r="AL182" s="225"/>
      <c r="AM182" s="225"/>
      <c r="AN182" s="225"/>
      <c r="AO182" s="344"/>
      <c r="AP182" s="225"/>
      <c r="AQ182" s="225"/>
      <c r="AR182" s="225"/>
      <c r="AS182" s="226"/>
      <c r="AT182" s="1768"/>
      <c r="AU182" s="225"/>
      <c r="AV182" s="225"/>
      <c r="AW182" s="225"/>
      <c r="AX182" s="225"/>
      <c r="AY182" s="226"/>
      <c r="AZ182" s="1768"/>
      <c r="BA182" s="225"/>
      <c r="BB182" s="225"/>
      <c r="BC182" s="225"/>
      <c r="BD182" s="225"/>
      <c r="BE182" s="225"/>
      <c r="BF182" s="225"/>
      <c r="BG182" s="344"/>
      <c r="BH182" s="225"/>
      <c r="BI182" s="225"/>
      <c r="BJ182" s="225"/>
      <c r="BK182" s="226"/>
      <c r="BL182" s="1768"/>
      <c r="BM182" s="225"/>
      <c r="BN182" s="225"/>
      <c r="BO182" s="225"/>
      <c r="BP182" s="225"/>
      <c r="BQ182" s="226"/>
      <c r="BR182" s="1768"/>
      <c r="BS182" s="225"/>
      <c r="BT182" s="225"/>
      <c r="BU182" s="225"/>
      <c r="BV182" s="225"/>
      <c r="BW182" s="225"/>
      <c r="BX182" s="225"/>
      <c r="BY182" s="344"/>
      <c r="BZ182" s="345"/>
      <c r="CA182" s="225"/>
      <c r="CB182" s="225"/>
      <c r="CC182" s="225"/>
      <c r="CD182" s="226"/>
      <c r="CE182" s="1768"/>
      <c r="CF182" s="225"/>
      <c r="CG182" s="225"/>
      <c r="CH182" s="225"/>
      <c r="CI182" s="225"/>
      <c r="CJ182" s="226"/>
      <c r="CK182" s="1768"/>
      <c r="CL182" s="225"/>
      <c r="CM182" s="225"/>
      <c r="CN182" s="225"/>
      <c r="CO182" s="225"/>
      <c r="CP182" s="225"/>
      <c r="CQ182" s="225"/>
      <c r="CR182" s="344"/>
      <c r="CS182" s="225"/>
      <c r="CT182" s="225"/>
      <c r="CU182" s="225"/>
      <c r="CV182" s="226"/>
      <c r="CW182" s="1768"/>
      <c r="CX182" s="225"/>
      <c r="CY182" s="225"/>
      <c r="CZ182" s="225"/>
      <c r="DA182" s="225"/>
      <c r="DB182" s="226"/>
      <c r="DC182" s="1768"/>
      <c r="DD182" s="225"/>
      <c r="DE182" s="225"/>
      <c r="DF182" s="225"/>
      <c r="DG182" s="225"/>
      <c r="DH182" s="225"/>
      <c r="DI182" s="225"/>
    </row>
    <row r="183" spans="3:113" s="224" customFormat="1" x14ac:dyDescent="0.35">
      <c r="C183" s="223" t="s">
        <v>303</v>
      </c>
      <c r="D183" s="223"/>
      <c r="E183" s="223"/>
      <c r="F183" s="249">
        <f>((F$89-AP$89)/F$89)*100</f>
        <v>24.446309949631363</v>
      </c>
      <c r="G183" s="249">
        <f>((G$89-AQ$89)/G$89)*100</f>
        <v>33.522114347357061</v>
      </c>
      <c r="H183" s="249">
        <f t="shared" ref="H183:V183" si="160">((H$89-AR$89)/H$89)*100</f>
        <v>43.490959132185012</v>
      </c>
      <c r="I183" s="1864">
        <f t="shared" si="160"/>
        <v>60.055911177906516</v>
      </c>
      <c r="J183" s="1819">
        <f t="shared" si="160"/>
        <v>72.988551211646708</v>
      </c>
      <c r="K183" s="249">
        <f t="shared" si="160"/>
        <v>92.569025374212643</v>
      </c>
      <c r="L183" s="249">
        <f t="shared" si="160"/>
        <v>96.928964734278381</v>
      </c>
      <c r="M183" s="249">
        <f t="shared" si="160"/>
        <v>97.474497118799036</v>
      </c>
      <c r="N183" s="1867">
        <f t="shared" si="160"/>
        <v>94.155133937530593</v>
      </c>
      <c r="O183" s="1864">
        <f t="shared" si="160"/>
        <v>97.007105704365728</v>
      </c>
      <c r="P183" s="294">
        <f t="shared" si="160"/>
        <v>96.084794518756794</v>
      </c>
      <c r="Q183" s="294">
        <f t="shared" si="160"/>
        <v>91.33525577666417</v>
      </c>
      <c r="R183" s="294">
        <f t="shared" si="160"/>
        <v>74.204056618322937</v>
      </c>
      <c r="S183" s="1864">
        <f t="shared" si="160"/>
        <v>95.93584781610906</v>
      </c>
      <c r="T183" s="1864">
        <f t="shared" si="160"/>
        <v>62.201717876952415</v>
      </c>
      <c r="U183" s="1864">
        <f t="shared" si="160"/>
        <v>89.1764163287108</v>
      </c>
      <c r="V183" s="294" t="e">
        <f t="shared" si="160"/>
        <v>#DIV/0!</v>
      </c>
      <c r="W183" s="1701"/>
      <c r="X183" s="1726"/>
      <c r="Y183" s="232"/>
      <c r="Z183" s="232"/>
      <c r="AA183" s="231"/>
      <c r="AB183" s="1726"/>
      <c r="AC183" s="232"/>
      <c r="AD183" s="232"/>
      <c r="AE183" s="232"/>
      <c r="AF183" s="232"/>
      <c r="AG183" s="231"/>
      <c r="AH183" s="1726"/>
      <c r="AI183" s="232"/>
      <c r="AJ183" s="232"/>
      <c r="AK183" s="232"/>
      <c r="AL183" s="232"/>
      <c r="AM183" s="232"/>
      <c r="AN183" s="232"/>
      <c r="AO183" s="323"/>
      <c r="AP183" s="232"/>
      <c r="AQ183" s="232"/>
      <c r="AR183" s="232"/>
      <c r="AS183" s="231"/>
      <c r="AT183" s="1726"/>
      <c r="AU183" s="232"/>
      <c r="AV183" s="232"/>
      <c r="AW183" s="232"/>
      <c r="AX183" s="232"/>
      <c r="AY183" s="231"/>
      <c r="AZ183" s="1726"/>
      <c r="BA183" s="232"/>
      <c r="BB183" s="232"/>
      <c r="BC183" s="232"/>
      <c r="BD183" s="232"/>
      <c r="BE183" s="232"/>
      <c r="BF183" s="232"/>
      <c r="BG183" s="323"/>
      <c r="BH183" s="232"/>
      <c r="BI183" s="232"/>
      <c r="BJ183" s="232"/>
      <c r="BK183" s="231"/>
      <c r="BL183" s="1726"/>
      <c r="BM183" s="232"/>
      <c r="BN183" s="232"/>
      <c r="BO183" s="232"/>
      <c r="BP183" s="232"/>
      <c r="BQ183" s="231"/>
      <c r="BR183" s="1726"/>
      <c r="BS183" s="232"/>
      <c r="BT183" s="232"/>
      <c r="BU183" s="232"/>
      <c r="BV183" s="232"/>
      <c r="BW183" s="232"/>
      <c r="BX183" s="232"/>
      <c r="BY183" s="323"/>
      <c r="BZ183" s="238"/>
      <c r="CA183" s="232"/>
      <c r="CB183" s="232"/>
      <c r="CC183" s="232"/>
      <c r="CD183" s="231"/>
      <c r="CE183" s="1726"/>
      <c r="CF183" s="232"/>
      <c r="CG183" s="232"/>
      <c r="CH183" s="232"/>
      <c r="CI183" s="232"/>
      <c r="CJ183" s="231"/>
      <c r="CK183" s="1726"/>
      <c r="CL183" s="232"/>
      <c r="CM183" s="232"/>
      <c r="CN183" s="232"/>
      <c r="CO183" s="232"/>
      <c r="CP183" s="232"/>
      <c r="CQ183" s="232"/>
      <c r="CR183" s="323"/>
      <c r="CS183" s="232"/>
      <c r="CT183" s="232"/>
      <c r="CU183" s="232"/>
      <c r="CV183" s="231"/>
      <c r="CW183" s="1726"/>
      <c r="CX183" s="232"/>
      <c r="CY183" s="232"/>
      <c r="CZ183" s="232"/>
      <c r="DA183" s="232"/>
      <c r="DB183" s="231"/>
      <c r="DC183" s="1726"/>
      <c r="DD183" s="232"/>
      <c r="DE183" s="232"/>
      <c r="DF183" s="232"/>
      <c r="DG183" s="232"/>
      <c r="DH183" s="232"/>
      <c r="DI183" s="232"/>
    </row>
    <row r="184" spans="3:113" x14ac:dyDescent="0.35">
      <c r="C184" s="1" t="s">
        <v>837</v>
      </c>
      <c r="F184" s="897">
        <f>F$183*F$89/100</f>
        <v>1.3680612765957451E-3</v>
      </c>
      <c r="G184" s="897">
        <f t="shared" ref="G184:U184" si="161">G$183*G$89/100</f>
        <v>1.8147799999999998E-3</v>
      </c>
      <c r="H184" s="897">
        <f t="shared" si="161"/>
        <v>2.3143993971631201E-3</v>
      </c>
      <c r="I184" s="2180">
        <f t="shared" si="161"/>
        <v>3.1981836559139779E-3</v>
      </c>
      <c r="J184" s="897">
        <f t="shared" si="161"/>
        <v>9.7001337520000001E-3</v>
      </c>
      <c r="K184" s="897">
        <f t="shared" si="161"/>
        <v>1.3778103333333333E-2</v>
      </c>
      <c r="L184" s="897">
        <f t="shared" si="161"/>
        <v>1.5718030000000004E-2</v>
      </c>
      <c r="M184" s="897">
        <f t="shared" si="161"/>
        <v>1.4669209999999999E-2</v>
      </c>
      <c r="N184" s="2180">
        <f t="shared" si="161"/>
        <v>1.4075024999999996E-2</v>
      </c>
      <c r="O184" s="2180">
        <f t="shared" si="161"/>
        <v>1.4696382499999999E-2</v>
      </c>
      <c r="P184" s="897">
        <f t="shared" si="161"/>
        <v>1.2247448333333334E-2</v>
      </c>
      <c r="Q184" s="897">
        <f t="shared" si="161"/>
        <v>1.1699506195652173E-2</v>
      </c>
      <c r="R184" s="897">
        <f t="shared" si="161"/>
        <v>9.9785776086956518E-3</v>
      </c>
      <c r="S184" s="2180">
        <f t="shared" si="161"/>
        <v>1.2329049492753623E-2</v>
      </c>
      <c r="T184" s="2180">
        <f t="shared" si="161"/>
        <v>7.7517569117647065E-3</v>
      </c>
      <c r="U184" s="2180">
        <f t="shared" si="161"/>
        <v>1.1352692857142859E-2</v>
      </c>
      <c r="V184" s="1829"/>
      <c r="W184" s="1790"/>
      <c r="X184" s="1768"/>
      <c r="Y184" s="225"/>
      <c r="Z184" s="225"/>
      <c r="AA184" s="226"/>
      <c r="AB184" s="1768"/>
      <c r="AC184" s="225"/>
      <c r="AD184" s="225"/>
      <c r="AE184" s="225"/>
      <c r="AF184" s="225"/>
      <c r="AG184" s="226"/>
      <c r="AH184" s="1768"/>
      <c r="AI184" s="225"/>
      <c r="AJ184" s="225"/>
      <c r="AK184" s="225"/>
      <c r="AL184" s="225"/>
      <c r="AM184" s="225"/>
      <c r="AN184" s="225"/>
      <c r="AO184" s="344"/>
      <c r="AP184" s="225"/>
      <c r="AQ184" s="225"/>
      <c r="AR184" s="225"/>
      <c r="AS184" s="226"/>
      <c r="AT184" s="1768"/>
      <c r="AU184" s="225"/>
      <c r="AV184" s="225"/>
      <c r="AW184" s="225"/>
      <c r="AX184" s="225"/>
      <c r="AY184" s="226"/>
      <c r="AZ184" s="1768"/>
      <c r="BA184" s="225"/>
      <c r="BB184" s="225"/>
      <c r="BC184" s="225"/>
      <c r="BD184" s="225"/>
      <c r="BE184" s="225"/>
      <c r="BF184" s="225"/>
      <c r="BG184" s="344"/>
      <c r="BH184" s="225"/>
      <c r="BI184" s="225"/>
      <c r="BJ184" s="225"/>
      <c r="BK184" s="226"/>
      <c r="BL184" s="1768"/>
      <c r="BM184" s="225"/>
      <c r="BN184" s="225"/>
      <c r="BO184" s="225"/>
      <c r="BP184" s="225"/>
      <c r="BQ184" s="226"/>
      <c r="BR184" s="1768"/>
      <c r="BS184" s="225"/>
      <c r="BT184" s="225"/>
      <c r="BU184" s="225"/>
      <c r="BV184" s="225"/>
      <c r="BW184" s="225"/>
      <c r="BX184" s="225"/>
      <c r="BY184" s="344"/>
      <c r="BZ184" s="345"/>
      <c r="CA184" s="225"/>
      <c r="CB184" s="225"/>
      <c r="CC184" s="225"/>
      <c r="CD184" s="226"/>
      <c r="CE184" s="1768"/>
      <c r="CF184" s="225"/>
      <c r="CG184" s="225"/>
      <c r="CH184" s="225"/>
      <c r="CI184" s="225"/>
      <c r="CJ184" s="226"/>
      <c r="CK184" s="1768"/>
      <c r="CL184" s="225"/>
      <c r="CM184" s="225"/>
      <c r="CN184" s="225"/>
      <c r="CO184" s="225"/>
      <c r="CP184" s="225"/>
      <c r="CQ184" s="225"/>
      <c r="CR184" s="344"/>
      <c r="CS184" s="225"/>
      <c r="CT184" s="225"/>
      <c r="CU184" s="225"/>
      <c r="CV184" s="226"/>
      <c r="CW184" s="1768"/>
      <c r="CX184" s="225"/>
      <c r="CY184" s="225"/>
      <c r="CZ184" s="225"/>
      <c r="DA184" s="225"/>
      <c r="DB184" s="226"/>
      <c r="DC184" s="1768"/>
      <c r="DD184" s="225"/>
      <c r="DE184" s="225"/>
      <c r="DF184" s="225"/>
      <c r="DG184" s="225"/>
      <c r="DH184" s="225"/>
      <c r="DI184" s="225"/>
    </row>
    <row r="185" spans="3:113" ht="6.65" customHeight="1" thickBot="1" x14ac:dyDescent="0.4">
      <c r="F185" s="1768"/>
      <c r="G185" s="225"/>
      <c r="H185" s="225"/>
      <c r="I185" s="2072"/>
      <c r="J185" s="1768"/>
      <c r="K185" s="225"/>
      <c r="L185" s="225"/>
      <c r="M185" s="225"/>
      <c r="N185" s="2073"/>
      <c r="O185" s="2072"/>
      <c r="P185" s="1768"/>
      <c r="Q185" s="225"/>
      <c r="R185" s="225"/>
      <c r="S185" s="2073"/>
      <c r="T185" s="2073"/>
      <c r="U185" s="2073"/>
      <c r="V185" s="225"/>
      <c r="W185" s="1790"/>
      <c r="X185" s="1768"/>
      <c r="Y185" s="225"/>
      <c r="Z185" s="225"/>
      <c r="AA185" s="226"/>
      <c r="AB185" s="1768"/>
      <c r="AC185" s="225"/>
      <c r="AD185" s="225"/>
      <c r="AE185" s="225"/>
      <c r="AF185" s="225"/>
      <c r="AG185" s="226"/>
      <c r="AH185" s="1768"/>
      <c r="AI185" s="225"/>
      <c r="AJ185" s="225"/>
      <c r="AK185" s="225"/>
      <c r="AL185" s="225"/>
      <c r="AM185" s="225"/>
      <c r="AN185" s="225"/>
      <c r="AO185" s="344"/>
      <c r="AP185" s="225"/>
      <c r="AQ185" s="225"/>
      <c r="AR185" s="225"/>
      <c r="AS185" s="226"/>
      <c r="AT185" s="1768"/>
      <c r="AU185" s="225"/>
      <c r="AV185" s="225"/>
      <c r="AW185" s="225"/>
      <c r="AX185" s="225"/>
      <c r="AY185" s="226"/>
      <c r="AZ185" s="1768"/>
      <c r="BA185" s="225"/>
      <c r="BB185" s="225"/>
      <c r="BC185" s="225"/>
      <c r="BD185" s="225"/>
      <c r="BE185" s="225"/>
      <c r="BF185" s="225"/>
      <c r="BG185" s="344"/>
      <c r="BH185" s="225"/>
      <c r="BI185" s="225"/>
      <c r="BJ185" s="225"/>
      <c r="BK185" s="226"/>
      <c r="BL185" s="1768"/>
      <c r="BM185" s="225"/>
      <c r="BN185" s="225"/>
      <c r="BO185" s="225"/>
      <c r="BP185" s="225"/>
      <c r="BQ185" s="226"/>
      <c r="BR185" s="1768"/>
      <c r="BS185" s="225"/>
      <c r="BT185" s="225"/>
      <c r="BU185" s="225"/>
      <c r="BV185" s="225"/>
      <c r="BW185" s="225"/>
      <c r="BX185" s="225"/>
      <c r="BY185" s="344"/>
      <c r="BZ185" s="345"/>
      <c r="CA185" s="225"/>
      <c r="CB185" s="225"/>
      <c r="CC185" s="225"/>
      <c r="CD185" s="226"/>
      <c r="CE185" s="1768"/>
      <c r="CF185" s="225"/>
      <c r="CG185" s="225"/>
      <c r="CH185" s="225"/>
      <c r="CI185" s="225"/>
      <c r="CJ185" s="226"/>
      <c r="CK185" s="1768"/>
      <c r="CL185" s="225"/>
      <c r="CM185" s="225"/>
      <c r="CN185" s="225"/>
      <c r="CO185" s="225"/>
      <c r="CP185" s="225"/>
      <c r="CQ185" s="225"/>
      <c r="CR185" s="344"/>
      <c r="CS185" s="225"/>
      <c r="CT185" s="225"/>
      <c r="CU185" s="225"/>
      <c r="CV185" s="226"/>
      <c r="CW185" s="1768"/>
      <c r="CX185" s="225"/>
      <c r="CY185" s="225"/>
      <c r="CZ185" s="225"/>
      <c r="DA185" s="225"/>
      <c r="DB185" s="226"/>
      <c r="DC185" s="1768"/>
      <c r="DD185" s="225"/>
      <c r="DE185" s="225"/>
      <c r="DF185" s="225"/>
      <c r="DG185" s="225"/>
      <c r="DH185" s="225"/>
      <c r="DI185" s="225"/>
    </row>
    <row r="186" spans="3:113" s="377" customFormat="1" ht="15" thickTop="1" x14ac:dyDescent="0.35">
      <c r="C186" s="375" t="s">
        <v>302</v>
      </c>
      <c r="D186" s="375"/>
      <c r="E186" s="375"/>
      <c r="F186" s="2088">
        <f t="shared" ref="F186:V186" si="162">((F$92-(X$92+AP$92+BH$92))/F$92)*100</f>
        <v>64.498987612700304</v>
      </c>
      <c r="G186" s="371">
        <f t="shared" si="162"/>
        <v>66.260538076075704</v>
      </c>
      <c r="H186" s="371">
        <f t="shared" si="162"/>
        <v>65.200068088983215</v>
      </c>
      <c r="I186" s="2167">
        <f t="shared" si="162"/>
        <v>65.178077797459792</v>
      </c>
      <c r="J186" s="2088">
        <f t="shared" si="162"/>
        <v>84.167966673459233</v>
      </c>
      <c r="K186" s="371">
        <f t="shared" si="162"/>
        <v>82.092170846131438</v>
      </c>
      <c r="L186" s="371">
        <f t="shared" si="162"/>
        <v>78.012112349376224</v>
      </c>
      <c r="M186" s="371">
        <f t="shared" si="162"/>
        <v>78.680928642779847</v>
      </c>
      <c r="N186" s="2168">
        <f t="shared" si="162"/>
        <v>77.873998304433286</v>
      </c>
      <c r="O186" s="2167">
        <f t="shared" si="162"/>
        <v>77.130923025345879</v>
      </c>
      <c r="P186" s="2088">
        <f t="shared" si="162"/>
        <v>77.172629470171387</v>
      </c>
      <c r="Q186" s="371">
        <f t="shared" si="162"/>
        <v>80.116179498733715</v>
      </c>
      <c r="R186" s="371">
        <f t="shared" si="162"/>
        <v>79.164795006328703</v>
      </c>
      <c r="S186" s="2168">
        <f t="shared" si="162"/>
        <v>79.882526565786861</v>
      </c>
      <c r="T186" s="2168">
        <f t="shared" si="162"/>
        <v>78.602035800582811</v>
      </c>
      <c r="U186" s="2168">
        <f t="shared" si="162"/>
        <v>81.366708634844798</v>
      </c>
      <c r="V186" s="371" t="e">
        <f t="shared" si="162"/>
        <v>#DIV/0!</v>
      </c>
      <c r="W186" s="1878"/>
      <c r="X186" s="1879"/>
      <c r="Y186" s="347"/>
      <c r="Z186" s="347"/>
      <c r="AA186" s="1880"/>
      <c r="AB186" s="1879" t="s">
        <v>157</v>
      </c>
      <c r="AC186" s="2181">
        <f>AVERAGE(H186:I186)</f>
        <v>65.189072943221504</v>
      </c>
      <c r="AD186" s="2181">
        <f>AVERAGE(M186:O186)</f>
        <v>77.895283324186337</v>
      </c>
      <c r="AE186" s="2181">
        <f>AVERAGE(S186:U186)</f>
        <v>79.95042366707149</v>
      </c>
      <c r="AF186" s="347"/>
      <c r="AG186" s="1880"/>
      <c r="AH186" s="1879"/>
      <c r="AI186" s="347"/>
      <c r="AJ186" s="347"/>
      <c r="AK186" s="347"/>
      <c r="AL186" s="347"/>
      <c r="AM186" s="347"/>
      <c r="AN186" s="347"/>
      <c r="AO186" s="352"/>
      <c r="AP186" s="347"/>
      <c r="AQ186" s="347"/>
      <c r="AR186" s="347"/>
      <c r="AS186" s="1880"/>
      <c r="AT186" s="1879"/>
      <c r="AU186" s="347"/>
      <c r="AV186" s="347"/>
      <c r="AW186" s="347"/>
      <c r="AX186" s="347"/>
      <c r="AY186" s="1880"/>
      <c r="AZ186" s="1879"/>
      <c r="BA186" s="347"/>
      <c r="BB186" s="347"/>
      <c r="BC186" s="347"/>
      <c r="BD186" s="347"/>
      <c r="BE186" s="347"/>
      <c r="BF186" s="347"/>
      <c r="BG186" s="352"/>
      <c r="BH186" s="347"/>
      <c r="BI186" s="347"/>
      <c r="BJ186" s="347"/>
      <c r="BK186" s="1880"/>
      <c r="BL186" s="1879"/>
      <c r="BM186" s="347"/>
      <c r="BN186" s="347"/>
      <c r="BO186" s="347"/>
      <c r="BP186" s="347"/>
      <c r="BQ186" s="1880"/>
      <c r="BR186" s="1879"/>
      <c r="BS186" s="347"/>
      <c r="BT186" s="347"/>
      <c r="BU186" s="347"/>
      <c r="BV186" s="347"/>
      <c r="BW186" s="347"/>
      <c r="BX186" s="347"/>
      <c r="BY186" s="352"/>
      <c r="BZ186" s="355"/>
      <c r="CA186" s="347"/>
      <c r="CB186" s="347"/>
      <c r="CC186" s="347"/>
      <c r="CD186" s="1880"/>
      <c r="CE186" s="1879"/>
      <c r="CF186" s="347"/>
      <c r="CG186" s="347"/>
      <c r="CH186" s="347"/>
      <c r="CI186" s="347"/>
      <c r="CJ186" s="1880"/>
      <c r="CK186" s="1879"/>
      <c r="CL186" s="347"/>
      <c r="CM186" s="347"/>
      <c r="CN186" s="347"/>
      <c r="CO186" s="347"/>
      <c r="CP186" s="347"/>
      <c r="CQ186" s="347"/>
      <c r="CR186" s="352"/>
      <c r="CS186" s="347"/>
      <c r="CT186" s="347"/>
      <c r="CU186" s="347"/>
      <c r="CV186" s="1880"/>
      <c r="CW186" s="1879"/>
      <c r="CX186" s="347"/>
      <c r="CY186" s="347"/>
      <c r="CZ186" s="347"/>
      <c r="DA186" s="347"/>
      <c r="DB186" s="1880"/>
      <c r="DC186" s="1879"/>
      <c r="DD186" s="347"/>
      <c r="DE186" s="347"/>
      <c r="DF186" s="347"/>
      <c r="DG186" s="347"/>
      <c r="DH186" s="347"/>
      <c r="DI186" s="347"/>
    </row>
    <row r="187" spans="3:113" x14ac:dyDescent="0.35">
      <c r="C187" s="444" t="s">
        <v>214</v>
      </c>
      <c r="D187" s="444"/>
      <c r="E187" s="444"/>
      <c r="F187" s="1818">
        <v>72</v>
      </c>
      <c r="G187" s="446">
        <v>68</v>
      </c>
      <c r="H187" s="446">
        <v>66</v>
      </c>
      <c r="I187" s="1864">
        <v>65.599999999999994</v>
      </c>
      <c r="J187" s="1818">
        <v>86</v>
      </c>
      <c r="K187" s="446">
        <v>87</v>
      </c>
      <c r="L187" s="446">
        <v>86</v>
      </c>
      <c r="M187" s="446">
        <v>85.5</v>
      </c>
      <c r="N187" s="1867">
        <v>85</v>
      </c>
      <c r="O187" s="1864">
        <v>84.6</v>
      </c>
      <c r="P187" s="1818">
        <v>81</v>
      </c>
      <c r="Q187" s="446">
        <v>82</v>
      </c>
      <c r="R187" s="446">
        <v>82.3</v>
      </c>
      <c r="S187" s="1867">
        <v>83</v>
      </c>
      <c r="T187" s="1867">
        <v>82.5</v>
      </c>
      <c r="U187" s="1867">
        <v>82.1</v>
      </c>
      <c r="AC187" s="459">
        <f>AVERAGE(G187:H187)</f>
        <v>67</v>
      </c>
      <c r="AD187" s="459">
        <f>AVERAGE(N187:O187)</f>
        <v>84.8</v>
      </c>
      <c r="AE187" s="459">
        <f>AVERAGE(S187:U187)</f>
        <v>82.533333333333331</v>
      </c>
    </row>
    <row r="188" spans="3:113" s="368" customFormat="1" ht="11.15" customHeight="1" thickBot="1" x14ac:dyDescent="0.4">
      <c r="C188" s="364"/>
      <c r="D188" s="364"/>
      <c r="E188" s="364"/>
      <c r="F188" s="2164"/>
      <c r="G188" s="374"/>
      <c r="H188" s="374"/>
      <c r="I188" s="2165"/>
      <c r="J188" s="2164"/>
      <c r="K188" s="374"/>
      <c r="L188" s="374"/>
      <c r="M188" s="374"/>
      <c r="N188" s="2166"/>
      <c r="O188" s="2165"/>
      <c r="P188" s="2164"/>
      <c r="Q188" s="374"/>
      <c r="R188" s="374"/>
      <c r="S188" s="2166"/>
      <c r="T188" s="2166"/>
      <c r="U188" s="2166"/>
      <c r="V188" s="365"/>
      <c r="W188" s="1803"/>
      <c r="X188" s="1800"/>
      <c r="Y188" s="365"/>
      <c r="Z188" s="365"/>
      <c r="AA188" s="1804"/>
      <c r="AB188" s="1800"/>
      <c r="AC188" s="365"/>
      <c r="AD188" s="365"/>
      <c r="AE188" s="365"/>
      <c r="AF188" s="365"/>
      <c r="AG188" s="1804"/>
      <c r="AH188" s="1800"/>
      <c r="AI188" s="365"/>
      <c r="AJ188" s="365"/>
      <c r="AK188" s="365"/>
      <c r="AL188" s="365"/>
      <c r="AM188" s="365"/>
      <c r="AN188" s="365"/>
      <c r="AO188" s="366"/>
      <c r="AP188" s="365"/>
      <c r="AQ188" s="365"/>
      <c r="AR188" s="365"/>
      <c r="AS188" s="1804"/>
      <c r="AT188" s="1800"/>
      <c r="AU188" s="365"/>
      <c r="AV188" s="365"/>
      <c r="AW188" s="365"/>
      <c r="AX188" s="365"/>
      <c r="AY188" s="1804"/>
      <c r="AZ188" s="1800"/>
      <c r="BA188" s="365"/>
      <c r="BB188" s="365"/>
      <c r="BC188" s="365"/>
      <c r="BD188" s="365"/>
      <c r="BE188" s="365"/>
      <c r="BF188" s="365"/>
      <c r="BG188" s="366"/>
      <c r="BH188" s="365"/>
      <c r="BI188" s="365"/>
      <c r="BJ188" s="365"/>
      <c r="BK188" s="1804"/>
      <c r="BL188" s="1800"/>
      <c r="BM188" s="365"/>
      <c r="BN188" s="365"/>
      <c r="BO188" s="365"/>
      <c r="BP188" s="365"/>
      <c r="BQ188" s="1804"/>
      <c r="BR188" s="1800"/>
      <c r="BS188" s="365"/>
      <c r="BT188" s="365"/>
      <c r="BU188" s="365"/>
      <c r="BV188" s="365"/>
      <c r="BW188" s="365"/>
      <c r="BX188" s="365"/>
      <c r="BY188" s="366"/>
      <c r="BZ188" s="367"/>
      <c r="CA188" s="365"/>
      <c r="CB188" s="365"/>
      <c r="CC188" s="365"/>
      <c r="CD188" s="1804"/>
      <c r="CE188" s="1800"/>
      <c r="CF188" s="365"/>
      <c r="CG188" s="365"/>
      <c r="CH188" s="365"/>
      <c r="CI188" s="365"/>
      <c r="CJ188" s="1804"/>
      <c r="CK188" s="1800"/>
      <c r="CL188" s="365"/>
      <c r="CM188" s="365"/>
      <c r="CN188" s="365"/>
      <c r="CO188" s="365"/>
      <c r="CP188" s="365"/>
      <c r="CQ188" s="365"/>
      <c r="CR188" s="366"/>
      <c r="CS188" s="365"/>
      <c r="CT188" s="365"/>
      <c r="CU188" s="365"/>
      <c r="CV188" s="1804"/>
      <c r="CW188" s="1800"/>
      <c r="CX188" s="365"/>
      <c r="CY188" s="365"/>
      <c r="CZ188" s="365"/>
      <c r="DA188" s="365"/>
      <c r="DB188" s="1804"/>
      <c r="DC188" s="1800"/>
      <c r="DD188" s="365"/>
      <c r="DE188" s="365"/>
      <c r="DF188" s="365"/>
      <c r="DG188" s="365"/>
      <c r="DH188" s="365"/>
      <c r="DI188" s="365"/>
    </row>
    <row r="189" spans="3:113" ht="15" thickTop="1" x14ac:dyDescent="0.35">
      <c r="C189" s="1" t="s">
        <v>301</v>
      </c>
      <c r="F189" s="1835">
        <f>((F$93-(X$93+AP$93+BH$93))/F$93)*100</f>
        <v>38.689882177323334</v>
      </c>
      <c r="G189" s="314">
        <f t="shared" ref="G189:V189" si="163">((G$93-(Y$93+AQ$93+BI$93))/G$93)*100</f>
        <v>39.321934701991587</v>
      </c>
      <c r="H189" s="314">
        <f t="shared" si="163"/>
        <v>43.4371551972229</v>
      </c>
      <c r="I189" s="2182">
        <f t="shared" si="163"/>
        <v>39.672386452424909</v>
      </c>
      <c r="J189" s="1835">
        <f t="shared" si="163"/>
        <v>63.187613904350457</v>
      </c>
      <c r="K189" s="314">
        <f t="shared" si="163"/>
        <v>41.204457959699141</v>
      </c>
      <c r="L189" s="314">
        <f t="shared" si="163"/>
        <v>36.193380883636706</v>
      </c>
      <c r="M189" s="314">
        <f t="shared" si="163"/>
        <v>37.596947448157117</v>
      </c>
      <c r="N189" s="2183">
        <f t="shared" si="163"/>
        <v>32.016728421017319</v>
      </c>
      <c r="O189" s="2182">
        <f t="shared" si="163"/>
        <v>35.294825697057583</v>
      </c>
      <c r="P189" s="1835">
        <f t="shared" si="163"/>
        <v>39.416038812699064</v>
      </c>
      <c r="Q189" s="314">
        <f t="shared" si="163"/>
        <v>34.961016617338515</v>
      </c>
      <c r="R189" s="314">
        <f t="shared" si="163"/>
        <v>28.597698662762067</v>
      </c>
      <c r="S189" s="2183">
        <f t="shared" si="163"/>
        <v>31.424754290060097</v>
      </c>
      <c r="T189" s="2183">
        <f t="shared" si="163"/>
        <v>29.141392273555301</v>
      </c>
      <c r="U189" s="2183">
        <f t="shared" si="163"/>
        <v>40.305184807574364</v>
      </c>
      <c r="V189" s="314" t="e">
        <f t="shared" si="163"/>
        <v>#DIV/0!</v>
      </c>
      <c r="W189" s="1796"/>
      <c r="X189" s="1774"/>
      <c r="Y189" s="229"/>
      <c r="Z189" s="229"/>
      <c r="AA189" s="1773"/>
      <c r="AB189" s="1774"/>
      <c r="AC189" s="229"/>
      <c r="AD189" s="229"/>
      <c r="AE189" s="229"/>
      <c r="AF189" s="229"/>
      <c r="AG189" s="1773"/>
      <c r="AH189" s="1774"/>
      <c r="AI189" s="229"/>
      <c r="AJ189" s="229"/>
      <c r="AK189" s="229"/>
      <c r="AL189" s="229"/>
      <c r="AM189" s="229"/>
      <c r="AN189" s="229"/>
      <c r="AO189" s="356"/>
      <c r="AP189" s="229"/>
      <c r="AQ189" s="229"/>
      <c r="AR189" s="229"/>
      <c r="AS189" s="1773"/>
      <c r="AT189" s="1774"/>
      <c r="AU189" s="229"/>
      <c r="AV189" s="229"/>
      <c r="AW189" s="229"/>
      <c r="AX189" s="229"/>
      <c r="AY189" s="1773"/>
      <c r="AZ189" s="1774"/>
      <c r="BA189" s="229"/>
      <c r="BB189" s="229"/>
      <c r="BC189" s="229"/>
      <c r="BD189" s="229"/>
      <c r="BE189" s="229"/>
      <c r="BF189" s="229"/>
      <c r="BG189" s="356"/>
      <c r="BH189" s="229"/>
      <c r="BI189" s="229"/>
      <c r="BJ189" s="229"/>
      <c r="BK189" s="1773"/>
      <c r="BL189" s="1774"/>
      <c r="BM189" s="229"/>
      <c r="BN189" s="229"/>
      <c r="BO189" s="229"/>
      <c r="BP189" s="229"/>
      <c r="BQ189" s="1773"/>
      <c r="BR189" s="1774"/>
      <c r="BS189" s="229"/>
      <c r="BT189" s="229"/>
      <c r="BU189" s="229"/>
      <c r="BV189" s="229"/>
      <c r="BW189" s="229"/>
      <c r="BX189" s="229"/>
      <c r="BY189" s="356"/>
      <c r="BZ189" s="358"/>
      <c r="CA189" s="229"/>
      <c r="CB189" s="229"/>
      <c r="CC189" s="229"/>
      <c r="CD189" s="1773"/>
      <c r="CE189" s="1774"/>
      <c r="CF189" s="229"/>
      <c r="CG189" s="229"/>
      <c r="CH189" s="229"/>
      <c r="CI189" s="229"/>
      <c r="CJ189" s="1773"/>
      <c r="CK189" s="1774"/>
      <c r="CL189" s="229"/>
      <c r="CM189" s="229"/>
      <c r="CN189" s="229"/>
      <c r="CO189" s="229"/>
      <c r="CP189" s="229"/>
      <c r="CQ189" s="229"/>
      <c r="CR189" s="356"/>
      <c r="CS189" s="229"/>
      <c r="CT189" s="229"/>
      <c r="CU189" s="229"/>
      <c r="CV189" s="1773"/>
      <c r="CW189" s="1774"/>
      <c r="CX189" s="229"/>
      <c r="CY189" s="229"/>
      <c r="CZ189" s="229"/>
      <c r="DA189" s="229"/>
      <c r="DB189" s="1773"/>
      <c r="DC189" s="1774"/>
      <c r="DD189" s="229"/>
      <c r="DE189" s="229"/>
      <c r="DF189" s="229"/>
      <c r="DG189" s="229"/>
      <c r="DH189" s="229"/>
      <c r="DI189" s="229"/>
    </row>
    <row r="190" spans="3:113" x14ac:dyDescent="0.35">
      <c r="C190" s="444" t="s">
        <v>285</v>
      </c>
      <c r="D190" s="444"/>
      <c r="E190" s="444"/>
      <c r="F190" s="1818">
        <v>38</v>
      </c>
      <c r="G190" s="446">
        <v>31.5</v>
      </c>
      <c r="H190" s="446">
        <v>27.5</v>
      </c>
      <c r="I190" s="1864">
        <v>28.4</v>
      </c>
      <c r="J190" s="1818">
        <v>55.5</v>
      </c>
      <c r="K190" s="446">
        <v>45</v>
      </c>
      <c r="L190" s="446">
        <v>43</v>
      </c>
      <c r="M190" s="446">
        <v>42.5</v>
      </c>
      <c r="N190" s="1867">
        <v>41.5</v>
      </c>
      <c r="O190" s="1864">
        <v>40.700000000000003</v>
      </c>
      <c r="P190" s="1818">
        <v>39</v>
      </c>
      <c r="Q190" s="446">
        <v>38</v>
      </c>
      <c r="R190" s="446">
        <v>41.5</v>
      </c>
      <c r="S190" s="1867">
        <v>41</v>
      </c>
      <c r="T190" s="1867">
        <v>40.5</v>
      </c>
      <c r="U190" s="1867">
        <v>40.5</v>
      </c>
    </row>
    <row r="191" spans="3:113" ht="7.5" customHeight="1" x14ac:dyDescent="0.35">
      <c r="F191" s="1819"/>
      <c r="G191" s="249"/>
      <c r="H191" s="249"/>
      <c r="I191" s="1864"/>
      <c r="J191" s="1819"/>
      <c r="K191" s="249"/>
      <c r="L191" s="249"/>
      <c r="M191" s="249"/>
      <c r="N191" s="1867"/>
      <c r="O191" s="1864"/>
      <c r="P191" s="1819"/>
      <c r="Q191" s="249"/>
      <c r="R191" s="249"/>
      <c r="S191" s="1867"/>
      <c r="T191" s="1867"/>
      <c r="U191" s="1867"/>
    </row>
    <row r="192" spans="3:113" s="224" customFormat="1" x14ac:dyDescent="0.35">
      <c r="C192" s="223" t="s">
        <v>300</v>
      </c>
      <c r="D192" s="223"/>
      <c r="E192" s="223"/>
      <c r="F192" s="1839">
        <f t="shared" ref="F192:V192" si="164">(F$186*F$92)/100</f>
        <v>13.110662553191487</v>
      </c>
      <c r="G192" s="251">
        <f t="shared" si="164"/>
        <v>13.029478833333332</v>
      </c>
      <c r="H192" s="249">
        <f t="shared" si="164"/>
        <v>12.602795128368793</v>
      </c>
      <c r="I192" s="1864">
        <f t="shared" si="164"/>
        <v>12.607491743548387</v>
      </c>
      <c r="J192" s="1839">
        <f t="shared" si="164"/>
        <v>7.7083210900000019</v>
      </c>
      <c r="K192" s="251">
        <f t="shared" si="164"/>
        <v>8.4200654715942047</v>
      </c>
      <c r="L192" s="251">
        <f t="shared" si="164"/>
        <v>8.717592384057971</v>
      </c>
      <c r="M192" s="251">
        <f t="shared" si="164"/>
        <v>8.1597185949275381</v>
      </c>
      <c r="N192" s="2067">
        <f t="shared" si="164"/>
        <v>8.0220917463768107</v>
      </c>
      <c r="O192" s="2066">
        <f t="shared" si="164"/>
        <v>8.0524012934782618</v>
      </c>
      <c r="P192" s="1839">
        <f t="shared" si="164"/>
        <v>7.4925362499999997</v>
      </c>
      <c r="Q192" s="251">
        <f t="shared" si="164"/>
        <v>7.8167085217391312</v>
      </c>
      <c r="R192" s="251">
        <f t="shared" si="164"/>
        <v>8.1086337981884054</v>
      </c>
      <c r="S192" s="2067">
        <f t="shared" si="164"/>
        <v>7.8194296195652191</v>
      </c>
      <c r="T192" s="2067">
        <f t="shared" si="164"/>
        <v>7.4611567647058834</v>
      </c>
      <c r="U192" s="2067">
        <f t="shared" si="164"/>
        <v>7.889876873626374</v>
      </c>
      <c r="V192" s="251" t="e">
        <f t="shared" si="164"/>
        <v>#DIV/0!</v>
      </c>
      <c r="W192" s="1701"/>
      <c r="X192" s="1726"/>
      <c r="Y192" s="232"/>
      <c r="Z192" s="232"/>
      <c r="AA192" s="231"/>
      <c r="AB192" s="1726"/>
      <c r="AC192" s="232"/>
      <c r="AD192" s="232"/>
      <c r="AE192" s="232"/>
      <c r="AF192" s="232"/>
      <c r="AG192" s="231"/>
      <c r="AH192" s="1726"/>
      <c r="AI192" s="232"/>
      <c r="AJ192" s="232"/>
      <c r="AK192" s="232"/>
      <c r="AL192" s="232"/>
      <c r="AM192" s="232"/>
      <c r="AN192" s="232"/>
      <c r="AO192" s="323"/>
      <c r="AP192" s="232"/>
      <c r="AQ192" s="232"/>
      <c r="AR192" s="232"/>
      <c r="AS192" s="231"/>
      <c r="AT192" s="1726"/>
      <c r="AU192" s="232"/>
      <c r="AV192" s="232"/>
      <c r="AW192" s="232"/>
      <c r="AX192" s="232"/>
      <c r="AY192" s="231"/>
      <c r="AZ192" s="1726"/>
      <c r="BA192" s="232"/>
      <c r="BB192" s="232"/>
      <c r="BC192" s="232"/>
      <c r="BD192" s="232"/>
      <c r="BE192" s="232"/>
      <c r="BF192" s="232"/>
      <c r="BG192" s="323"/>
      <c r="BH192" s="232"/>
      <c r="BI192" s="232"/>
      <c r="BJ192" s="232"/>
      <c r="BK192" s="231"/>
      <c r="BL192" s="1726"/>
      <c r="BM192" s="232"/>
      <c r="BN192" s="232"/>
      <c r="BO192" s="232"/>
      <c r="BP192" s="232"/>
      <c r="BQ192" s="231"/>
      <c r="BR192" s="1726"/>
      <c r="BS192" s="232"/>
      <c r="BT192" s="232"/>
      <c r="BU192" s="232"/>
      <c r="BV192" s="232"/>
      <c r="BW192" s="232"/>
      <c r="BX192" s="232"/>
      <c r="BY192" s="323"/>
      <c r="BZ192" s="238"/>
      <c r="CA192" s="232"/>
      <c r="CB192" s="232"/>
      <c r="CC192" s="232"/>
      <c r="CD192" s="231"/>
      <c r="CE192" s="1726"/>
      <c r="CF192" s="232"/>
      <c r="CG192" s="232"/>
      <c r="CH192" s="232"/>
      <c r="CI192" s="232"/>
      <c r="CJ192" s="231"/>
      <c r="CK192" s="1726"/>
      <c r="CL192" s="232"/>
      <c r="CM192" s="232"/>
      <c r="CN192" s="232"/>
      <c r="CO192" s="232"/>
      <c r="CP192" s="232"/>
      <c r="CQ192" s="232"/>
      <c r="CR192" s="323"/>
      <c r="CS192" s="232"/>
      <c r="CT192" s="232"/>
      <c r="CU192" s="232"/>
      <c r="CV192" s="231"/>
      <c r="CW192" s="1726"/>
      <c r="CX192" s="232"/>
      <c r="CY192" s="232"/>
      <c r="CZ192" s="232"/>
      <c r="DA192" s="232"/>
      <c r="DB192" s="231"/>
      <c r="DC192" s="1726"/>
      <c r="DD192" s="232"/>
      <c r="DE192" s="232"/>
      <c r="DF192" s="232"/>
      <c r="DG192" s="232"/>
      <c r="DH192" s="232"/>
      <c r="DI192" s="232"/>
    </row>
    <row r="193" spans="1:113" x14ac:dyDescent="0.35">
      <c r="C193" s="1" t="s">
        <v>183</v>
      </c>
      <c r="F193" s="1839">
        <f t="shared" ref="F193:V193" si="165">F$192*$K$113/$G$113</f>
        <v>13.930078962765954</v>
      </c>
      <c r="G193" s="251">
        <f t="shared" si="165"/>
        <v>13.843821260416666</v>
      </c>
      <c r="H193" s="249">
        <f t="shared" si="165"/>
        <v>13.390469823891843</v>
      </c>
      <c r="I193" s="1864">
        <f t="shared" si="165"/>
        <v>13.395459977520161</v>
      </c>
      <c r="J193" s="1839">
        <f t="shared" si="165"/>
        <v>8.1900911581250018</v>
      </c>
      <c r="K193" s="251">
        <f t="shared" si="165"/>
        <v>8.9463195635688422</v>
      </c>
      <c r="L193" s="251">
        <f t="shared" si="165"/>
        <v>9.2624419080615947</v>
      </c>
      <c r="M193" s="251">
        <f t="shared" si="165"/>
        <v>8.6697010071105094</v>
      </c>
      <c r="N193" s="2067">
        <f t="shared" si="165"/>
        <v>8.5234724805253617</v>
      </c>
      <c r="O193" s="2066">
        <f t="shared" si="165"/>
        <v>8.5556763743206528</v>
      </c>
      <c r="P193" s="1839">
        <f t="shared" si="165"/>
        <v>7.9608197656249997</v>
      </c>
      <c r="Q193" s="251">
        <f t="shared" si="165"/>
        <v>8.3052528043478269</v>
      </c>
      <c r="R193" s="251">
        <f t="shared" si="165"/>
        <v>8.6154234105751808</v>
      </c>
      <c r="S193" s="2067">
        <f t="shared" si="165"/>
        <v>8.3081439707880449</v>
      </c>
      <c r="T193" s="2067">
        <f t="shared" si="165"/>
        <v>7.9274790625000016</v>
      </c>
      <c r="U193" s="2067">
        <f t="shared" si="165"/>
        <v>8.3829941782280226</v>
      </c>
      <c r="V193" s="251" t="e">
        <f t="shared" si="165"/>
        <v>#DIV/0!</v>
      </c>
    </row>
    <row r="194" spans="1:113" x14ac:dyDescent="0.35">
      <c r="C194" s="1" t="s">
        <v>216</v>
      </c>
      <c r="F194" s="1839">
        <f t="shared" ref="F194:V194" si="166">$I$113/$K$113*F$193</f>
        <v>0.81941640957446782</v>
      </c>
      <c r="G194" s="251">
        <f t="shared" si="166"/>
        <v>0.81434242708333326</v>
      </c>
      <c r="H194" s="251">
        <f t="shared" si="166"/>
        <v>0.78767469552304958</v>
      </c>
      <c r="I194" s="2066">
        <f t="shared" si="166"/>
        <v>0.78796823397177418</v>
      </c>
      <c r="J194" s="1839">
        <f t="shared" si="166"/>
        <v>0.48177006812500012</v>
      </c>
      <c r="K194" s="251">
        <f t="shared" si="166"/>
        <v>0.52625409197463779</v>
      </c>
      <c r="L194" s="251">
        <f t="shared" si="166"/>
        <v>0.54484952400362319</v>
      </c>
      <c r="M194" s="251">
        <f t="shared" si="166"/>
        <v>0.50998241218297113</v>
      </c>
      <c r="N194" s="2067">
        <f t="shared" si="166"/>
        <v>0.50138073414855067</v>
      </c>
      <c r="O194" s="2066">
        <f t="shared" si="166"/>
        <v>0.50327508084239136</v>
      </c>
      <c r="P194" s="1839">
        <f t="shared" si="166"/>
        <v>0.46828351562499998</v>
      </c>
      <c r="Q194" s="251">
        <f t="shared" si="166"/>
        <v>0.4885442826086957</v>
      </c>
      <c r="R194" s="251">
        <f t="shared" si="166"/>
        <v>0.50678961238677533</v>
      </c>
      <c r="S194" s="2067">
        <f t="shared" si="166"/>
        <v>0.48871435122282614</v>
      </c>
      <c r="T194" s="2067">
        <f t="shared" si="166"/>
        <v>0.46632229779411771</v>
      </c>
      <c r="U194" s="2067">
        <f t="shared" si="166"/>
        <v>0.49311730460164838</v>
      </c>
      <c r="V194" s="251" t="e">
        <f t="shared" si="166"/>
        <v>#DIV/0!</v>
      </c>
    </row>
    <row r="195" spans="1:113" x14ac:dyDescent="0.35">
      <c r="C195" s="1" t="s">
        <v>205</v>
      </c>
      <c r="F195" s="1839">
        <f t="shared" ref="F195:V195" si="167">(F$189*F$93)/100</f>
        <v>0.73586476595744688</v>
      </c>
      <c r="G195" s="251">
        <f t="shared" si="167"/>
        <v>0.72349548333333336</v>
      </c>
      <c r="H195" s="251">
        <f t="shared" si="167"/>
        <v>0.78561372441961042</v>
      </c>
      <c r="I195" s="2066">
        <f t="shared" si="167"/>
        <v>0.71803287715053754</v>
      </c>
      <c r="J195" s="1839">
        <f t="shared" si="167"/>
        <v>0.75036281080000011</v>
      </c>
      <c r="K195" s="251">
        <f t="shared" si="167"/>
        <v>0.54800474389884068</v>
      </c>
      <c r="L195" s="251">
        <f t="shared" si="167"/>
        <v>0.52443305639492754</v>
      </c>
      <c r="M195" s="251">
        <f t="shared" si="167"/>
        <v>0.5055739332688407</v>
      </c>
      <c r="N195" s="2067">
        <f t="shared" si="167"/>
        <v>0.42765985844202903</v>
      </c>
      <c r="O195" s="2066">
        <f t="shared" si="167"/>
        <v>0.47778697619565186</v>
      </c>
      <c r="P195" s="1839">
        <f t="shared" si="167"/>
        <v>0.57340238083333317</v>
      </c>
      <c r="Q195" s="251">
        <f t="shared" si="167"/>
        <v>0.51110331746376791</v>
      </c>
      <c r="R195" s="251">
        <f t="shared" si="167"/>
        <v>0.43890208257246344</v>
      </c>
      <c r="S195" s="2067">
        <f t="shared" si="167"/>
        <v>0.46091000271739108</v>
      </c>
      <c r="T195" s="2067">
        <f t="shared" si="167"/>
        <v>0.41448004617647044</v>
      </c>
      <c r="U195" s="2067">
        <f t="shared" si="167"/>
        <v>0.58560577934065916</v>
      </c>
      <c r="V195" s="251" t="e">
        <f t="shared" si="167"/>
        <v>#DIV/0!</v>
      </c>
    </row>
    <row r="196" spans="1:113" x14ac:dyDescent="0.35">
      <c r="C196" s="1" t="s">
        <v>184</v>
      </c>
      <c r="F196" s="1839">
        <f t="shared" ref="F196:V196" si="168">F$195*$K$114/$G$114</f>
        <v>0.89355007294832833</v>
      </c>
      <c r="G196" s="251">
        <f t="shared" si="168"/>
        <v>0.87853022976190487</v>
      </c>
      <c r="H196" s="251">
        <f t="shared" si="168"/>
        <v>0.95395952250952687</v>
      </c>
      <c r="I196" s="2066">
        <f t="shared" si="168"/>
        <v>0.871897065111367</v>
      </c>
      <c r="J196" s="1839">
        <f t="shared" si="168"/>
        <v>0.91115484168571448</v>
      </c>
      <c r="K196" s="251">
        <f t="shared" si="168"/>
        <v>0.66543433187716361</v>
      </c>
      <c r="L196" s="251">
        <f t="shared" si="168"/>
        <v>0.63681156847955489</v>
      </c>
      <c r="M196" s="251">
        <f t="shared" si="168"/>
        <v>0.61391120468359228</v>
      </c>
      <c r="N196" s="2067">
        <f t="shared" si="168"/>
        <v>0.51930125667960669</v>
      </c>
      <c r="O196" s="2066">
        <f t="shared" si="168"/>
        <v>0.58016989966614863</v>
      </c>
      <c r="P196" s="1839">
        <f t="shared" si="168"/>
        <v>0.69627431958333308</v>
      </c>
      <c r="Q196" s="251">
        <f t="shared" si="168"/>
        <v>0.62062545692028959</v>
      </c>
      <c r="R196" s="251">
        <f t="shared" si="168"/>
        <v>0.53295252883799127</v>
      </c>
      <c r="S196" s="2067">
        <f t="shared" si="168"/>
        <v>0.55967643187111771</v>
      </c>
      <c r="T196" s="2067">
        <f t="shared" si="168"/>
        <v>0.50329719892857128</v>
      </c>
      <c r="U196" s="2067">
        <f t="shared" si="168"/>
        <v>0.71109273205651469</v>
      </c>
      <c r="V196" s="251" t="e">
        <f t="shared" si="168"/>
        <v>#DIV/0!</v>
      </c>
    </row>
    <row r="197" spans="1:113" x14ac:dyDescent="0.35">
      <c r="C197" s="1" t="s">
        <v>217</v>
      </c>
      <c r="F197" s="1839">
        <f t="shared" ref="F197:V197" si="169">$I$114/$K$114*F$196</f>
        <v>0.15768530699088149</v>
      </c>
      <c r="G197" s="251">
        <f t="shared" si="169"/>
        <v>0.15503474642857146</v>
      </c>
      <c r="H197" s="251">
        <f t="shared" si="169"/>
        <v>0.16834579808991651</v>
      </c>
      <c r="I197" s="2066">
        <f t="shared" si="169"/>
        <v>0.15386418796082948</v>
      </c>
      <c r="J197" s="1839">
        <f t="shared" si="169"/>
        <v>0.16079203088571434</v>
      </c>
      <c r="K197" s="251">
        <f t="shared" si="169"/>
        <v>0.11742958797832299</v>
      </c>
      <c r="L197" s="251">
        <f t="shared" si="169"/>
        <v>0.11237851208462735</v>
      </c>
      <c r="M197" s="251">
        <f t="shared" si="169"/>
        <v>0.10833727141475159</v>
      </c>
      <c r="N197" s="2067">
        <f t="shared" si="169"/>
        <v>9.1641398237577651E-2</v>
      </c>
      <c r="O197" s="2066">
        <f t="shared" si="169"/>
        <v>0.10238292347049682</v>
      </c>
      <c r="P197" s="1839">
        <f t="shared" si="169"/>
        <v>0.12287193874999996</v>
      </c>
      <c r="Q197" s="251">
        <f t="shared" si="169"/>
        <v>0.1095221394565217</v>
      </c>
      <c r="R197" s="251">
        <f t="shared" si="169"/>
        <v>9.4050446265527873E-2</v>
      </c>
      <c r="S197" s="2067">
        <f t="shared" si="169"/>
        <v>9.8766429153726659E-2</v>
      </c>
      <c r="T197" s="2067">
        <f t="shared" si="169"/>
        <v>8.8817152752100822E-2</v>
      </c>
      <c r="U197" s="2067">
        <f t="shared" si="169"/>
        <v>0.12548695271585555</v>
      </c>
      <c r="V197" s="251" t="e">
        <f t="shared" si="169"/>
        <v>#DIV/0!</v>
      </c>
    </row>
    <row r="198" spans="1:113" s="368" customFormat="1" ht="13" customHeight="1" thickBot="1" x14ac:dyDescent="0.4">
      <c r="C198" s="364"/>
      <c r="D198" s="364"/>
      <c r="E198" s="364"/>
      <c r="F198" s="1800"/>
      <c r="G198" s="365"/>
      <c r="H198" s="365"/>
      <c r="I198" s="1801"/>
      <c r="J198" s="1800"/>
      <c r="K198" s="365"/>
      <c r="L198" s="365"/>
      <c r="M198" s="365"/>
      <c r="N198" s="1802"/>
      <c r="O198" s="1801"/>
      <c r="P198" s="1800"/>
      <c r="Q198" s="365"/>
      <c r="R198" s="365"/>
      <c r="S198" s="1802"/>
      <c r="T198" s="1802"/>
      <c r="U198" s="1802"/>
      <c r="V198" s="365"/>
      <c r="W198" s="1803"/>
      <c r="X198" s="1800"/>
      <c r="Y198" s="365"/>
      <c r="Z198" s="365"/>
      <c r="AA198" s="1804"/>
      <c r="AB198" s="1800"/>
      <c r="AC198" s="365"/>
      <c r="AD198" s="365"/>
      <c r="AE198" s="365"/>
      <c r="AF198" s="365"/>
      <c r="AG198" s="1804"/>
      <c r="AH198" s="1800"/>
      <c r="AI198" s="365"/>
      <c r="AJ198" s="365"/>
      <c r="AK198" s="365"/>
      <c r="AL198" s="365"/>
      <c r="AM198" s="365"/>
      <c r="AN198" s="365"/>
      <c r="AO198" s="366"/>
      <c r="AP198" s="365"/>
      <c r="AQ198" s="365"/>
      <c r="AR198" s="365"/>
      <c r="AS198" s="1804"/>
      <c r="AT198" s="1800"/>
      <c r="AU198" s="365"/>
      <c r="AV198" s="365"/>
      <c r="AW198" s="365"/>
      <c r="AX198" s="365"/>
      <c r="AY198" s="1804"/>
      <c r="AZ198" s="1800"/>
      <c r="BA198" s="365"/>
      <c r="BB198" s="365"/>
      <c r="BC198" s="365"/>
      <c r="BD198" s="365"/>
      <c r="BE198" s="365"/>
      <c r="BF198" s="365"/>
      <c r="BG198" s="366"/>
      <c r="BH198" s="365"/>
      <c r="BI198" s="365"/>
      <c r="BJ198" s="365"/>
      <c r="BK198" s="1804"/>
      <c r="BL198" s="1800"/>
      <c r="BM198" s="365"/>
      <c r="BN198" s="365"/>
      <c r="BO198" s="365"/>
      <c r="BP198" s="365"/>
      <c r="BQ198" s="1804"/>
      <c r="BR198" s="1800"/>
      <c r="BS198" s="365"/>
      <c r="BT198" s="365"/>
      <c r="BU198" s="365"/>
      <c r="BV198" s="365"/>
      <c r="BW198" s="365"/>
      <c r="BX198" s="365"/>
      <c r="BY198" s="366"/>
      <c r="BZ198" s="367"/>
      <c r="CA198" s="365"/>
      <c r="CB198" s="365"/>
      <c r="CC198" s="365"/>
      <c r="CD198" s="1804"/>
      <c r="CE198" s="1800"/>
      <c r="CF198" s="365"/>
      <c r="CG198" s="365"/>
      <c r="CH198" s="365"/>
      <c r="CI198" s="365"/>
      <c r="CJ198" s="1804"/>
      <c r="CK198" s="1800"/>
      <c r="CL198" s="365"/>
      <c r="CM198" s="365"/>
      <c r="CN198" s="365"/>
      <c r="CO198" s="365"/>
      <c r="CP198" s="365"/>
      <c r="CQ198" s="365"/>
      <c r="CR198" s="366"/>
      <c r="CS198" s="365"/>
      <c r="CT198" s="365"/>
      <c r="CU198" s="365"/>
      <c r="CV198" s="1804"/>
      <c r="CW198" s="1800"/>
      <c r="CX198" s="365"/>
      <c r="CY198" s="365"/>
      <c r="CZ198" s="365"/>
      <c r="DA198" s="365"/>
      <c r="DB198" s="1804"/>
      <c r="DC198" s="1800"/>
      <c r="DD198" s="365"/>
      <c r="DE198" s="365"/>
      <c r="DF198" s="365"/>
      <c r="DG198" s="365"/>
      <c r="DH198" s="365"/>
      <c r="DI198" s="365"/>
    </row>
    <row r="199" spans="1:113" ht="15" thickTop="1" x14ac:dyDescent="0.35">
      <c r="C199" s="1" t="s">
        <v>322</v>
      </c>
      <c r="F199" s="2184">
        <f t="shared" ref="F199:V199" si="170">100*(F$99-(X$99+AP$99))/F$99</f>
        <v>47.705682757165718</v>
      </c>
      <c r="G199" s="482">
        <f t="shared" si="170"/>
        <v>49.620880932128486</v>
      </c>
      <c r="H199" s="482">
        <f t="shared" si="170"/>
        <v>49.683197888870907</v>
      </c>
      <c r="I199" s="2185">
        <f t="shared" si="170"/>
        <v>49.651261793146482</v>
      </c>
      <c r="J199" s="2184">
        <f t="shared" si="170"/>
        <v>74.060109817661484</v>
      </c>
      <c r="K199" s="314">
        <f t="shared" si="170"/>
        <v>63.489252396222099</v>
      </c>
      <c r="L199" s="314">
        <f t="shared" si="170"/>
        <v>61.570482773284532</v>
      </c>
      <c r="M199" s="314">
        <f t="shared" si="170"/>
        <v>62.174573502884058</v>
      </c>
      <c r="N199" s="2183">
        <f t="shared" si="170"/>
        <v>61.779317173880806</v>
      </c>
      <c r="O199" s="2182">
        <f t="shared" si="170"/>
        <v>60.485350664392257</v>
      </c>
      <c r="P199" s="2184">
        <f>100*(P$99-(AH$99+AZ$99))/P$99</f>
        <v>63.954286372434169</v>
      </c>
      <c r="Q199" s="482">
        <f t="shared" si="170"/>
        <v>65.187542592992855</v>
      </c>
      <c r="R199" s="482">
        <f t="shared" si="170"/>
        <v>62.807563599609892</v>
      </c>
      <c r="S199" s="2186">
        <f t="shared" si="170"/>
        <v>65.432369314502154</v>
      </c>
      <c r="T199" s="2186">
        <f t="shared" si="170"/>
        <v>62.303547213487683</v>
      </c>
      <c r="U199" s="2186">
        <f t="shared" si="170"/>
        <v>67.734154304201553</v>
      </c>
      <c r="V199" s="482" t="e">
        <f t="shared" si="170"/>
        <v>#DIV/0!</v>
      </c>
      <c r="W199" s="1796"/>
      <c r="X199" s="1774"/>
      <c r="Y199" s="229"/>
      <c r="Z199" s="229"/>
      <c r="AA199" s="1773"/>
      <c r="AB199" s="1774"/>
      <c r="AC199" s="2187">
        <f>AVERAGE(H199:I199)</f>
        <v>49.667229841008691</v>
      </c>
      <c r="AD199" s="2187">
        <f>AVERAGE(M199:O199)</f>
        <v>61.479747113719043</v>
      </c>
      <c r="AE199" s="2187">
        <f>AVERAGE(R199:T199)</f>
        <v>63.514493375866579</v>
      </c>
      <c r="AF199" s="229"/>
      <c r="AG199" s="1773"/>
      <c r="AH199" s="1774"/>
      <c r="AI199" s="229"/>
      <c r="AJ199" s="229"/>
      <c r="AK199" s="229"/>
      <c r="AL199" s="229"/>
      <c r="AM199" s="229"/>
      <c r="AN199" s="229"/>
      <c r="AO199" s="356"/>
      <c r="AP199" s="313"/>
      <c r="AQ199" s="229"/>
      <c r="AR199" s="229"/>
      <c r="AS199" s="1773"/>
      <c r="AT199" s="1774"/>
      <c r="AU199" s="229"/>
      <c r="AV199" s="229"/>
      <c r="AW199" s="229"/>
      <c r="AX199" s="229"/>
      <c r="AY199" s="1773"/>
      <c r="AZ199" s="1774"/>
      <c r="BA199" s="229"/>
      <c r="BB199" s="229"/>
      <c r="BC199" s="229"/>
      <c r="BD199" s="229"/>
      <c r="BE199" s="229"/>
      <c r="BF199" s="229"/>
      <c r="BG199" s="356"/>
      <c r="BH199" s="229"/>
      <c r="BI199" s="229"/>
      <c r="BJ199" s="229"/>
      <c r="BK199" s="1773"/>
      <c r="BL199" s="1774"/>
      <c r="BM199" s="229"/>
      <c r="BN199" s="229"/>
      <c r="BO199" s="229"/>
      <c r="BP199" s="229"/>
      <c r="BQ199" s="1773"/>
      <c r="BR199" s="1774"/>
      <c r="BS199" s="229"/>
      <c r="BT199" s="229"/>
      <c r="BU199" s="229"/>
      <c r="BV199" s="229"/>
      <c r="BW199" s="229"/>
      <c r="BX199" s="229"/>
      <c r="BY199" s="356"/>
      <c r="BZ199" s="358"/>
      <c r="CA199" s="229"/>
      <c r="CB199" s="229"/>
      <c r="CC199" s="229"/>
      <c r="CD199" s="1773"/>
      <c r="CE199" s="1774"/>
      <c r="CF199" s="229"/>
      <c r="CG199" s="229"/>
      <c r="CH199" s="229"/>
      <c r="CI199" s="229"/>
      <c r="CJ199" s="1773"/>
      <c r="CK199" s="1774"/>
      <c r="CL199" s="229"/>
      <c r="CM199" s="229"/>
      <c r="CN199" s="229"/>
      <c r="CO199" s="229"/>
      <c r="CP199" s="229"/>
      <c r="CQ199" s="229"/>
      <c r="CR199" s="356"/>
      <c r="CS199" s="229"/>
      <c r="CT199" s="229"/>
      <c r="CU199" s="229"/>
      <c r="CV199" s="1773"/>
      <c r="CW199" s="1774"/>
      <c r="CX199" s="229"/>
      <c r="CY199" s="229"/>
      <c r="CZ199" s="229"/>
      <c r="DA199" s="229"/>
      <c r="DB199" s="1773"/>
      <c r="DC199" s="1774"/>
      <c r="DD199" s="229"/>
      <c r="DE199" s="229"/>
      <c r="DF199" s="229"/>
      <c r="DG199" s="229"/>
      <c r="DH199" s="229"/>
      <c r="DI199" s="229"/>
    </row>
    <row r="200" spans="1:113" x14ac:dyDescent="0.35">
      <c r="C200" s="452" t="s">
        <v>213</v>
      </c>
      <c r="D200" s="452"/>
      <c r="E200" s="452"/>
      <c r="F200" s="2188">
        <v>56</v>
      </c>
      <c r="G200" s="481">
        <v>50</v>
      </c>
      <c r="H200" s="481">
        <v>49</v>
      </c>
      <c r="I200" s="2170">
        <v>48</v>
      </c>
      <c r="J200" s="2189">
        <v>70</v>
      </c>
      <c r="K200" s="481">
        <v>69</v>
      </c>
      <c r="L200" s="481">
        <v>66</v>
      </c>
      <c r="M200" s="481">
        <v>66.5</v>
      </c>
      <c r="N200" s="2171">
        <v>65.5</v>
      </c>
      <c r="O200" s="2170">
        <v>64.400000000000006</v>
      </c>
      <c r="P200" s="2189">
        <v>61.5</v>
      </c>
      <c r="Q200" s="481">
        <v>58.5</v>
      </c>
      <c r="R200" s="481">
        <v>60.5</v>
      </c>
      <c r="S200" s="2171">
        <v>61.8</v>
      </c>
      <c r="T200" s="2171">
        <v>61</v>
      </c>
      <c r="U200" s="2171">
        <v>62.1</v>
      </c>
      <c r="AC200" s="479">
        <f>AVERAGE(H200:I200)</f>
        <v>48.5</v>
      </c>
      <c r="AD200" s="479">
        <f>AVERAGE(M200:O200)</f>
        <v>65.466666666666669</v>
      </c>
      <c r="AE200" s="479">
        <f>AVERAGE(R200:T200)</f>
        <v>61.1</v>
      </c>
    </row>
    <row r="201" spans="1:113" x14ac:dyDescent="0.35">
      <c r="C201" s="169">
        <v>0.05</v>
      </c>
      <c r="D201" s="169"/>
      <c r="E201" s="169"/>
      <c r="F201" s="1787">
        <f>F$200*5%</f>
        <v>2.8000000000000003</v>
      </c>
      <c r="G201" s="244">
        <f t="shared" ref="G201:U201" si="171">G$200*5%</f>
        <v>2.5</v>
      </c>
      <c r="H201" s="244">
        <f t="shared" si="171"/>
        <v>2.4500000000000002</v>
      </c>
      <c r="I201" s="1820">
        <f t="shared" si="171"/>
        <v>2.4000000000000004</v>
      </c>
      <c r="J201" s="1787">
        <f t="shared" si="171"/>
        <v>3.5</v>
      </c>
      <c r="K201" s="244">
        <f t="shared" si="171"/>
        <v>3.45</v>
      </c>
      <c r="L201" s="244">
        <f t="shared" si="171"/>
        <v>3.3000000000000003</v>
      </c>
      <c r="M201" s="244">
        <f t="shared" si="171"/>
        <v>3.3250000000000002</v>
      </c>
      <c r="N201" s="1815">
        <f t="shared" si="171"/>
        <v>3.2750000000000004</v>
      </c>
      <c r="O201" s="1820">
        <f t="shared" si="171"/>
        <v>3.2200000000000006</v>
      </c>
      <c r="P201" s="1787">
        <f t="shared" si="171"/>
        <v>3.0750000000000002</v>
      </c>
      <c r="Q201" s="244">
        <f t="shared" si="171"/>
        <v>2.9250000000000003</v>
      </c>
      <c r="R201" s="244">
        <f t="shared" si="171"/>
        <v>3.0250000000000004</v>
      </c>
      <c r="S201" s="1815">
        <f t="shared" si="171"/>
        <v>3.09</v>
      </c>
      <c r="T201" s="1815">
        <f t="shared" si="171"/>
        <v>3.0500000000000003</v>
      </c>
      <c r="U201" s="1815">
        <f t="shared" si="171"/>
        <v>3.1050000000000004</v>
      </c>
    </row>
    <row r="202" spans="1:113" x14ac:dyDescent="0.35">
      <c r="C202" s="169">
        <v>0.05</v>
      </c>
      <c r="D202" s="169"/>
      <c r="E202" s="169"/>
      <c r="F202" s="1787">
        <f>F$200+F$201</f>
        <v>58.8</v>
      </c>
      <c r="G202" s="244">
        <f t="shared" ref="G202:U202" si="172">G$200+G$201</f>
        <v>52.5</v>
      </c>
      <c r="H202" s="244">
        <f t="shared" si="172"/>
        <v>51.45</v>
      </c>
      <c r="I202" s="1820">
        <f t="shared" si="172"/>
        <v>50.4</v>
      </c>
      <c r="J202" s="1787">
        <f t="shared" si="172"/>
        <v>73.5</v>
      </c>
      <c r="K202" s="244">
        <f t="shared" si="172"/>
        <v>72.45</v>
      </c>
      <c r="L202" s="244">
        <f t="shared" si="172"/>
        <v>69.3</v>
      </c>
      <c r="M202" s="244">
        <f t="shared" si="172"/>
        <v>69.825000000000003</v>
      </c>
      <c r="N202" s="1815">
        <f t="shared" si="172"/>
        <v>68.775000000000006</v>
      </c>
      <c r="O202" s="1820">
        <f t="shared" si="172"/>
        <v>67.62</v>
      </c>
      <c r="P202" s="1787">
        <f t="shared" si="172"/>
        <v>64.575000000000003</v>
      </c>
      <c r="Q202" s="244">
        <f t="shared" si="172"/>
        <v>61.424999999999997</v>
      </c>
      <c r="R202" s="244">
        <f t="shared" si="172"/>
        <v>63.524999999999999</v>
      </c>
      <c r="S202" s="1815">
        <f t="shared" si="172"/>
        <v>64.89</v>
      </c>
      <c r="T202" s="1815">
        <f t="shared" si="172"/>
        <v>64.05</v>
      </c>
      <c r="U202" s="1815">
        <f t="shared" si="172"/>
        <v>65.204999999999998</v>
      </c>
    </row>
    <row r="203" spans="1:113" x14ac:dyDescent="0.35">
      <c r="C203" s="169">
        <v>-0.05</v>
      </c>
      <c r="D203" s="169"/>
      <c r="E203" s="169"/>
      <c r="F203" s="1787">
        <f>F$200-F$201</f>
        <v>53.2</v>
      </c>
      <c r="G203" s="244">
        <f t="shared" ref="G203:U203" si="173">G$200-G$201</f>
        <v>47.5</v>
      </c>
      <c r="H203" s="244">
        <f t="shared" si="173"/>
        <v>46.55</v>
      </c>
      <c r="I203" s="1820">
        <f t="shared" si="173"/>
        <v>45.6</v>
      </c>
      <c r="J203" s="1787">
        <f t="shared" si="173"/>
        <v>66.5</v>
      </c>
      <c r="K203" s="244">
        <f t="shared" si="173"/>
        <v>65.55</v>
      </c>
      <c r="L203" s="244">
        <f t="shared" si="173"/>
        <v>62.7</v>
      </c>
      <c r="M203" s="244">
        <f t="shared" si="173"/>
        <v>63.174999999999997</v>
      </c>
      <c r="N203" s="1815">
        <f t="shared" si="173"/>
        <v>62.225000000000001</v>
      </c>
      <c r="O203" s="1820">
        <f t="shared" si="173"/>
        <v>61.180000000000007</v>
      </c>
      <c r="P203" s="1787">
        <f t="shared" si="173"/>
        <v>58.424999999999997</v>
      </c>
      <c r="Q203" s="244">
        <f t="shared" si="173"/>
        <v>55.575000000000003</v>
      </c>
      <c r="R203" s="244">
        <f t="shared" si="173"/>
        <v>57.475000000000001</v>
      </c>
      <c r="S203" s="1815">
        <f t="shared" si="173"/>
        <v>58.709999999999994</v>
      </c>
      <c r="T203" s="1815">
        <f t="shared" si="173"/>
        <v>57.95</v>
      </c>
      <c r="U203" s="1815">
        <f t="shared" si="173"/>
        <v>58.995000000000005</v>
      </c>
    </row>
    <row r="204" spans="1:113" ht="8.15" customHeight="1" thickBot="1" x14ac:dyDescent="0.4">
      <c r="C204" s="169"/>
      <c r="D204" s="169"/>
      <c r="E204" s="169"/>
      <c r="F204" s="1768"/>
      <c r="G204" s="311"/>
      <c r="H204" s="311"/>
      <c r="I204" s="1860"/>
      <c r="J204" s="1830"/>
      <c r="K204" s="311"/>
      <c r="L204" s="311"/>
      <c r="M204" s="311"/>
      <c r="N204" s="1861"/>
      <c r="O204" s="1860"/>
      <c r="P204" s="1830"/>
      <c r="Q204" s="311"/>
      <c r="R204" s="311"/>
      <c r="S204" s="1861"/>
      <c r="T204" s="1861"/>
      <c r="U204" s="1861"/>
      <c r="V204" s="225"/>
      <c r="W204" s="1790"/>
      <c r="X204" s="1768"/>
      <c r="Y204" s="225"/>
      <c r="Z204" s="225"/>
      <c r="AA204" s="226"/>
      <c r="AB204" s="1768"/>
      <c r="AC204" s="225"/>
      <c r="AD204" s="225"/>
      <c r="AE204" s="225"/>
      <c r="AF204" s="225"/>
      <c r="AG204" s="226"/>
      <c r="AH204" s="1768"/>
      <c r="AI204" s="225"/>
      <c r="AJ204" s="225"/>
      <c r="AK204" s="225"/>
      <c r="AL204" s="225"/>
      <c r="AM204" s="225"/>
      <c r="AN204" s="225"/>
      <c r="AO204" s="344"/>
      <c r="AP204" s="225"/>
      <c r="AQ204" s="225"/>
      <c r="AR204" s="225"/>
      <c r="AS204" s="226"/>
      <c r="AT204" s="1768"/>
      <c r="AU204" s="225"/>
      <c r="AV204" s="225"/>
      <c r="AW204" s="225"/>
      <c r="AX204" s="225"/>
      <c r="AY204" s="226"/>
      <c r="AZ204" s="1768"/>
      <c r="BA204" s="225"/>
      <c r="BB204" s="225"/>
      <c r="BC204" s="225"/>
      <c r="BD204" s="225"/>
      <c r="BE204" s="225"/>
      <c r="BF204" s="225"/>
      <c r="BG204" s="344"/>
      <c r="BH204" s="225"/>
      <c r="BI204" s="225"/>
      <c r="BJ204" s="225"/>
      <c r="BK204" s="226"/>
      <c r="BL204" s="1768"/>
      <c r="BM204" s="225"/>
      <c r="BN204" s="225"/>
      <c r="BO204" s="225"/>
      <c r="BP204" s="225"/>
      <c r="BQ204" s="226"/>
      <c r="BR204" s="1768"/>
      <c r="BS204" s="225"/>
      <c r="BT204" s="225"/>
      <c r="BU204" s="225"/>
      <c r="BV204" s="225"/>
      <c r="BW204" s="225"/>
      <c r="BX204" s="225"/>
      <c r="BY204" s="344"/>
      <c r="BZ204" s="345"/>
      <c r="CA204" s="225"/>
      <c r="CB204" s="225"/>
      <c r="CC204" s="225"/>
      <c r="CD204" s="226"/>
      <c r="CE204" s="1768"/>
      <c r="CF204" s="225"/>
      <c r="CG204" s="225"/>
      <c r="CH204" s="225"/>
      <c r="CI204" s="225"/>
      <c r="CJ204" s="226"/>
      <c r="CK204" s="1768"/>
      <c r="CL204" s="225"/>
      <c r="CM204" s="225"/>
      <c r="CN204" s="225"/>
      <c r="CO204" s="225"/>
      <c r="CP204" s="225"/>
      <c r="CQ204" s="225"/>
      <c r="CR204" s="344"/>
      <c r="CS204" s="225"/>
      <c r="CT204" s="225"/>
      <c r="CU204" s="225"/>
      <c r="CV204" s="226"/>
      <c r="CW204" s="1768"/>
      <c r="CX204" s="225"/>
      <c r="CY204" s="225"/>
      <c r="CZ204" s="225"/>
      <c r="DA204" s="225"/>
      <c r="DB204" s="226"/>
      <c r="DC204" s="1768"/>
      <c r="DD204" s="225"/>
      <c r="DE204" s="225"/>
      <c r="DF204" s="225"/>
      <c r="DG204" s="225"/>
      <c r="DH204" s="225"/>
      <c r="DI204" s="225"/>
    </row>
    <row r="205" spans="1:113" s="377" customFormat="1" ht="15" thickTop="1" x14ac:dyDescent="0.35">
      <c r="C205" s="2190" t="s">
        <v>312</v>
      </c>
      <c r="D205" s="2190"/>
      <c r="E205" s="2190"/>
      <c r="F205" s="2088">
        <f t="shared" ref="F205:V205" si="174">100*(F$97-(X$97+AP$97))/F$97</f>
        <v>65.846695297983118</v>
      </c>
      <c r="G205" s="371">
        <f t="shared" si="174"/>
        <v>68.717064372849862</v>
      </c>
      <c r="H205" s="371">
        <f t="shared" si="174"/>
        <v>67.954365207166219</v>
      </c>
      <c r="I205" s="2167">
        <f t="shared" si="174"/>
        <v>67.635476576008017</v>
      </c>
      <c r="J205" s="2088">
        <f t="shared" si="174"/>
        <v>87.65580822508376</v>
      </c>
      <c r="K205" s="371">
        <f t="shared" si="174"/>
        <v>76.97582451062533</v>
      </c>
      <c r="L205" s="371">
        <f t="shared" si="174"/>
        <v>74.956075029685849</v>
      </c>
      <c r="M205" s="371">
        <f t="shared" si="174"/>
        <v>74.627145805179154</v>
      </c>
      <c r="N205" s="2168">
        <f t="shared" si="174"/>
        <v>74.75669596005558</v>
      </c>
      <c r="O205" s="2167">
        <f t="shared" si="174"/>
        <v>73.930525635501937</v>
      </c>
      <c r="P205" s="2088">
        <f t="shared" si="174"/>
        <v>74.799549549549539</v>
      </c>
      <c r="Q205" s="371">
        <f t="shared" si="174"/>
        <v>77.262740950194171</v>
      </c>
      <c r="R205" s="371">
        <f t="shared" si="174"/>
        <v>74.390259734232501</v>
      </c>
      <c r="S205" s="2168">
        <f t="shared" si="174"/>
        <v>77.732857950130679</v>
      </c>
      <c r="T205" s="2168">
        <f t="shared" si="174"/>
        <v>74.613897830288735</v>
      </c>
      <c r="U205" s="2168">
        <f t="shared" si="174"/>
        <v>77.617921212842106</v>
      </c>
      <c r="V205" s="371" t="e">
        <f t="shared" si="174"/>
        <v>#DIV/0!</v>
      </c>
      <c r="W205" s="1878"/>
      <c r="X205" s="1879"/>
      <c r="Y205" s="347"/>
      <c r="Z205" s="347"/>
      <c r="AA205" s="1880"/>
      <c r="AB205" s="1879"/>
      <c r="AC205" s="347"/>
      <c r="AD205" s="347"/>
      <c r="AE205" s="347"/>
      <c r="AF205" s="347"/>
      <c r="AG205" s="1880"/>
      <c r="AH205" s="1879"/>
      <c r="AI205" s="347"/>
      <c r="AJ205" s="347"/>
      <c r="AK205" s="347"/>
      <c r="AL205" s="347"/>
      <c r="AM205" s="347"/>
      <c r="AN205" s="347"/>
      <c r="AO205" s="352"/>
      <c r="AP205" s="347"/>
      <c r="AQ205" s="347"/>
      <c r="AR205" s="347"/>
      <c r="AS205" s="1880"/>
      <c r="AT205" s="1879"/>
      <c r="AU205" s="347"/>
      <c r="AV205" s="347"/>
      <c r="AW205" s="347"/>
      <c r="AX205" s="347"/>
      <c r="AY205" s="1880"/>
      <c r="AZ205" s="1879"/>
      <c r="BA205" s="347"/>
      <c r="BB205" s="347"/>
      <c r="BC205" s="347"/>
      <c r="BD205" s="347"/>
      <c r="BE205" s="347"/>
      <c r="BF205" s="347"/>
      <c r="BG205" s="352"/>
      <c r="BH205" s="347"/>
      <c r="BI205" s="347"/>
      <c r="BJ205" s="347"/>
      <c r="BK205" s="1880"/>
      <c r="BL205" s="1879"/>
      <c r="BM205" s="347"/>
      <c r="BN205" s="347"/>
      <c r="BO205" s="347"/>
      <c r="BP205" s="347"/>
      <c r="BQ205" s="1880"/>
      <c r="BR205" s="1879"/>
      <c r="BS205" s="347"/>
      <c r="BT205" s="347"/>
      <c r="BU205" s="347"/>
      <c r="BV205" s="347"/>
      <c r="BW205" s="347"/>
      <c r="BX205" s="347"/>
      <c r="BY205" s="352"/>
      <c r="BZ205" s="355"/>
      <c r="CA205" s="347"/>
      <c r="CB205" s="347"/>
      <c r="CC205" s="347"/>
      <c r="CD205" s="1880"/>
      <c r="CE205" s="1879"/>
      <c r="CF205" s="347"/>
      <c r="CG205" s="347"/>
      <c r="CH205" s="347"/>
      <c r="CI205" s="347"/>
      <c r="CJ205" s="1880"/>
      <c r="CK205" s="1879"/>
      <c r="CL205" s="347"/>
      <c r="CM205" s="347"/>
      <c r="CN205" s="347"/>
      <c r="CO205" s="347"/>
      <c r="CP205" s="347"/>
      <c r="CQ205" s="347"/>
      <c r="CR205" s="352"/>
      <c r="CS205" s="347"/>
      <c r="CT205" s="347"/>
      <c r="CU205" s="347"/>
      <c r="CV205" s="1880"/>
      <c r="CW205" s="1879"/>
      <c r="CX205" s="347"/>
      <c r="CY205" s="347"/>
      <c r="CZ205" s="347"/>
      <c r="DA205" s="347"/>
      <c r="DB205" s="1880"/>
      <c r="DC205" s="1879"/>
      <c r="DD205" s="347"/>
      <c r="DE205" s="347"/>
      <c r="DF205" s="347"/>
      <c r="DG205" s="347"/>
      <c r="DH205" s="347"/>
      <c r="DI205" s="347"/>
    </row>
    <row r="206" spans="1:113" s="368" customFormat="1" ht="15" thickBot="1" x14ac:dyDescent="0.4">
      <c r="A206"/>
      <c r="B206"/>
      <c r="C206" s="457" t="s">
        <v>313</v>
      </c>
      <c r="D206" s="457"/>
      <c r="E206" s="457"/>
      <c r="F206" s="2191">
        <v>73.5</v>
      </c>
      <c r="G206" s="2192">
        <v>66.5</v>
      </c>
      <c r="H206" s="2192"/>
      <c r="I206" s="2165">
        <v>61.9</v>
      </c>
      <c r="J206" s="2193">
        <v>62.5</v>
      </c>
      <c r="K206" s="2192">
        <v>86.5</v>
      </c>
      <c r="L206" s="2192">
        <v>83</v>
      </c>
      <c r="M206" s="2192">
        <v>81.5</v>
      </c>
      <c r="N206" s="2166">
        <v>81</v>
      </c>
      <c r="O206" s="2165">
        <v>80.400000000000006</v>
      </c>
      <c r="P206" s="2193">
        <v>78</v>
      </c>
      <c r="Q206" s="2192"/>
      <c r="R206" s="2192">
        <v>72.5</v>
      </c>
      <c r="S206" s="2166"/>
      <c r="T206" s="2166">
        <v>71.2</v>
      </c>
      <c r="U206" s="2166">
        <v>71.900000000000006</v>
      </c>
      <c r="V206" s="365"/>
      <c r="W206" s="1803"/>
      <c r="X206" s="1800"/>
      <c r="Y206" s="365"/>
      <c r="Z206" s="365"/>
      <c r="AA206" s="1804"/>
      <c r="AB206" s="1800"/>
      <c r="AC206" s="365"/>
      <c r="AD206" s="365"/>
      <c r="AE206" s="365"/>
      <c r="AF206" s="365"/>
      <c r="AG206" s="1804"/>
      <c r="AH206" s="1800"/>
      <c r="AI206" s="365"/>
      <c r="AJ206" s="365"/>
      <c r="AK206" s="365"/>
      <c r="AL206" s="365"/>
      <c r="AM206" s="365"/>
      <c r="AN206" s="365"/>
      <c r="AO206" s="366"/>
      <c r="AP206" s="365"/>
      <c r="AQ206" s="365"/>
      <c r="AR206" s="365"/>
      <c r="AS206" s="1804"/>
      <c r="AT206" s="1800"/>
      <c r="AU206" s="365"/>
      <c r="AV206" s="365"/>
      <c r="AW206" s="365"/>
      <c r="AX206" s="365"/>
      <c r="AY206" s="1804"/>
      <c r="AZ206" s="1800"/>
      <c r="BA206" s="365"/>
      <c r="BB206" s="365"/>
      <c r="BC206" s="365"/>
      <c r="BD206" s="365"/>
      <c r="BE206" s="365"/>
      <c r="BF206" s="365"/>
      <c r="BG206" s="366"/>
      <c r="BH206" s="365"/>
      <c r="BI206" s="365"/>
      <c r="BJ206" s="365"/>
      <c r="BK206" s="1804"/>
      <c r="BL206" s="1800"/>
      <c r="BM206" s="365"/>
      <c r="BN206" s="365"/>
      <c r="BO206" s="365"/>
      <c r="BP206" s="365"/>
      <c r="BQ206" s="1804"/>
      <c r="BR206" s="1800"/>
      <c r="BS206" s="365"/>
      <c r="BT206" s="365"/>
      <c r="BU206" s="365"/>
      <c r="BV206" s="365"/>
      <c r="BW206" s="365"/>
      <c r="BX206" s="365"/>
      <c r="BY206" s="366"/>
      <c r="BZ206" s="367"/>
      <c r="CA206" s="365"/>
      <c r="CB206" s="365"/>
      <c r="CC206" s="365"/>
      <c r="CD206" s="1804"/>
      <c r="CE206" s="1800"/>
      <c r="CF206" s="365"/>
      <c r="CG206" s="365"/>
      <c r="CH206" s="365"/>
      <c r="CI206" s="365"/>
      <c r="CJ206" s="1804"/>
      <c r="CK206" s="1800"/>
      <c r="CL206" s="365"/>
      <c r="CM206" s="365"/>
      <c r="CN206" s="365"/>
      <c r="CO206" s="365"/>
      <c r="CP206" s="365"/>
      <c r="CQ206" s="365"/>
      <c r="CR206" s="366"/>
      <c r="CS206" s="365"/>
      <c r="CT206" s="365"/>
      <c r="CU206" s="365"/>
      <c r="CV206" s="1804"/>
      <c r="CW206" s="1800"/>
      <c r="CX206" s="365"/>
      <c r="CY206" s="365"/>
      <c r="CZ206" s="365"/>
      <c r="DA206" s="365"/>
      <c r="DB206" s="1804"/>
      <c r="DC206" s="1800"/>
      <c r="DD206" s="365"/>
      <c r="DE206" s="365"/>
      <c r="DF206" s="365"/>
      <c r="DG206" s="365"/>
      <c r="DH206" s="365"/>
      <c r="DI206" s="365"/>
    </row>
    <row r="207" spans="1:113" ht="15" thickTop="1" x14ac:dyDescent="0.35">
      <c r="C207" s="169">
        <v>1.05</v>
      </c>
      <c r="D207" s="169"/>
      <c r="E207" s="456"/>
      <c r="F207" s="2194">
        <f>F206*C207</f>
        <v>77.174999999999997</v>
      </c>
      <c r="G207" s="2195">
        <f>G$206*$C$207</f>
        <v>69.825000000000003</v>
      </c>
      <c r="H207" s="2195">
        <f t="shared" ref="H207:U207" si="175">H$206*$C$207</f>
        <v>0</v>
      </c>
      <c r="I207" s="2196">
        <f t="shared" si="175"/>
        <v>64.995000000000005</v>
      </c>
      <c r="J207" s="2197">
        <f t="shared" si="175"/>
        <v>65.625</v>
      </c>
      <c r="K207" s="2195">
        <f t="shared" si="175"/>
        <v>90.825000000000003</v>
      </c>
      <c r="L207" s="2195">
        <f t="shared" si="175"/>
        <v>87.15</v>
      </c>
      <c r="M207" s="2195">
        <f t="shared" si="175"/>
        <v>85.575000000000003</v>
      </c>
      <c r="N207" s="2198">
        <f t="shared" si="175"/>
        <v>85.05</v>
      </c>
      <c r="O207" s="2196">
        <f t="shared" si="175"/>
        <v>84.420000000000016</v>
      </c>
      <c r="P207" s="2197">
        <f t="shared" si="175"/>
        <v>81.900000000000006</v>
      </c>
      <c r="Q207" s="2195">
        <f t="shared" si="175"/>
        <v>0</v>
      </c>
      <c r="R207" s="2195">
        <f t="shared" si="175"/>
        <v>76.125</v>
      </c>
      <c r="S207" s="2198">
        <f t="shared" si="175"/>
        <v>0</v>
      </c>
      <c r="T207" s="2198">
        <f t="shared" si="175"/>
        <v>74.760000000000005</v>
      </c>
      <c r="U207" s="2198">
        <f t="shared" si="175"/>
        <v>75.495000000000005</v>
      </c>
      <c r="V207" s="453"/>
      <c r="W207" s="2199"/>
      <c r="X207" s="2194"/>
      <c r="Y207" s="453"/>
      <c r="Z207" s="453"/>
      <c r="AA207" s="2200"/>
      <c r="AB207" s="2194"/>
      <c r="AC207" s="453"/>
      <c r="AD207" s="453"/>
      <c r="AE207" s="453"/>
      <c r="AF207" s="453"/>
      <c r="AG207" s="2200"/>
      <c r="AH207" s="2194"/>
      <c r="AI207" s="453"/>
      <c r="AJ207" s="453"/>
      <c r="AK207" s="453"/>
      <c r="AL207" s="453"/>
      <c r="AM207" s="453"/>
      <c r="AN207" s="453"/>
      <c r="AO207" s="454"/>
      <c r="AP207" s="453"/>
      <c r="AQ207" s="453"/>
      <c r="AR207" s="453"/>
      <c r="AS207" s="2200"/>
      <c r="AT207" s="2194"/>
      <c r="AU207" s="453"/>
      <c r="AV207" s="453"/>
      <c r="AW207" s="453"/>
      <c r="AX207" s="453"/>
      <c r="AY207" s="2200"/>
      <c r="AZ207" s="2194"/>
      <c r="BA207" s="453"/>
      <c r="BB207" s="453"/>
      <c r="BC207" s="453"/>
      <c r="BD207" s="453"/>
      <c r="BE207" s="453"/>
      <c r="BF207" s="453"/>
      <c r="BG207" s="454"/>
      <c r="BH207" s="453"/>
      <c r="BI207" s="453"/>
      <c r="BJ207" s="453"/>
      <c r="BK207" s="2200"/>
      <c r="BL207" s="2194"/>
      <c r="BM207" s="453"/>
      <c r="BN207" s="453"/>
      <c r="BO207" s="453"/>
      <c r="BP207" s="453"/>
      <c r="BQ207" s="2200"/>
      <c r="BR207" s="2194"/>
      <c r="BS207" s="453"/>
      <c r="BT207" s="453"/>
      <c r="BU207" s="453"/>
      <c r="BV207" s="453"/>
      <c r="BW207" s="453"/>
      <c r="BX207" s="453"/>
      <c r="BY207" s="454"/>
      <c r="BZ207" s="455"/>
      <c r="CA207" s="453"/>
      <c r="CB207" s="453"/>
      <c r="CC207" s="453"/>
      <c r="CD207" s="2200"/>
      <c r="CE207" s="2194"/>
      <c r="CF207" s="453"/>
      <c r="CG207" s="453"/>
      <c r="CH207" s="453"/>
      <c r="CI207" s="453"/>
      <c r="CJ207" s="2200"/>
      <c r="CK207" s="2194"/>
      <c r="CL207" s="453"/>
      <c r="CM207" s="453"/>
      <c r="CN207" s="453"/>
      <c r="CO207" s="453"/>
      <c r="CP207" s="453"/>
      <c r="CQ207" s="453"/>
      <c r="CR207" s="454"/>
      <c r="CS207" s="453"/>
      <c r="CT207" s="453"/>
      <c r="CU207" s="453"/>
      <c r="CV207" s="2200"/>
      <c r="CW207" s="2194"/>
      <c r="CX207" s="453"/>
      <c r="CY207" s="453"/>
      <c r="CZ207" s="453"/>
      <c r="DA207" s="453"/>
      <c r="DB207" s="2200"/>
      <c r="DC207" s="2194"/>
      <c r="DD207" s="453"/>
      <c r="DE207" s="453"/>
      <c r="DF207" s="453"/>
      <c r="DG207" s="453"/>
      <c r="DH207" s="453"/>
      <c r="DI207" s="453"/>
    </row>
    <row r="208" spans="1:113" x14ac:dyDescent="0.35">
      <c r="C208" s="169">
        <v>0.95</v>
      </c>
      <c r="D208" s="169"/>
      <c r="E208" s="169"/>
      <c r="F208" s="2194">
        <f>F$206*$C$208</f>
        <v>69.825000000000003</v>
      </c>
      <c r="G208" s="2195">
        <f>G$206*$C$208</f>
        <v>63.174999999999997</v>
      </c>
      <c r="H208" s="2195">
        <f t="shared" ref="H208:U208" si="176">H$206*$C$208</f>
        <v>0</v>
      </c>
      <c r="I208" s="2201">
        <f t="shared" si="176"/>
        <v>58.804999999999993</v>
      </c>
      <c r="J208" s="2197">
        <f t="shared" si="176"/>
        <v>59.375</v>
      </c>
      <c r="K208" s="2195">
        <f t="shared" si="176"/>
        <v>82.174999999999997</v>
      </c>
      <c r="L208" s="2195">
        <f t="shared" si="176"/>
        <v>78.849999999999994</v>
      </c>
      <c r="M208" s="2195">
        <f t="shared" si="176"/>
        <v>77.424999999999997</v>
      </c>
      <c r="N208" s="2198">
        <f t="shared" si="176"/>
        <v>76.95</v>
      </c>
      <c r="O208" s="2201">
        <f t="shared" si="176"/>
        <v>76.38</v>
      </c>
      <c r="P208" s="2197">
        <f t="shared" si="176"/>
        <v>74.099999999999994</v>
      </c>
      <c r="Q208" s="2195">
        <f t="shared" si="176"/>
        <v>0</v>
      </c>
      <c r="R208" s="2195">
        <f t="shared" si="176"/>
        <v>68.875</v>
      </c>
      <c r="S208" s="2198">
        <f t="shared" si="176"/>
        <v>0</v>
      </c>
      <c r="T208" s="2198">
        <f>T$206*$C$208</f>
        <v>67.64</v>
      </c>
      <c r="U208" s="2198">
        <f t="shared" si="176"/>
        <v>68.305000000000007</v>
      </c>
      <c r="V208" s="453"/>
      <c r="W208" s="2199"/>
      <c r="X208" s="2194"/>
      <c r="Y208" s="453"/>
      <c r="Z208" s="453"/>
      <c r="AA208" s="2200"/>
      <c r="AB208" s="2194"/>
      <c r="AC208" s="453"/>
      <c r="AD208" s="453"/>
      <c r="AE208" s="453"/>
      <c r="AF208" s="453"/>
      <c r="AG208" s="2200"/>
      <c r="AH208" s="2194"/>
      <c r="AI208" s="453"/>
      <c r="AJ208" s="453"/>
      <c r="AK208" s="453"/>
      <c r="AL208" s="453"/>
      <c r="AM208" s="453"/>
      <c r="AN208" s="453"/>
      <c r="AO208" s="454"/>
      <c r="AP208" s="453"/>
      <c r="AQ208" s="453"/>
      <c r="AR208" s="453"/>
      <c r="AS208" s="2200"/>
      <c r="AT208" s="2194"/>
      <c r="AU208" s="453"/>
      <c r="AV208" s="453"/>
      <c r="AW208" s="453"/>
      <c r="AX208" s="453"/>
      <c r="AY208" s="2200"/>
      <c r="AZ208" s="2194"/>
      <c r="BA208" s="453"/>
      <c r="BB208" s="453"/>
      <c r="BC208" s="453"/>
      <c r="BD208" s="453"/>
      <c r="BE208" s="453"/>
      <c r="BF208" s="453"/>
      <c r="BG208" s="454"/>
      <c r="BH208" s="453"/>
      <c r="BI208" s="453"/>
      <c r="BJ208" s="453"/>
      <c r="BK208" s="2200"/>
      <c r="BL208" s="2194"/>
      <c r="BM208" s="453"/>
      <c r="BN208" s="453"/>
      <c r="BO208" s="453"/>
      <c r="BP208" s="453"/>
      <c r="BQ208" s="2200"/>
      <c r="BR208" s="2194"/>
      <c r="BS208" s="453"/>
      <c r="BT208" s="453"/>
      <c r="BU208" s="453"/>
      <c r="BV208" s="453"/>
      <c r="BW208" s="453"/>
      <c r="BX208" s="453"/>
      <c r="BY208" s="454"/>
      <c r="BZ208" s="455"/>
      <c r="CA208" s="453"/>
      <c r="CB208" s="453"/>
      <c r="CC208" s="453"/>
      <c r="CD208" s="2200"/>
      <c r="CE208" s="2194"/>
      <c r="CF208" s="453"/>
      <c r="CG208" s="453"/>
      <c r="CH208" s="453"/>
      <c r="CI208" s="453"/>
      <c r="CJ208" s="2200"/>
      <c r="CK208" s="2194"/>
      <c r="CL208" s="453"/>
      <c r="CM208" s="453"/>
      <c r="CN208" s="453"/>
      <c r="CO208" s="453"/>
      <c r="CP208" s="453"/>
      <c r="CQ208" s="453"/>
      <c r="CR208" s="454"/>
      <c r="CS208" s="453"/>
      <c r="CT208" s="453"/>
      <c r="CU208" s="453"/>
      <c r="CV208" s="2200"/>
      <c r="CW208" s="2194"/>
      <c r="CX208" s="453"/>
      <c r="CY208" s="453"/>
      <c r="CZ208" s="453"/>
      <c r="DA208" s="453"/>
      <c r="DB208" s="2200"/>
      <c r="DC208" s="2194"/>
      <c r="DD208" s="453"/>
      <c r="DE208" s="453"/>
      <c r="DF208" s="453"/>
      <c r="DG208" s="453"/>
      <c r="DH208" s="453"/>
      <c r="DI208" s="453"/>
    </row>
    <row r="209" spans="3:113" x14ac:dyDescent="0.35">
      <c r="C209" s="168"/>
      <c r="D209" s="168"/>
      <c r="E209" s="168"/>
      <c r="F209" s="1774"/>
      <c r="G209" s="229"/>
      <c r="H209" s="229"/>
      <c r="I209" s="2098"/>
      <c r="J209" s="1774"/>
      <c r="K209" s="229"/>
      <c r="L209" s="229"/>
      <c r="M209" s="229"/>
      <c r="N209" s="2099"/>
      <c r="O209" s="2098"/>
      <c r="P209" s="1774"/>
      <c r="Q209" s="229"/>
      <c r="R209" s="229"/>
      <c r="S209" s="2099"/>
      <c r="T209" s="2099"/>
      <c r="U209" s="2099"/>
      <c r="V209" s="229"/>
      <c r="W209" s="1796"/>
      <c r="X209" s="1774"/>
      <c r="Y209" s="229"/>
      <c r="Z209" s="229"/>
      <c r="AA209" s="1773"/>
      <c r="AB209" s="1774"/>
      <c r="AC209" s="229"/>
      <c r="AD209" s="229"/>
      <c r="AE209" s="229"/>
      <c r="AF209" s="229"/>
      <c r="AG209" s="1773"/>
      <c r="AH209" s="1774"/>
      <c r="AI209" s="229"/>
      <c r="AJ209" s="229"/>
      <c r="AK209" s="229"/>
      <c r="AL209" s="229"/>
      <c r="AM209" s="229"/>
      <c r="AN209" s="229"/>
      <c r="AO209" s="356"/>
      <c r="AP209" s="229"/>
      <c r="AQ209" s="229"/>
      <c r="AR209" s="229"/>
      <c r="AS209" s="1773"/>
      <c r="AT209" s="1774"/>
      <c r="AU209" s="229"/>
      <c r="AV209" s="229"/>
      <c r="AW209" s="229"/>
      <c r="AX209" s="229"/>
      <c r="AY209" s="1773"/>
      <c r="AZ209" s="1774"/>
      <c r="BA209" s="229"/>
      <c r="BB209" s="229"/>
      <c r="BC209" s="229"/>
      <c r="BD209" s="229"/>
      <c r="BE209" s="229"/>
      <c r="BF209" s="229"/>
      <c r="BG209" s="356"/>
      <c r="BH209" s="229"/>
      <c r="BI209" s="229"/>
      <c r="BJ209" s="229"/>
      <c r="BK209" s="1773"/>
      <c r="BL209" s="1774"/>
      <c r="BM209" s="229"/>
      <c r="BN209" s="229"/>
      <c r="BO209" s="229"/>
      <c r="BP209" s="229"/>
      <c r="BQ209" s="1773"/>
      <c r="BR209" s="1774"/>
      <c r="BS209" s="229"/>
      <c r="BT209" s="229"/>
      <c r="BU209" s="229"/>
      <c r="BV209" s="229"/>
      <c r="BW209" s="229"/>
      <c r="BX209" s="229"/>
      <c r="BY209" s="356"/>
      <c r="BZ209" s="358"/>
      <c r="CA209" s="229"/>
      <c r="CB209" s="229"/>
      <c r="CC209" s="229"/>
      <c r="CD209" s="1773"/>
      <c r="CE209" s="1774"/>
      <c r="CF209" s="229"/>
      <c r="CG209" s="229"/>
      <c r="CH209" s="229"/>
      <c r="CI209" s="229"/>
      <c r="CJ209" s="1773"/>
      <c r="CK209" s="1774"/>
      <c r="CL209" s="229"/>
      <c r="CM209" s="229"/>
      <c r="CN209" s="229"/>
      <c r="CO209" s="229"/>
      <c r="CP209" s="229"/>
      <c r="CQ209" s="229"/>
      <c r="CR209" s="356"/>
      <c r="CS209" s="229"/>
      <c r="CT209" s="229"/>
      <c r="CU209" s="229"/>
      <c r="CV209" s="1773"/>
      <c r="CW209" s="1774"/>
      <c r="CX209" s="229"/>
      <c r="CY209" s="229"/>
      <c r="CZ209" s="229"/>
      <c r="DA209" s="229"/>
      <c r="DB209" s="1773"/>
      <c r="DC209" s="1774"/>
      <c r="DD209" s="229"/>
      <c r="DE209" s="229"/>
      <c r="DF209" s="229"/>
      <c r="DG209" s="229"/>
      <c r="DH209" s="229"/>
      <c r="DI209" s="229"/>
    </row>
    <row r="210" spans="3:113" ht="15" thickBot="1" x14ac:dyDescent="0.4">
      <c r="C210" s="168" t="s">
        <v>348</v>
      </c>
      <c r="D210" s="168"/>
      <c r="E210" s="168"/>
      <c r="F210" s="1768">
        <f t="shared" ref="F210:V210" si="177">100*(F$96-(X$96+AP$96))/F$96</f>
        <v>57.832347870548233</v>
      </c>
      <c r="G210" s="225">
        <f t="shared" si="177"/>
        <v>61.786355511499139</v>
      </c>
      <c r="H210" s="225">
        <f t="shared" si="177"/>
        <v>57.12390155358721</v>
      </c>
      <c r="I210" s="2072">
        <f t="shared" si="177"/>
        <v>61.075037502563127</v>
      </c>
      <c r="J210" s="1768">
        <f t="shared" si="177"/>
        <v>84.511290358470148</v>
      </c>
      <c r="K210" s="225">
        <f t="shared" si="177"/>
        <v>73.305699510995368</v>
      </c>
      <c r="L210" s="225">
        <f t="shared" si="177"/>
        <v>70.673326364098855</v>
      </c>
      <c r="M210" s="225">
        <f t="shared" si="177"/>
        <v>70.718836039193562</v>
      </c>
      <c r="N210" s="2073">
        <f t="shared" si="177"/>
        <v>69.720915787066986</v>
      </c>
      <c r="O210" s="2072">
        <f t="shared" si="177"/>
        <v>65.851730599678731</v>
      </c>
      <c r="P210" s="1768">
        <f t="shared" si="177"/>
        <v>75.22497919965646</v>
      </c>
      <c r="Q210" s="225">
        <f t="shared" si="177"/>
        <v>75.726335746438494</v>
      </c>
      <c r="R210" s="225">
        <f t="shared" si="177"/>
        <v>74.465146500117342</v>
      </c>
      <c r="S210" s="2073">
        <f t="shared" si="177"/>
        <v>74.923795123143435</v>
      </c>
      <c r="T210" s="2073">
        <f t="shared" si="177"/>
        <v>72.909338682234647</v>
      </c>
      <c r="U210" s="2073">
        <f t="shared" si="177"/>
        <v>75.922909503819398</v>
      </c>
      <c r="V210" s="225" t="e">
        <f t="shared" si="177"/>
        <v>#DIV/0!</v>
      </c>
      <c r="W210" s="1790"/>
      <c r="X210" s="1768"/>
      <c r="Y210" s="225"/>
      <c r="Z210" s="225"/>
      <c r="AA210" s="226"/>
      <c r="AB210" s="1768"/>
      <c r="AC210" s="225"/>
      <c r="AD210" s="225"/>
      <c r="AE210" s="225"/>
      <c r="AF210" s="225"/>
      <c r="AG210" s="226"/>
      <c r="AH210" s="1768"/>
      <c r="AI210" s="225"/>
      <c r="AJ210" s="225"/>
      <c r="AK210" s="225"/>
      <c r="AL210" s="225"/>
      <c r="AM210" s="225"/>
      <c r="AN210" s="225"/>
      <c r="AO210" s="344"/>
      <c r="AP210" s="225"/>
      <c r="AQ210" s="225"/>
      <c r="AR210" s="225"/>
      <c r="AS210" s="226"/>
      <c r="AT210" s="1768"/>
      <c r="AU210" s="225"/>
      <c r="AV210" s="225"/>
      <c r="AW210" s="225"/>
      <c r="AX210" s="225"/>
      <c r="AY210" s="226"/>
      <c r="AZ210" s="1768"/>
      <c r="BA210" s="225"/>
      <c r="BB210" s="225"/>
      <c r="BC210" s="225"/>
      <c r="BD210" s="225"/>
      <c r="BE210" s="225"/>
      <c r="BF210" s="225"/>
      <c r="BG210" s="344"/>
      <c r="BH210" s="225"/>
      <c r="BI210" s="225"/>
      <c r="BJ210" s="225"/>
      <c r="BK210" s="226"/>
      <c r="BL210" s="1768"/>
      <c r="BM210" s="225"/>
      <c r="BN210" s="225"/>
      <c r="BO210" s="225"/>
      <c r="BP210" s="225"/>
      <c r="BQ210" s="226"/>
      <c r="BR210" s="1768"/>
      <c r="BS210" s="225"/>
      <c r="BT210" s="225"/>
      <c r="BU210" s="225"/>
      <c r="BV210" s="225"/>
      <c r="BW210" s="225"/>
      <c r="BX210" s="225"/>
      <c r="BY210" s="344"/>
      <c r="BZ210" s="345"/>
      <c r="CA210" s="225"/>
      <c r="CB210" s="225"/>
      <c r="CC210" s="225"/>
      <c r="CD210" s="226"/>
      <c r="CE210" s="1768"/>
      <c r="CF210" s="225"/>
      <c r="CG210" s="225"/>
      <c r="CH210" s="225"/>
      <c r="CI210" s="225"/>
      <c r="CJ210" s="226"/>
      <c r="CK210" s="1768"/>
      <c r="CL210" s="225"/>
      <c r="CM210" s="225"/>
      <c r="CN210" s="225"/>
      <c r="CO210" s="225"/>
      <c r="CP210" s="225"/>
      <c r="CQ210" s="225"/>
      <c r="CR210" s="344"/>
      <c r="CS210" s="225"/>
      <c r="CT210" s="225"/>
      <c r="CU210" s="225"/>
      <c r="CV210" s="226"/>
      <c r="CW210" s="1768"/>
      <c r="CX210" s="225"/>
      <c r="CY210" s="225"/>
      <c r="CZ210" s="225"/>
      <c r="DA210" s="225"/>
      <c r="DB210" s="226"/>
      <c r="DC210" s="1768"/>
      <c r="DD210" s="225"/>
      <c r="DE210" s="225"/>
      <c r="DF210" s="225"/>
      <c r="DG210" s="225"/>
      <c r="DH210" s="225"/>
      <c r="DI210" s="225"/>
    </row>
    <row r="211" spans="3:113" s="377" customFormat="1" ht="19" thickTop="1" x14ac:dyDescent="0.45">
      <c r="C211" s="411" t="s">
        <v>142</v>
      </c>
      <c r="D211" s="411"/>
      <c r="E211" s="411"/>
      <c r="F211" s="1879"/>
      <c r="G211" s="347"/>
      <c r="H211" s="347"/>
      <c r="I211" s="2118"/>
      <c r="J211" s="1879"/>
      <c r="K211" s="347"/>
      <c r="L211" s="347"/>
      <c r="M211" s="347"/>
      <c r="N211" s="1877"/>
      <c r="O211" s="2118"/>
      <c r="P211" s="1879"/>
      <c r="Q211" s="347"/>
      <c r="R211" s="347"/>
      <c r="S211" s="1877"/>
      <c r="T211" s="1877"/>
      <c r="U211" s="1877"/>
      <c r="V211" s="347"/>
      <c r="W211" s="1878"/>
      <c r="X211" s="1879"/>
      <c r="Y211" s="347"/>
      <c r="Z211" s="347"/>
      <c r="AA211" s="1880"/>
      <c r="AB211" s="1879"/>
      <c r="AC211" s="347"/>
      <c r="AD211" s="347"/>
      <c r="AE211" s="347"/>
      <c r="AF211" s="347"/>
      <c r="AG211" s="1880"/>
      <c r="AH211" s="1879"/>
      <c r="AI211" s="347"/>
      <c r="AJ211" s="347"/>
      <c r="AK211" s="347"/>
      <c r="AL211" s="347"/>
      <c r="AM211" s="347"/>
      <c r="AN211" s="347"/>
      <c r="AO211" s="352"/>
      <c r="AP211" s="347"/>
      <c r="AQ211" s="347"/>
      <c r="AR211" s="347"/>
      <c r="AS211" s="1880"/>
      <c r="AT211" s="1879"/>
      <c r="AU211" s="347"/>
      <c r="AV211" s="347"/>
      <c r="AW211" s="347"/>
      <c r="AX211" s="347"/>
      <c r="AY211" s="1880"/>
      <c r="AZ211" s="1879"/>
      <c r="BA211" s="347"/>
      <c r="BB211" s="347"/>
      <c r="BC211" s="347"/>
      <c r="BD211" s="347"/>
      <c r="BE211" s="347"/>
      <c r="BF211" s="347"/>
      <c r="BG211" s="352"/>
      <c r="BH211" s="347"/>
      <c r="BI211" s="347"/>
      <c r="BJ211" s="347"/>
      <c r="BK211" s="1880"/>
      <c r="BL211" s="1879"/>
      <c r="BM211" s="347"/>
      <c r="BN211" s="347"/>
      <c r="BO211" s="347"/>
      <c r="BP211" s="347"/>
      <c r="BQ211" s="1880"/>
      <c r="BR211" s="1879"/>
      <c r="BS211" s="347"/>
      <c r="BT211" s="347"/>
      <c r="BU211" s="347"/>
      <c r="BV211" s="347"/>
      <c r="BW211" s="347"/>
      <c r="BX211" s="347"/>
      <c r="BY211" s="352"/>
      <c r="BZ211" s="355"/>
      <c r="CA211" s="347"/>
      <c r="CB211" s="347"/>
      <c r="CC211" s="347"/>
      <c r="CD211" s="1880"/>
      <c r="CE211" s="1879"/>
      <c r="CF211" s="347"/>
      <c r="CG211" s="347"/>
      <c r="CH211" s="347"/>
      <c r="CI211" s="347"/>
      <c r="CJ211" s="1880"/>
      <c r="CK211" s="1879"/>
      <c r="CL211" s="347"/>
      <c r="CM211" s="347"/>
      <c r="CN211" s="347"/>
      <c r="CO211" s="347"/>
      <c r="CP211" s="347"/>
      <c r="CQ211" s="347"/>
      <c r="CR211" s="352"/>
      <c r="CS211" s="347"/>
      <c r="CT211" s="347"/>
      <c r="CU211" s="347"/>
      <c r="CV211" s="1880"/>
      <c r="CW211" s="1879"/>
      <c r="CX211" s="347"/>
      <c r="CY211" s="347"/>
      <c r="CZ211" s="347"/>
      <c r="DA211" s="347"/>
      <c r="DB211" s="1880"/>
      <c r="DC211" s="1879"/>
      <c r="DD211" s="347"/>
      <c r="DE211" s="347"/>
      <c r="DF211" s="347"/>
      <c r="DG211" s="347"/>
      <c r="DH211" s="347"/>
      <c r="DI211" s="347"/>
    </row>
    <row r="212" spans="3:113" x14ac:dyDescent="0.35">
      <c r="C212" s="1" t="s">
        <v>119</v>
      </c>
      <c r="F212" s="1819">
        <f t="shared" ref="F212:V212" si="178">(CS$107+CA$107)/F$59*100</f>
        <v>0.45190714285714279</v>
      </c>
      <c r="G212" s="249">
        <f t="shared" si="178"/>
        <v>0.26256499238964992</v>
      </c>
      <c r="H212" s="249">
        <f t="shared" si="178"/>
        <v>0.31596529789179206</v>
      </c>
      <c r="I212" s="1864">
        <f t="shared" si="178"/>
        <v>0.41507653400771988</v>
      </c>
      <c r="J212" s="1819">
        <f t="shared" si="178"/>
        <v>1.5971569860299282</v>
      </c>
      <c r="K212" s="249">
        <f t="shared" si="178"/>
        <v>1.0532212775365815</v>
      </c>
      <c r="L212" s="249">
        <f t="shared" si="178"/>
        <v>0.98097520478193467</v>
      </c>
      <c r="M212" s="249">
        <f t="shared" si="178"/>
        <v>0.90358168336513978</v>
      </c>
      <c r="N212" s="1867">
        <f t="shared" si="178"/>
        <v>0.99596609830291372</v>
      </c>
      <c r="O212" s="1864">
        <f t="shared" si="178"/>
        <v>1.0377609992101107</v>
      </c>
      <c r="P212" s="1819">
        <f t="shared" si="178"/>
        <v>1.1264504504504507</v>
      </c>
      <c r="Q212" s="249">
        <f t="shared" si="178"/>
        <v>1.229703256548176</v>
      </c>
      <c r="R212" s="249">
        <f t="shared" si="178"/>
        <v>1.1265749517338677</v>
      </c>
      <c r="S212" s="1867">
        <f t="shared" si="178"/>
        <v>1.147110033022533</v>
      </c>
      <c r="T212" s="1867">
        <f t="shared" si="178"/>
        <v>1.0817369811780968</v>
      </c>
      <c r="U212" s="1867">
        <f t="shared" si="178"/>
        <v>1.0336612049482574</v>
      </c>
      <c r="V212" s="249" t="e">
        <f t="shared" si="178"/>
        <v>#DIV/0!</v>
      </c>
    </row>
    <row r="213" spans="3:113" x14ac:dyDescent="0.35">
      <c r="C213" s="1" t="s">
        <v>582</v>
      </c>
      <c r="F213" s="501">
        <f>F212/F137</f>
        <v>0.458736868893591</v>
      </c>
      <c r="G213" s="249">
        <f t="shared" ref="G213:V213" si="179">G212/G137</f>
        <v>0.26965001923473669</v>
      </c>
      <c r="H213" s="249">
        <f t="shared" si="179"/>
        <v>0.31768278003571337</v>
      </c>
      <c r="I213" s="2177">
        <f t="shared" si="179"/>
        <v>0.4358721400534934</v>
      </c>
      <c r="J213" s="501">
        <f>J212/J137-0.3</f>
        <v>1.1721185339645743</v>
      </c>
      <c r="K213" s="249">
        <f t="shared" si="179"/>
        <v>1.1195159273923156</v>
      </c>
      <c r="L213" s="249">
        <f t="shared" si="179"/>
        <v>1.0210828855904404</v>
      </c>
      <c r="M213" s="249">
        <f t="shared" si="179"/>
        <v>0.9404329603224475</v>
      </c>
      <c r="N213" s="1867">
        <f t="shared" si="179"/>
        <v>1.0249256055343356</v>
      </c>
      <c r="O213" s="2177">
        <f t="shared" si="179"/>
        <v>1.0912678723297837</v>
      </c>
      <c r="P213" s="501">
        <f t="shared" si="179"/>
        <v>1.1931009467954974</v>
      </c>
      <c r="Q213" s="249">
        <f t="shared" si="179"/>
        <v>1.3072145685502681</v>
      </c>
      <c r="R213" s="249">
        <f t="shared" si="179"/>
        <v>1.1795186991554152</v>
      </c>
      <c r="S213" s="1867">
        <f t="shared" si="179"/>
        <v>1.223105283892477</v>
      </c>
      <c r="T213" s="1867">
        <f t="shared" si="179"/>
        <v>1.1101349909012119</v>
      </c>
      <c r="U213" s="1867">
        <f t="shared" si="179"/>
        <v>1.2244307599161801</v>
      </c>
      <c r="V213" s="419" t="e">
        <f t="shared" si="179"/>
        <v>#DIV/0!</v>
      </c>
    </row>
    <row r="214" spans="3:113" x14ac:dyDescent="0.35">
      <c r="C214" s="444" t="s">
        <v>583</v>
      </c>
      <c r="F214" s="1819">
        <v>0.5</v>
      </c>
      <c r="G214" s="419">
        <v>0.5</v>
      </c>
      <c r="H214" s="419">
        <v>0.5</v>
      </c>
      <c r="I214" s="2149">
        <v>0.5</v>
      </c>
      <c r="J214" s="1819">
        <v>1</v>
      </c>
      <c r="K214" s="419">
        <v>1</v>
      </c>
      <c r="L214" s="419">
        <v>1</v>
      </c>
      <c r="M214" s="419">
        <v>1</v>
      </c>
      <c r="N214" s="2177">
        <v>1</v>
      </c>
      <c r="O214" s="2149">
        <v>1.1000000000000001</v>
      </c>
      <c r="P214" s="1819">
        <v>1.1000000000000001</v>
      </c>
      <c r="Q214" s="419">
        <v>1.1000000000000001</v>
      </c>
      <c r="R214" s="419">
        <v>1.1000000000000001</v>
      </c>
      <c r="S214" s="493">
        <v>1.1000000000000001</v>
      </c>
      <c r="T214" s="493">
        <v>1.1000000000000001</v>
      </c>
      <c r="U214" s="493">
        <v>1.2</v>
      </c>
    </row>
    <row r="215" spans="3:113" x14ac:dyDescent="0.35">
      <c r="C215" s="1" t="s">
        <v>120</v>
      </c>
      <c r="F215" s="1819">
        <f t="shared" ref="F215:V215" si="180">((CA$108+CS$108)/F$59)*100</f>
        <v>0.46374486215538846</v>
      </c>
      <c r="G215" s="249">
        <f t="shared" si="180"/>
        <v>0.21782283105022832</v>
      </c>
      <c r="H215" s="249">
        <f t="shared" si="180"/>
        <v>0.24877949061478188</v>
      </c>
      <c r="I215" s="1864">
        <f t="shared" si="180"/>
        <v>0.33196273126580594</v>
      </c>
      <c r="J215" s="1819">
        <f t="shared" si="180"/>
        <v>1.2389367701830423</v>
      </c>
      <c r="K215" s="249">
        <f t="shared" si="180"/>
        <v>0.84476644155008829</v>
      </c>
      <c r="L215" s="249">
        <f t="shared" si="180"/>
        <v>0.76773638476865158</v>
      </c>
      <c r="M215" s="249">
        <f t="shared" si="180"/>
        <v>0.73597279540394389</v>
      </c>
      <c r="N215" s="1867">
        <f t="shared" si="180"/>
        <v>0.79446892010886971</v>
      </c>
      <c r="O215" s="1864">
        <f t="shared" si="180"/>
        <v>0.78787649091627177</v>
      </c>
      <c r="P215" s="1819">
        <f t="shared" si="180"/>
        <v>0.87363243243243249</v>
      </c>
      <c r="Q215" s="249">
        <f t="shared" si="180"/>
        <v>0.9771922844558778</v>
      </c>
      <c r="R215" s="249">
        <f t="shared" si="180"/>
        <v>0.90243639080715821</v>
      </c>
      <c r="S215" s="1867">
        <f t="shared" si="180"/>
        <v>0.9013777292152293</v>
      </c>
      <c r="T215" s="1867">
        <f t="shared" si="180"/>
        <v>0.83117991246256617</v>
      </c>
      <c r="U215" s="1867">
        <f t="shared" si="180"/>
        <v>0.81658733793267513</v>
      </c>
      <c r="V215" s="249" t="e">
        <f t="shared" si="180"/>
        <v>#DIV/0!</v>
      </c>
    </row>
    <row r="216" spans="3:113" x14ac:dyDescent="0.35">
      <c r="C216" s="1" t="s">
        <v>590</v>
      </c>
      <c r="F216" s="501">
        <f>F215/F137</f>
        <v>0.47075349304205044</v>
      </c>
      <c r="G216" s="249">
        <f t="shared" ref="G216:U216" si="181">G215/G137</f>
        <v>0.22370053999923176</v>
      </c>
      <c r="H216" s="249">
        <f t="shared" si="181"/>
        <v>0.25013177308300111</v>
      </c>
      <c r="I216" s="2177">
        <f t="shared" si="181"/>
        <v>0.34859428139134085</v>
      </c>
      <c r="J216" s="501">
        <f>J215/J137-0.3</f>
        <v>0.84194271305180801</v>
      </c>
      <c r="K216" s="249">
        <f t="shared" si="181"/>
        <v>0.89793997369086143</v>
      </c>
      <c r="L216" s="249">
        <f t="shared" si="181"/>
        <v>0.79912568565543807</v>
      </c>
      <c r="M216" s="249">
        <f t="shared" si="181"/>
        <v>0.76598838537857461</v>
      </c>
      <c r="N216" s="1867">
        <f t="shared" si="181"/>
        <v>0.81756953415209521</v>
      </c>
      <c r="O216" s="2177">
        <f t="shared" si="181"/>
        <v>0.82849933901474315</v>
      </c>
      <c r="P216" s="501">
        <f t="shared" si="181"/>
        <v>0.92532404054663542</v>
      </c>
      <c r="Q216" s="249">
        <f t="shared" si="181"/>
        <v>1.03878719009117</v>
      </c>
      <c r="R216" s="249">
        <f t="shared" si="181"/>
        <v>0.9448466754183803</v>
      </c>
      <c r="S216" s="1867">
        <f t="shared" si="181"/>
        <v>0.96109338393738286</v>
      </c>
      <c r="T216" s="1867">
        <f t="shared" si="181"/>
        <v>0.85300023999732755</v>
      </c>
      <c r="U216" s="2177">
        <f t="shared" si="181"/>
        <v>0.96729436099218435</v>
      </c>
      <c r="V216" s="249"/>
    </row>
    <row r="217" spans="3:113" x14ac:dyDescent="0.35">
      <c r="C217" s="444" t="s">
        <v>588</v>
      </c>
      <c r="F217" s="1819">
        <v>0.4</v>
      </c>
      <c r="G217" s="249">
        <v>0.4</v>
      </c>
      <c r="H217" s="249">
        <v>0.4</v>
      </c>
      <c r="I217" s="1864">
        <v>0.4</v>
      </c>
      <c r="J217" s="1819">
        <v>0.89</v>
      </c>
      <c r="K217" s="249">
        <v>0.89</v>
      </c>
      <c r="L217" s="249">
        <v>0.89</v>
      </c>
      <c r="M217" s="249">
        <v>0.84</v>
      </c>
      <c r="N217" s="1867">
        <v>0.9</v>
      </c>
      <c r="O217" s="1864">
        <v>0.9</v>
      </c>
      <c r="P217" s="1819">
        <v>0.9</v>
      </c>
      <c r="Q217" s="249">
        <v>0.89</v>
      </c>
      <c r="R217" s="249">
        <v>0.89</v>
      </c>
      <c r="S217" s="446">
        <v>0.89</v>
      </c>
      <c r="T217" s="446">
        <v>0.9</v>
      </c>
      <c r="U217" s="446">
        <v>0.9</v>
      </c>
      <c r="V217" s="249"/>
    </row>
    <row r="218" spans="3:113" x14ac:dyDescent="0.35">
      <c r="C218" s="1" t="s">
        <v>121</v>
      </c>
      <c r="F218" s="1819">
        <f t="shared" ref="F218:V218" si="182">(CS$109+CA$109)/F$59*100</f>
        <v>0.59306184210526314</v>
      </c>
      <c r="G218" s="249">
        <f t="shared" si="182"/>
        <v>0.24006514459665149</v>
      </c>
      <c r="H218" s="249">
        <f t="shared" si="182"/>
        <v>0.27525664460264165</v>
      </c>
      <c r="I218" s="1864">
        <f t="shared" si="182"/>
        <v>0.31337574870224943</v>
      </c>
      <c r="J218" s="1819">
        <f>(CW$109+CE$109)/J$59*100-0.2</f>
        <v>0.88128678078651235</v>
      </c>
      <c r="K218" s="249">
        <f t="shared" si="182"/>
        <v>0.80202745618266602</v>
      </c>
      <c r="L218" s="249">
        <f t="shared" si="182"/>
        <v>0.71998202162202052</v>
      </c>
      <c r="M218" s="249">
        <f t="shared" si="182"/>
        <v>0.74838106313613217</v>
      </c>
      <c r="N218" s="1867">
        <f t="shared" si="182"/>
        <v>0.77593653938520657</v>
      </c>
      <c r="O218" s="1864">
        <f t="shared" si="182"/>
        <v>0.71107720181674561</v>
      </c>
      <c r="P218" s="1819">
        <f t="shared" si="182"/>
        <v>0.85151891891891895</v>
      </c>
      <c r="Q218" s="249">
        <f t="shared" si="182"/>
        <v>0.94589292952915494</v>
      </c>
      <c r="R218" s="249">
        <f t="shared" si="182"/>
        <v>0.89743401462835071</v>
      </c>
      <c r="S218" s="1867">
        <f t="shared" si="182"/>
        <v>0.86464050116550117</v>
      </c>
      <c r="T218" s="1867">
        <f t="shared" si="182"/>
        <v>0.8148288954835563</v>
      </c>
      <c r="U218" s="1867">
        <f t="shared" si="182"/>
        <v>0.82317973117640064</v>
      </c>
      <c r="V218" s="249" t="e">
        <f t="shared" si="182"/>
        <v>#DIV/0!</v>
      </c>
    </row>
    <row r="219" spans="3:113" x14ac:dyDescent="0.35">
      <c r="C219" s="1" t="s">
        <v>592</v>
      </c>
      <c r="F219" s="501">
        <f>F218/F137</f>
        <v>0.60202485578688292</v>
      </c>
      <c r="G219" s="249">
        <f t="shared" ref="G219:U219" si="183">G218/G137</f>
        <v>0.24654303785483878</v>
      </c>
      <c r="H219" s="249">
        <f t="shared" si="183"/>
        <v>0.27675284806313255</v>
      </c>
      <c r="I219" s="2177">
        <f t="shared" si="183"/>
        <v>0.32907607883507767</v>
      </c>
      <c r="J219" s="501">
        <f>J218/J137</f>
        <v>0.81229247662038484</v>
      </c>
      <c r="K219" s="249">
        <f t="shared" si="183"/>
        <v>0.85251079763839177</v>
      </c>
      <c r="L219" s="249">
        <f t="shared" si="183"/>
        <v>0.74941886056587304</v>
      </c>
      <c r="M219" s="249">
        <f t="shared" si="183"/>
        <v>0.7789027064307642</v>
      </c>
      <c r="N219" s="1867">
        <f t="shared" si="183"/>
        <v>0.79849829109717718</v>
      </c>
      <c r="O219" s="2177">
        <f t="shared" si="183"/>
        <v>0.74774028478561849</v>
      </c>
      <c r="P219" s="501">
        <f t="shared" si="183"/>
        <v>0.9019021013930778</v>
      </c>
      <c r="Q219" s="249">
        <f t="shared" si="183"/>
        <v>1.0055149575191531</v>
      </c>
      <c r="R219" s="249">
        <f t="shared" si="183"/>
        <v>0.93960921098334027</v>
      </c>
      <c r="S219" s="1867">
        <f t="shared" si="183"/>
        <v>0.92192233979195803</v>
      </c>
      <c r="T219" s="1867">
        <f t="shared" si="183"/>
        <v>0.83621997233424927</v>
      </c>
      <c r="U219" s="2177">
        <f t="shared" si="183"/>
        <v>0.97510342747396761</v>
      </c>
      <c r="V219" s="249"/>
    </row>
    <row r="220" spans="3:113" x14ac:dyDescent="0.35">
      <c r="C220" s="1" t="s">
        <v>594</v>
      </c>
      <c r="F220" s="1819">
        <v>0.5</v>
      </c>
      <c r="G220" s="419">
        <v>0.5</v>
      </c>
      <c r="H220" s="419">
        <v>0.5</v>
      </c>
      <c r="I220" s="2149">
        <v>0.5</v>
      </c>
      <c r="J220" s="1819">
        <v>0.92</v>
      </c>
      <c r="K220" s="419">
        <v>0.95</v>
      </c>
      <c r="L220" s="419">
        <v>1</v>
      </c>
      <c r="M220" s="419">
        <v>0.95</v>
      </c>
      <c r="N220" s="2177">
        <v>1.2</v>
      </c>
      <c r="O220" s="2149">
        <v>1.1000000000000001</v>
      </c>
      <c r="P220" s="1819">
        <v>1.1000000000000001</v>
      </c>
      <c r="Q220" s="419">
        <v>0.95</v>
      </c>
      <c r="R220" s="419">
        <v>0.95</v>
      </c>
      <c r="S220" s="2177">
        <v>1.1000000000000001</v>
      </c>
      <c r="T220" s="2177">
        <v>1.1000000000000001</v>
      </c>
      <c r="U220" s="2177">
        <v>1.1000000000000001</v>
      </c>
      <c r="V220" s="249"/>
    </row>
    <row r="221" spans="3:113" x14ac:dyDescent="0.35">
      <c r="C221" s="1" t="s">
        <v>122</v>
      </c>
      <c r="F221" s="1819">
        <f t="shared" ref="F221:V221" si="184">((CA$120+CS$120)/F$59)*100</f>
        <v>0.52525344611528813</v>
      </c>
      <c r="G221" s="249">
        <f t="shared" si="184"/>
        <v>0.21329781836631148</v>
      </c>
      <c r="H221" s="249">
        <f t="shared" si="184"/>
        <v>0.39992897598581167</v>
      </c>
      <c r="I221" s="1864">
        <f t="shared" si="184"/>
        <v>0.18828530547051778</v>
      </c>
      <c r="J221" s="1819">
        <f t="shared" si="184"/>
        <v>0.59150846372287824</v>
      </c>
      <c r="K221" s="249">
        <f t="shared" si="184"/>
        <v>0.48022801428418288</v>
      </c>
      <c r="L221" s="249">
        <f t="shared" si="184"/>
        <v>0.432091573807591</v>
      </c>
      <c r="M221" s="249">
        <f t="shared" si="184"/>
        <v>0.47298486038220949</v>
      </c>
      <c r="N221" s="1867">
        <f t="shared" si="184"/>
        <v>0.46084348983349355</v>
      </c>
      <c r="O221" s="1864">
        <f t="shared" si="184"/>
        <v>0.39987612723801991</v>
      </c>
      <c r="P221" s="1819">
        <f t="shared" si="184"/>
        <v>0.51531531531531527</v>
      </c>
      <c r="Q221" s="249">
        <f t="shared" si="184"/>
        <v>0.58633164919187208</v>
      </c>
      <c r="R221" s="249">
        <f t="shared" si="184"/>
        <v>0.57787012543006377</v>
      </c>
      <c r="S221" s="1867">
        <f t="shared" si="184"/>
        <v>0.51626485204610206</v>
      </c>
      <c r="T221" s="1867">
        <f t="shared" si="184"/>
        <v>0.49956791378149967</v>
      </c>
      <c r="U221" s="1867">
        <f t="shared" si="184"/>
        <v>0.52581259168946515</v>
      </c>
      <c r="V221" s="249" t="e">
        <f t="shared" si="184"/>
        <v>#DIV/0!</v>
      </c>
    </row>
    <row r="222" spans="3:113" x14ac:dyDescent="0.35">
      <c r="C222" s="1" t="s">
        <v>591</v>
      </c>
      <c r="F222" s="501">
        <f t="shared" ref="F222:U222" si="185">F221/F137</f>
        <v>0.53319166349770675</v>
      </c>
      <c r="G222" s="249">
        <f t="shared" si="185"/>
        <v>0.21905342483680806</v>
      </c>
      <c r="H222" s="249">
        <f t="shared" si="185"/>
        <v>0.40210285672421986</v>
      </c>
      <c r="I222" s="2177">
        <f t="shared" si="185"/>
        <v>0.19771852251838923</v>
      </c>
      <c r="J222" s="501">
        <f t="shared" si="185"/>
        <v>0.54520036543674122</v>
      </c>
      <c r="K222" s="249">
        <f t="shared" si="185"/>
        <v>0.51045580092019549</v>
      </c>
      <c r="L222" s="249">
        <f t="shared" si="185"/>
        <v>0.44975786224978676</v>
      </c>
      <c r="M222" s="249">
        <f t="shared" si="185"/>
        <v>0.49227486637441237</v>
      </c>
      <c r="N222" s="1867">
        <f t="shared" si="185"/>
        <v>0.47424334390395589</v>
      </c>
      <c r="O222" s="2177">
        <f t="shared" si="185"/>
        <v>0.42049370799119579</v>
      </c>
      <c r="P222" s="501">
        <f t="shared" si="185"/>
        <v>0.5458058011828788</v>
      </c>
      <c r="Q222" s="249">
        <f t="shared" si="185"/>
        <v>0.62328961864930421</v>
      </c>
      <c r="R222" s="249">
        <f t="shared" si="185"/>
        <v>0.6050273153854594</v>
      </c>
      <c r="S222" s="1867">
        <f t="shared" si="185"/>
        <v>0.55046704348121722</v>
      </c>
      <c r="T222" s="1867">
        <f t="shared" si="185"/>
        <v>0.51268268633690672</v>
      </c>
      <c r="U222" s="2177">
        <f t="shared" si="185"/>
        <v>0.62285505940803498</v>
      </c>
      <c r="V222" s="249"/>
    </row>
    <row r="223" spans="3:113" x14ac:dyDescent="0.35">
      <c r="C223" s="444" t="s">
        <v>589</v>
      </c>
      <c r="F223" s="1819">
        <v>0.4</v>
      </c>
      <c r="G223" s="249">
        <v>0.4</v>
      </c>
      <c r="H223" s="249">
        <v>0.4</v>
      </c>
      <c r="I223" s="1864">
        <v>0.4</v>
      </c>
      <c r="J223" s="1819">
        <v>0.8</v>
      </c>
      <c r="K223" s="249">
        <v>0.81</v>
      </c>
      <c r="L223" s="249">
        <v>0.92</v>
      </c>
      <c r="M223" s="249">
        <v>0.83</v>
      </c>
      <c r="N223" s="1867">
        <v>1</v>
      </c>
      <c r="O223" s="1864">
        <v>0.89</v>
      </c>
      <c r="P223" s="1819">
        <v>0.9</v>
      </c>
      <c r="Q223" s="249">
        <v>0.75</v>
      </c>
      <c r="R223" s="249">
        <v>0.75</v>
      </c>
      <c r="S223" s="1867">
        <v>0.8</v>
      </c>
      <c r="T223" s="1867">
        <v>0.9</v>
      </c>
      <c r="U223" s="1867">
        <v>0.9</v>
      </c>
      <c r="V223" s="249"/>
    </row>
    <row r="224" spans="3:113" x14ac:dyDescent="0.35">
      <c r="C224" s="1" t="s">
        <v>123</v>
      </c>
      <c r="F224" s="1819">
        <f t="shared" ref="F224:V224" si="186">((CA$111+CS$111)/F$59)*100</f>
        <v>0.70890607769423553</v>
      </c>
      <c r="G224" s="249">
        <f t="shared" si="186"/>
        <v>0.41428006088280067</v>
      </c>
      <c r="H224" s="249">
        <f t="shared" si="186"/>
        <v>0.3355078670008757</v>
      </c>
      <c r="I224" s="1864">
        <f t="shared" si="186"/>
        <v>0.22944589378410757</v>
      </c>
      <c r="J224" s="1819">
        <f t="shared" si="186"/>
        <v>0.7514784799263059</v>
      </c>
      <c r="K224" s="249">
        <f t="shared" si="186"/>
        <v>0.67982955459077021</v>
      </c>
      <c r="L224" s="249">
        <f t="shared" si="186"/>
        <v>0.67710461405062339</v>
      </c>
      <c r="M224" s="249">
        <f t="shared" si="186"/>
        <v>0.79033443662531788</v>
      </c>
      <c r="N224" s="1867">
        <f t="shared" si="186"/>
        <v>0.67478864473262901</v>
      </c>
      <c r="O224" s="1864">
        <f t="shared" si="186"/>
        <v>0.53756958925750387</v>
      </c>
      <c r="P224" s="1819">
        <f t="shared" si="186"/>
        <v>0.76701441441441442</v>
      </c>
      <c r="Q224" s="249">
        <f t="shared" si="186"/>
        <v>0.91402341557530431</v>
      </c>
      <c r="R224" s="249">
        <f t="shared" si="186"/>
        <v>0.9293435898863891</v>
      </c>
      <c r="S224" s="1867">
        <f t="shared" si="186"/>
        <v>0.74757237762237749</v>
      </c>
      <c r="T224" s="1867">
        <f t="shared" si="186"/>
        <v>0.79257888532054144</v>
      </c>
      <c r="U224" s="1867">
        <f t="shared" si="186"/>
        <v>0.90719070417509207</v>
      </c>
      <c r="V224" s="249" t="e">
        <f t="shared" si="186"/>
        <v>#DIV/0!</v>
      </c>
    </row>
    <row r="225" spans="3:113" x14ac:dyDescent="0.35">
      <c r="C225" s="1" t="s">
        <v>124</v>
      </c>
      <c r="F225" s="1819">
        <f t="shared" ref="F225:V225" si="187">((CA$122+CS$122)/F$59)*100</f>
        <v>0.6835307746109458</v>
      </c>
      <c r="G225" s="249">
        <f t="shared" si="187"/>
        <v>1.5181981522777956</v>
      </c>
      <c r="H225" s="249">
        <f t="shared" si="187"/>
        <v>0.46594801515395196</v>
      </c>
      <c r="I225" s="1864">
        <f t="shared" si="187"/>
        <v>9.1841737886887528E-2</v>
      </c>
      <c r="J225" s="1819">
        <f t="shared" si="187"/>
        <v>0.15860760564708756</v>
      </c>
      <c r="K225" s="249">
        <f t="shared" si="187"/>
        <v>0.1233348197758557</v>
      </c>
      <c r="L225" s="249">
        <f t="shared" si="187"/>
        <v>0.11264104082252574</v>
      </c>
      <c r="M225" s="249">
        <f t="shared" si="187"/>
        <v>0.15291843267353097</v>
      </c>
      <c r="N225" s="1867">
        <f t="shared" si="187"/>
        <v>0.12940293881107165</v>
      </c>
      <c r="O225" s="1864">
        <f t="shared" si="187"/>
        <v>0.10624007494764688</v>
      </c>
      <c r="P225" s="1819">
        <f t="shared" si="187"/>
        <v>0.11676807039597741</v>
      </c>
      <c r="Q225" s="249">
        <f t="shared" si="187"/>
        <v>0.12345043727021562</v>
      </c>
      <c r="R225" s="249">
        <f t="shared" si="187"/>
        <v>9.6834567184901604E-2</v>
      </c>
      <c r="S225" s="1867">
        <f t="shared" si="187"/>
        <v>9.3805139046999525E-2</v>
      </c>
      <c r="T225" s="1867">
        <f t="shared" si="187"/>
        <v>0.12404334076730288</v>
      </c>
      <c r="U225" s="1867">
        <f t="shared" si="187"/>
        <v>0.14109448936517466</v>
      </c>
      <c r="V225" s="249" t="e">
        <f t="shared" si="187"/>
        <v>#DIV/0!</v>
      </c>
      <c r="Y225" s="232" t="s">
        <v>832</v>
      </c>
      <c r="Z225" s="232" t="s">
        <v>833</v>
      </c>
      <c r="AC225" s="947" t="s">
        <v>872</v>
      </c>
      <c r="AD225" s="947" t="s">
        <v>832</v>
      </c>
      <c r="AE225" s="947" t="s">
        <v>833</v>
      </c>
    </row>
    <row r="226" spans="3:113" x14ac:dyDescent="0.35">
      <c r="C226" s="1" t="s">
        <v>109</v>
      </c>
      <c r="F226" s="1819">
        <f t="shared" ref="F226:V226" si="188">($K$113/$G$113)*(F193/F$59)*100</f>
        <v>4.3586047506461458</v>
      </c>
      <c r="G226" s="249">
        <f t="shared" si="188"/>
        <v>4.4776438627679482</v>
      </c>
      <c r="H226" s="249">
        <f t="shared" si="188"/>
        <v>4.4059811949534708</v>
      </c>
      <c r="I226" s="1864">
        <f t="shared" si="188"/>
        <v>4.4044951717979206</v>
      </c>
      <c r="J226" s="1819">
        <f>($K$113/$G$113)*(J193/J$59)*100-0.2</f>
        <v>5.2065096124024643</v>
      </c>
      <c r="K226" s="249">
        <f t="shared" si="188"/>
        <v>5.2731713539487108</v>
      </c>
      <c r="L226" s="249">
        <f t="shared" si="188"/>
        <v>5.0110897526733496</v>
      </c>
      <c r="M226" s="249">
        <f t="shared" si="188"/>
        <v>5.0540510105263134</v>
      </c>
      <c r="N226" s="1867">
        <f t="shared" si="188"/>
        <v>5.0022180293669196</v>
      </c>
      <c r="O226" s="1864">
        <f t="shared" si="188"/>
        <v>4.9544867629730085</v>
      </c>
      <c r="P226" s="1819">
        <f t="shared" si="188"/>
        <v>4.5720924329603045</v>
      </c>
      <c r="Q226" s="249">
        <f t="shared" si="188"/>
        <v>4.7464830544024794</v>
      </c>
      <c r="R226" s="249">
        <f t="shared" si="188"/>
        <v>4.6901182801499441</v>
      </c>
      <c r="S226" s="1867">
        <f t="shared" si="188"/>
        <v>4.7326402863900432</v>
      </c>
      <c r="T226" s="1867">
        <f t="shared" si="188"/>
        <v>4.6567776110055297</v>
      </c>
      <c r="U226" s="1867">
        <f t="shared" si="188"/>
        <v>4.8205706530713801</v>
      </c>
      <c r="V226" s="249" t="e">
        <f t="shared" si="188"/>
        <v>#DIV/0!</v>
      </c>
      <c r="X226" s="1726" t="s">
        <v>135</v>
      </c>
      <c r="Y226" s="267">
        <f>AVERAGE(K226:N226)</f>
        <v>5.0851325366288238</v>
      </c>
      <c r="Z226" s="267">
        <f>AVERAGE(Q226:T226)</f>
        <v>4.7065048079869998</v>
      </c>
      <c r="AA226" s="231" t="s">
        <v>295</v>
      </c>
      <c r="AC226" s="916">
        <f>AVERAGE(H226:I226)</f>
        <v>4.4052381833756957</v>
      </c>
      <c r="AD226" s="916">
        <f>AVERAGE(M226:O226)</f>
        <v>5.0035852676220811</v>
      </c>
      <c r="AE226" s="916">
        <f>AVERAGE(R226:T226)</f>
        <v>4.6931787258485054</v>
      </c>
      <c r="AP226" s="249"/>
    </row>
    <row r="227" spans="3:113" x14ac:dyDescent="0.35">
      <c r="C227" s="444" t="s">
        <v>593</v>
      </c>
      <c r="F227" s="1819">
        <v>4.9000000000000004</v>
      </c>
      <c r="G227" s="249">
        <v>4.5</v>
      </c>
      <c r="H227" s="249">
        <v>4.4000000000000004</v>
      </c>
      <c r="I227" s="1864">
        <v>4.4000000000000004</v>
      </c>
      <c r="J227" s="1819">
        <v>5.5</v>
      </c>
      <c r="K227" s="249">
        <v>5.4</v>
      </c>
      <c r="L227" s="249">
        <v>5.3</v>
      </c>
      <c r="M227" s="249">
        <v>5.3</v>
      </c>
      <c r="N227" s="1867">
        <v>5.3</v>
      </c>
      <c r="O227" s="1864">
        <v>5.3</v>
      </c>
      <c r="P227" s="1819">
        <v>3.9</v>
      </c>
      <c r="Q227" s="249">
        <v>3.9</v>
      </c>
      <c r="R227" s="249">
        <v>3.9</v>
      </c>
      <c r="S227" s="1867">
        <v>3.9</v>
      </c>
      <c r="T227" s="1867">
        <v>3.9</v>
      </c>
      <c r="U227" s="1867">
        <v>3.9</v>
      </c>
      <c r="V227" s="249"/>
      <c r="X227" s="1726" t="s">
        <v>135</v>
      </c>
      <c r="Y227" s="267">
        <f>AVERAGE(K227:N227)</f>
        <v>5.3250000000000002</v>
      </c>
      <c r="Z227" s="267">
        <f>AVERAGE(Q227:T227)</f>
        <v>3.9</v>
      </c>
      <c r="AA227" s="231" t="s">
        <v>608</v>
      </c>
      <c r="AC227" s="459">
        <f>AVERAGE(H227:I227)</f>
        <v>4.4000000000000004</v>
      </c>
      <c r="AD227" s="459">
        <f>AVERAGE(M227:O227)</f>
        <v>5.3</v>
      </c>
      <c r="AE227" s="459">
        <f>AVERAGE(R227:T227)</f>
        <v>3.9</v>
      </c>
      <c r="AP227" s="249"/>
    </row>
    <row r="228" spans="3:113" x14ac:dyDescent="0.35">
      <c r="C228" s="1" t="s">
        <v>110</v>
      </c>
      <c r="F228" s="1819">
        <f t="shared" ref="F228:V228" si="189">($K$114/$G$114)*(F196/F$59)*100</f>
        <v>0.3195249321006598</v>
      </c>
      <c r="G228" s="249">
        <f t="shared" si="189"/>
        <v>0.32474481204506156</v>
      </c>
      <c r="H228" s="249">
        <f t="shared" si="189"/>
        <v>0.35873084341345679</v>
      </c>
      <c r="I228" s="1864">
        <f t="shared" si="189"/>
        <v>0.3276390589504552</v>
      </c>
      <c r="J228" s="1819">
        <f>($K$114/$G$114)*(J196/J$59)*100-0.2</f>
        <v>0.48740451146244906</v>
      </c>
      <c r="K228" s="249">
        <f t="shared" si="189"/>
        <v>0.44825446861686119</v>
      </c>
      <c r="L228" s="249">
        <f t="shared" si="189"/>
        <v>0.39374003490860859</v>
      </c>
      <c r="M228" s="249">
        <f t="shared" si="189"/>
        <v>0.40900913479976236</v>
      </c>
      <c r="N228" s="1867">
        <f t="shared" si="189"/>
        <v>0.34830312776472866</v>
      </c>
      <c r="O228" s="1864">
        <f t="shared" si="189"/>
        <v>0.3839648455813543</v>
      </c>
      <c r="P228" s="1819">
        <f t="shared" si="189"/>
        <v>0.45701403215894448</v>
      </c>
      <c r="Q228" s="249">
        <f t="shared" si="189"/>
        <v>0.40535973816623216</v>
      </c>
      <c r="R228" s="249">
        <f t="shared" si="189"/>
        <v>0.33157947805055943</v>
      </c>
      <c r="S228" s="1867">
        <f t="shared" si="189"/>
        <v>0.3643581166526923</v>
      </c>
      <c r="T228" s="1867">
        <f t="shared" si="189"/>
        <v>0.33788339941892431</v>
      </c>
      <c r="U228" s="1867">
        <f t="shared" si="189"/>
        <v>0.46732334300133738</v>
      </c>
      <c r="V228" s="249" t="e">
        <f t="shared" si="189"/>
        <v>#DIV/0!</v>
      </c>
      <c r="X228" s="1726" t="s">
        <v>136</v>
      </c>
      <c r="Y228" s="267">
        <f>AVERAGE(K228:N228)</f>
        <v>0.39982669152249017</v>
      </c>
      <c r="Z228" s="267">
        <f>AVERAGE(Q228:T228)</f>
        <v>0.35979518307210206</v>
      </c>
      <c r="AA228" s="231" t="s">
        <v>295</v>
      </c>
      <c r="AC228" s="916">
        <f>AVERAGE(G228:I228)</f>
        <v>0.33703823813632455</v>
      </c>
      <c r="AD228" s="916">
        <f>AVERAGE(M228:O228)</f>
        <v>0.38042570271528175</v>
      </c>
      <c r="AE228" s="916">
        <f>AVERAGE(R228:T228)</f>
        <v>0.34460699804072537</v>
      </c>
    </row>
    <row r="229" spans="3:113" x14ac:dyDescent="0.35">
      <c r="C229" s="444" t="s">
        <v>595</v>
      </c>
      <c r="F229" s="1819">
        <v>0.2</v>
      </c>
      <c r="G229" s="249">
        <v>0.2</v>
      </c>
      <c r="H229" s="249">
        <v>0.2</v>
      </c>
      <c r="I229" s="1864">
        <v>0.2</v>
      </c>
      <c r="J229" s="1819">
        <v>0.3</v>
      </c>
      <c r="K229" s="249">
        <v>0.3</v>
      </c>
      <c r="L229" s="249">
        <v>0.3</v>
      </c>
      <c r="M229" s="249">
        <v>0.3</v>
      </c>
      <c r="N229" s="1867">
        <v>0.3</v>
      </c>
      <c r="O229" s="1864">
        <v>0.3</v>
      </c>
      <c r="P229" s="1819">
        <v>0.3</v>
      </c>
      <c r="Q229" s="249">
        <v>0.3</v>
      </c>
      <c r="R229" s="249">
        <v>0.3</v>
      </c>
      <c r="S229" s="1867">
        <v>0.3</v>
      </c>
      <c r="T229" s="1867">
        <v>0.3</v>
      </c>
      <c r="U229" s="1867">
        <v>0.3</v>
      </c>
      <c r="V229" s="249"/>
      <c r="X229" s="1726" t="s">
        <v>136</v>
      </c>
      <c r="Y229" s="267">
        <f>AVERAGE(K229:N229)</f>
        <v>0.3</v>
      </c>
      <c r="Z229" s="267">
        <f>AVERAGE(Q229:T229)</f>
        <v>0.3</v>
      </c>
      <c r="AA229" s="231" t="s">
        <v>608</v>
      </c>
      <c r="AC229" s="459">
        <f>AVERAGE(G229:I229)</f>
        <v>0.20000000000000004</v>
      </c>
      <c r="AD229" s="459">
        <f>AVERAGE(M229:O229)</f>
        <v>0.3</v>
      </c>
      <c r="AE229" s="459">
        <f>AVERAGE(R229:T229)</f>
        <v>0.3</v>
      </c>
    </row>
    <row r="230" spans="3:113" x14ac:dyDescent="0.35">
      <c r="C230" s="1" t="s">
        <v>143</v>
      </c>
      <c r="F230" s="1871">
        <f t="shared" ref="F230:V230" si="190">((X$74+AP$74+BH$74)/F$59)*100</f>
        <v>0.15641090225563908</v>
      </c>
      <c r="G230" s="250">
        <f t="shared" si="190"/>
        <v>0.39992803652968034</v>
      </c>
      <c r="H230" s="250">
        <f t="shared" si="190"/>
        <v>0.67292130300925468</v>
      </c>
      <c r="I230" s="2157">
        <f t="shared" si="190"/>
        <v>0.44490859177425801</v>
      </c>
      <c r="J230" s="1871">
        <f t="shared" si="190"/>
        <v>1.1954407978448445</v>
      </c>
      <c r="K230" s="2202">
        <f>((AC$74+AU$74+BM$74)/K$59)*100</f>
        <v>0.70111596398134746</v>
      </c>
      <c r="L230" s="250">
        <f t="shared" si="190"/>
        <v>0.4113286389380858</v>
      </c>
      <c r="M230" s="250">
        <f t="shared" si="190"/>
        <v>0.53923048266539442</v>
      </c>
      <c r="N230" s="2158">
        <f t="shared" si="190"/>
        <v>0.27135240553954532</v>
      </c>
      <c r="O230" s="2157">
        <f t="shared" si="190"/>
        <v>0.27632973933649291</v>
      </c>
      <c r="P230" s="1871">
        <f t="shared" si="190"/>
        <v>0.57175495495495499</v>
      </c>
      <c r="Q230" s="250">
        <f t="shared" si="190"/>
        <v>0.80044048487683195</v>
      </c>
      <c r="R230" s="250">
        <f t="shared" si="190"/>
        <v>0.31124495526100837</v>
      </c>
      <c r="S230" s="2158">
        <f t="shared" si="190"/>
        <v>0.71143896658896666</v>
      </c>
      <c r="T230" s="2158">
        <f t="shared" si="190"/>
        <v>0.35663563559494282</v>
      </c>
      <c r="U230" s="2158">
        <f t="shared" si="190"/>
        <v>0.58763752428531768</v>
      </c>
      <c r="V230" s="250" t="e">
        <f t="shared" si="190"/>
        <v>#DIV/0!</v>
      </c>
    </row>
    <row r="231" spans="3:113" x14ac:dyDescent="0.35">
      <c r="C231" s="1" t="s">
        <v>113</v>
      </c>
      <c r="F231" s="1871">
        <f t="shared" ref="F231:V231" si="191">((X$75+AP$75+BH$75)/F$59)*100</f>
        <v>1.0093706766917292</v>
      </c>
      <c r="G231" s="250">
        <f t="shared" si="191"/>
        <v>0.84257994419076632</v>
      </c>
      <c r="H231" s="250">
        <f t="shared" si="191"/>
        <v>1.7099470313499503</v>
      </c>
      <c r="I231" s="2157">
        <f t="shared" si="191"/>
        <v>1.1546994542792492</v>
      </c>
      <c r="J231" s="1871">
        <f t="shared" si="191"/>
        <v>5.1091603418624985</v>
      </c>
      <c r="K231" s="250">
        <f t="shared" si="191"/>
        <v>2.2237111468885673</v>
      </c>
      <c r="L231" s="250">
        <f t="shared" si="191"/>
        <v>2.6387099981551181</v>
      </c>
      <c r="M231" s="250">
        <f t="shared" si="191"/>
        <v>2.3458067604961834</v>
      </c>
      <c r="N231" s="2158">
        <f t="shared" si="191"/>
        <v>2.2641407500800517</v>
      </c>
      <c r="O231" s="2157">
        <f t="shared" si="191"/>
        <v>2.3716651658767773</v>
      </c>
      <c r="P231" s="1871">
        <f t="shared" si="191"/>
        <v>2.9428882882882879</v>
      </c>
      <c r="Q231" s="250">
        <f t="shared" si="191"/>
        <v>2.6970190056906769</v>
      </c>
      <c r="R231" s="250">
        <f t="shared" si="191"/>
        <v>2.4617615003341502</v>
      </c>
      <c r="S231" s="2158">
        <f t="shared" si="191"/>
        <v>2.9399423853923854</v>
      </c>
      <c r="T231" s="2158">
        <f t="shared" si="191"/>
        <v>3.0104879060124397</v>
      </c>
      <c r="U231" s="2158">
        <f t="shared" si="191"/>
        <v>2.838640537647199</v>
      </c>
      <c r="V231" s="250" t="e">
        <f t="shared" si="191"/>
        <v>#DIV/0!</v>
      </c>
    </row>
    <row r="232" spans="3:113" x14ac:dyDescent="0.35">
      <c r="C232" s="1" t="s">
        <v>114</v>
      </c>
      <c r="F232" s="1871">
        <f t="shared" ref="F232:V232" si="192">((X$76+AP$76+BH$76)/F$59)*100</f>
        <v>2.7187406015037592</v>
      </c>
      <c r="G232" s="250">
        <f t="shared" si="192"/>
        <v>2.556306433282598</v>
      </c>
      <c r="H232" s="250">
        <f t="shared" si="192"/>
        <v>3.9874092827700194</v>
      </c>
      <c r="I232" s="2157">
        <f t="shared" si="192"/>
        <v>2.9991200252894981</v>
      </c>
      <c r="J232" s="1871">
        <f t="shared" si="192"/>
        <v>12.070269009205134</v>
      </c>
      <c r="K232" s="250">
        <f t="shared" si="192"/>
        <v>7.1976013862357284</v>
      </c>
      <c r="L232" s="250">
        <f t="shared" si="192"/>
        <v>8.162280073057337</v>
      </c>
      <c r="M232" s="250">
        <f t="shared" si="192"/>
        <v>7.7800309983301519</v>
      </c>
      <c r="N232" s="2158">
        <f t="shared" si="192"/>
        <v>8.0871443924111439</v>
      </c>
      <c r="O232" s="2157">
        <f t="shared" si="192"/>
        <v>7.623983590047394</v>
      </c>
      <c r="P232" s="1871">
        <f t="shared" si="192"/>
        <v>8.3769819819819826</v>
      </c>
      <c r="Q232" s="250">
        <f t="shared" si="192"/>
        <v>7.8146531992516381</v>
      </c>
      <c r="R232" s="250">
        <f t="shared" si="192"/>
        <v>8.5326991998960438</v>
      </c>
      <c r="S232" s="2158">
        <f t="shared" si="192"/>
        <v>9.0409014763014781</v>
      </c>
      <c r="T232" s="2158">
        <f t="shared" si="192"/>
        <v>9.5535597382007396</v>
      </c>
      <c r="U232" s="2158">
        <f t="shared" si="192"/>
        <v>7.3456989413583917</v>
      </c>
      <c r="V232" s="250" t="e">
        <f t="shared" si="192"/>
        <v>#DIV/0!</v>
      </c>
    </row>
    <row r="233" spans="3:113" x14ac:dyDescent="0.35">
      <c r="C233" s="1" t="s">
        <v>115</v>
      </c>
      <c r="F233" s="1871">
        <f t="shared" ref="F233:V233" si="193">((X$77+AP$77+BH$77)/F$59)*100</f>
        <v>6.2534778195488725</v>
      </c>
      <c r="G233" s="250">
        <f t="shared" si="193"/>
        <v>5.9571950938609852</v>
      </c>
      <c r="H233" s="250">
        <f t="shared" si="193"/>
        <v>7.1993650464332868</v>
      </c>
      <c r="I233" s="2157">
        <f t="shared" si="193"/>
        <v>6.5850088180487152</v>
      </c>
      <c r="J233" s="1871">
        <f t="shared" si="193"/>
        <v>17.502404419658827</v>
      </c>
      <c r="K233" s="250">
        <f t="shared" si="193"/>
        <v>12.655975948464379</v>
      </c>
      <c r="L233" s="250">
        <f t="shared" si="193"/>
        <v>13.543127478322633</v>
      </c>
      <c r="M233" s="250">
        <f t="shared" si="193"/>
        <v>13.159608033555978</v>
      </c>
      <c r="N233" s="2158">
        <f t="shared" si="193"/>
        <v>13.156124739833494</v>
      </c>
      <c r="O233" s="2157">
        <f t="shared" si="193"/>
        <v>12.392300533175355</v>
      </c>
      <c r="P233" s="1871">
        <f t="shared" si="193"/>
        <v>13.499231531531533</v>
      </c>
      <c r="Q233" s="250">
        <f t="shared" si="193"/>
        <v>12.986675176177116</v>
      </c>
      <c r="R233" s="250">
        <f t="shared" si="193"/>
        <v>13.967121356835227</v>
      </c>
      <c r="S233" s="2158">
        <f t="shared" si="193"/>
        <v>13.976083139083141</v>
      </c>
      <c r="T233" s="2158">
        <f t="shared" si="193"/>
        <v>14.799947965364446</v>
      </c>
      <c r="U233" s="2158">
        <f t="shared" si="193"/>
        <v>11.640968062329012</v>
      </c>
      <c r="V233" s="250" t="e">
        <f t="shared" si="193"/>
        <v>#DIV/0!</v>
      </c>
    </row>
    <row r="234" spans="3:113" x14ac:dyDescent="0.35">
      <c r="C234" s="1" t="s">
        <v>116</v>
      </c>
      <c r="F234" s="1871">
        <f t="shared" ref="F234:V234" si="194">((X$78+AP$78+BH$78)/F$59)*100</f>
        <v>15.357778947368422</v>
      </c>
      <c r="G234" s="250">
        <f t="shared" si="194"/>
        <v>14.463657042110603</v>
      </c>
      <c r="H234" s="250">
        <f t="shared" si="194"/>
        <v>15.431886892146176</v>
      </c>
      <c r="I234" s="2157">
        <f t="shared" si="194"/>
        <v>15.044161153999735</v>
      </c>
      <c r="J234" s="1871">
        <f t="shared" si="194"/>
        <v>23.381345617618987</v>
      </c>
      <c r="K234" s="250">
        <f t="shared" si="194"/>
        <v>19.625456381813791</v>
      </c>
      <c r="L234" s="250">
        <f t="shared" si="194"/>
        <v>20.733017439026643</v>
      </c>
      <c r="M234" s="250">
        <f t="shared" si="194"/>
        <v>20.72446019640585</v>
      </c>
      <c r="N234" s="2158">
        <f t="shared" si="194"/>
        <v>20.467481268011532</v>
      </c>
      <c r="O234" s="2157">
        <f t="shared" si="194"/>
        <v>19.51074739336493</v>
      </c>
      <c r="P234" s="1871">
        <f t="shared" si="194"/>
        <v>19.178603603603605</v>
      </c>
      <c r="Q234" s="250">
        <f t="shared" si="194"/>
        <v>18.443990476301838</v>
      </c>
      <c r="R234" s="250">
        <f t="shared" si="194"/>
        <v>20.432096518341133</v>
      </c>
      <c r="S234" s="2158">
        <f t="shared" si="194"/>
        <v>20.194005361305358</v>
      </c>
      <c r="T234" s="2158">
        <f t="shared" si="194"/>
        <v>21.604306516525064</v>
      </c>
      <c r="U234" s="2158">
        <f t="shared" si="194"/>
        <v>16.276699199080131</v>
      </c>
      <c r="V234" s="250" t="e">
        <f t="shared" si="194"/>
        <v>#DIV/0!</v>
      </c>
    </row>
    <row r="235" spans="3:113" x14ac:dyDescent="0.35">
      <c r="C235" s="1" t="s">
        <v>111</v>
      </c>
      <c r="F235" s="1871">
        <f t="shared" ref="F235:V235" si="195">((X$79+AP$79+BH$79)/F$59)*100</f>
        <v>12.089130075187967</v>
      </c>
      <c r="G235" s="250">
        <f t="shared" si="195"/>
        <v>10.454798964992387</v>
      </c>
      <c r="H235" s="250">
        <f t="shared" si="195"/>
        <v>11.133356399930813</v>
      </c>
      <c r="I235" s="2157">
        <f t="shared" si="195"/>
        <v>10.970137894316519</v>
      </c>
      <c r="J235" s="1871">
        <f t="shared" si="195"/>
        <v>10.960439841047357</v>
      </c>
      <c r="K235" s="250">
        <f t="shared" si="195"/>
        <v>10.49483813595433</v>
      </c>
      <c r="L235" s="250">
        <f t="shared" si="195"/>
        <v>11.475701915541286</v>
      </c>
      <c r="M235" s="250">
        <f t="shared" si="195"/>
        <v>11.223589937579515</v>
      </c>
      <c r="N235" s="2158">
        <f t="shared" si="195"/>
        <v>11.138098903298111</v>
      </c>
      <c r="O235" s="2157">
        <f t="shared" si="195"/>
        <v>10.816914988151657</v>
      </c>
      <c r="P235" s="1871">
        <f t="shared" si="195"/>
        <v>10.015787387387387</v>
      </c>
      <c r="Q235" s="250">
        <f t="shared" si="195"/>
        <v>9.5251279946211422</v>
      </c>
      <c r="R235" s="250">
        <f t="shared" si="195"/>
        <v>10.404029484109307</v>
      </c>
      <c r="S235" s="2158">
        <f t="shared" si="195"/>
        <v>10.191581468531469</v>
      </c>
      <c r="T235" s="2158">
        <f t="shared" si="195"/>
        <v>10.869157282816376</v>
      </c>
      <c r="U235" s="2158">
        <f t="shared" si="195"/>
        <v>8.5428826573093861</v>
      </c>
      <c r="V235" s="250" t="e">
        <f t="shared" si="195"/>
        <v>#DIV/0!</v>
      </c>
    </row>
    <row r="236" spans="3:113" x14ac:dyDescent="0.35">
      <c r="C236" s="1" t="s">
        <v>112</v>
      </c>
      <c r="F236" s="1871">
        <f t="shared" ref="F236:V236" si="196">((X$80+AP$80+BH$80)/F$59)*100</f>
        <v>54.463963157894725</v>
      </c>
      <c r="G236" s="250">
        <f t="shared" si="196"/>
        <v>56.080988569254188</v>
      </c>
      <c r="H236" s="250">
        <f t="shared" si="196"/>
        <v>54.075389053077195</v>
      </c>
      <c r="I236" s="2157">
        <f t="shared" si="196"/>
        <v>53.964781844802346</v>
      </c>
      <c r="J236" s="1871">
        <f t="shared" si="196"/>
        <v>29.809768156785545</v>
      </c>
      <c r="K236" s="250">
        <f t="shared" si="196"/>
        <v>34.53699005418877</v>
      </c>
      <c r="L236" s="250">
        <f t="shared" si="196"/>
        <v>32.998872240148316</v>
      </c>
      <c r="M236" s="250">
        <f t="shared" si="196"/>
        <v>33.713477471374041</v>
      </c>
      <c r="N236" s="2158">
        <f t="shared" si="196"/>
        <v>34.879426352865842</v>
      </c>
      <c r="O236" s="2157">
        <f t="shared" si="196"/>
        <v>35.438153376777251</v>
      </c>
      <c r="P236" s="1871">
        <f t="shared" si="196"/>
        <v>32.892229729729735</v>
      </c>
      <c r="Q236" s="250">
        <f t="shared" si="196"/>
        <v>34.983457866386033</v>
      </c>
      <c r="R236" s="250">
        <f t="shared" si="196"/>
        <v>32.818146561966294</v>
      </c>
      <c r="S236" s="2158">
        <f t="shared" si="196"/>
        <v>30.44121037296037</v>
      </c>
      <c r="T236" s="2158">
        <f t="shared" si="196"/>
        <v>30.606343997723478</v>
      </c>
      <c r="U236" s="2158">
        <f t="shared" si="196"/>
        <v>30.715413286546923</v>
      </c>
      <c r="V236" s="250" t="e">
        <f t="shared" si="196"/>
        <v>#DIV/0!</v>
      </c>
    </row>
    <row r="237" spans="3:113" s="368" customFormat="1" ht="15" thickBot="1" x14ac:dyDescent="0.4">
      <c r="C237" s="458" t="s">
        <v>284</v>
      </c>
      <c r="D237" s="458"/>
      <c r="E237" s="458"/>
      <c r="F237" s="2203">
        <v>54</v>
      </c>
      <c r="G237" s="2204">
        <v>54</v>
      </c>
      <c r="H237" s="2204">
        <v>54.4</v>
      </c>
      <c r="I237" s="2205">
        <v>54.4</v>
      </c>
      <c r="J237" s="2203">
        <v>31</v>
      </c>
      <c r="K237" s="2204">
        <v>31.3</v>
      </c>
      <c r="L237" s="2204">
        <v>31.3</v>
      </c>
      <c r="M237" s="2204">
        <v>30</v>
      </c>
      <c r="N237" s="2206">
        <v>30.9</v>
      </c>
      <c r="O237" s="2205">
        <v>30</v>
      </c>
      <c r="P237" s="2203">
        <v>32</v>
      </c>
      <c r="Q237" s="2204">
        <v>33.200000000000003</v>
      </c>
      <c r="R237" s="2204">
        <v>32</v>
      </c>
      <c r="S237" s="2206">
        <v>29.9</v>
      </c>
      <c r="T237" s="2206">
        <v>29</v>
      </c>
      <c r="U237" s="2206">
        <v>30.4</v>
      </c>
      <c r="V237" s="365"/>
      <c r="W237" s="1803"/>
      <c r="X237" s="1800"/>
      <c r="Y237" s="365"/>
      <c r="Z237" s="365"/>
      <c r="AA237" s="1804"/>
      <c r="AB237" s="1800"/>
      <c r="AC237" s="365"/>
      <c r="AD237" s="365"/>
      <c r="AE237" s="365"/>
      <c r="AF237" s="365"/>
      <c r="AG237" s="1804"/>
      <c r="AH237" s="1800"/>
      <c r="AI237" s="365"/>
      <c r="AJ237" s="365"/>
      <c r="AK237" s="365"/>
      <c r="AL237" s="365"/>
      <c r="AM237" s="365"/>
      <c r="AN237" s="365"/>
      <c r="AO237" s="366"/>
      <c r="AP237" s="365"/>
      <c r="AQ237" s="365"/>
      <c r="AR237" s="365"/>
      <c r="AS237" s="1804"/>
      <c r="AT237" s="1800"/>
      <c r="AU237" s="365"/>
      <c r="AV237" s="365"/>
      <c r="AW237" s="365"/>
      <c r="AX237" s="365"/>
      <c r="AY237" s="1804"/>
      <c r="AZ237" s="1800"/>
      <c r="BA237" s="365"/>
      <c r="BB237" s="365"/>
      <c r="BC237" s="365"/>
      <c r="BD237" s="365"/>
      <c r="BE237" s="365"/>
      <c r="BF237" s="365"/>
      <c r="BG237" s="366"/>
      <c r="BH237" s="365"/>
      <c r="BI237" s="365"/>
      <c r="BJ237" s="365"/>
      <c r="BK237" s="1804"/>
      <c r="BL237" s="1800"/>
      <c r="BM237" s="365"/>
      <c r="BN237" s="365"/>
      <c r="BO237" s="365"/>
      <c r="BP237" s="365"/>
      <c r="BQ237" s="1804"/>
      <c r="BR237" s="1800"/>
      <c r="BS237" s="365"/>
      <c r="BT237" s="365"/>
      <c r="BU237" s="365"/>
      <c r="BV237" s="365"/>
      <c r="BW237" s="365"/>
      <c r="BX237" s="365"/>
      <c r="BY237" s="366"/>
      <c r="BZ237" s="367"/>
      <c r="CA237" s="365"/>
      <c r="CB237" s="365"/>
      <c r="CC237" s="365"/>
      <c r="CD237" s="1804"/>
      <c r="CE237" s="1800"/>
      <c r="CF237" s="365"/>
      <c r="CG237" s="365"/>
      <c r="CH237" s="365"/>
      <c r="CI237" s="365"/>
      <c r="CJ237" s="1804"/>
      <c r="CK237" s="1800"/>
      <c r="CL237" s="365"/>
      <c r="CM237" s="365"/>
      <c r="CN237" s="365"/>
      <c r="CO237" s="365"/>
      <c r="CP237" s="365"/>
      <c r="CQ237" s="365"/>
      <c r="CR237" s="366"/>
      <c r="CS237" s="365"/>
      <c r="CT237" s="365"/>
      <c r="CU237" s="365"/>
      <c r="CV237" s="1804"/>
      <c r="CW237" s="1800"/>
      <c r="CX237" s="365"/>
      <c r="CY237" s="365"/>
      <c r="CZ237" s="365"/>
      <c r="DA237" s="365"/>
      <c r="DB237" s="1804"/>
      <c r="DC237" s="1800"/>
      <c r="DD237" s="365"/>
      <c r="DE237" s="365"/>
      <c r="DF237" s="365"/>
      <c r="DG237" s="365"/>
      <c r="DH237" s="365"/>
      <c r="DI237" s="365"/>
    </row>
    <row r="238" spans="3:113" ht="6.75" customHeight="1" thickTop="1" x14ac:dyDescent="0.35">
      <c r="F238" s="1835"/>
      <c r="G238" s="314"/>
      <c r="H238" s="314"/>
      <c r="I238" s="2182"/>
      <c r="J238" s="1835"/>
      <c r="K238" s="314"/>
      <c r="L238" s="314"/>
      <c r="M238" s="314"/>
      <c r="N238" s="2183"/>
      <c r="O238" s="2182"/>
      <c r="P238" s="1835"/>
      <c r="Q238" s="314"/>
      <c r="R238" s="314"/>
      <c r="S238" s="2183"/>
      <c r="T238" s="2183"/>
      <c r="U238" s="2183"/>
      <c r="V238" s="229"/>
      <c r="W238" s="1796"/>
      <c r="X238" s="1774"/>
      <c r="Y238" s="229"/>
      <c r="Z238" s="229"/>
      <c r="AA238" s="1773"/>
      <c r="AB238" s="1774"/>
      <c r="AC238" s="229"/>
      <c r="AD238" s="229"/>
      <c r="AE238" s="229"/>
      <c r="AF238" s="229"/>
      <c r="AG238" s="1773"/>
      <c r="AH238" s="1774"/>
      <c r="AI238" s="229"/>
      <c r="AJ238" s="229"/>
      <c r="AK238" s="229"/>
      <c r="AL238" s="229"/>
      <c r="AM238" s="229"/>
      <c r="AN238" s="229"/>
      <c r="AO238" s="356"/>
      <c r="AP238" s="229"/>
      <c r="AQ238" s="229"/>
      <c r="AR238" s="229"/>
      <c r="AS238" s="1773"/>
      <c r="AT238" s="1774"/>
      <c r="AU238" s="229"/>
      <c r="AV238" s="229"/>
      <c r="AW238" s="229"/>
      <c r="AX238" s="229"/>
      <c r="AY238" s="1773"/>
      <c r="AZ238" s="1774"/>
      <c r="BA238" s="229"/>
      <c r="BB238" s="229"/>
      <c r="BC238" s="229"/>
      <c r="BD238" s="229"/>
      <c r="BE238" s="229"/>
      <c r="BF238" s="229"/>
      <c r="BG238" s="356"/>
      <c r="BH238" s="229"/>
      <c r="BI238" s="229"/>
      <c r="BJ238" s="229"/>
      <c r="BK238" s="1773"/>
      <c r="BL238" s="1774"/>
      <c r="BM238" s="229"/>
      <c r="BN238" s="229"/>
      <c r="BO238" s="229"/>
      <c r="BP238" s="229"/>
      <c r="BQ238" s="1773"/>
      <c r="BR238" s="1774"/>
      <c r="BS238" s="229"/>
      <c r="BT238" s="229"/>
      <c r="BU238" s="229"/>
      <c r="BV238" s="229"/>
      <c r="BW238" s="229"/>
      <c r="BX238" s="229"/>
      <c r="BY238" s="356"/>
      <c r="BZ238" s="358"/>
      <c r="CA238" s="229"/>
      <c r="CB238" s="229"/>
      <c r="CC238" s="229"/>
      <c r="CD238" s="1773"/>
      <c r="CE238" s="1774"/>
      <c r="CF238" s="229"/>
      <c r="CG238" s="229"/>
      <c r="CH238" s="229"/>
      <c r="CI238" s="229"/>
      <c r="CJ238" s="1773"/>
      <c r="CK238" s="1774"/>
      <c r="CL238" s="229"/>
      <c r="CM238" s="229"/>
      <c r="CN238" s="229"/>
      <c r="CO238" s="229"/>
      <c r="CP238" s="229"/>
      <c r="CQ238" s="229"/>
      <c r="CR238" s="356"/>
      <c r="CS238" s="229"/>
      <c r="CT238" s="229"/>
      <c r="CU238" s="229"/>
      <c r="CV238" s="1773"/>
      <c r="CW238" s="1774"/>
      <c r="CX238" s="229"/>
      <c r="CY238" s="229"/>
      <c r="CZ238" s="229"/>
      <c r="DA238" s="229"/>
      <c r="DB238" s="1773"/>
      <c r="DC238" s="1774"/>
      <c r="DD238" s="229"/>
      <c r="DE238" s="229"/>
      <c r="DF238" s="229"/>
      <c r="DG238" s="229"/>
      <c r="DH238" s="229"/>
      <c r="DI238" s="229"/>
    </row>
    <row r="239" spans="3:113" x14ac:dyDescent="0.35">
      <c r="C239" s="1" t="s">
        <v>221</v>
      </c>
      <c r="F239" s="603">
        <f>F212+F215+F218+F221</f>
        <v>2.0339672932330823</v>
      </c>
      <c r="G239" s="250">
        <f t="shared" ref="G239:U239" si="197">G212+G215+G218+G221</f>
        <v>0.93375078640284115</v>
      </c>
      <c r="H239" s="250">
        <f t="shared" si="197"/>
        <v>1.2399304090950274</v>
      </c>
      <c r="I239" s="2207">
        <f t="shared" si="197"/>
        <v>1.2487003194462931</v>
      </c>
      <c r="J239" s="603">
        <f t="shared" si="197"/>
        <v>4.3088890007223606</v>
      </c>
      <c r="K239" s="250">
        <f t="shared" si="197"/>
        <v>3.180243189553519</v>
      </c>
      <c r="L239" s="250">
        <f t="shared" si="197"/>
        <v>2.9007851849801978</v>
      </c>
      <c r="M239" s="250">
        <f t="shared" si="197"/>
        <v>2.8609204022874253</v>
      </c>
      <c r="N239" s="2158">
        <f t="shared" si="197"/>
        <v>3.0272150476304835</v>
      </c>
      <c r="O239" s="2207">
        <f t="shared" si="197"/>
        <v>2.9365908191811481</v>
      </c>
      <c r="P239" s="603">
        <f t="shared" si="197"/>
        <v>3.3669171171171177</v>
      </c>
      <c r="Q239" s="250">
        <f t="shared" si="197"/>
        <v>3.7391201197250812</v>
      </c>
      <c r="R239" s="250">
        <f t="shared" si="197"/>
        <v>3.5043154825994405</v>
      </c>
      <c r="S239" s="2158">
        <f t="shared" si="197"/>
        <v>3.4293931154493658</v>
      </c>
      <c r="T239" s="2158">
        <f t="shared" si="197"/>
        <v>3.2273137029057186</v>
      </c>
      <c r="U239" s="2207">
        <f t="shared" si="197"/>
        <v>3.1992408657467983</v>
      </c>
      <c r="V239" s="250" t="e">
        <f>SUM(V$212:V$221)</f>
        <v>#DIV/0!</v>
      </c>
      <c r="AC239" s="947" t="s">
        <v>872</v>
      </c>
      <c r="AD239" s="947" t="s">
        <v>832</v>
      </c>
      <c r="AE239" s="947" t="s">
        <v>833</v>
      </c>
    </row>
    <row r="240" spans="3:113" x14ac:dyDescent="0.35">
      <c r="C240" s="1" t="s">
        <v>229</v>
      </c>
      <c r="F240" s="603">
        <f t="shared" ref="F240:V240" si="198">F$239/F$137</f>
        <v>2.0647068812202307</v>
      </c>
      <c r="G240" s="250">
        <f t="shared" si="198"/>
        <v>0.95894702192561521</v>
      </c>
      <c r="H240" s="250">
        <f t="shared" si="198"/>
        <v>1.2466702579060671</v>
      </c>
      <c r="I240" s="1698">
        <f t="shared" si="198"/>
        <v>1.3112610227983013</v>
      </c>
      <c r="J240" s="1871">
        <f t="shared" si="198"/>
        <v>3.9715540890735079</v>
      </c>
      <c r="K240" s="250">
        <f t="shared" si="198"/>
        <v>3.3804224996417647</v>
      </c>
      <c r="L240" s="250">
        <f t="shared" si="198"/>
        <v>3.019385294061538</v>
      </c>
      <c r="M240" s="250">
        <f t="shared" si="198"/>
        <v>2.9775989185061986</v>
      </c>
      <c r="N240" s="2158">
        <f t="shared" si="198"/>
        <v>3.1152367746875638</v>
      </c>
      <c r="O240" s="2157">
        <f t="shared" si="198"/>
        <v>3.0880012041213414</v>
      </c>
      <c r="P240" s="1871">
        <f t="shared" si="198"/>
        <v>3.5661328899180895</v>
      </c>
      <c r="Q240" s="250">
        <f t="shared" si="198"/>
        <v>3.9748063348098959</v>
      </c>
      <c r="R240" s="250">
        <f t="shared" si="198"/>
        <v>3.6690019009425954</v>
      </c>
      <c r="S240" s="2158">
        <f t="shared" si="198"/>
        <v>3.6565880511030353</v>
      </c>
      <c r="T240" s="2158">
        <f t="shared" si="198"/>
        <v>3.3120378895696954</v>
      </c>
      <c r="U240" s="2158">
        <f t="shared" si="198"/>
        <v>3.7896836077903671</v>
      </c>
      <c r="V240" s="250" t="e">
        <f t="shared" si="198"/>
        <v>#DIV/0!</v>
      </c>
      <c r="X240" s="1726" t="s">
        <v>869</v>
      </c>
      <c r="Y240" s="267">
        <f>AVERAGE(K240:N240)</f>
        <v>3.1231608717242665</v>
      </c>
      <c r="Z240" s="267">
        <f>AVERAGE(Q240:T240)</f>
        <v>3.6531085441063054</v>
      </c>
      <c r="AA240" s="231" t="s">
        <v>295</v>
      </c>
      <c r="AC240" s="267">
        <f>AVERAGE(H240:I240)</f>
        <v>1.2789656403521841</v>
      </c>
      <c r="AD240" s="267">
        <f>AVERAGE(M240:O240)</f>
        <v>3.0602789657717011</v>
      </c>
      <c r="AE240" s="916">
        <f>AVERAGE(R240:T240)</f>
        <v>3.5458759472051091</v>
      </c>
    </row>
    <row r="241" spans="3:113" x14ac:dyDescent="0.35">
      <c r="C241" s="444" t="s">
        <v>245</v>
      </c>
      <c r="D241" s="444"/>
      <c r="E241" s="444"/>
      <c r="F241" s="2163">
        <v>1.6</v>
      </c>
      <c r="G241" s="445">
        <v>1.7</v>
      </c>
      <c r="H241" s="445">
        <v>1.6</v>
      </c>
      <c r="I241" s="2157">
        <v>1.7</v>
      </c>
      <c r="J241" s="2163">
        <v>3.5</v>
      </c>
      <c r="K241" s="445">
        <v>3.6</v>
      </c>
      <c r="L241" s="445">
        <v>4.0999999999999996</v>
      </c>
      <c r="M241" s="445">
        <v>3.5</v>
      </c>
      <c r="N241" s="2158">
        <v>4.0999999999999996</v>
      </c>
      <c r="O241" s="2157">
        <v>3.8</v>
      </c>
      <c r="P241" s="2163">
        <v>4</v>
      </c>
      <c r="Q241" s="445">
        <v>3.8</v>
      </c>
      <c r="R241" s="445">
        <v>3.8</v>
      </c>
      <c r="S241" s="445">
        <v>4.05</v>
      </c>
      <c r="T241" s="445">
        <v>4.09</v>
      </c>
      <c r="U241" s="445">
        <v>4.0999999999999996</v>
      </c>
      <c r="X241" s="1726" t="s">
        <v>869</v>
      </c>
      <c r="Y241" s="267">
        <f>AVERAGE(K241:N241)</f>
        <v>3.8249999999999997</v>
      </c>
      <c r="Z241" s="267">
        <f>AVERAGE(Q241:T241)</f>
        <v>3.9349999999999996</v>
      </c>
      <c r="AA241" s="231" t="s">
        <v>608</v>
      </c>
      <c r="AC241" s="267">
        <f>AVERAGE(H241:I241)</f>
        <v>1.65</v>
      </c>
      <c r="AD241" s="459">
        <f>AVERAGE(M241:O241)</f>
        <v>3.7999999999999994</v>
      </c>
      <c r="AE241" s="459">
        <f>AVERAGE(R241:T241)</f>
        <v>3.98</v>
      </c>
    </row>
    <row r="242" spans="3:113" x14ac:dyDescent="0.35">
      <c r="C242" s="415">
        <v>0.05</v>
      </c>
      <c r="D242" s="415"/>
      <c r="E242" s="415"/>
      <c r="F242" s="1871">
        <f>F$241+$C$242*F$241</f>
        <v>1.6800000000000002</v>
      </c>
      <c r="G242" s="250">
        <f t="shared" ref="G242:U242" si="199">G$241+$C$242*G$241</f>
        <v>1.7849999999999999</v>
      </c>
      <c r="H242" s="250">
        <f t="shared" si="199"/>
        <v>1.6800000000000002</v>
      </c>
      <c r="I242" s="2157">
        <f t="shared" si="199"/>
        <v>1.7849999999999999</v>
      </c>
      <c r="J242" s="1871">
        <f t="shared" si="199"/>
        <v>3.6749999999999998</v>
      </c>
      <c r="K242" s="250">
        <f t="shared" si="199"/>
        <v>3.7800000000000002</v>
      </c>
      <c r="L242" s="250">
        <f t="shared" si="199"/>
        <v>4.3049999999999997</v>
      </c>
      <c r="M242" s="250">
        <f t="shared" si="199"/>
        <v>3.6749999999999998</v>
      </c>
      <c r="N242" s="2158">
        <f t="shared" si="199"/>
        <v>4.3049999999999997</v>
      </c>
      <c r="O242" s="2157">
        <f t="shared" si="199"/>
        <v>3.9899999999999998</v>
      </c>
      <c r="P242" s="1871">
        <f t="shared" si="199"/>
        <v>4.2</v>
      </c>
      <c r="Q242" s="250">
        <f t="shared" si="199"/>
        <v>3.9899999999999998</v>
      </c>
      <c r="R242" s="250">
        <f t="shared" si="199"/>
        <v>3.9899999999999998</v>
      </c>
      <c r="S242" s="2158">
        <f t="shared" si="199"/>
        <v>4.2524999999999995</v>
      </c>
      <c r="T242" s="2158">
        <f t="shared" si="199"/>
        <v>4.2945000000000002</v>
      </c>
      <c r="U242" s="2158">
        <f t="shared" si="199"/>
        <v>4.3049999999999997</v>
      </c>
    </row>
    <row r="243" spans="3:113" s="368" customFormat="1" ht="15" thickBot="1" x14ac:dyDescent="0.4">
      <c r="C243" s="413">
        <v>-0.05</v>
      </c>
      <c r="D243" s="413"/>
      <c r="E243" s="413"/>
      <c r="F243" s="2208">
        <f>F$241+$C$243*F$241</f>
        <v>1.52</v>
      </c>
      <c r="G243" s="372">
        <f t="shared" ref="G243:U243" si="200">G$241+$C$243*G$241</f>
        <v>1.615</v>
      </c>
      <c r="H243" s="372">
        <f t="shared" si="200"/>
        <v>1.52</v>
      </c>
      <c r="I243" s="2205">
        <f t="shared" si="200"/>
        <v>1.615</v>
      </c>
      <c r="J243" s="2208">
        <f t="shared" si="200"/>
        <v>3.3250000000000002</v>
      </c>
      <c r="K243" s="372">
        <f t="shared" si="200"/>
        <v>3.42</v>
      </c>
      <c r="L243" s="372">
        <f t="shared" si="200"/>
        <v>3.8949999999999996</v>
      </c>
      <c r="M243" s="372">
        <f t="shared" si="200"/>
        <v>3.3250000000000002</v>
      </c>
      <c r="N243" s="2206">
        <f t="shared" si="200"/>
        <v>3.8949999999999996</v>
      </c>
      <c r="O243" s="2205">
        <f t="shared" si="200"/>
        <v>3.61</v>
      </c>
      <c r="P243" s="2208">
        <f t="shared" si="200"/>
        <v>3.8</v>
      </c>
      <c r="Q243" s="372">
        <f t="shared" si="200"/>
        <v>3.61</v>
      </c>
      <c r="R243" s="372">
        <f t="shared" si="200"/>
        <v>3.61</v>
      </c>
      <c r="S243" s="2206">
        <f t="shared" si="200"/>
        <v>3.8474999999999997</v>
      </c>
      <c r="T243" s="2206">
        <f t="shared" si="200"/>
        <v>3.8855</v>
      </c>
      <c r="U243" s="2206">
        <f t="shared" si="200"/>
        <v>3.8949999999999996</v>
      </c>
      <c r="V243" s="365"/>
      <c r="W243" s="1803"/>
      <c r="X243" s="1800"/>
      <c r="Y243" s="365"/>
      <c r="Z243" s="365"/>
      <c r="AA243" s="1804"/>
      <c r="AB243" s="1800"/>
      <c r="AC243" s="365"/>
      <c r="AD243" s="365"/>
      <c r="AE243" s="365"/>
      <c r="AF243" s="365"/>
      <c r="AG243" s="1804"/>
      <c r="AH243" s="1800"/>
      <c r="AI243" s="365"/>
      <c r="AJ243" s="365"/>
      <c r="AK243" s="365"/>
      <c r="AL243" s="365"/>
      <c r="AM243" s="365"/>
      <c r="AN243" s="365"/>
      <c r="AO243" s="366"/>
      <c r="AP243" s="365"/>
      <c r="AQ243" s="365"/>
      <c r="AR243" s="365"/>
      <c r="AS243" s="1804"/>
      <c r="AT243" s="1800"/>
      <c r="AU243" s="365"/>
      <c r="AV243" s="365"/>
      <c r="AW243" s="365"/>
      <c r="AX243" s="365"/>
      <c r="AY243" s="1804"/>
      <c r="AZ243" s="1800"/>
      <c r="BA243" s="365"/>
      <c r="BB243" s="365"/>
      <c r="BC243" s="365"/>
      <c r="BD243" s="365"/>
      <c r="BE243" s="365"/>
      <c r="BF243" s="365"/>
      <c r="BG243" s="366"/>
      <c r="BH243" s="365"/>
      <c r="BI243" s="365"/>
      <c r="BJ243" s="365"/>
      <c r="BK243" s="1804"/>
      <c r="BL243" s="1800"/>
      <c r="BM243" s="365"/>
      <c r="BN243" s="365"/>
      <c r="BO243" s="365"/>
      <c r="BP243" s="365"/>
      <c r="BQ243" s="1804"/>
      <c r="BR243" s="1800"/>
      <c r="BS243" s="365"/>
      <c r="BT243" s="365"/>
      <c r="BU243" s="365"/>
      <c r="BV243" s="365"/>
      <c r="BW243" s="365"/>
      <c r="BX243" s="365"/>
      <c r="BY243" s="366"/>
      <c r="BZ243" s="367"/>
      <c r="CA243" s="365"/>
      <c r="CB243" s="365"/>
      <c r="CC243" s="365"/>
      <c r="CD243" s="1804"/>
      <c r="CE243" s="1800"/>
      <c r="CF243" s="365"/>
      <c r="CG243" s="365"/>
      <c r="CH243" s="365"/>
      <c r="CI243" s="365"/>
      <c r="CJ243" s="1804"/>
      <c r="CK243" s="1800"/>
      <c r="CL243" s="365"/>
      <c r="CM243" s="365"/>
      <c r="CN243" s="365"/>
      <c r="CO243" s="365"/>
      <c r="CP243" s="365"/>
      <c r="CQ243" s="365"/>
      <c r="CR243" s="366"/>
      <c r="CS243" s="365"/>
      <c r="CT243" s="365"/>
      <c r="CU243" s="365"/>
      <c r="CV243" s="1804"/>
      <c r="CW243" s="1800"/>
      <c r="CX243" s="365"/>
      <c r="CY243" s="365"/>
      <c r="CZ243" s="365"/>
      <c r="DA243" s="365"/>
      <c r="DB243" s="1804"/>
      <c r="DC243" s="1800"/>
      <c r="DD243" s="365"/>
      <c r="DE243" s="365"/>
      <c r="DF243" s="365"/>
      <c r="DG243" s="365"/>
      <c r="DH243" s="365"/>
      <c r="DI243" s="365"/>
    </row>
    <row r="244" spans="3:113" ht="11.5" customHeight="1" thickTop="1" x14ac:dyDescent="0.35">
      <c r="F244" s="1835"/>
      <c r="G244" s="314"/>
      <c r="H244" s="314"/>
      <c r="I244" s="2182"/>
      <c r="J244" s="1835"/>
      <c r="K244" s="314"/>
      <c r="L244" s="314"/>
      <c r="M244" s="314"/>
      <c r="N244" s="2183"/>
      <c r="O244" s="2209"/>
      <c r="P244" s="1835"/>
      <c r="Q244" s="314"/>
      <c r="R244" s="314"/>
      <c r="S244" s="2183"/>
      <c r="T244" s="2183"/>
      <c r="U244" s="2183"/>
      <c r="V244" s="229"/>
      <c r="W244" s="1796"/>
      <c r="X244" s="1774"/>
      <c r="Y244" s="229"/>
      <c r="Z244" s="229"/>
      <c r="AA244" s="1773"/>
      <c r="AB244" s="1774"/>
      <c r="AC244" s="229"/>
      <c r="AD244" s="229"/>
      <c r="AE244" s="229"/>
      <c r="AF244" s="229"/>
      <c r="AG244" s="1773"/>
      <c r="AH244" s="1774"/>
      <c r="AI244" s="229"/>
      <c r="AJ244" s="229"/>
      <c r="AK244" s="229"/>
      <c r="AL244" s="229"/>
      <c r="AM244" s="229"/>
      <c r="AN244" s="229"/>
      <c r="AO244" s="356"/>
      <c r="AP244" s="229"/>
      <c r="AQ244" s="229"/>
      <c r="AR244" s="229"/>
      <c r="AS244" s="1773"/>
      <c r="AT244" s="1774"/>
      <c r="AU244" s="229"/>
      <c r="AV244" s="229"/>
      <c r="AW244" s="229"/>
      <c r="AX244" s="229"/>
      <c r="AY244" s="1773"/>
      <c r="AZ244" s="1774"/>
      <c r="BA244" s="229"/>
      <c r="BB244" s="229"/>
      <c r="BC244" s="229"/>
      <c r="BD244" s="229"/>
      <c r="BE244" s="229"/>
      <c r="BF244" s="229"/>
      <c r="BG244" s="356"/>
      <c r="BH244" s="229"/>
      <c r="BI244" s="229"/>
      <c r="BJ244" s="229"/>
      <c r="BK244" s="1773"/>
      <c r="BL244" s="1774"/>
      <c r="BM244" s="229"/>
      <c r="BN244" s="229"/>
      <c r="BO244" s="229"/>
      <c r="BP244" s="229"/>
      <c r="BQ244" s="1773"/>
      <c r="BR244" s="1774"/>
      <c r="BS244" s="229"/>
      <c r="BT244" s="229"/>
      <c r="BU244" s="229"/>
      <c r="BV244" s="229"/>
      <c r="BW244" s="229"/>
      <c r="BX244" s="229"/>
      <c r="BY244" s="356"/>
      <c r="BZ244" s="358"/>
      <c r="CA244" s="229"/>
      <c r="CB244" s="229"/>
      <c r="CC244" s="229"/>
      <c r="CD244" s="1773"/>
      <c r="CE244" s="1774"/>
      <c r="CF244" s="229"/>
      <c r="CG244" s="229"/>
      <c r="CH244" s="229"/>
      <c r="CI244" s="229"/>
      <c r="CJ244" s="1773"/>
      <c r="CK244" s="1774"/>
      <c r="CL244" s="229"/>
      <c r="CM244" s="229"/>
      <c r="CN244" s="229"/>
      <c r="CO244" s="229"/>
      <c r="CP244" s="229"/>
      <c r="CQ244" s="229"/>
      <c r="CR244" s="356"/>
      <c r="CS244" s="229"/>
      <c r="CT244" s="229"/>
      <c r="CU244" s="229"/>
      <c r="CV244" s="1773"/>
      <c r="CW244" s="1774"/>
      <c r="CX244" s="229"/>
      <c r="CY244" s="229"/>
      <c r="CZ244" s="229"/>
      <c r="DA244" s="229"/>
      <c r="DB244" s="1773"/>
      <c r="DC244" s="1774"/>
      <c r="DD244" s="229"/>
      <c r="DE244" s="229"/>
      <c r="DF244" s="229"/>
      <c r="DG244" s="229"/>
      <c r="DH244" s="229"/>
      <c r="DI244" s="229"/>
    </row>
    <row r="245" spans="3:113" x14ac:dyDescent="0.35">
      <c r="C245" s="1" t="s">
        <v>228</v>
      </c>
      <c r="F245" s="1871">
        <f t="shared" ref="F245:V245" si="201">SUM(F$224:F$225)+SUM(F$230:F$234)</f>
        <v>26.888215799673603</v>
      </c>
      <c r="G245" s="249">
        <f t="shared" si="201"/>
        <v>26.15214476313523</v>
      </c>
      <c r="H245" s="249">
        <f t="shared" si="201"/>
        <v>29.802985437863512</v>
      </c>
      <c r="I245" s="1864">
        <f t="shared" si="201"/>
        <v>26.54918567506245</v>
      </c>
      <c r="J245" s="1819">
        <f t="shared" si="201"/>
        <v>60.168706271763696</v>
      </c>
      <c r="K245" s="497">
        <f t="shared" si="201"/>
        <v>43.207025201750433</v>
      </c>
      <c r="L245" s="249">
        <f t="shared" si="201"/>
        <v>46.278209282372963</v>
      </c>
      <c r="M245" s="249">
        <f t="shared" si="201"/>
        <v>45.492389340752403</v>
      </c>
      <c r="N245" s="1867">
        <f t="shared" si="201"/>
        <v>45.050435139419463</v>
      </c>
      <c r="O245" s="2201">
        <f t="shared" si="201"/>
        <v>42.818836086006101</v>
      </c>
      <c r="P245" s="419">
        <f t="shared" si="201"/>
        <v>45.453242845170756</v>
      </c>
      <c r="Q245" s="249">
        <f t="shared" si="201"/>
        <v>43.780252195143618</v>
      </c>
      <c r="R245" s="249">
        <f t="shared" si="201"/>
        <v>46.731101687738857</v>
      </c>
      <c r="S245" s="1867">
        <f t="shared" si="201"/>
        <v>47.703748845340705</v>
      </c>
      <c r="T245" s="1867">
        <f t="shared" si="201"/>
        <v>50.241559987785479</v>
      </c>
      <c r="U245" s="1867">
        <f t="shared" si="201"/>
        <v>39.737929458240316</v>
      </c>
      <c r="V245" s="249" t="e">
        <f t="shared" si="201"/>
        <v>#DIV/0!</v>
      </c>
    </row>
    <row r="246" spans="3:113" x14ac:dyDescent="0.35">
      <c r="C246" s="1" t="s">
        <v>227</v>
      </c>
      <c r="F246" s="1726">
        <f t="shared" ref="F246:V246" si="202">F$245/F$137</f>
        <v>27.294580581517117</v>
      </c>
      <c r="G246" s="249">
        <f t="shared" si="202"/>
        <v>26.857831557163113</v>
      </c>
      <c r="H246" s="249">
        <f t="shared" si="202"/>
        <v>29.964984542406338</v>
      </c>
      <c r="I246" s="1864">
        <f t="shared" si="202"/>
        <v>27.879317255385477</v>
      </c>
      <c r="J246" s="1819">
        <f t="shared" si="202"/>
        <v>55.458210083347495</v>
      </c>
      <c r="K246" s="497">
        <f t="shared" si="202"/>
        <v>45.926676492652533</v>
      </c>
      <c r="L246" s="249">
        <f t="shared" si="202"/>
        <v>48.170317907788466</v>
      </c>
      <c r="M246" s="249">
        <f t="shared" si="202"/>
        <v>47.34773088862692</v>
      </c>
      <c r="N246" s="1867">
        <f t="shared" si="202"/>
        <v>46.36035764021721</v>
      </c>
      <c r="O246" s="2210">
        <f t="shared" si="202"/>
        <v>45.026571808710919</v>
      </c>
      <c r="P246" s="419">
        <f t="shared" si="202"/>
        <v>48.142647598758565</v>
      </c>
      <c r="Q246" s="249">
        <f t="shared" si="202"/>
        <v>46.539832418549416</v>
      </c>
      <c r="R246" s="249">
        <f t="shared" si="202"/>
        <v>48.92724464358789</v>
      </c>
      <c r="S246" s="1867">
        <f t="shared" si="202"/>
        <v>50.864089402546213</v>
      </c>
      <c r="T246" s="1867">
        <f t="shared" si="202"/>
        <v>51.560513054808993</v>
      </c>
      <c r="U246" s="1867">
        <f t="shared" si="202"/>
        <v>47.071848039884955</v>
      </c>
      <c r="V246" s="249" t="e">
        <f t="shared" si="202"/>
        <v>#DIV/0!</v>
      </c>
    </row>
    <row r="247" spans="3:113" x14ac:dyDescent="0.35">
      <c r="C247" s="427" t="s">
        <v>244</v>
      </c>
      <c r="G247" s="244"/>
      <c r="H247" s="244"/>
      <c r="I247" s="1820"/>
      <c r="J247" s="1787"/>
      <c r="K247" s="244"/>
      <c r="L247" s="244"/>
      <c r="M247" s="244"/>
      <c r="N247" s="1815"/>
      <c r="O247" s="1820"/>
      <c r="P247" s="1787"/>
      <c r="Q247" s="244"/>
      <c r="R247" s="244"/>
      <c r="S247" s="1815"/>
      <c r="T247" s="1815"/>
      <c r="U247" s="1815"/>
    </row>
    <row r="248" spans="3:113" x14ac:dyDescent="0.35">
      <c r="C248" s="1" t="s">
        <v>321</v>
      </c>
      <c r="F248" s="1726">
        <f>5%*F$247</f>
        <v>0</v>
      </c>
      <c r="G248" s="244">
        <f>5%*G$247</f>
        <v>0</v>
      </c>
      <c r="H248" s="244">
        <f t="shared" ref="H248:U248" si="203">5%*H$247</f>
        <v>0</v>
      </c>
      <c r="I248" s="1820">
        <f t="shared" si="203"/>
        <v>0</v>
      </c>
      <c r="J248" s="1787">
        <f t="shared" si="203"/>
        <v>0</v>
      </c>
      <c r="K248" s="244">
        <f t="shared" si="203"/>
        <v>0</v>
      </c>
      <c r="L248" s="244">
        <f t="shared" si="203"/>
        <v>0</v>
      </c>
      <c r="M248" s="244">
        <f t="shared" si="203"/>
        <v>0</v>
      </c>
      <c r="N248" s="1815">
        <f t="shared" si="203"/>
        <v>0</v>
      </c>
      <c r="O248" s="1820">
        <f t="shared" si="203"/>
        <v>0</v>
      </c>
      <c r="P248" s="1787">
        <f t="shared" si="203"/>
        <v>0</v>
      </c>
      <c r="Q248" s="244">
        <f t="shared" si="203"/>
        <v>0</v>
      </c>
      <c r="R248" s="244">
        <f t="shared" si="203"/>
        <v>0</v>
      </c>
      <c r="S248" s="1815">
        <f t="shared" si="203"/>
        <v>0</v>
      </c>
      <c r="T248" s="1815">
        <f t="shared" si="203"/>
        <v>0</v>
      </c>
      <c r="U248" s="1815">
        <f t="shared" si="203"/>
        <v>0</v>
      </c>
    </row>
    <row r="249" spans="3:113" x14ac:dyDescent="0.35">
      <c r="C249" s="170">
        <v>0.05</v>
      </c>
      <c r="D249" s="170"/>
      <c r="E249" s="170"/>
      <c r="F249" s="1726">
        <f>F$248+F$247</f>
        <v>0</v>
      </c>
      <c r="G249" s="244">
        <f>G$248+G$247</f>
        <v>0</v>
      </c>
      <c r="H249" s="244">
        <f t="shared" ref="H249:U249" si="204">H$248+H$247</f>
        <v>0</v>
      </c>
      <c r="I249" s="1820">
        <f t="shared" si="204"/>
        <v>0</v>
      </c>
      <c r="J249" s="1787">
        <f t="shared" si="204"/>
        <v>0</v>
      </c>
      <c r="K249" s="244">
        <f t="shared" si="204"/>
        <v>0</v>
      </c>
      <c r="L249" s="244">
        <f t="shared" si="204"/>
        <v>0</v>
      </c>
      <c r="M249" s="244">
        <f t="shared" si="204"/>
        <v>0</v>
      </c>
      <c r="N249" s="1815">
        <f t="shared" si="204"/>
        <v>0</v>
      </c>
      <c r="O249" s="1820">
        <f t="shared" si="204"/>
        <v>0</v>
      </c>
      <c r="P249" s="1787">
        <f t="shared" si="204"/>
        <v>0</v>
      </c>
      <c r="Q249" s="244">
        <f t="shared" si="204"/>
        <v>0</v>
      </c>
      <c r="R249" s="244">
        <f t="shared" si="204"/>
        <v>0</v>
      </c>
      <c r="S249" s="1815">
        <f t="shared" si="204"/>
        <v>0</v>
      </c>
      <c r="T249" s="1815">
        <f t="shared" si="204"/>
        <v>0</v>
      </c>
      <c r="U249" s="1815">
        <f t="shared" si="204"/>
        <v>0</v>
      </c>
    </row>
    <row r="250" spans="3:113" x14ac:dyDescent="0.35">
      <c r="C250" s="167">
        <v>-0.05</v>
      </c>
      <c r="D250" s="167"/>
      <c r="E250" s="167"/>
      <c r="F250" s="1726">
        <f>F$247-F$248</f>
        <v>0</v>
      </c>
      <c r="G250" s="244">
        <f>G$247-G$248</f>
        <v>0</v>
      </c>
      <c r="H250" s="244">
        <f t="shared" ref="H250:U250" si="205">H$247-H$248</f>
        <v>0</v>
      </c>
      <c r="I250" s="1820">
        <f t="shared" si="205"/>
        <v>0</v>
      </c>
      <c r="J250" s="1787">
        <f t="shared" si="205"/>
        <v>0</v>
      </c>
      <c r="K250" s="244">
        <f t="shared" si="205"/>
        <v>0</v>
      </c>
      <c r="L250" s="244">
        <f t="shared" si="205"/>
        <v>0</v>
      </c>
      <c r="M250" s="244">
        <f t="shared" si="205"/>
        <v>0</v>
      </c>
      <c r="N250" s="1815">
        <f t="shared" si="205"/>
        <v>0</v>
      </c>
      <c r="O250" s="1820">
        <f t="shared" si="205"/>
        <v>0</v>
      </c>
      <c r="P250" s="1787">
        <f t="shared" si="205"/>
        <v>0</v>
      </c>
      <c r="Q250" s="244">
        <f t="shared" si="205"/>
        <v>0</v>
      </c>
      <c r="R250" s="244">
        <f t="shared" si="205"/>
        <v>0</v>
      </c>
      <c r="S250" s="1815">
        <f t="shared" si="205"/>
        <v>0</v>
      </c>
      <c r="T250" s="1815">
        <f t="shared" si="205"/>
        <v>0</v>
      </c>
      <c r="U250" s="1815">
        <f t="shared" si="205"/>
        <v>0</v>
      </c>
    </row>
    <row r="251" spans="3:113" x14ac:dyDescent="0.35">
      <c r="Y251" s="240" t="s">
        <v>832</v>
      </c>
      <c r="Z251" s="232" t="s">
        <v>833</v>
      </c>
      <c r="AC251" s="240"/>
    </row>
    <row r="252" spans="3:113" x14ac:dyDescent="0.35">
      <c r="C252" s="1" t="s">
        <v>233</v>
      </c>
      <c r="F252" s="1819">
        <f>SUM(F$224:F$225)+SUM(F$230:F$231)</f>
        <v>2.5582184312525493</v>
      </c>
      <c r="G252" s="249">
        <f>SUM(G$224:G$225)+SUM(G$230:G$231)</f>
        <v>3.1749861938810433</v>
      </c>
      <c r="H252" s="249">
        <f>SUM(H$224:H$225)+SUM(H$230:H$231)</f>
        <v>3.1843242165140326</v>
      </c>
      <c r="I252" s="1864">
        <f>SUM(I$224:I$225)+SUM(I$230:I$231)</f>
        <v>1.9208956777245023</v>
      </c>
      <c r="J252" s="1819">
        <f>SUM(J$224:J$225)+SUM(J$230:J$231)-1.5</f>
        <v>5.7146872252807359</v>
      </c>
      <c r="K252" s="497">
        <f>SUM(K$224:K$225)+SUM(K$230:K$231)</f>
        <v>3.7279914852365406</v>
      </c>
      <c r="L252" s="251">
        <f t="shared" ref="L252:V252" si="206">SUM(L$224:L$225)+SUM(L$230:L$231)</f>
        <v>3.8397842919663532</v>
      </c>
      <c r="M252" s="249">
        <f t="shared" si="206"/>
        <v>3.8282901124604267</v>
      </c>
      <c r="N252" s="1867">
        <f t="shared" si="206"/>
        <v>3.3396847391632978</v>
      </c>
      <c r="O252" s="1864">
        <f t="shared" si="206"/>
        <v>3.2918045694184208</v>
      </c>
      <c r="P252" s="1819">
        <f t="shared" si="206"/>
        <v>4.3984257280536347</v>
      </c>
      <c r="Q252" s="249">
        <f t="shared" si="206"/>
        <v>4.5349333434130283</v>
      </c>
      <c r="R252" s="249">
        <f t="shared" si="206"/>
        <v>3.7991846126664495</v>
      </c>
      <c r="S252" s="1867">
        <f t="shared" si="206"/>
        <v>4.4927588686507294</v>
      </c>
      <c r="T252" s="1867">
        <f t="shared" si="206"/>
        <v>4.2837457676952262</v>
      </c>
      <c r="U252" s="1867">
        <f t="shared" si="206"/>
        <v>4.4745632554727841</v>
      </c>
      <c r="V252" s="249" t="e">
        <f t="shared" si="206"/>
        <v>#DIV/0!</v>
      </c>
      <c r="Y252" s="241"/>
      <c r="Z252" s="241"/>
      <c r="AC252" s="241"/>
      <c r="AD252" s="241"/>
    </row>
    <row r="253" spans="3:113" x14ac:dyDescent="0.35">
      <c r="C253" s="168" t="s">
        <v>235</v>
      </c>
      <c r="D253" s="168"/>
      <c r="E253" s="168"/>
      <c r="F253" s="1819">
        <f>F$252/F$137</f>
        <v>2.5968810886214557</v>
      </c>
      <c r="G253" s="249">
        <f>G$252/G$137</f>
        <v>3.2606596959412277</v>
      </c>
      <c r="H253" s="249">
        <f>H$252/H$137</f>
        <v>3.2016331425853761</v>
      </c>
      <c r="I253" s="1864">
        <f>I$252/I$137</f>
        <v>2.0171338085176176</v>
      </c>
      <c r="J253" s="1819">
        <f>J$252/J$137</f>
        <v>5.2672949833553293</v>
      </c>
      <c r="K253" s="497">
        <f t="shared" ref="K253:V253" si="207">K$252/K$137</f>
        <v>3.9626486227727034</v>
      </c>
      <c r="L253" s="249">
        <f t="shared" si="207"/>
        <v>3.996775867293616</v>
      </c>
      <c r="M253" s="249">
        <f t="shared" si="207"/>
        <v>3.9844214083957294</v>
      </c>
      <c r="N253" s="1867">
        <f t="shared" si="207"/>
        <v>3.4367920850049569</v>
      </c>
      <c r="O253" s="1864">
        <f t="shared" si="207"/>
        <v>3.4615297465687429</v>
      </c>
      <c r="P253" s="1819">
        <f t="shared" si="207"/>
        <v>4.6586744214554336</v>
      </c>
      <c r="Q253" s="249">
        <f t="shared" si="207"/>
        <v>4.8207816823665048</v>
      </c>
      <c r="R253" s="249">
        <f t="shared" si="207"/>
        <v>3.9777284993659281</v>
      </c>
      <c r="S253" s="1867">
        <f t="shared" si="207"/>
        <v>4.7904010542234978</v>
      </c>
      <c r="T253" s="1867">
        <f t="shared" si="207"/>
        <v>4.3962036535575333</v>
      </c>
      <c r="U253" s="1867">
        <f t="shared" si="207"/>
        <v>5.30037584942139</v>
      </c>
      <c r="V253" s="249" t="e">
        <f t="shared" si="207"/>
        <v>#DIV/0!</v>
      </c>
      <c r="X253" s="1726" t="s">
        <v>822</v>
      </c>
      <c r="Y253" s="267">
        <f>AVERAGE(K253:N253)</f>
        <v>3.8451594958667514</v>
      </c>
      <c r="Z253" s="267">
        <f>AVERAGE(Q253:T253)</f>
        <v>4.4962787223783653</v>
      </c>
      <c r="AA253" s="231" t="s">
        <v>295</v>
      </c>
      <c r="AC253" s="916">
        <f>AVERAGE(H253:I253)</f>
        <v>2.6093834755514971</v>
      </c>
      <c r="AD253" s="916">
        <f>AVERAGE(M253:O253)</f>
        <v>3.6275810799898096</v>
      </c>
      <c r="AE253" s="916">
        <f>AVERAGE(R253:T253)</f>
        <v>4.3881110690489864</v>
      </c>
    </row>
    <row r="254" spans="3:113" x14ac:dyDescent="0.35">
      <c r="C254" s="452" t="s">
        <v>243</v>
      </c>
      <c r="D254" s="452"/>
      <c r="E254" s="452"/>
      <c r="F254" s="2211">
        <v>2.2000000000000002</v>
      </c>
      <c r="G254" s="446">
        <v>2</v>
      </c>
      <c r="H254" s="446">
        <v>1.7</v>
      </c>
      <c r="I254" s="1864">
        <v>1.7</v>
      </c>
      <c r="J254" s="1818">
        <v>4.9000000000000004</v>
      </c>
      <c r="K254" s="446">
        <v>5.0999999999999996</v>
      </c>
      <c r="L254" s="446">
        <v>5.6</v>
      </c>
      <c r="M254" s="446">
        <v>5.8</v>
      </c>
      <c r="N254" s="1867">
        <v>5.9</v>
      </c>
      <c r="O254" s="1864">
        <v>5.8</v>
      </c>
      <c r="P254" s="1818">
        <v>5.7</v>
      </c>
      <c r="Q254" s="446">
        <v>5.5</v>
      </c>
      <c r="R254" s="446">
        <v>5.7</v>
      </c>
      <c r="S254" s="446">
        <v>5.9</v>
      </c>
      <c r="T254" s="446">
        <v>6</v>
      </c>
      <c r="U254" s="446">
        <v>6.1</v>
      </c>
      <c r="X254" s="1726" t="s">
        <v>822</v>
      </c>
      <c r="Y254" s="267">
        <f>AVERAGE(K254:N254)</f>
        <v>5.6</v>
      </c>
      <c r="Z254" s="267">
        <f>AVERAGE(Q254:T254)</f>
        <v>5.7750000000000004</v>
      </c>
      <c r="AA254" s="231" t="s">
        <v>608</v>
      </c>
      <c r="AC254" s="459">
        <f>AVERAGE(H254:I254)</f>
        <v>1.7</v>
      </c>
      <c r="AD254" s="459">
        <f>AVERAGE(M254:O254)</f>
        <v>5.833333333333333</v>
      </c>
      <c r="AE254" s="459">
        <f>AVERAGE(R254:T254)</f>
        <v>5.8666666666666671</v>
      </c>
    </row>
    <row r="255" spans="3:113" x14ac:dyDescent="0.35">
      <c r="C255" s="168" t="s">
        <v>234</v>
      </c>
      <c r="D255" s="168"/>
      <c r="E255" s="168"/>
      <c r="F255" s="1819">
        <f t="shared" ref="F255:V255" si="208">SUM(F$232:F$233)</f>
        <v>8.9722184210526308</v>
      </c>
      <c r="G255" s="249">
        <f t="shared" si="208"/>
        <v>8.5135015271435837</v>
      </c>
      <c r="H255" s="249">
        <f t="shared" si="208"/>
        <v>11.186774329203306</v>
      </c>
      <c r="I255" s="1864">
        <f>SUM(I$232:I$233)+0.4</f>
        <v>9.9841288433382136</v>
      </c>
      <c r="J255" s="1819">
        <f t="shared" si="208"/>
        <v>29.572673428863961</v>
      </c>
      <c r="K255" s="249">
        <f t="shared" si="208"/>
        <v>19.853577334700105</v>
      </c>
      <c r="L255" s="249">
        <f t="shared" si="208"/>
        <v>21.70540755137997</v>
      </c>
      <c r="M255" s="249">
        <f t="shared" si="208"/>
        <v>20.939639031886131</v>
      </c>
      <c r="N255" s="1867">
        <f t="shared" si="208"/>
        <v>21.243269132244638</v>
      </c>
      <c r="O255" s="1864">
        <f t="shared" si="208"/>
        <v>20.01628412322275</v>
      </c>
      <c r="P255" s="1819">
        <f t="shared" si="208"/>
        <v>21.876213513513516</v>
      </c>
      <c r="Q255" s="249">
        <f t="shared" si="208"/>
        <v>20.801328375428753</v>
      </c>
      <c r="R255" s="249">
        <f t="shared" si="208"/>
        <v>22.499820556731272</v>
      </c>
      <c r="S255" s="1867">
        <f t="shared" si="208"/>
        <v>23.016984615384619</v>
      </c>
      <c r="T255" s="1867">
        <f t="shared" si="208"/>
        <v>24.353507703565185</v>
      </c>
      <c r="U255" s="1867">
        <f t="shared" si="208"/>
        <v>18.986667003687405</v>
      </c>
      <c r="V255" s="249" t="e">
        <f t="shared" si="208"/>
        <v>#DIV/0!</v>
      </c>
    </row>
    <row r="256" spans="3:113" x14ac:dyDescent="0.35">
      <c r="C256" s="168" t="s">
        <v>236</v>
      </c>
      <c r="D256" s="168"/>
      <c r="E256" s="168"/>
      <c r="F256" s="1819">
        <f>F$255/F$137</f>
        <v>9.1078166179909221</v>
      </c>
      <c r="G256" s="249">
        <f>G$255/G$137+0.5</f>
        <v>9.2432289798269416</v>
      </c>
      <c r="H256" s="249">
        <f>H$255/H$137</f>
        <v>11.24758190929732</v>
      </c>
      <c r="I256" s="1864">
        <f>I$255/I$137</f>
        <v>10.484340233588583</v>
      </c>
      <c r="J256" s="1819">
        <f>J$255/J$137</f>
        <v>27.257483787944039</v>
      </c>
      <c r="K256" s="249">
        <f t="shared" ref="K256:V256" si="209">K$255/K$137</f>
        <v>21.10325390871137</v>
      </c>
      <c r="L256" s="249">
        <f t="shared" si="209"/>
        <v>22.592844413846635</v>
      </c>
      <c r="M256" s="249">
        <f t="shared" si="209"/>
        <v>21.793632037229354</v>
      </c>
      <c r="N256" s="1867">
        <f t="shared" si="209"/>
        <v>21.860955424079823</v>
      </c>
      <c r="O256" s="1864">
        <f t="shared" si="209"/>
        <v>21.048322112435873</v>
      </c>
      <c r="P256" s="1819">
        <f t="shared" si="209"/>
        <v>23.170598444730718</v>
      </c>
      <c r="Q256" s="249">
        <f t="shared" si="209"/>
        <v>22.112488807980359</v>
      </c>
      <c r="R256" s="249">
        <f t="shared" si="209"/>
        <v>23.557206765036682</v>
      </c>
      <c r="S256" s="1867">
        <f t="shared" si="209"/>
        <v>24.541844018372192</v>
      </c>
      <c r="T256" s="1867">
        <f t="shared" si="209"/>
        <v>24.992841627237286</v>
      </c>
      <c r="U256" s="1867">
        <f t="shared" si="209"/>
        <v>22.490791950312349</v>
      </c>
      <c r="V256" s="249" t="e">
        <f t="shared" si="209"/>
        <v>#DIV/0!</v>
      </c>
      <c r="X256" s="1726" t="s">
        <v>234</v>
      </c>
      <c r="Y256" s="267">
        <f>AVERAGE(K256:N256)</f>
        <v>21.837671445966794</v>
      </c>
      <c r="Z256" s="267">
        <f>AVERAGE(Q256:T256)</f>
        <v>23.801095304656627</v>
      </c>
      <c r="AA256" s="231" t="s">
        <v>295</v>
      </c>
      <c r="AC256" s="916">
        <f>AVERAGE(H256:I256)</f>
        <v>10.865961071442952</v>
      </c>
      <c r="AD256" s="916">
        <f>AVERAGE(M256:O256)</f>
        <v>21.567636524581683</v>
      </c>
      <c r="AE256" s="916">
        <f>AVERAGE(R256:T256)</f>
        <v>24.36396413688205</v>
      </c>
    </row>
    <row r="257" spans="3:31" x14ac:dyDescent="0.35">
      <c r="C257" s="452" t="s">
        <v>242</v>
      </c>
      <c r="D257" s="452"/>
      <c r="E257" s="452"/>
      <c r="F257" s="1818">
        <v>11.2</v>
      </c>
      <c r="G257" s="446">
        <v>11.2</v>
      </c>
      <c r="H257" s="446">
        <v>10.6</v>
      </c>
      <c r="I257" s="1864">
        <v>10.5</v>
      </c>
      <c r="J257" s="1818">
        <v>22.5</v>
      </c>
      <c r="K257" s="446">
        <v>22.2</v>
      </c>
      <c r="L257" s="446">
        <v>22.1</v>
      </c>
      <c r="M257" s="446">
        <v>22.9</v>
      </c>
      <c r="N257" s="1867">
        <v>22.8</v>
      </c>
      <c r="O257" s="1864">
        <v>22.9</v>
      </c>
      <c r="P257" s="1818">
        <v>22.8</v>
      </c>
      <c r="Q257" s="446">
        <v>22.1</v>
      </c>
      <c r="R257" s="446">
        <v>22.8</v>
      </c>
      <c r="S257" s="446">
        <v>23.9</v>
      </c>
      <c r="T257" s="446">
        <v>24</v>
      </c>
      <c r="U257" s="446">
        <v>23.8</v>
      </c>
      <c r="X257" s="1726" t="s">
        <v>234</v>
      </c>
      <c r="Y257" s="267">
        <f>AVERAGE(K257:N257)</f>
        <v>22.499999999999996</v>
      </c>
      <c r="Z257" s="267">
        <f>AVERAGE(Q257:T257)</f>
        <v>23.200000000000003</v>
      </c>
      <c r="AA257" s="231" t="s">
        <v>608</v>
      </c>
      <c r="AC257" s="459">
        <f>AVERAGE(H257:I257)</f>
        <v>10.55</v>
      </c>
      <c r="AD257" s="459">
        <f>AVERAGE(M257:O257)</f>
        <v>22.866666666666664</v>
      </c>
      <c r="AE257" s="459">
        <f>AVERAGE(R257:T257)</f>
        <v>23.566666666666666</v>
      </c>
    </row>
    <row r="258" spans="3:31" x14ac:dyDescent="0.35">
      <c r="C258" s="1" t="s">
        <v>237</v>
      </c>
      <c r="F258" s="1819">
        <f t="shared" ref="F258:V258" si="210">F$234+F$235</f>
        <v>27.44690902255639</v>
      </c>
      <c r="G258" s="249">
        <f t="shared" si="210"/>
        <v>24.918456007102989</v>
      </c>
      <c r="H258" s="249">
        <f t="shared" si="210"/>
        <v>26.565243292076989</v>
      </c>
      <c r="I258" s="1864">
        <f>I$234+I$235+0.9</f>
        <v>26.914299048316252</v>
      </c>
      <c r="J258" s="1819">
        <f t="shared" si="210"/>
        <v>34.341785458666344</v>
      </c>
      <c r="K258" s="249">
        <f t="shared" si="210"/>
        <v>30.120294517768123</v>
      </c>
      <c r="L258" s="249">
        <f t="shared" si="210"/>
        <v>32.208719354567933</v>
      </c>
      <c r="M258" s="249">
        <f t="shared" si="210"/>
        <v>31.948050133985365</v>
      </c>
      <c r="N258" s="1867">
        <f t="shared" si="210"/>
        <v>31.605580171309644</v>
      </c>
      <c r="O258" s="1864">
        <f t="shared" si="210"/>
        <v>30.327662381516589</v>
      </c>
      <c r="P258" s="1819">
        <f t="shared" si="210"/>
        <v>29.194390990990993</v>
      </c>
      <c r="Q258" s="249">
        <f t="shared" si="210"/>
        <v>27.969118470922979</v>
      </c>
      <c r="R258" s="249">
        <f t="shared" si="210"/>
        <v>30.836126002450442</v>
      </c>
      <c r="S258" s="1867">
        <f t="shared" si="210"/>
        <v>30.385586829836825</v>
      </c>
      <c r="T258" s="1867">
        <f t="shared" si="210"/>
        <v>32.473463799341438</v>
      </c>
      <c r="U258" s="1867">
        <f t="shared" si="210"/>
        <v>24.819581856389519</v>
      </c>
      <c r="V258" s="249" t="e">
        <f t="shared" si="210"/>
        <v>#DIV/0!</v>
      </c>
    </row>
    <row r="259" spans="3:31" x14ac:dyDescent="0.35">
      <c r="C259" s="1" t="s">
        <v>238</v>
      </c>
      <c r="F259" s="1819">
        <f>F$258/F$137</f>
        <v>27.861717401079048</v>
      </c>
      <c r="G259" s="249">
        <f>G$258/G$137+1</f>
        <v>26.590853070175427</v>
      </c>
      <c r="H259" s="249">
        <f>H$258/H$137</f>
        <v>26.709643108472942</v>
      </c>
      <c r="I259" s="1864">
        <f>I$258/I$137+0.2</f>
        <v>28.462723047627456</v>
      </c>
      <c r="J259" s="1819">
        <f t="shared" ref="J259:T259" si="211">J$258/J$137</f>
        <v>31.653230900491149</v>
      </c>
      <c r="K259" s="249">
        <f t="shared" si="211"/>
        <v>32.016206061900093</v>
      </c>
      <c r="L259" s="249">
        <f t="shared" si="211"/>
        <v>33.52558957598287</v>
      </c>
      <c r="M259" s="249">
        <f t="shared" si="211"/>
        <v>33.251005323768339</v>
      </c>
      <c r="N259" s="1867">
        <f t="shared" si="211"/>
        <v>32.524569310682892</v>
      </c>
      <c r="O259" s="1864">
        <f t="shared" si="211"/>
        <v>31.891354199092344</v>
      </c>
      <c r="P259" s="1819">
        <f t="shared" si="211"/>
        <v>30.921782239547735</v>
      </c>
      <c r="Q259" s="249">
        <f t="shared" si="211"/>
        <v>29.732082874472358</v>
      </c>
      <c r="R259" s="249">
        <f t="shared" si="211"/>
        <v>32.285279531046221</v>
      </c>
      <c r="S259" s="1867">
        <f t="shared" si="211"/>
        <v>32.398611062463821</v>
      </c>
      <c r="T259" s="1867">
        <f t="shared" si="211"/>
        <v>33.325964690743525</v>
      </c>
      <c r="U259" s="1867">
        <v>32.89</v>
      </c>
      <c r="V259" s="249" t="e">
        <f>V$258/V$137</f>
        <v>#DIV/0!</v>
      </c>
      <c r="X259" s="1726" t="s">
        <v>237</v>
      </c>
      <c r="Y259" s="267">
        <f>AVERAGE(K259:N259)</f>
        <v>32.829342568083547</v>
      </c>
      <c r="Z259" s="267">
        <f>AVERAGE(Q259:T259)</f>
        <v>31.935484539681482</v>
      </c>
      <c r="AA259" s="231" t="s">
        <v>295</v>
      </c>
      <c r="AC259" s="916">
        <f>AVERAGE(H259:I259)</f>
        <v>27.586183078050198</v>
      </c>
      <c r="AD259" s="916">
        <f>AVERAGE(M259:O259)</f>
        <v>32.555642944514524</v>
      </c>
      <c r="AE259" s="916">
        <f>AVERAGE(R259:T259)</f>
        <v>32.669951761417856</v>
      </c>
    </row>
    <row r="260" spans="3:31" x14ac:dyDescent="0.35">
      <c r="C260" s="444" t="s">
        <v>241</v>
      </c>
      <c r="D260" s="444"/>
      <c r="E260" s="444"/>
      <c r="F260" s="1818">
        <v>28.6</v>
      </c>
      <c r="G260" s="446">
        <v>28.7</v>
      </c>
      <c r="H260" s="446">
        <v>28.9</v>
      </c>
      <c r="I260" s="1864">
        <v>28.7</v>
      </c>
      <c r="J260" s="1818">
        <v>34.200000000000003</v>
      </c>
      <c r="K260" s="446">
        <v>33.700000000000003</v>
      </c>
      <c r="L260" s="446">
        <v>33</v>
      </c>
      <c r="M260" s="446">
        <v>33.9</v>
      </c>
      <c r="N260" s="1867">
        <v>33</v>
      </c>
      <c r="O260" s="1864">
        <v>33.5</v>
      </c>
      <c r="P260" s="1818">
        <v>33</v>
      </c>
      <c r="Q260" s="446">
        <v>33</v>
      </c>
      <c r="R260" s="446">
        <v>33.299999999999997</v>
      </c>
      <c r="S260" s="446">
        <v>33.9</v>
      </c>
      <c r="T260" s="446">
        <v>33.799999999999997</v>
      </c>
      <c r="U260" s="446">
        <v>33.299999999999997</v>
      </c>
      <c r="X260" s="1726" t="s">
        <v>237</v>
      </c>
      <c r="Y260" s="267">
        <f>AVERAGE(K260:N260)</f>
        <v>33.4</v>
      </c>
      <c r="Z260" s="267">
        <f>AVERAGE(Q260:T260)</f>
        <v>33.5</v>
      </c>
      <c r="AA260" s="231" t="s">
        <v>608</v>
      </c>
      <c r="AC260" s="459">
        <f>AVERAGE(H260:I260)</f>
        <v>28.799999999999997</v>
      </c>
      <c r="AD260" s="459">
        <f>AVERAGE(M260:O260)</f>
        <v>33.466666666666669</v>
      </c>
      <c r="AE260" s="459">
        <f>AVERAGE(R260:T260)</f>
        <v>33.666666666666664</v>
      </c>
    </row>
    <row r="261" spans="3:31" x14ac:dyDescent="0.35">
      <c r="C261" s="1" t="s">
        <v>239</v>
      </c>
      <c r="F261" s="501">
        <f>F$236/F137</f>
        <v>55.28708346724823</v>
      </c>
      <c r="G261" s="249">
        <f>G$236</f>
        <v>56.080988569254188</v>
      </c>
      <c r="H261" s="249">
        <v>54.08</v>
      </c>
      <c r="I261" s="2177">
        <f>54.46</f>
        <v>54.46</v>
      </c>
      <c r="J261" s="501">
        <f t="shared" ref="J261:U261" si="212">J$236</f>
        <v>29.809768156785545</v>
      </c>
      <c r="K261" s="249">
        <f t="shared" si="212"/>
        <v>34.53699005418877</v>
      </c>
      <c r="L261" s="249">
        <f t="shared" si="212"/>
        <v>32.998872240148316</v>
      </c>
      <c r="M261" s="249">
        <f t="shared" si="212"/>
        <v>33.713477471374041</v>
      </c>
      <c r="N261" s="1867">
        <f t="shared" si="212"/>
        <v>34.879426352865842</v>
      </c>
      <c r="O261" s="2177">
        <f t="shared" si="212"/>
        <v>35.438153376777251</v>
      </c>
      <c r="P261" s="501">
        <f t="shared" si="212"/>
        <v>32.892229729729735</v>
      </c>
      <c r="Q261" s="249">
        <f t="shared" si="212"/>
        <v>34.983457866386033</v>
      </c>
      <c r="R261" s="249">
        <f t="shared" si="212"/>
        <v>32.818146561966294</v>
      </c>
      <c r="S261" s="1867">
        <f t="shared" si="212"/>
        <v>30.44121037296037</v>
      </c>
      <c r="T261" s="1867">
        <f t="shared" si="212"/>
        <v>30.606343997723478</v>
      </c>
      <c r="U261" s="2177">
        <f t="shared" si="212"/>
        <v>30.715413286546923</v>
      </c>
      <c r="V261" s="249" t="e">
        <f>V$236/V$137</f>
        <v>#DIV/0!</v>
      </c>
      <c r="X261" s="1726" t="s">
        <v>160</v>
      </c>
      <c r="Y261" s="267">
        <f>AVERAGE(K261:N261)</f>
        <v>34.032191529644237</v>
      </c>
      <c r="Z261" s="267">
        <f>AVERAGE(Q261:T261)</f>
        <v>32.212289699759047</v>
      </c>
      <c r="AA261" s="231" t="s">
        <v>295</v>
      </c>
      <c r="AC261" s="916">
        <f>AVERAGE(H261:I261)</f>
        <v>54.269999999999996</v>
      </c>
      <c r="AD261" s="916">
        <f>AVERAGE(M261:O261)</f>
        <v>34.677019067005709</v>
      </c>
      <c r="AE261" s="916">
        <f>AVERAGE(R261:T261)</f>
        <v>31.288566977550047</v>
      </c>
    </row>
    <row r="262" spans="3:31" x14ac:dyDescent="0.35">
      <c r="C262" s="444" t="s">
        <v>240</v>
      </c>
      <c r="D262" s="444"/>
      <c r="E262" s="444"/>
      <c r="F262" s="1818">
        <v>53</v>
      </c>
      <c r="G262" s="446">
        <v>53</v>
      </c>
      <c r="H262" s="446">
        <v>53.8</v>
      </c>
      <c r="I262" s="1864">
        <v>54.4</v>
      </c>
      <c r="J262" s="1818">
        <v>31</v>
      </c>
      <c r="K262" s="446">
        <v>31.3</v>
      </c>
      <c r="L262" s="446">
        <v>31.3</v>
      </c>
      <c r="M262" s="446">
        <v>30</v>
      </c>
      <c r="N262" s="1867">
        <v>30.9</v>
      </c>
      <c r="O262" s="1864">
        <v>30</v>
      </c>
      <c r="P262" s="1818">
        <v>32</v>
      </c>
      <c r="Q262" s="446">
        <v>33.200000000000003</v>
      </c>
      <c r="R262" s="446">
        <v>32</v>
      </c>
      <c r="S262" s="446">
        <v>29.9</v>
      </c>
      <c r="T262" s="446">
        <v>29</v>
      </c>
      <c r="U262" s="446">
        <v>30.4</v>
      </c>
      <c r="X262" s="1726" t="s">
        <v>160</v>
      </c>
      <c r="Y262" s="267">
        <f>AVERAGE(K262:N262)</f>
        <v>30.875</v>
      </c>
      <c r="Z262" s="267">
        <f>AVERAGE(Q262:T262)</f>
        <v>31.024999999999999</v>
      </c>
      <c r="AA262" s="231" t="s">
        <v>608</v>
      </c>
      <c r="AC262" s="459">
        <f>AVERAGE(H262:I262)</f>
        <v>54.099999999999994</v>
      </c>
      <c r="AD262" s="459">
        <f>AVERAGE(M262:O262)</f>
        <v>30.3</v>
      </c>
      <c r="AE262" s="459">
        <f>AVERAGE(R262:T262)</f>
        <v>30.3</v>
      </c>
    </row>
    <row r="263" spans="3:31" x14ac:dyDescent="0.35">
      <c r="G263" s="267"/>
      <c r="H263" s="267"/>
      <c r="I263" s="2141"/>
      <c r="J263" s="1868"/>
      <c r="K263" s="267"/>
      <c r="L263" s="267"/>
      <c r="M263" s="267"/>
      <c r="N263" s="916"/>
      <c r="O263" s="2141"/>
      <c r="P263" s="1868"/>
      <c r="Q263" s="267"/>
      <c r="R263" s="267"/>
      <c r="S263" s="916"/>
      <c r="T263" s="916"/>
      <c r="U263" s="916"/>
    </row>
    <row r="264" spans="3:31" x14ac:dyDescent="0.35">
      <c r="G264" s="267"/>
      <c r="Y264" s="267"/>
    </row>
    <row r="265" spans="3:31" x14ac:dyDescent="0.35">
      <c r="C265" s="1" t="s">
        <v>223</v>
      </c>
      <c r="F265" s="1779">
        <v>153.31</v>
      </c>
      <c r="G265" s="243">
        <v>250.3</v>
      </c>
      <c r="H265" s="243">
        <v>50</v>
      </c>
      <c r="I265" s="2212">
        <v>224.78</v>
      </c>
      <c r="J265" s="1779">
        <v>428.74</v>
      </c>
      <c r="K265" s="497">
        <v>1832.7</v>
      </c>
      <c r="L265" s="497">
        <v>2657.3</v>
      </c>
      <c r="M265" s="243">
        <v>3072</v>
      </c>
      <c r="N265" s="2213">
        <v>4183.8</v>
      </c>
      <c r="O265" s="2170">
        <v>4329.1000000000004</v>
      </c>
      <c r="P265" s="1779">
        <v>5116.2</v>
      </c>
      <c r="Q265" s="497">
        <v>9382.7999999999993</v>
      </c>
      <c r="R265" s="497">
        <v>11823</v>
      </c>
      <c r="S265" s="2171">
        <v>12960</v>
      </c>
      <c r="T265" s="2213">
        <v>18485</v>
      </c>
      <c r="U265" s="2171">
        <v>16439</v>
      </c>
      <c r="V265" s="232">
        <v>19799</v>
      </c>
      <c r="Y265" s="902">
        <f>AVERAGE(K265:N265)</f>
        <v>2936.45</v>
      </c>
      <c r="Z265" s="902">
        <f>AVERAGE(Q265:T265)</f>
        <v>13162.7</v>
      </c>
      <c r="AC265" s="915">
        <f>AVERAGE(G265:I265)</f>
        <v>175.02666666666667</v>
      </c>
      <c r="AD265" s="946">
        <f>AVERAGE(M265:O265)</f>
        <v>3861.6333333333337</v>
      </c>
      <c r="AE265" s="946">
        <f>AVERAGE(S265:U265)</f>
        <v>15961.333333333334</v>
      </c>
    </row>
    <row r="266" spans="3:31" x14ac:dyDescent="0.35">
      <c r="C266" s="1" t="s">
        <v>210</v>
      </c>
      <c r="G266" s="244"/>
      <c r="H266" s="244"/>
      <c r="I266" s="1820"/>
      <c r="J266" s="1787">
        <v>400</v>
      </c>
      <c r="K266" s="244">
        <v>600</v>
      </c>
      <c r="L266" s="244">
        <v>700</v>
      </c>
      <c r="M266" s="244">
        <v>900</v>
      </c>
      <c r="N266" s="1815">
        <v>913</v>
      </c>
      <c r="O266" s="1820">
        <v>913</v>
      </c>
      <c r="P266" s="1787">
        <v>1600</v>
      </c>
      <c r="Q266" s="244">
        <v>5700</v>
      </c>
      <c r="R266" s="244">
        <v>6400</v>
      </c>
      <c r="S266" s="1815">
        <v>7600</v>
      </c>
      <c r="T266" s="1815">
        <v>10044</v>
      </c>
      <c r="U266" s="1815">
        <v>9500</v>
      </c>
      <c r="Y266" s="232">
        <f>AVERAGE(K266:N266)</f>
        <v>778.25</v>
      </c>
      <c r="Z266" s="232">
        <f>AVERAGE(Q266:T266)</f>
        <v>7436</v>
      </c>
      <c r="AC266" s="468" t="e">
        <f>AVERAGE(G266:I266)</f>
        <v>#DIV/0!</v>
      </c>
      <c r="AD266" s="468">
        <f>AVERAGE(M266:O266)</f>
        <v>908.66666666666663</v>
      </c>
      <c r="AE266" s="468">
        <f>AVERAGE(S266:U266)</f>
        <v>9048</v>
      </c>
    </row>
    <row r="268" spans="3:31" ht="29" x14ac:dyDescent="0.35">
      <c r="C268" s="168" t="s">
        <v>413</v>
      </c>
      <c r="D268" s="168"/>
      <c r="E268" s="168"/>
      <c r="F268" s="1787">
        <f t="shared" ref="F268:U268" si="213">F$226+F$228+F$240+F$253+F$256+F$259+F$261</f>
        <v>101.5963351389067</v>
      </c>
      <c r="G268" s="249">
        <f t="shared" si="213"/>
        <v>100.93706601193641</v>
      </c>
      <c r="H268" s="243">
        <f t="shared" si="213"/>
        <v>101.25024045662863</v>
      </c>
      <c r="I268" s="2170">
        <f t="shared" si="213"/>
        <v>101.46759234328033</v>
      </c>
      <c r="J268" s="1819">
        <f t="shared" si="213"/>
        <v>103.65324604151448</v>
      </c>
      <c r="K268" s="244">
        <f t="shared" si="213"/>
        <v>100.72094696978027</v>
      </c>
      <c r="L268" s="249">
        <f t="shared" si="213"/>
        <v>101.53829717891493</v>
      </c>
      <c r="M268" s="249">
        <f t="shared" si="213"/>
        <v>101.18319530459974</v>
      </c>
      <c r="N268" s="1867">
        <f t="shared" si="213"/>
        <v>101.16750110445273</v>
      </c>
      <c r="O268" s="1864">
        <f t="shared" si="213"/>
        <v>100.26581224754992</v>
      </c>
      <c r="P268" s="1819">
        <f t="shared" si="213"/>
        <v>100.23852419050097</v>
      </c>
      <c r="Q268" s="249">
        <f t="shared" si="213"/>
        <v>100.77546035858386</v>
      </c>
      <c r="R268" s="249">
        <f t="shared" si="213"/>
        <v>101.32906101655823</v>
      </c>
      <c r="S268" s="1867">
        <f t="shared" si="213"/>
        <v>100.92565296216566</v>
      </c>
      <c r="T268" s="1867">
        <f t="shared" si="213"/>
        <v>101.62805286925598</v>
      </c>
      <c r="U268" s="1867">
        <f t="shared" si="213"/>
        <v>100.47415869014374</v>
      </c>
      <c r="Y268" s="945"/>
    </row>
    <row r="269" spans="3:31" x14ac:dyDescent="0.35">
      <c r="C269" s="168"/>
      <c r="D269" s="168"/>
      <c r="E269" s="168"/>
      <c r="F269" s="1787"/>
      <c r="G269" s="311"/>
      <c r="H269" s="1884"/>
      <c r="I269" s="2170"/>
      <c r="J269" s="1819"/>
      <c r="K269" s="304"/>
      <c r="L269" s="311"/>
      <c r="M269" s="311"/>
      <c r="N269" s="1867"/>
      <c r="O269" s="1864"/>
      <c r="P269" s="1819"/>
      <c r="Q269" s="249"/>
      <c r="R269" s="249"/>
      <c r="S269" s="1867"/>
      <c r="T269" s="1867"/>
      <c r="U269" s="1867"/>
    </row>
    <row r="270" spans="3:31" x14ac:dyDescent="0.35">
      <c r="C270" s="168" t="s">
        <v>597</v>
      </c>
      <c r="D270" s="168"/>
      <c r="E270" s="168"/>
      <c r="F270" s="604">
        <f>F102</f>
        <v>33.006559611206001</v>
      </c>
      <c r="G270" s="251">
        <f t="shared" ref="G270:U270" si="214">G102</f>
        <v>31.93012387952475</v>
      </c>
      <c r="H270" s="251">
        <f t="shared" si="214"/>
        <v>31.386821983251117</v>
      </c>
      <c r="I270" s="2214">
        <f t="shared" si="214"/>
        <v>31.409112218375402</v>
      </c>
      <c r="J270" s="604">
        <f t="shared" si="214"/>
        <v>15.555761488371354</v>
      </c>
      <c r="K270" s="251">
        <f t="shared" si="214"/>
        <v>17.421760635630022</v>
      </c>
      <c r="L270" s="251">
        <f t="shared" si="214"/>
        <v>18.980726674177717</v>
      </c>
      <c r="M270" s="251">
        <f t="shared" si="214"/>
        <v>17.615055616150762</v>
      </c>
      <c r="N270" s="2067">
        <f t="shared" si="214"/>
        <v>17.497397801920744</v>
      </c>
      <c r="O270" s="2214">
        <f t="shared" si="214"/>
        <v>17.732713430380773</v>
      </c>
      <c r="P270" s="604">
        <f t="shared" si="214"/>
        <v>18.024200147071664</v>
      </c>
      <c r="Q270" s="251">
        <f t="shared" si="214"/>
        <v>18.113156246504921</v>
      </c>
      <c r="R270" s="251">
        <f t="shared" si="214"/>
        <v>19.015425255042231</v>
      </c>
      <c r="S270" s="2067">
        <f t="shared" si="214"/>
        <v>18.172460312793756</v>
      </c>
      <c r="T270" s="2067">
        <f t="shared" si="214"/>
        <v>17.622309197846416</v>
      </c>
      <c r="U270" s="2214">
        <f t="shared" si="214"/>
        <v>18.001716737324799</v>
      </c>
    </row>
    <row r="271" spans="3:31" x14ac:dyDescent="0.35">
      <c r="C271" s="168" t="s">
        <v>598</v>
      </c>
      <c r="D271" s="168"/>
      <c r="E271" s="168"/>
      <c r="F271" s="604">
        <f>X102+AP102+BH102+SUM(CA124:CA129)+SUM(CS124:CS129)</f>
        <v>36.554816330391922</v>
      </c>
      <c r="G271" s="393">
        <f>Y102+AQ102+BI102+SUM(CB124:CB129)+SUM(CT124:CT129)</f>
        <v>33.02409641449681</v>
      </c>
      <c r="H271" s="393">
        <f>Z102+AR102+BJ102+SUM(CC124:CC129)+SUM(CU124:CU129)</f>
        <v>34.664952290837462</v>
      </c>
      <c r="I271" s="2215">
        <f>AA102+AS102+BK102+SUM(CD124:CD129)+SUM(CV124:CV129)</f>
        <v>34.346406786107224</v>
      </c>
      <c r="J271" s="604">
        <f t="shared" ref="J271:U271" si="215">AB102+AT102+BL102+SUM(CE124:CE129)+SUM(CW124:CW129)</f>
        <v>20.485836389443719</v>
      </c>
      <c r="K271" s="393">
        <f t="shared" si="215"/>
        <v>19.009849755060483</v>
      </c>
      <c r="L271" s="393">
        <f t="shared" si="215"/>
        <v>21.553553332058247</v>
      </c>
      <c r="M271" s="393">
        <f t="shared" si="215"/>
        <v>19.796735236716071</v>
      </c>
      <c r="N271" s="2067">
        <f t="shared" si="215"/>
        <v>19.803714411628039</v>
      </c>
      <c r="O271" s="2216">
        <f t="shared" si="215"/>
        <v>19.388987569591556</v>
      </c>
      <c r="P271" s="604">
        <f t="shared" si="215"/>
        <v>19.742280644300056</v>
      </c>
      <c r="Q271" s="251">
        <f t="shared" si="215"/>
        <v>20.208810707491814</v>
      </c>
      <c r="R271" s="251">
        <f t="shared" si="215"/>
        <v>21.614917942752047</v>
      </c>
      <c r="S271" s="2067">
        <f t="shared" si="215"/>
        <v>20.487603731366097</v>
      </c>
      <c r="T271" s="2067">
        <f t="shared" si="215"/>
        <v>20.489758263077896</v>
      </c>
      <c r="U271" s="2214">
        <f t="shared" si="215"/>
        <v>18.07524758879136</v>
      </c>
    </row>
    <row r="272" spans="3:31" x14ac:dyDescent="0.35">
      <c r="C272" s="168" t="s">
        <v>621</v>
      </c>
      <c r="D272" s="168"/>
      <c r="E272" s="168"/>
      <c r="F272" s="604">
        <f>F271-F270</f>
        <v>3.5482567191859218</v>
      </c>
      <c r="G272" s="251">
        <f t="shared" ref="G272:U272" si="216">G271-G270</f>
        <v>1.0939725349720604</v>
      </c>
      <c r="H272" s="251">
        <f t="shared" si="216"/>
        <v>3.2781303075863448</v>
      </c>
      <c r="I272" s="2216">
        <f t="shared" si="216"/>
        <v>2.9372945677318221</v>
      </c>
      <c r="J272" s="604">
        <f t="shared" si="216"/>
        <v>4.9300749010723646</v>
      </c>
      <c r="K272" s="251">
        <f t="shared" si="216"/>
        <v>1.5880891194304603</v>
      </c>
      <c r="L272" s="251">
        <f t="shared" si="216"/>
        <v>2.5728266578805297</v>
      </c>
      <c r="M272" s="251">
        <f t="shared" si="216"/>
        <v>2.1816796205653084</v>
      </c>
      <c r="N272" s="2067">
        <f t="shared" si="216"/>
        <v>2.3063166097072951</v>
      </c>
      <c r="O272" s="2216">
        <f t="shared" si="216"/>
        <v>1.6562741392107831</v>
      </c>
      <c r="P272" s="604">
        <f t="shared" si="216"/>
        <v>1.7180804972283923</v>
      </c>
      <c r="Q272" s="251">
        <f t="shared" si="216"/>
        <v>2.0956544609868928</v>
      </c>
      <c r="R272" s="251">
        <f t="shared" si="216"/>
        <v>2.5994926877098159</v>
      </c>
      <c r="S272" s="2067">
        <f t="shared" si="216"/>
        <v>2.3151434185723403</v>
      </c>
      <c r="T272" s="2067">
        <f t="shared" si="216"/>
        <v>2.8674490652314795</v>
      </c>
      <c r="U272" s="2216">
        <f t="shared" si="216"/>
        <v>7.3530851466561131E-2</v>
      </c>
    </row>
    <row r="273" spans="3:21" x14ac:dyDescent="0.35">
      <c r="C273" s="168" t="s">
        <v>599</v>
      </c>
      <c r="D273" s="168"/>
      <c r="E273" s="168"/>
      <c r="F273" s="605">
        <f>F272/F$137</f>
        <v>3.6018819421594102</v>
      </c>
      <c r="G273" s="244">
        <f t="shared" ref="G273:U273" si="217">G272/G$137</f>
        <v>1.1234921777375451</v>
      </c>
      <c r="H273" s="244">
        <f t="shared" si="217"/>
        <v>3.2959491323316339</v>
      </c>
      <c r="I273" s="2217">
        <f t="shared" si="217"/>
        <v>3.0844549482071142</v>
      </c>
      <c r="J273" s="605">
        <f t="shared" si="217"/>
        <v>4.5441084997803696</v>
      </c>
      <c r="K273" s="244">
        <f t="shared" si="217"/>
        <v>1.6880508410153023</v>
      </c>
      <c r="L273" s="244">
        <f t="shared" si="217"/>
        <v>2.6780180122255408</v>
      </c>
      <c r="M273" s="244">
        <f t="shared" si="217"/>
        <v>2.2706562802405545</v>
      </c>
      <c r="N273" s="1815">
        <f t="shared" si="217"/>
        <v>2.3733769169311798</v>
      </c>
      <c r="O273" s="2217">
        <f t="shared" si="217"/>
        <v>1.7416714997645151</v>
      </c>
      <c r="P273" s="605">
        <f t="shared" si="217"/>
        <v>1.8197369152760976</v>
      </c>
      <c r="Q273" s="244">
        <f t="shared" si="217"/>
        <v>2.2277488714954066</v>
      </c>
      <c r="R273" s="244">
        <f t="shared" si="217"/>
        <v>2.7216566716244697</v>
      </c>
      <c r="S273" s="1815">
        <f t="shared" si="217"/>
        <v>2.4685200780290781</v>
      </c>
      <c r="T273" s="1815">
        <f t="shared" si="217"/>
        <v>2.9427260020949095</v>
      </c>
      <c r="U273" s="2217">
        <f t="shared" si="217"/>
        <v>8.7101495061906745E-2</v>
      </c>
    </row>
    <row r="274" spans="3:21" x14ac:dyDescent="0.35">
      <c r="C274" s="168" t="s">
        <v>600</v>
      </c>
      <c r="D274" s="168"/>
      <c r="E274" s="168"/>
      <c r="F274" s="605">
        <f>F273*2</f>
        <v>7.2037638843188203</v>
      </c>
      <c r="G274" s="244">
        <f t="shared" ref="G274:U274" si="218">G273*2</f>
        <v>2.2469843554750901</v>
      </c>
      <c r="H274" s="244">
        <f t="shared" si="218"/>
        <v>6.5918982646632678</v>
      </c>
      <c r="I274" s="2215">
        <f t="shared" si="218"/>
        <v>6.1689098964142284</v>
      </c>
      <c r="J274" s="605">
        <f t="shared" si="218"/>
        <v>9.0882169995607391</v>
      </c>
      <c r="K274" s="244">
        <f t="shared" si="218"/>
        <v>3.3761016820306047</v>
      </c>
      <c r="L274" s="244">
        <f t="shared" si="218"/>
        <v>5.3560360244510816</v>
      </c>
      <c r="M274" s="244">
        <f t="shared" si="218"/>
        <v>4.5413125604811091</v>
      </c>
      <c r="N274" s="1815">
        <f t="shared" si="218"/>
        <v>4.7467538338623596</v>
      </c>
      <c r="O274" s="2215">
        <f t="shared" si="218"/>
        <v>3.4833429995290301</v>
      </c>
      <c r="P274" s="244">
        <f t="shared" si="218"/>
        <v>3.6394738305521952</v>
      </c>
      <c r="Q274" s="244">
        <f t="shared" si="218"/>
        <v>4.4554977429908131</v>
      </c>
      <c r="R274" s="244">
        <f t="shared" si="218"/>
        <v>5.4433133432489393</v>
      </c>
      <c r="S274" s="1815">
        <f t="shared" si="218"/>
        <v>4.9370401560581563</v>
      </c>
      <c r="T274" s="1815">
        <f t="shared" si="218"/>
        <v>5.8854520041898191</v>
      </c>
      <c r="U274" s="2215">
        <f t="shared" si="218"/>
        <v>0.17420299012381349</v>
      </c>
    </row>
    <row r="275" spans="3:21" x14ac:dyDescent="0.35">
      <c r="C275" s="168" t="s">
        <v>601</v>
      </c>
      <c r="D275" s="168"/>
      <c r="E275" s="168"/>
      <c r="F275" s="605">
        <f>0.082*(F274/2)*(273.15+15)</f>
        <v>85.10634709392518</v>
      </c>
      <c r="G275" s="244">
        <f t="shared" ref="G275:U275" si="219">0.082*(G274/2)*(273.15+15)</f>
        <v>26.546210223236034</v>
      </c>
      <c r="H275" s="244">
        <f t="shared" si="219"/>
        <v>77.877674883471542</v>
      </c>
      <c r="I275" s="2215">
        <f t="shared" si="219"/>
        <v>72.880426852722152</v>
      </c>
      <c r="J275" s="605">
        <f t="shared" si="219"/>
        <v>107.3695588653605</v>
      </c>
      <c r="K275" s="244">
        <f t="shared" si="219"/>
        <v>39.885771686761863</v>
      </c>
      <c r="L275" s="244">
        <f t="shared" si="219"/>
        <v>63.277012998268745</v>
      </c>
      <c r="M275" s="244">
        <f t="shared" si="219"/>
        <v>53.651747786407896</v>
      </c>
      <c r="N275" s="1815">
        <f t="shared" si="219"/>
        <v>56.078861806324994</v>
      </c>
      <c r="O275" s="2215">
        <f t="shared" si="219"/>
        <v>41.152736697885892</v>
      </c>
      <c r="P275" s="605">
        <f t="shared" si="219"/>
        <v>42.997289755218219</v>
      </c>
      <c r="Q275" s="244">
        <f t="shared" si="219"/>
        <v>52.637918660354913</v>
      </c>
      <c r="R275" s="244">
        <f t="shared" si="219"/>
        <v>64.308120334144462</v>
      </c>
      <c r="S275" s="1815">
        <f t="shared" si="219"/>
        <v>58.326932959694467</v>
      </c>
      <c r="T275" s="1815">
        <f t="shared" si="219"/>
        <v>69.531612795299154</v>
      </c>
      <c r="U275" s="2215">
        <f t="shared" si="219"/>
        <v>2.0580602557712511</v>
      </c>
    </row>
    <row r="276" spans="3:21" x14ac:dyDescent="0.35">
      <c r="C276" s="168" t="s">
        <v>602</v>
      </c>
      <c r="D276" s="168"/>
      <c r="E276" s="168"/>
      <c r="F276" s="605">
        <f>F275/28.317</f>
        <v>3.0054860011274211</v>
      </c>
      <c r="G276" s="244">
        <f t="shared" ref="G276:U276" si="220">G275/28.317</f>
        <v>0.93746548798375651</v>
      </c>
      <c r="H276" s="244">
        <f t="shared" si="220"/>
        <v>2.7502092341516242</v>
      </c>
      <c r="I276" s="2217">
        <f t="shared" si="220"/>
        <v>2.5737340414846965</v>
      </c>
      <c r="J276" s="605">
        <f t="shared" si="220"/>
        <v>3.7916996456319705</v>
      </c>
      <c r="K276" s="244">
        <f t="shared" si="220"/>
        <v>1.4085451031804874</v>
      </c>
      <c r="L276" s="244">
        <f t="shared" si="220"/>
        <v>2.2345945191322789</v>
      </c>
      <c r="M276" s="244">
        <f t="shared" si="220"/>
        <v>1.8946833275561639</v>
      </c>
      <c r="N276" s="1815">
        <f t="shared" si="220"/>
        <v>1.9803955859139384</v>
      </c>
      <c r="O276" s="2217">
        <f t="shared" si="220"/>
        <v>1.4532873079028814</v>
      </c>
      <c r="P276" s="605">
        <f t="shared" si="220"/>
        <v>1.5184267314764353</v>
      </c>
      <c r="Q276" s="244">
        <f t="shared" si="220"/>
        <v>1.8588804838208466</v>
      </c>
      <c r="R276" s="244">
        <f t="shared" si="220"/>
        <v>2.2710075337833975</v>
      </c>
      <c r="S276" s="1815">
        <f t="shared" si="220"/>
        <v>2.0597850393648502</v>
      </c>
      <c r="T276" s="1815">
        <f t="shared" si="220"/>
        <v>2.4554724298230446</v>
      </c>
      <c r="U276" s="2217">
        <f t="shared" si="220"/>
        <v>7.2679318281288666E-2</v>
      </c>
    </row>
    <row r="277" spans="3:21" x14ac:dyDescent="0.35">
      <c r="C277" s="168" t="s">
        <v>603</v>
      </c>
      <c r="D277" s="168"/>
      <c r="E277" s="168"/>
      <c r="F277" s="605">
        <f>(F59/F62)/158.99/1000</f>
        <v>2.0360560600582553E-3</v>
      </c>
      <c r="G277" s="244">
        <f t="shared" ref="G277:U277" si="221">(G59/G62)/158.99/1000</f>
        <v>1.9696546077236483E-3</v>
      </c>
      <c r="H277" s="244">
        <f t="shared" si="221"/>
        <v>1.9361402659873615E-3</v>
      </c>
      <c r="I277" s="2217">
        <f t="shared" si="221"/>
        <v>1.9375152704967538E-3</v>
      </c>
      <c r="J277" s="605">
        <f t="shared" si="221"/>
        <v>9.505638143598367E-4</v>
      </c>
      <c r="K277" s="244">
        <f t="shared" si="221"/>
        <v>1.0645891719957431E-3</v>
      </c>
      <c r="L277" s="244">
        <f t="shared" si="221"/>
        <v>1.1598526989640065E-3</v>
      </c>
      <c r="M277" s="244">
        <f t="shared" si="221"/>
        <v>1.0764008222397866E-3</v>
      </c>
      <c r="N277" s="1815">
        <f t="shared" si="221"/>
        <v>1.0692111220912382E-3</v>
      </c>
      <c r="O277" s="2217">
        <f t="shared" si="221"/>
        <v>1.0835905223883346E-3</v>
      </c>
      <c r="P277" s="605">
        <f t="shared" si="221"/>
        <v>1.0966966961982387E-3</v>
      </c>
      <c r="Q277" s="244">
        <f t="shared" si="221"/>
        <v>1.1021093003392877E-3</v>
      </c>
      <c r="R277" s="244">
        <f t="shared" si="221"/>
        <v>1.1570085709127834E-3</v>
      </c>
      <c r="S277" s="1815">
        <f t="shared" si="221"/>
        <v>1.1057177030999869E-3</v>
      </c>
      <c r="T277" s="1815">
        <f t="shared" si="221"/>
        <v>1.0722433239181428E-3</v>
      </c>
      <c r="U277" s="2217">
        <f t="shared" si="221"/>
        <v>1.0953286753713799E-3</v>
      </c>
    </row>
    <row r="278" spans="3:21" x14ac:dyDescent="0.35">
      <c r="C278" s="168" t="s">
        <v>604</v>
      </c>
      <c r="D278" s="168"/>
      <c r="E278" s="168"/>
      <c r="F278" s="605">
        <f>F276/F277</f>
        <v>1476.1312618481775</v>
      </c>
      <c r="G278" s="244">
        <f t="shared" ref="G278:U278" si="222">G276/G277</f>
        <v>475.95425325214546</v>
      </c>
      <c r="H278" s="244">
        <f t="shared" si="222"/>
        <v>1420.4597065952332</v>
      </c>
      <c r="I278" s="2217">
        <f t="shared" si="222"/>
        <v>1328.3683905236135</v>
      </c>
      <c r="J278" s="605">
        <f t="shared" si="222"/>
        <v>3988.8954201202314</v>
      </c>
      <c r="K278" s="244">
        <f t="shared" si="222"/>
        <v>1323.0879481330285</v>
      </c>
      <c r="L278" s="244">
        <f t="shared" si="222"/>
        <v>1926.6192346047424</v>
      </c>
      <c r="M278" s="244">
        <f t="shared" si="222"/>
        <v>1760.2024156890609</v>
      </c>
      <c r="N278" s="1815">
        <f t="shared" si="222"/>
        <v>1852.2025678525881</v>
      </c>
      <c r="O278" s="2217">
        <f t="shared" si="222"/>
        <v>1341.1775738862136</v>
      </c>
      <c r="P278" s="605">
        <f t="shared" si="222"/>
        <v>1384.5457333282279</v>
      </c>
      <c r="Q278" s="244">
        <f t="shared" si="222"/>
        <v>1686.6571067393993</v>
      </c>
      <c r="R278" s="244">
        <f t="shared" si="222"/>
        <v>1962.8268889933647</v>
      </c>
      <c r="S278" s="1815">
        <f t="shared" si="222"/>
        <v>1862.8489293334483</v>
      </c>
      <c r="T278" s="1815">
        <f t="shared" si="222"/>
        <v>2290.0328452038002</v>
      </c>
      <c r="U278" s="2217">
        <f t="shared" si="222"/>
        <v>66.353889855614497</v>
      </c>
    </row>
    <row r="279" spans="3:21" x14ac:dyDescent="0.35">
      <c r="C279" s="168" t="s">
        <v>605</v>
      </c>
      <c r="D279" s="168"/>
      <c r="E279" s="168"/>
      <c r="F279" s="605"/>
      <c r="G279" s="606">
        <f>AVERAGE(F278:I278)</f>
        <v>1175.2284030547926</v>
      </c>
      <c r="H279" s="606"/>
      <c r="I279" s="2215"/>
      <c r="J279" s="605"/>
      <c r="K279" s="607">
        <f>AVERAGE(K278:O278)</f>
        <v>1640.6579480331268</v>
      </c>
      <c r="L279" s="606"/>
      <c r="M279" s="606"/>
      <c r="N279" s="2217"/>
      <c r="O279" s="2215"/>
      <c r="P279" s="605"/>
      <c r="Q279" s="606"/>
      <c r="R279" s="2218">
        <f>AVERAGE(P278:T278)</f>
        <v>1837.3823007196479</v>
      </c>
      <c r="S279" s="2217"/>
      <c r="T279" s="2217"/>
      <c r="U279" s="2217"/>
    </row>
    <row r="280" spans="3:21" x14ac:dyDescent="0.35">
      <c r="C280" s="168" t="s">
        <v>834</v>
      </c>
      <c r="D280" s="168"/>
      <c r="E280" s="168"/>
      <c r="F280" s="1787"/>
      <c r="G280" s="606">
        <v>1041</v>
      </c>
      <c r="H280" s="606"/>
      <c r="I280" s="2215"/>
      <c r="J280" s="1787"/>
      <c r="K280" s="606">
        <v>1605</v>
      </c>
      <c r="L280" s="606"/>
      <c r="M280" s="606"/>
      <c r="N280" s="2217"/>
      <c r="O280" s="2215"/>
      <c r="P280" s="1787"/>
      <c r="Q280" s="606"/>
      <c r="R280" s="606">
        <v>1334</v>
      </c>
      <c r="S280" s="2217"/>
      <c r="T280" s="2217"/>
      <c r="U280" s="2217"/>
    </row>
    <row r="281" spans="3:21" x14ac:dyDescent="0.35">
      <c r="C281" s="168"/>
      <c r="D281" s="168"/>
      <c r="E281" s="168"/>
      <c r="F281" s="1787"/>
      <c r="G281" s="244"/>
      <c r="H281" s="244"/>
      <c r="I281" s="1820"/>
      <c r="J281" s="1787"/>
      <c r="K281" s="497"/>
      <c r="L281" s="244"/>
      <c r="M281" s="244"/>
      <c r="N281" s="1815"/>
      <c r="O281" s="1820"/>
      <c r="P281" s="1787"/>
      <c r="Q281" s="244"/>
      <c r="R281" s="244"/>
      <c r="S281" s="1815"/>
      <c r="T281" s="1867"/>
      <c r="U281" s="1815"/>
    </row>
    <row r="282" spans="3:21" x14ac:dyDescent="0.35">
      <c r="F282" s="1787"/>
      <c r="G282" s="244"/>
      <c r="H282" s="244"/>
      <c r="I282" s="1820"/>
      <c r="J282" s="1787"/>
      <c r="K282" s="497"/>
      <c r="L282" s="244"/>
      <c r="M282" s="244"/>
      <c r="N282" s="1815"/>
      <c r="O282" s="1820"/>
      <c r="P282" s="1787"/>
      <c r="Q282" s="244"/>
      <c r="R282" s="244"/>
      <c r="S282" s="1815"/>
      <c r="T282" s="1815"/>
      <c r="U282" s="1815"/>
    </row>
    <row r="283" spans="3:21" x14ac:dyDescent="0.35">
      <c r="C283" s="168"/>
      <c r="D283" s="168"/>
      <c r="E283" s="168"/>
      <c r="G283" s="267"/>
      <c r="H283" s="267"/>
      <c r="I283" s="2141"/>
      <c r="J283" s="1868"/>
      <c r="K283" s="267"/>
      <c r="L283" s="267"/>
      <c r="M283" s="267"/>
      <c r="N283" s="916"/>
      <c r="O283" s="2141"/>
      <c r="P283" s="1868"/>
      <c r="Q283" s="267"/>
      <c r="R283" s="267"/>
      <c r="S283" s="916"/>
      <c r="T283" s="916"/>
      <c r="U283" s="916"/>
    </row>
    <row r="284" spans="3:21" x14ac:dyDescent="0.35">
      <c r="D284"/>
      <c r="E284"/>
      <c r="G284" s="268"/>
      <c r="H284" s="268"/>
      <c r="I284" s="2219"/>
      <c r="J284" s="2220"/>
      <c r="T284" s="2221"/>
      <c r="U284" s="2221"/>
    </row>
    <row r="285" spans="3:21" x14ac:dyDescent="0.35">
      <c r="C285"/>
      <c r="D285"/>
      <c r="E285"/>
      <c r="G285" s="268"/>
      <c r="H285" s="268"/>
      <c r="I285" s="2219"/>
      <c r="J285" s="2220"/>
      <c r="K285" s="268"/>
      <c r="L285" s="268"/>
      <c r="M285" s="268"/>
      <c r="N285" s="2221"/>
      <c r="O285" s="2219"/>
      <c r="P285" s="2220"/>
      <c r="Q285" s="268"/>
      <c r="R285" s="268"/>
      <c r="S285" s="2221"/>
      <c r="T285" s="2221"/>
      <c r="U285" s="2221"/>
    </row>
    <row r="286" spans="3:21" x14ac:dyDescent="0.35">
      <c r="C286"/>
      <c r="D286"/>
      <c r="E286"/>
      <c r="G286" s="268"/>
      <c r="H286" s="268"/>
      <c r="I286" s="2219"/>
      <c r="J286" s="2220"/>
      <c r="L286" s="268"/>
      <c r="M286" s="268"/>
      <c r="N286" s="2221"/>
      <c r="O286" s="2219"/>
      <c r="P286" s="2220"/>
      <c r="Q286" s="268"/>
      <c r="S286" s="2221"/>
      <c r="T286" s="2221"/>
      <c r="U286" s="2221"/>
    </row>
    <row r="287" spans="3:21" x14ac:dyDescent="0.35">
      <c r="C287"/>
      <c r="D287"/>
      <c r="E287"/>
      <c r="G287" s="267"/>
      <c r="H287" s="267"/>
      <c r="I287" s="2141"/>
      <c r="J287" s="1868"/>
      <c r="K287" s="267"/>
      <c r="L287" s="267"/>
      <c r="M287" s="267"/>
      <c r="N287" s="916"/>
      <c r="O287" s="2141"/>
      <c r="P287" s="1868"/>
      <c r="Q287" s="267"/>
      <c r="R287" s="267"/>
      <c r="S287" s="916"/>
      <c r="T287" s="916"/>
      <c r="U287" s="916"/>
    </row>
    <row r="288" spans="3:21" x14ac:dyDescent="0.35">
      <c r="C288"/>
      <c r="D288"/>
      <c r="E288"/>
      <c r="G288" s="267"/>
      <c r="H288" s="267"/>
      <c r="I288" s="2141"/>
      <c r="J288" s="1868"/>
      <c r="K288" s="267"/>
      <c r="L288" s="267"/>
      <c r="M288" s="267"/>
      <c r="N288" s="916"/>
      <c r="O288" s="2141"/>
      <c r="P288" s="1868"/>
      <c r="Q288" s="267"/>
      <c r="R288" s="267"/>
      <c r="S288" s="916"/>
      <c r="T288" s="916"/>
      <c r="U288" s="916"/>
    </row>
    <row r="289" spans="3:21" x14ac:dyDescent="0.35">
      <c r="C289"/>
      <c r="D289"/>
      <c r="E289"/>
      <c r="G289" s="267"/>
      <c r="H289" s="267"/>
      <c r="I289" s="2141"/>
      <c r="J289" s="1868"/>
      <c r="K289" s="267"/>
      <c r="L289" s="267"/>
      <c r="M289" s="267"/>
      <c r="N289" s="916"/>
      <c r="O289" s="2141"/>
      <c r="P289" s="1868"/>
      <c r="Q289" s="267"/>
      <c r="R289" s="267"/>
      <c r="S289" s="916"/>
      <c r="T289" s="916"/>
      <c r="U289" s="916"/>
    </row>
    <row r="290" spans="3:21" x14ac:dyDescent="0.35">
      <c r="C290"/>
      <c r="D290"/>
      <c r="E290"/>
      <c r="G290" s="267"/>
      <c r="H290" s="267"/>
      <c r="I290" s="2141"/>
      <c r="J290" s="1868"/>
      <c r="K290" s="267"/>
      <c r="L290" s="267"/>
      <c r="M290" s="267"/>
      <c r="N290" s="916"/>
      <c r="O290" s="2141"/>
      <c r="P290" s="1868"/>
      <c r="Q290" s="267"/>
      <c r="R290" s="267"/>
      <c r="S290" s="916"/>
      <c r="T290" s="916"/>
      <c r="U290" s="916"/>
    </row>
    <row r="293" spans="3:21" x14ac:dyDescent="0.35">
      <c r="H293" s="267"/>
      <c r="K293" s="267"/>
    </row>
  </sheetData>
  <mergeCells count="56">
    <mergeCell ref="BL2:BM2"/>
    <mergeCell ref="BR2:BS2"/>
    <mergeCell ref="CS2:CT2"/>
    <mergeCell ref="CS3:CT3"/>
    <mergeCell ref="F7:I7"/>
    <mergeCell ref="J7:O7"/>
    <mergeCell ref="P7:U7"/>
    <mergeCell ref="X7:AA7"/>
    <mergeCell ref="AB7:AG7"/>
    <mergeCell ref="AH7:AL7"/>
    <mergeCell ref="F2:G2"/>
    <mergeCell ref="J2:K2"/>
    <mergeCell ref="P2:Q2"/>
    <mergeCell ref="AT2:AU2"/>
    <mergeCell ref="AZ2:BA2"/>
    <mergeCell ref="BH2:BI2"/>
    <mergeCell ref="DC7:DH7"/>
    <mergeCell ref="AP7:AS7"/>
    <mergeCell ref="AT7:AY7"/>
    <mergeCell ref="AZ7:BE7"/>
    <mergeCell ref="BH7:BK7"/>
    <mergeCell ref="BL7:BQ7"/>
    <mergeCell ref="BR7:BW7"/>
    <mergeCell ref="CA7:CD7"/>
    <mergeCell ref="CE7:CI7"/>
    <mergeCell ref="CK7:CQ7"/>
    <mergeCell ref="CS7:CV7"/>
    <mergeCell ref="CW7:DB7"/>
    <mergeCell ref="CA53:CD53"/>
    <mergeCell ref="CS44:CV44"/>
    <mergeCell ref="CW44:DA44"/>
    <mergeCell ref="DC44:DH44"/>
    <mergeCell ref="F53:I53"/>
    <mergeCell ref="J53:O53"/>
    <mergeCell ref="P53:U53"/>
    <mergeCell ref="X53:AA53"/>
    <mergeCell ref="AB53:AG53"/>
    <mergeCell ref="AH53:AM53"/>
    <mergeCell ref="AP53:AS53"/>
    <mergeCell ref="AT53:AY53"/>
    <mergeCell ref="AZ53:BE53"/>
    <mergeCell ref="BH53:BK53"/>
    <mergeCell ref="BL53:BQ53"/>
    <mergeCell ref="BR53:BW53"/>
    <mergeCell ref="DC115:DG115"/>
    <mergeCell ref="CE53:CJ53"/>
    <mergeCell ref="CK53:CP53"/>
    <mergeCell ref="CS53:CV53"/>
    <mergeCell ref="CW53:DB53"/>
    <mergeCell ref="DC53:DH53"/>
    <mergeCell ref="CS105:DB105"/>
    <mergeCell ref="CA115:CD115"/>
    <mergeCell ref="CE115:CJ115"/>
    <mergeCell ref="CK115:CP115"/>
    <mergeCell ref="CS115:CV115"/>
    <mergeCell ref="CW115:DB115"/>
  </mergeCells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5F0DF-4BDB-4DFB-83A4-92BD9FA6BCB9}">
  <sheetPr>
    <tabColor rgb="FFFFFF00"/>
    <pageSetUpPr fitToPage="1"/>
  </sheetPr>
  <dimension ref="B1:X95"/>
  <sheetViews>
    <sheetView showGridLines="0" zoomScale="49" zoomScaleNormal="70" zoomScaleSheetLayoutView="100" workbookViewId="0">
      <pane xSplit="5" ySplit="7" topLeftCell="F8" activePane="bottomRight" state="frozen"/>
      <selection activeCell="K85" sqref="K85"/>
      <selection pane="topRight" activeCell="K85" sqref="K85"/>
      <selection pane="bottomLeft" activeCell="K85" sqref="K85"/>
      <selection pane="bottomRight" activeCell="K85" sqref="K85"/>
    </sheetView>
  </sheetViews>
  <sheetFormatPr defaultColWidth="9.1796875" defaultRowHeight="16" x14ac:dyDescent="0.35"/>
  <cols>
    <col min="1" max="2" width="9.1796875" style="7"/>
    <col min="3" max="3" width="1" style="7" customWidth="1"/>
    <col min="4" max="4" width="31.1796875" style="18" customWidth="1"/>
    <col min="5" max="5" width="31.81640625" style="18" bestFit="1" customWidth="1"/>
    <col min="6" max="6" width="14.453125" style="18" customWidth="1"/>
    <col min="7" max="7" width="22.81640625" style="18" hidden="1" customWidth="1"/>
    <col min="8" max="22" width="22.81640625" style="18" customWidth="1"/>
    <col min="23" max="24" width="22.81640625" style="13" customWidth="1"/>
    <col min="25" max="30" width="22.81640625" style="7" customWidth="1"/>
    <col min="31" max="16384" width="9.1796875" style="7"/>
  </cols>
  <sheetData>
    <row r="1" spans="4:24" ht="26.25" customHeight="1" x14ac:dyDescent="0.55000000000000004">
      <c r="D1" s="2676" t="s">
        <v>5</v>
      </c>
      <c r="E1" s="2676"/>
      <c r="F1" s="2676"/>
      <c r="G1" s="2676"/>
      <c r="H1" s="2676"/>
      <c r="I1" s="4"/>
      <c r="J1" s="4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</row>
    <row r="2" spans="4:24" ht="30.75" customHeight="1" x14ac:dyDescent="0.35">
      <c r="D2" s="8" t="s">
        <v>6</v>
      </c>
      <c r="E2" s="9" t="s">
        <v>7</v>
      </c>
      <c r="F2" s="10"/>
      <c r="G2" s="10"/>
      <c r="H2" s="11"/>
      <c r="I2" s="11"/>
      <c r="J2" s="11"/>
      <c r="K2" s="11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4:24" ht="26.25" customHeight="1" x14ac:dyDescent="0.35">
      <c r="D3" s="8" t="s">
        <v>8</v>
      </c>
      <c r="E3" s="14" t="s">
        <v>432</v>
      </c>
      <c r="F3" s="15"/>
      <c r="G3" s="15"/>
      <c r="H3" s="11"/>
      <c r="I3" s="11"/>
      <c r="J3" s="11"/>
      <c r="K3" s="11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4:24" ht="28.5" customHeight="1" x14ac:dyDescent="0.45">
      <c r="D4" s="8" t="s">
        <v>9</v>
      </c>
      <c r="E4" s="16" t="s">
        <v>10</v>
      </c>
      <c r="F4" s="15"/>
      <c r="G4" s="15"/>
      <c r="H4" s="2772" t="s">
        <v>149</v>
      </c>
      <c r="I4" s="2772"/>
      <c r="J4" s="2772"/>
      <c r="K4" s="2772"/>
      <c r="L4" s="2772"/>
      <c r="M4" s="2772"/>
      <c r="N4" s="2772"/>
      <c r="O4" s="2772"/>
      <c r="P4" s="2772"/>
      <c r="Q4" s="2772"/>
      <c r="R4" s="2772"/>
      <c r="S4" s="2772"/>
      <c r="T4" s="2772"/>
      <c r="U4" s="2772"/>
      <c r="V4" s="2772"/>
      <c r="W4" s="213"/>
      <c r="X4" s="213"/>
    </row>
    <row r="5" spans="4:24" ht="31.5" customHeight="1" x14ac:dyDescent="0.35">
      <c r="D5" s="17"/>
      <c r="G5" s="18" t="s">
        <v>355</v>
      </c>
      <c r="H5" s="211">
        <v>1</v>
      </c>
      <c r="I5" s="212">
        <v>2</v>
      </c>
      <c r="J5" s="212">
        <v>3</v>
      </c>
      <c r="K5" s="212">
        <v>4</v>
      </c>
      <c r="L5" s="211">
        <v>5</v>
      </c>
      <c r="M5" s="212">
        <v>6</v>
      </c>
      <c r="N5" s="212">
        <v>7</v>
      </c>
      <c r="O5" s="212">
        <v>8</v>
      </c>
      <c r="P5" s="212">
        <v>9</v>
      </c>
      <c r="Q5" s="212">
        <v>10</v>
      </c>
      <c r="R5" s="211">
        <v>11</v>
      </c>
      <c r="S5" s="212">
        <v>12</v>
      </c>
      <c r="T5" s="212">
        <v>13</v>
      </c>
      <c r="U5" s="212">
        <v>14</v>
      </c>
      <c r="V5" s="212">
        <v>15</v>
      </c>
      <c r="W5" s="212" t="s">
        <v>911</v>
      </c>
      <c r="X5" s="212" t="s">
        <v>912</v>
      </c>
    </row>
    <row r="6" spans="4:24" ht="17.25" customHeight="1" thickBot="1" x14ac:dyDescent="0.4">
      <c r="D6" s="17"/>
      <c r="G6" s="18" t="s">
        <v>354</v>
      </c>
      <c r="H6" s="184"/>
      <c r="I6" s="12"/>
      <c r="J6" s="12"/>
      <c r="K6" s="12"/>
      <c r="L6" s="210"/>
      <c r="M6" s="12"/>
      <c r="N6" s="12"/>
      <c r="O6" s="12"/>
      <c r="P6" s="12"/>
      <c r="Q6" s="12"/>
      <c r="R6" s="184"/>
      <c r="S6" s="12"/>
      <c r="T6" s="12"/>
      <c r="U6" s="12"/>
      <c r="V6" s="12"/>
      <c r="W6" s="576" t="s">
        <v>585</v>
      </c>
      <c r="X6" s="18" t="s">
        <v>584</v>
      </c>
    </row>
    <row r="7" spans="4:24" ht="16.5" thickBot="1" x14ac:dyDescent="0.4">
      <c r="D7" s="19" t="s">
        <v>11</v>
      </c>
      <c r="E7" s="20" t="s">
        <v>12</v>
      </c>
      <c r="F7" s="21" t="s">
        <v>13</v>
      </c>
      <c r="G7" s="22" t="s">
        <v>14</v>
      </c>
      <c r="H7" s="22" t="s">
        <v>0</v>
      </c>
      <c r="I7" s="22" t="s">
        <v>0</v>
      </c>
      <c r="J7" s="22" t="s">
        <v>0</v>
      </c>
      <c r="K7" s="209" t="s">
        <v>0</v>
      </c>
      <c r="L7" s="111" t="s">
        <v>0</v>
      </c>
      <c r="M7" s="111" t="s">
        <v>0</v>
      </c>
      <c r="N7" s="111" t="s">
        <v>0</v>
      </c>
      <c r="O7" s="111" t="s">
        <v>0</v>
      </c>
      <c r="P7" s="111" t="s">
        <v>0</v>
      </c>
      <c r="Q7" s="111" t="s">
        <v>0</v>
      </c>
      <c r="R7" s="22" t="s">
        <v>0</v>
      </c>
      <c r="S7" s="22" t="s">
        <v>0</v>
      </c>
      <c r="T7" s="22" t="s">
        <v>0</v>
      </c>
      <c r="U7" s="22" t="s">
        <v>0</v>
      </c>
      <c r="V7" s="22" t="s">
        <v>0</v>
      </c>
      <c r="W7" s="22" t="s">
        <v>0</v>
      </c>
      <c r="X7" s="22" t="s">
        <v>0</v>
      </c>
    </row>
    <row r="8" spans="4:24" ht="19.5" customHeight="1" x14ac:dyDescent="0.35">
      <c r="D8" s="23" t="s">
        <v>16</v>
      </c>
      <c r="E8" s="24" t="s">
        <v>17</v>
      </c>
      <c r="F8" s="25" t="s">
        <v>18</v>
      </c>
      <c r="G8" s="26">
        <v>100</v>
      </c>
      <c r="H8" s="27"/>
      <c r="I8" s="27"/>
      <c r="J8" s="28"/>
      <c r="K8" s="28"/>
      <c r="L8" s="28"/>
      <c r="M8" s="28"/>
      <c r="N8" s="28"/>
      <c r="O8" s="28"/>
      <c r="P8" s="28"/>
      <c r="Q8" s="28"/>
      <c r="R8" s="29"/>
      <c r="S8" s="29"/>
      <c r="T8" s="29"/>
      <c r="U8" s="29"/>
      <c r="V8" s="29"/>
      <c r="W8" s="29"/>
      <c r="X8" s="29"/>
    </row>
    <row r="9" spans="4:24" ht="19.5" customHeight="1" x14ac:dyDescent="0.35">
      <c r="D9" s="30" t="s">
        <v>433</v>
      </c>
      <c r="E9" s="31" t="s">
        <v>17</v>
      </c>
      <c r="F9" s="32" t="s">
        <v>20</v>
      </c>
      <c r="G9" s="33"/>
      <c r="H9" s="34">
        <v>44</v>
      </c>
      <c r="I9" s="34">
        <v>43.8</v>
      </c>
      <c r="J9" s="35">
        <v>45.66</v>
      </c>
      <c r="K9" s="35">
        <v>44.2</v>
      </c>
      <c r="L9" s="35">
        <v>43.75</v>
      </c>
      <c r="M9" s="35">
        <v>43.8</v>
      </c>
      <c r="N9" s="35">
        <v>45.4</v>
      </c>
      <c r="O9" s="35">
        <v>45.62</v>
      </c>
      <c r="P9" s="35">
        <v>45.25</v>
      </c>
      <c r="Q9" s="35">
        <v>45.86</v>
      </c>
      <c r="R9" s="36">
        <v>47.55</v>
      </c>
      <c r="S9" s="36">
        <v>45.6</v>
      </c>
      <c r="T9" s="36">
        <v>44.61</v>
      </c>
      <c r="U9" s="36">
        <v>45.7</v>
      </c>
      <c r="V9" s="36">
        <v>46.37</v>
      </c>
      <c r="W9" s="36">
        <v>47.2</v>
      </c>
      <c r="X9" s="36">
        <v>43.4</v>
      </c>
    </row>
    <row r="10" spans="4:24" ht="19.5" customHeight="1" x14ac:dyDescent="0.35">
      <c r="D10" s="37" t="s">
        <v>21</v>
      </c>
      <c r="E10" s="31" t="s">
        <v>22</v>
      </c>
      <c r="F10" s="32" t="s">
        <v>23</v>
      </c>
      <c r="G10" s="38"/>
      <c r="H10" s="39">
        <v>0.80549999999999999</v>
      </c>
      <c r="I10" s="39">
        <v>0.80659999999999998</v>
      </c>
      <c r="J10" s="40">
        <v>0.79790000000000005</v>
      </c>
      <c r="K10" s="40">
        <v>0.80449999999999999</v>
      </c>
      <c r="L10" s="40">
        <v>0.80659999999999998</v>
      </c>
      <c r="M10" s="40">
        <v>0.80630000000000002</v>
      </c>
      <c r="N10" s="40">
        <v>0.79920000000000002</v>
      </c>
      <c r="O10" s="40">
        <v>0.79810000000000003</v>
      </c>
      <c r="P10" s="40">
        <v>0.79979999999999996</v>
      </c>
      <c r="Q10" s="40">
        <v>0.79700000000000004</v>
      </c>
      <c r="R10" s="41">
        <v>0.78949999999999998</v>
      </c>
      <c r="S10" s="41">
        <v>0.79830000000000001</v>
      </c>
      <c r="T10" s="41">
        <v>0.80269999999999997</v>
      </c>
      <c r="U10" s="41">
        <v>0.79779999999999995</v>
      </c>
      <c r="V10" s="41">
        <v>0.79469999999999996</v>
      </c>
      <c r="W10" s="41">
        <v>0.79110000000000003</v>
      </c>
      <c r="X10" s="41">
        <v>0.80810000000000004</v>
      </c>
    </row>
    <row r="11" spans="4:24" ht="19.5" customHeight="1" x14ac:dyDescent="0.35">
      <c r="D11" s="37" t="s">
        <v>24</v>
      </c>
      <c r="E11" s="31" t="s">
        <v>25</v>
      </c>
      <c r="F11" s="32" t="s">
        <v>17</v>
      </c>
      <c r="G11" s="172"/>
      <c r="H11" s="38"/>
      <c r="I11" s="38"/>
      <c r="J11" s="42"/>
      <c r="K11" s="42"/>
      <c r="L11" s="42"/>
      <c r="M11" s="42"/>
      <c r="N11" s="42"/>
      <c r="O11" s="42"/>
      <c r="P11" s="42"/>
      <c r="Q11" s="42"/>
      <c r="R11" s="43"/>
      <c r="S11" s="43"/>
      <c r="T11" s="43"/>
      <c r="U11" s="43"/>
      <c r="V11" s="43"/>
      <c r="W11" s="43"/>
      <c r="X11" s="43"/>
    </row>
    <row r="12" spans="4:24" ht="19.5" customHeight="1" x14ac:dyDescent="0.35">
      <c r="D12" s="44" t="s">
        <v>26</v>
      </c>
      <c r="E12" s="2677" t="s">
        <v>27</v>
      </c>
      <c r="F12" s="2680" t="s">
        <v>28</v>
      </c>
      <c r="G12" s="38"/>
      <c r="H12" s="38"/>
      <c r="I12" s="38"/>
      <c r="J12" s="42"/>
      <c r="K12" s="42"/>
      <c r="L12" s="42"/>
      <c r="M12" s="42"/>
      <c r="N12" s="42"/>
      <c r="O12" s="42"/>
      <c r="P12" s="42"/>
      <c r="Q12" s="42"/>
      <c r="R12" s="43"/>
      <c r="S12" s="43"/>
      <c r="T12" s="43"/>
      <c r="U12" s="43"/>
      <c r="V12" s="43"/>
      <c r="W12" s="43"/>
      <c r="X12" s="43"/>
    </row>
    <row r="13" spans="4:24" ht="19.5" customHeight="1" x14ac:dyDescent="0.35">
      <c r="D13" s="44" t="s">
        <v>29</v>
      </c>
      <c r="E13" s="2678"/>
      <c r="F13" s="2681"/>
      <c r="G13" s="47"/>
      <c r="H13" s="47"/>
      <c r="I13" s="47"/>
      <c r="J13" s="55"/>
      <c r="K13" s="55"/>
      <c r="L13" s="55"/>
      <c r="M13" s="55"/>
      <c r="N13" s="55"/>
      <c r="O13" s="55"/>
      <c r="P13" s="55"/>
      <c r="Q13" s="55"/>
      <c r="R13" s="56"/>
      <c r="S13" s="56"/>
      <c r="T13" s="56"/>
      <c r="U13" s="56"/>
      <c r="V13" s="56"/>
      <c r="W13" s="56"/>
      <c r="X13" s="56"/>
    </row>
    <row r="14" spans="4:24" ht="19.5" customHeight="1" x14ac:dyDescent="0.35">
      <c r="D14" s="44" t="s">
        <v>30</v>
      </c>
      <c r="E14" s="2678"/>
      <c r="F14" s="2681"/>
      <c r="G14" s="47"/>
      <c r="H14" s="49"/>
      <c r="I14" s="50"/>
      <c r="J14" s="51"/>
      <c r="K14" s="51"/>
      <c r="L14" s="51"/>
      <c r="M14" s="51"/>
      <c r="N14" s="51"/>
      <c r="O14" s="51"/>
      <c r="P14" s="51"/>
      <c r="Q14" s="51"/>
      <c r="R14" s="52"/>
      <c r="S14" s="52"/>
      <c r="T14" s="52"/>
      <c r="U14" s="52"/>
      <c r="V14" s="52"/>
      <c r="W14" s="52"/>
      <c r="X14" s="52"/>
    </row>
    <row r="15" spans="4:24" ht="19.5" customHeight="1" x14ac:dyDescent="0.35">
      <c r="D15" s="44" t="s">
        <v>31</v>
      </c>
      <c r="E15" s="2678"/>
      <c r="F15" s="2681"/>
      <c r="G15" s="47"/>
      <c r="H15" s="49"/>
      <c r="I15" s="49"/>
      <c r="J15" s="53"/>
      <c r="K15" s="53"/>
      <c r="L15" s="53"/>
      <c r="M15" s="53"/>
      <c r="N15" s="53"/>
      <c r="O15" s="53"/>
      <c r="P15" s="53"/>
      <c r="Q15" s="53"/>
      <c r="R15" s="54"/>
      <c r="S15" s="54"/>
      <c r="T15" s="54"/>
      <c r="U15" s="54"/>
      <c r="V15" s="54"/>
      <c r="W15" s="54"/>
      <c r="X15" s="54"/>
    </row>
    <row r="16" spans="4:24" ht="19.5" customHeight="1" x14ac:dyDescent="0.35">
      <c r="D16" s="44" t="s">
        <v>32</v>
      </c>
      <c r="E16" s="2678"/>
      <c r="F16" s="2681"/>
      <c r="G16" s="47"/>
      <c r="H16" s="47"/>
      <c r="I16" s="47"/>
      <c r="J16" s="55"/>
      <c r="K16" s="55"/>
      <c r="L16" s="55"/>
      <c r="M16" s="55"/>
      <c r="N16" s="55"/>
      <c r="O16" s="55"/>
      <c r="P16" s="55"/>
      <c r="Q16" s="55"/>
      <c r="R16" s="56"/>
      <c r="S16" s="56"/>
      <c r="T16" s="56"/>
      <c r="U16" s="56"/>
      <c r="V16" s="56"/>
      <c r="W16" s="56"/>
      <c r="X16" s="56"/>
    </row>
    <row r="17" spans="2:24" ht="19.5" customHeight="1" x14ac:dyDescent="0.35">
      <c r="D17" s="44" t="s">
        <v>33</v>
      </c>
      <c r="E17" s="2679"/>
      <c r="F17" s="2682"/>
      <c r="G17" s="57"/>
      <c r="H17" s="47"/>
      <c r="I17" s="47"/>
      <c r="J17" s="55"/>
      <c r="K17" s="55"/>
      <c r="L17" s="55"/>
      <c r="M17" s="55"/>
      <c r="N17" s="55"/>
      <c r="O17" s="55"/>
      <c r="P17" s="55"/>
      <c r="Q17" s="55"/>
      <c r="R17" s="56"/>
      <c r="S17" s="56"/>
      <c r="T17" s="56"/>
      <c r="U17" s="56"/>
      <c r="V17" s="56"/>
      <c r="W17" s="56"/>
      <c r="X17" s="56"/>
    </row>
    <row r="18" spans="2:24" ht="19.5" customHeight="1" x14ac:dyDescent="0.35">
      <c r="D18" s="2683" t="s">
        <v>34</v>
      </c>
      <c r="E18" s="58" t="s">
        <v>35</v>
      </c>
      <c r="F18" s="59" t="s">
        <v>36</v>
      </c>
      <c r="G18" s="60">
        <v>5.9859999999999998</v>
      </c>
      <c r="H18" s="60">
        <v>0.10199999999999999</v>
      </c>
      <c r="I18" s="61">
        <v>0.13600000000000001</v>
      </c>
      <c r="J18" s="145">
        <v>0.14269999999999999</v>
      </c>
      <c r="K18" s="145">
        <v>0.15322</v>
      </c>
      <c r="L18" s="145">
        <v>0.14549999999999999</v>
      </c>
      <c r="M18" s="145">
        <v>7.2599999999999998E-2</v>
      </c>
      <c r="N18" s="145">
        <v>9.01E-2</v>
      </c>
      <c r="O18" s="145">
        <v>7.51E-2</v>
      </c>
      <c r="P18" s="145">
        <v>8.3299999999999999E-2</v>
      </c>
      <c r="Q18" s="145">
        <v>7.8789999999999999E-2</v>
      </c>
      <c r="R18" s="564">
        <v>8.3099999999999993E-2</v>
      </c>
      <c r="S18" s="564">
        <v>8.7900000000000006E-2</v>
      </c>
      <c r="T18" s="564">
        <v>9.6710000000000004E-2</v>
      </c>
      <c r="U18" s="564">
        <v>8.8999999999999996E-2</v>
      </c>
      <c r="V18" s="564">
        <v>8.7290000000000006E-2</v>
      </c>
      <c r="W18" s="564">
        <v>7.8899999999999998E-2</v>
      </c>
      <c r="X18" s="564">
        <v>9.74E-2</v>
      </c>
    </row>
    <row r="19" spans="2:24" ht="19.5" customHeight="1" x14ac:dyDescent="0.35">
      <c r="D19" s="2683"/>
      <c r="E19" s="2684" t="s">
        <v>37</v>
      </c>
      <c r="F19" s="59" t="s">
        <v>36</v>
      </c>
      <c r="G19" s="47"/>
      <c r="H19" s="47"/>
      <c r="I19" s="47"/>
      <c r="J19" s="55"/>
      <c r="K19" s="55"/>
      <c r="L19" s="55"/>
      <c r="M19" s="55"/>
      <c r="N19" s="55"/>
      <c r="O19" s="55"/>
      <c r="P19" s="55"/>
      <c r="Q19" s="55"/>
      <c r="R19" s="56"/>
      <c r="S19" s="56"/>
      <c r="T19" s="56"/>
      <c r="U19" s="56"/>
      <c r="V19" s="56"/>
      <c r="W19" s="56"/>
      <c r="X19" s="56"/>
    </row>
    <row r="20" spans="2:24" ht="19.5" customHeight="1" x14ac:dyDescent="0.35">
      <c r="D20" s="2683"/>
      <c r="E20" s="2684"/>
      <c r="F20" s="59" t="s">
        <v>38</v>
      </c>
      <c r="G20" s="47"/>
      <c r="H20" s="47"/>
      <c r="I20" s="47"/>
      <c r="J20" s="55"/>
      <c r="K20" s="55"/>
      <c r="L20" s="55"/>
      <c r="M20" s="55"/>
      <c r="N20" s="55"/>
      <c r="O20" s="55"/>
      <c r="P20" s="55"/>
      <c r="Q20" s="55"/>
      <c r="R20" s="56"/>
      <c r="S20" s="56"/>
      <c r="T20" s="56"/>
      <c r="U20" s="56"/>
      <c r="V20" s="56"/>
      <c r="W20" s="56"/>
      <c r="X20" s="56"/>
    </row>
    <row r="21" spans="2:24" ht="19.5" customHeight="1" x14ac:dyDescent="0.35">
      <c r="D21" s="2686" t="s">
        <v>39</v>
      </c>
      <c r="E21" s="64" t="s">
        <v>40</v>
      </c>
      <c r="F21" s="59" t="s">
        <v>38</v>
      </c>
      <c r="G21" s="65"/>
      <c r="H21" s="47"/>
      <c r="I21" s="47"/>
      <c r="J21" s="55"/>
      <c r="K21" s="55"/>
      <c r="L21" s="55"/>
      <c r="M21" s="55"/>
      <c r="N21" s="55"/>
      <c r="O21" s="55"/>
      <c r="P21" s="55"/>
      <c r="Q21" s="55"/>
      <c r="R21" s="56"/>
      <c r="S21" s="56"/>
      <c r="T21" s="56"/>
      <c r="U21" s="56"/>
      <c r="V21" s="56"/>
      <c r="W21" s="56"/>
      <c r="X21" s="56"/>
    </row>
    <row r="22" spans="2:24" ht="19.5" customHeight="1" x14ac:dyDescent="0.35">
      <c r="D22" s="2687"/>
      <c r="E22" s="2677" t="s">
        <v>41</v>
      </c>
      <c r="F22" s="66" t="s">
        <v>38</v>
      </c>
      <c r="G22" s="67">
        <v>3301</v>
      </c>
      <c r="H22" s="68">
        <v>268</v>
      </c>
      <c r="I22" s="69">
        <v>516.70000000000005</v>
      </c>
      <c r="J22" s="70">
        <v>542.29999999999995</v>
      </c>
      <c r="K22" s="70">
        <v>768.1</v>
      </c>
      <c r="L22" s="70">
        <v>716.84</v>
      </c>
      <c r="M22" s="70">
        <v>803</v>
      </c>
      <c r="N22" s="70">
        <v>917.2</v>
      </c>
      <c r="O22" s="70">
        <v>952</v>
      </c>
      <c r="P22" s="70">
        <v>978.07</v>
      </c>
      <c r="Q22" s="70">
        <v>974.47</v>
      </c>
      <c r="R22" s="71">
        <v>915.45</v>
      </c>
      <c r="S22" s="71">
        <v>1012</v>
      </c>
      <c r="T22" s="71">
        <v>955.3</v>
      </c>
      <c r="U22" s="71">
        <v>921.48</v>
      </c>
      <c r="V22" s="71">
        <v>868.19</v>
      </c>
      <c r="W22" s="71">
        <v>777.6</v>
      </c>
      <c r="X22" s="71">
        <v>980</v>
      </c>
    </row>
    <row r="23" spans="2:24" ht="19.5" customHeight="1" x14ac:dyDescent="0.35">
      <c r="B23" s="72">
        <v>0.45190000000000002</v>
      </c>
      <c r="D23" s="2688"/>
      <c r="E23" s="2679"/>
      <c r="F23" s="66" t="s">
        <v>36</v>
      </c>
      <c r="G23" s="73">
        <v>0.3301</v>
      </c>
      <c r="H23" s="74">
        <f>H22/10000</f>
        <v>2.6800000000000001E-2</v>
      </c>
      <c r="I23" s="74">
        <f>I22/10000</f>
        <v>5.1670000000000008E-2</v>
      </c>
      <c r="J23" s="74">
        <f t="shared" ref="J23:X23" si="0">J22/10000</f>
        <v>5.4229999999999993E-2</v>
      </c>
      <c r="K23" s="74">
        <f t="shared" si="0"/>
        <v>7.6810000000000003E-2</v>
      </c>
      <c r="L23" s="74">
        <f t="shared" si="0"/>
        <v>7.1683999999999998E-2</v>
      </c>
      <c r="M23" s="74">
        <f t="shared" si="0"/>
        <v>8.0299999999999996E-2</v>
      </c>
      <c r="N23" s="74">
        <f t="shared" si="0"/>
        <v>9.172000000000001E-2</v>
      </c>
      <c r="O23" s="74">
        <f t="shared" si="0"/>
        <v>9.5200000000000007E-2</v>
      </c>
      <c r="P23" s="74">
        <f t="shared" si="0"/>
        <v>9.7807000000000005E-2</v>
      </c>
      <c r="Q23" s="74">
        <f t="shared" si="0"/>
        <v>9.7447000000000006E-2</v>
      </c>
      <c r="R23" s="74">
        <f t="shared" si="0"/>
        <v>9.1545000000000001E-2</v>
      </c>
      <c r="S23" s="74">
        <f t="shared" si="0"/>
        <v>0.1012</v>
      </c>
      <c r="T23" s="74">
        <f t="shared" si="0"/>
        <v>9.552999999999999E-2</v>
      </c>
      <c r="U23" s="74">
        <f t="shared" si="0"/>
        <v>9.2148000000000008E-2</v>
      </c>
      <c r="V23" s="74">
        <f t="shared" si="0"/>
        <v>8.6819000000000007E-2</v>
      </c>
      <c r="W23" s="74">
        <f t="shared" si="0"/>
        <v>7.7759999999999996E-2</v>
      </c>
      <c r="X23" s="74">
        <f t="shared" si="0"/>
        <v>9.8000000000000004E-2</v>
      </c>
    </row>
    <row r="24" spans="2:24" ht="19.5" customHeight="1" x14ac:dyDescent="0.35">
      <c r="D24" s="75" t="s">
        <v>42</v>
      </c>
      <c r="E24" s="2677" t="s">
        <v>43</v>
      </c>
      <c r="F24" s="2680" t="s">
        <v>36</v>
      </c>
      <c r="G24" s="47"/>
      <c r="H24" s="47"/>
      <c r="I24" s="47"/>
      <c r="J24" s="55"/>
      <c r="K24" s="55"/>
      <c r="L24" s="55"/>
      <c r="M24" s="55"/>
      <c r="N24" s="55"/>
      <c r="O24" s="55"/>
      <c r="P24" s="55"/>
      <c r="Q24" s="55"/>
      <c r="R24" s="56"/>
      <c r="S24" s="56"/>
      <c r="T24" s="56"/>
      <c r="U24" s="56"/>
      <c r="V24" s="56"/>
      <c r="W24" s="56"/>
      <c r="X24" s="56"/>
    </row>
    <row r="25" spans="2:24" ht="19.5" customHeight="1" x14ac:dyDescent="0.35">
      <c r="B25" s="76"/>
      <c r="D25" s="44" t="s">
        <v>44</v>
      </c>
      <c r="E25" s="2678"/>
      <c r="F25" s="2681"/>
      <c r="G25" s="60">
        <v>84.31</v>
      </c>
      <c r="H25" s="77">
        <v>86.99</v>
      </c>
      <c r="I25" s="77">
        <v>86.33</v>
      </c>
      <c r="J25" s="62">
        <v>86.72</v>
      </c>
      <c r="K25" s="62">
        <v>85.54</v>
      </c>
      <c r="L25" s="62">
        <v>86.67</v>
      </c>
      <c r="M25" s="62">
        <v>85.59</v>
      </c>
      <c r="N25" s="62">
        <v>86.48</v>
      </c>
      <c r="O25" s="62">
        <v>86.98</v>
      </c>
      <c r="P25" s="62">
        <v>85.82</v>
      </c>
      <c r="Q25" s="62">
        <v>85.47</v>
      </c>
      <c r="R25" s="63">
        <v>86.77</v>
      </c>
      <c r="S25" s="63">
        <v>86.71</v>
      </c>
      <c r="T25" s="63">
        <v>87.83</v>
      </c>
      <c r="U25" s="63">
        <v>86.37</v>
      </c>
      <c r="V25" s="63">
        <v>86.35</v>
      </c>
      <c r="W25" s="63">
        <v>86.75</v>
      </c>
      <c r="X25" s="63">
        <v>87.53</v>
      </c>
    </row>
    <row r="26" spans="2:24" ht="19.5" customHeight="1" x14ac:dyDescent="0.35">
      <c r="B26" s="76"/>
      <c r="D26" s="44" t="s">
        <v>45</v>
      </c>
      <c r="E26" s="2678"/>
      <c r="F26" s="2681"/>
      <c r="G26" s="60">
        <v>9.782</v>
      </c>
      <c r="H26" s="77">
        <v>13.14</v>
      </c>
      <c r="I26" s="77">
        <v>12.27</v>
      </c>
      <c r="J26" s="62">
        <v>13.8</v>
      </c>
      <c r="K26" s="62">
        <v>13.91</v>
      </c>
      <c r="L26" s="62">
        <v>13.4</v>
      </c>
      <c r="M26" s="62">
        <v>13.22</v>
      </c>
      <c r="N26" s="62">
        <v>13.89</v>
      </c>
      <c r="O26" s="62">
        <v>14.01</v>
      </c>
      <c r="P26" s="62">
        <v>13.95</v>
      </c>
      <c r="Q26" s="62">
        <v>13.68</v>
      </c>
      <c r="R26" s="63">
        <v>14.08</v>
      </c>
      <c r="S26" s="63">
        <v>13.82</v>
      </c>
      <c r="T26" s="63">
        <v>13.93</v>
      </c>
      <c r="U26" s="63">
        <v>13.86</v>
      </c>
      <c r="V26" s="63">
        <v>13.9</v>
      </c>
      <c r="W26" s="63">
        <v>14.07</v>
      </c>
      <c r="X26" s="63">
        <v>14</v>
      </c>
    </row>
    <row r="27" spans="2:24" ht="19.5" customHeight="1" x14ac:dyDescent="0.35">
      <c r="B27" s="76"/>
      <c r="D27" s="44" t="s">
        <v>46</v>
      </c>
      <c r="E27" s="2679"/>
      <c r="F27" s="2682"/>
      <c r="G27" s="60">
        <v>0.45190000000000002</v>
      </c>
      <c r="H27" s="77">
        <v>0.14000000000000001</v>
      </c>
      <c r="I27" s="77">
        <v>0.1145</v>
      </c>
      <c r="J27" s="62">
        <v>0.1206</v>
      </c>
      <c r="K27" s="62">
        <v>0.15</v>
      </c>
      <c r="L27" s="62">
        <v>0.17</v>
      </c>
      <c r="M27" s="526">
        <v>0.41839999999999999</v>
      </c>
      <c r="N27" s="526">
        <v>7.3660000000000003E-2</v>
      </c>
      <c r="O27" s="526">
        <v>0.89980000000000004</v>
      </c>
      <c r="P27" s="526">
        <v>0.18</v>
      </c>
      <c r="Q27" s="526">
        <v>1.546</v>
      </c>
      <c r="R27" s="525">
        <v>1.2290000000000001</v>
      </c>
      <c r="S27" s="525">
        <v>1.42</v>
      </c>
      <c r="T27" s="525">
        <v>1.61</v>
      </c>
      <c r="U27" s="525">
        <v>1.573</v>
      </c>
      <c r="V27" s="525">
        <v>1.5349999999999999</v>
      </c>
      <c r="W27" s="525">
        <v>2.0099999999999998</v>
      </c>
      <c r="X27" s="525">
        <v>3.03</v>
      </c>
    </row>
    <row r="28" spans="2:24" ht="19.5" customHeight="1" x14ac:dyDescent="0.35">
      <c r="B28" s="76"/>
      <c r="D28" s="78" t="s">
        <v>150</v>
      </c>
      <c r="E28" s="79"/>
      <c r="F28" s="80"/>
      <c r="G28" s="2">
        <f>(G25+G26+G27+G18)</f>
        <v>100.5299</v>
      </c>
      <c r="H28" s="2">
        <f>H$25+H$26+H$23+H$18</f>
        <v>100.25879999999999</v>
      </c>
      <c r="I28" s="2">
        <f t="shared" ref="I28:X28" si="1">I$25+I$26+I$23+I$18</f>
        <v>98.787669999999991</v>
      </c>
      <c r="J28" s="2">
        <f t="shared" si="1"/>
        <v>100.71693</v>
      </c>
      <c r="K28" s="2">
        <f t="shared" si="1"/>
        <v>99.680030000000002</v>
      </c>
      <c r="L28" s="2">
        <f t="shared" si="1"/>
        <v>100.28718400000001</v>
      </c>
      <c r="M28" s="2">
        <f t="shared" si="1"/>
        <v>98.962899999999991</v>
      </c>
      <c r="N28" s="2">
        <f t="shared" si="1"/>
        <v>100.55182000000001</v>
      </c>
      <c r="O28" s="2">
        <f t="shared" si="1"/>
        <v>101.16030000000002</v>
      </c>
      <c r="P28" s="2">
        <f t="shared" si="1"/>
        <v>99.951106999999993</v>
      </c>
      <c r="Q28" s="2">
        <f t="shared" si="1"/>
        <v>99.326237000000006</v>
      </c>
      <c r="R28" s="2">
        <f t="shared" si="1"/>
        <v>101.02464499999999</v>
      </c>
      <c r="S28" s="2">
        <f t="shared" si="1"/>
        <v>100.71910000000001</v>
      </c>
      <c r="T28" s="2">
        <f t="shared" si="1"/>
        <v>101.95223999999999</v>
      </c>
      <c r="U28" s="2">
        <f t="shared" si="1"/>
        <v>100.411148</v>
      </c>
      <c r="V28" s="2">
        <f t="shared" si="1"/>
        <v>100.424109</v>
      </c>
      <c r="W28" s="2">
        <f t="shared" si="1"/>
        <v>100.97666</v>
      </c>
      <c r="X28" s="2">
        <f t="shared" si="1"/>
        <v>101.72539999999999</v>
      </c>
    </row>
    <row r="29" spans="2:24" ht="19.5" customHeight="1" x14ac:dyDescent="0.35">
      <c r="D29" s="78" t="s">
        <v>151</v>
      </c>
      <c r="E29" s="79"/>
      <c r="F29" s="80"/>
      <c r="G29" s="2">
        <f>(100-G31-G32)/(1+(G26/G25))</f>
        <v>83.974158353580975</v>
      </c>
      <c r="H29" s="2">
        <f>(100-H$31-H$32)/(1+(H$26/H$25))</f>
        <v>86.765451012778925</v>
      </c>
      <c r="I29" s="2">
        <f t="shared" ref="I29:X29" si="2">(100-I$31-I$32)/(1+(I$26/I$25))</f>
        <v>87.389448501012311</v>
      </c>
      <c r="J29" s="2">
        <f t="shared" si="2"/>
        <v>86.102703885037002</v>
      </c>
      <c r="K29" s="2">
        <f t="shared" si="2"/>
        <v>85.814580914552295</v>
      </c>
      <c r="L29" s="2">
        <f t="shared" si="2"/>
        <v>86.421810388055178</v>
      </c>
      <c r="M29" s="2">
        <f t="shared" si="2"/>
        <v>86.48695622298861</v>
      </c>
      <c r="N29" s="2">
        <f t="shared" si="2"/>
        <v>86.005404974270974</v>
      </c>
      <c r="O29" s="2">
        <f t="shared" si="2"/>
        <v>85.982346829734581</v>
      </c>
      <c r="P29" s="2">
        <f t="shared" si="2"/>
        <v>85.861980498124936</v>
      </c>
      <c r="Q29" s="2">
        <f t="shared" si="2"/>
        <v>86.049771522100457</v>
      </c>
      <c r="R29" s="2">
        <f t="shared" si="2"/>
        <v>85.889933095038344</v>
      </c>
      <c r="S29" s="2">
        <f t="shared" si="2"/>
        <v>86.090920192892909</v>
      </c>
      <c r="T29" s="2">
        <f t="shared" si="2"/>
        <v>86.148180756008884</v>
      </c>
      <c r="U29" s="2">
        <f t="shared" si="2"/>
        <v>86.016345515738948</v>
      </c>
      <c r="V29" s="2">
        <f t="shared" si="2"/>
        <v>85.985328483223086</v>
      </c>
      <c r="W29" s="2">
        <f t="shared" si="2"/>
        <v>85.910942191987729</v>
      </c>
      <c r="X29" s="2">
        <f t="shared" si="2"/>
        <v>86.045373131980796</v>
      </c>
    </row>
    <row r="30" spans="2:24" ht="19.5" customHeight="1" x14ac:dyDescent="0.35">
      <c r="D30" s="78" t="s">
        <v>152</v>
      </c>
      <c r="E30" s="79"/>
      <c r="F30" s="80" t="s">
        <v>36</v>
      </c>
      <c r="G30" s="2">
        <f>G29*(G26/G25)</f>
        <v>9.7430342428505412</v>
      </c>
      <c r="H30" s="2">
        <f>H$29*(H$26/H$25)</f>
        <v>13.106081461178471</v>
      </c>
      <c r="I30" s="2">
        <f t="shared" ref="I30:X30" si="3">I$29*(I$26/I$25)</f>
        <v>12.420578398093607</v>
      </c>
      <c r="J30" s="2">
        <f t="shared" si="3"/>
        <v>13.701767915284949</v>
      </c>
      <c r="K30" s="2">
        <f t="shared" si="3"/>
        <v>13.95465069583145</v>
      </c>
      <c r="L30" s="2">
        <f t="shared" si="3"/>
        <v>13.361627543555317</v>
      </c>
      <c r="M30" s="2">
        <f t="shared" si="3"/>
        <v>13.358541433203756</v>
      </c>
      <c r="N30" s="2">
        <f t="shared" si="3"/>
        <v>13.813772838721366</v>
      </c>
      <c r="O30" s="2">
        <f t="shared" si="3"/>
        <v>13.849306496718572</v>
      </c>
      <c r="P30" s="2">
        <f t="shared" si="3"/>
        <v>13.956823909914274</v>
      </c>
      <c r="Q30" s="2">
        <f t="shared" si="3"/>
        <v>13.772796003537314</v>
      </c>
      <c r="R30" s="2">
        <f t="shared" si="3"/>
        <v>13.937193246261842</v>
      </c>
      <c r="S30" s="2">
        <f t="shared" si="3"/>
        <v>13.721329916569948</v>
      </c>
      <c r="T30" s="2">
        <f t="shared" si="3"/>
        <v>13.66326036583404</v>
      </c>
      <c r="U30" s="2">
        <f t="shared" si="3"/>
        <v>13.803248221004305</v>
      </c>
      <c r="V30" s="2">
        <f t="shared" si="3"/>
        <v>13.841297810269843</v>
      </c>
      <c r="W30" s="2">
        <f t="shared" si="3"/>
        <v>13.933913044856109</v>
      </c>
      <c r="X30" s="2">
        <f t="shared" si="3"/>
        <v>13.762541115591583</v>
      </c>
    </row>
    <row r="31" spans="2:24" ht="19.5" customHeight="1" x14ac:dyDescent="0.35">
      <c r="D31" s="78" t="s">
        <v>153</v>
      </c>
      <c r="E31" s="79"/>
      <c r="F31" s="80"/>
      <c r="G31" s="2">
        <f>G23*100/G28</f>
        <v>0.32836002025268102</v>
      </c>
      <c r="H31" s="2">
        <f>H$23*100/H$28</f>
        <v>2.6730820636193534E-2</v>
      </c>
      <c r="I31" s="2">
        <f t="shared" ref="I31:X31" si="4">I$23*100/I$28</f>
        <v>5.2304098274612625E-2</v>
      </c>
      <c r="J31" s="2">
        <f t="shared" si="4"/>
        <v>5.3843976380137867E-2</v>
      </c>
      <c r="K31" s="2">
        <f t="shared" si="4"/>
        <v>7.7056557868210918E-2</v>
      </c>
      <c r="L31" s="2">
        <f t="shared" si="4"/>
        <v>7.1478724539717847E-2</v>
      </c>
      <c r="M31" s="2">
        <f t="shared" si="4"/>
        <v>8.1141518690337491E-2</v>
      </c>
      <c r="N31" s="2">
        <f t="shared" si="4"/>
        <v>9.1216648291398403E-2</v>
      </c>
      <c r="O31" s="2">
        <f t="shared" si="4"/>
        <v>9.4108064131877819E-2</v>
      </c>
      <c r="P31" s="2">
        <f t="shared" si="4"/>
        <v>9.7854844168959551E-2</v>
      </c>
      <c r="Q31" s="2">
        <f t="shared" si="4"/>
        <v>9.8108015508530738E-2</v>
      </c>
      <c r="R31" s="2">
        <f t="shared" si="4"/>
        <v>9.061650253757389E-2</v>
      </c>
      <c r="S31" s="2">
        <f t="shared" si="4"/>
        <v>0.10047746653812432</v>
      </c>
      <c r="T31" s="2">
        <f t="shared" si="4"/>
        <v>9.3700736737123189E-2</v>
      </c>
      <c r="U31" s="2">
        <f t="shared" si="4"/>
        <v>9.1770686657222572E-2</v>
      </c>
      <c r="V31" s="2">
        <f t="shared" si="4"/>
        <v>8.6452347812217084E-2</v>
      </c>
      <c r="W31" s="2">
        <f t="shared" si="4"/>
        <v>7.700789469566531E-2</v>
      </c>
      <c r="X31" s="2">
        <f t="shared" si="4"/>
        <v>9.6337787809141096E-2</v>
      </c>
    </row>
    <row r="32" spans="2:24" ht="19.5" customHeight="1" x14ac:dyDescent="0.35">
      <c r="D32" s="78" t="s">
        <v>154</v>
      </c>
      <c r="E32" s="79"/>
      <c r="F32" s="80"/>
      <c r="G32" s="2">
        <f>G18*100/G28</f>
        <v>5.9544473833158102</v>
      </c>
      <c r="H32" s="2">
        <f>H$18*100/H$28</f>
        <v>0.10173670540640821</v>
      </c>
      <c r="I32" s="2">
        <f t="shared" ref="I32:X32" si="5">I$18*100/I$28</f>
        <v>0.13766900261945647</v>
      </c>
      <c r="J32" s="2">
        <f t="shared" si="5"/>
        <v>0.14168422329791028</v>
      </c>
      <c r="K32" s="2">
        <f t="shared" si="5"/>
        <v>0.1537118317480442</v>
      </c>
      <c r="L32" s="2">
        <f t="shared" si="5"/>
        <v>0.14508334384979837</v>
      </c>
      <c r="M32" s="2">
        <f t="shared" si="5"/>
        <v>7.3360825117291431E-2</v>
      </c>
      <c r="N32" s="2">
        <f t="shared" si="5"/>
        <v>8.9605538716255942E-2</v>
      </c>
      <c r="O32" s="2">
        <f t="shared" si="5"/>
        <v>7.4238609414958218E-2</v>
      </c>
      <c r="P32" s="2">
        <f t="shared" si="5"/>
        <v>8.3340747791817854E-2</v>
      </c>
      <c r="Q32" s="2">
        <f t="shared" si="5"/>
        <v>7.9324458853706495E-2</v>
      </c>
      <c r="R32" s="2">
        <f t="shared" si="5"/>
        <v>8.2257156162241399E-2</v>
      </c>
      <c r="S32" s="2">
        <f t="shared" si="5"/>
        <v>8.7272423999023019E-2</v>
      </c>
      <c r="T32" s="2">
        <f t="shared" si="5"/>
        <v>9.4858141419943323E-2</v>
      </c>
      <c r="U32" s="2">
        <f t="shared" si="5"/>
        <v>8.8635576599522606E-2</v>
      </c>
      <c r="V32" s="2">
        <f t="shared" si="5"/>
        <v>8.692135869485286E-2</v>
      </c>
      <c r="W32" s="2">
        <f t="shared" si="5"/>
        <v>7.8136868460493739E-2</v>
      </c>
      <c r="X32" s="2">
        <f t="shared" si="5"/>
        <v>9.5747964618472875E-2</v>
      </c>
    </row>
    <row r="33" spans="4:24" ht="19.5" customHeight="1" x14ac:dyDescent="0.35">
      <c r="D33" s="78" t="s">
        <v>155</v>
      </c>
      <c r="E33" s="79"/>
      <c r="F33" s="80"/>
      <c r="G33" s="149">
        <f>G30/G29</f>
        <v>0.11602419641798126</v>
      </c>
      <c r="H33" s="149">
        <f>H$30/H$29</f>
        <v>0.15105184503965974</v>
      </c>
      <c r="I33" s="149">
        <f t="shared" ref="I33:X33" si="6">I$30/I$29</f>
        <v>0.14212903973126376</v>
      </c>
      <c r="J33" s="149">
        <f t="shared" si="6"/>
        <v>0.15913284132841329</v>
      </c>
      <c r="K33" s="149">
        <f t="shared" si="6"/>
        <v>0.16261398176291791</v>
      </c>
      <c r="L33" s="149">
        <f t="shared" si="6"/>
        <v>0.15460943809853467</v>
      </c>
      <c r="M33" s="149">
        <f t="shared" si="6"/>
        <v>0.15445729641313238</v>
      </c>
      <c r="N33" s="149">
        <f t="shared" si="6"/>
        <v>0.16061517113783533</v>
      </c>
      <c r="O33" s="149">
        <f t="shared" si="6"/>
        <v>0.16107151069211312</v>
      </c>
      <c r="P33" s="149">
        <f t="shared" si="6"/>
        <v>0.16254952225588443</v>
      </c>
      <c r="Q33" s="149">
        <f t="shared" si="6"/>
        <v>0.16005616005616005</v>
      </c>
      <c r="R33" s="149">
        <f t="shared" si="6"/>
        <v>0.16226806499942378</v>
      </c>
      <c r="S33" s="149">
        <f t="shared" si="6"/>
        <v>0.1593818475377696</v>
      </c>
      <c r="T33" s="149">
        <f t="shared" si="6"/>
        <v>0.15860184447227599</v>
      </c>
      <c r="U33" s="149">
        <f t="shared" si="6"/>
        <v>0.16047238624522403</v>
      </c>
      <c r="V33" s="149">
        <f t="shared" si="6"/>
        <v>0.16097278517660685</v>
      </c>
      <c r="W33" s="149">
        <f t="shared" si="6"/>
        <v>0.16219020172910664</v>
      </c>
      <c r="X33" s="149">
        <f t="shared" si="6"/>
        <v>0.15994516165885983</v>
      </c>
    </row>
    <row r="34" spans="4:24" ht="19.5" hidden="1" customHeight="1" x14ac:dyDescent="0.35">
      <c r="D34" s="81" t="s">
        <v>106</v>
      </c>
      <c r="E34" s="45"/>
      <c r="F34" s="46"/>
      <c r="G34" s="82">
        <f>G25*100/G28</f>
        <v>83.86559620570597</v>
      </c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</row>
    <row r="35" spans="4:24" ht="19.5" hidden="1" customHeight="1" x14ac:dyDescent="0.35">
      <c r="D35" s="81" t="s">
        <v>107</v>
      </c>
      <c r="E35" s="45"/>
      <c r="F35" s="46"/>
      <c r="G35" s="82">
        <f>G26*100/G28</f>
        <v>9.7304384068819338</v>
      </c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</row>
    <row r="36" spans="4:24" ht="19.5" hidden="1" customHeight="1" x14ac:dyDescent="0.35">
      <c r="D36" s="81" t="s">
        <v>156</v>
      </c>
      <c r="E36" s="45"/>
      <c r="F36" s="46"/>
      <c r="G36" s="82">
        <f>G27*100/G28</f>
        <v>0.44951800409629378</v>
      </c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</row>
    <row r="37" spans="4:24" ht="19.5" hidden="1" customHeight="1" x14ac:dyDescent="0.35">
      <c r="D37" s="81" t="s">
        <v>157</v>
      </c>
      <c r="E37" s="45"/>
      <c r="F37" s="46"/>
      <c r="G37" s="82">
        <f>G18*100/G28</f>
        <v>5.9544473833158102</v>
      </c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</row>
    <row r="38" spans="4:24" ht="19.5" hidden="1" customHeight="1" x14ac:dyDescent="0.35">
      <c r="D38" s="81" t="s">
        <v>108</v>
      </c>
      <c r="E38" s="45"/>
      <c r="F38" s="46"/>
      <c r="G38" s="82">
        <f>G35/G34</f>
        <v>0.11602419641798127</v>
      </c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</row>
    <row r="39" spans="4:24" ht="19.5" customHeight="1" x14ac:dyDescent="0.35">
      <c r="D39" s="75" t="s">
        <v>57</v>
      </c>
      <c r="E39" s="2689" t="s">
        <v>58</v>
      </c>
      <c r="F39" s="2680" t="s">
        <v>59</v>
      </c>
      <c r="G39" s="47"/>
      <c r="H39" s="47"/>
      <c r="I39" s="47"/>
      <c r="J39" s="55"/>
      <c r="K39" s="55"/>
      <c r="L39" s="55"/>
      <c r="M39" s="55"/>
      <c r="N39" s="55"/>
      <c r="O39" s="55"/>
      <c r="P39" s="55"/>
      <c r="Q39" s="55"/>
      <c r="R39" s="56"/>
      <c r="S39" s="56"/>
      <c r="T39" s="56"/>
      <c r="U39" s="56"/>
      <c r="V39" s="56"/>
      <c r="W39" s="56"/>
      <c r="X39" s="56"/>
    </row>
    <row r="40" spans="4:24" ht="19.5" customHeight="1" x14ac:dyDescent="0.35">
      <c r="D40" s="83" t="s">
        <v>60</v>
      </c>
      <c r="E40" s="2690"/>
      <c r="F40" s="2681"/>
      <c r="G40" s="84">
        <v>376</v>
      </c>
      <c r="H40" s="84">
        <v>56.4</v>
      </c>
      <c r="I40" s="84">
        <v>24.9</v>
      </c>
      <c r="J40" s="84">
        <v>6.2</v>
      </c>
      <c r="K40" s="84">
        <v>34.299999999999997</v>
      </c>
      <c r="L40" s="84">
        <v>55.5</v>
      </c>
      <c r="M40" s="84">
        <v>60.5</v>
      </c>
      <c r="N40" s="84">
        <v>56</v>
      </c>
      <c r="O40" s="84">
        <v>56.3</v>
      </c>
      <c r="P40" s="84">
        <v>56.4</v>
      </c>
      <c r="Q40" s="84">
        <v>56.9</v>
      </c>
      <c r="R40" s="84">
        <v>35.200000000000003</v>
      </c>
      <c r="S40" s="84">
        <v>55</v>
      </c>
      <c r="T40" s="84">
        <v>54.4</v>
      </c>
      <c r="U40" s="84">
        <v>56.2</v>
      </c>
      <c r="V40" s="84">
        <v>56</v>
      </c>
      <c r="W40" s="84">
        <v>35</v>
      </c>
      <c r="X40" s="84">
        <v>74.099999999999994</v>
      </c>
    </row>
    <row r="41" spans="4:24" ht="19.5" customHeight="1" x14ac:dyDescent="0.35">
      <c r="D41" s="83">
        <v>5</v>
      </c>
      <c r="E41" s="2690"/>
      <c r="F41" s="2681"/>
      <c r="G41" s="84">
        <v>510</v>
      </c>
      <c r="H41" s="84">
        <v>98.6</v>
      </c>
      <c r="I41" s="84">
        <v>74.8</v>
      </c>
      <c r="J41" s="84">
        <v>68.099999999999994</v>
      </c>
      <c r="K41" s="84">
        <v>83.2</v>
      </c>
      <c r="L41" s="84">
        <v>90.5</v>
      </c>
      <c r="M41" s="84">
        <v>101.4</v>
      </c>
      <c r="N41" s="84">
        <v>98</v>
      </c>
      <c r="O41" s="84">
        <v>97.8</v>
      </c>
      <c r="P41" s="84">
        <v>98</v>
      </c>
      <c r="Q41" s="84">
        <v>98</v>
      </c>
      <c r="R41" s="84">
        <v>86.6</v>
      </c>
      <c r="S41" s="84">
        <v>97.9</v>
      </c>
      <c r="T41" s="84">
        <v>98.2</v>
      </c>
      <c r="U41" s="84">
        <v>98</v>
      </c>
      <c r="V41" s="84">
        <v>97.8</v>
      </c>
      <c r="W41" s="84">
        <v>83</v>
      </c>
      <c r="X41" s="84">
        <v>118</v>
      </c>
    </row>
    <row r="42" spans="4:24" ht="19.5" customHeight="1" x14ac:dyDescent="0.35">
      <c r="D42" s="83">
        <v>10</v>
      </c>
      <c r="E42" s="2690"/>
      <c r="F42" s="2681"/>
      <c r="G42" s="84">
        <v>543.5</v>
      </c>
      <c r="H42" s="84">
        <v>99.6</v>
      </c>
      <c r="I42" s="84">
        <v>98.5</v>
      </c>
      <c r="J42" s="84">
        <v>90.3</v>
      </c>
      <c r="K42" s="84">
        <v>101.7</v>
      </c>
      <c r="L42" s="84">
        <v>112.7</v>
      </c>
      <c r="M42" s="84">
        <v>122</v>
      </c>
      <c r="N42" s="84">
        <v>116.8</v>
      </c>
      <c r="O42" s="84">
        <v>116.9</v>
      </c>
      <c r="P42" s="84">
        <v>117.3</v>
      </c>
      <c r="Q42" s="84">
        <v>117</v>
      </c>
      <c r="R42" s="84">
        <v>98.5</v>
      </c>
      <c r="S42" s="84">
        <v>117.3</v>
      </c>
      <c r="T42" s="84">
        <v>118.4</v>
      </c>
      <c r="U42" s="84">
        <v>117.1</v>
      </c>
      <c r="V42" s="84">
        <v>116.6</v>
      </c>
      <c r="W42" s="84">
        <v>98.6</v>
      </c>
      <c r="X42" s="84">
        <v>134</v>
      </c>
    </row>
    <row r="43" spans="4:24" ht="19.5" customHeight="1" x14ac:dyDescent="0.35">
      <c r="D43" s="83">
        <v>15</v>
      </c>
      <c r="E43" s="2690"/>
      <c r="F43" s="2681"/>
      <c r="G43" s="84"/>
      <c r="H43" s="84">
        <v>100.2</v>
      </c>
      <c r="I43" s="84">
        <v>117.3</v>
      </c>
      <c r="J43" s="84">
        <v>105.3</v>
      </c>
      <c r="K43" s="84">
        <v>119.7</v>
      </c>
      <c r="L43" s="84">
        <v>126.7</v>
      </c>
      <c r="M43" s="84">
        <v>134.30000000000001</v>
      </c>
      <c r="N43" s="84">
        <v>127</v>
      </c>
      <c r="O43" s="84">
        <v>126.9</v>
      </c>
      <c r="P43" s="84">
        <v>127.1</v>
      </c>
      <c r="Q43" s="84">
        <v>127.1</v>
      </c>
      <c r="R43" s="84">
        <v>117.1</v>
      </c>
      <c r="S43" s="84">
        <v>127.1</v>
      </c>
      <c r="T43" s="84">
        <v>133</v>
      </c>
      <c r="U43" s="84">
        <v>127.1</v>
      </c>
      <c r="V43" s="84">
        <v>126.7</v>
      </c>
      <c r="W43" s="84">
        <v>117.3</v>
      </c>
      <c r="X43" s="84">
        <v>146</v>
      </c>
    </row>
    <row r="44" spans="4:24" ht="19.5" customHeight="1" x14ac:dyDescent="0.35">
      <c r="D44" s="83">
        <v>20</v>
      </c>
      <c r="E44" s="2690"/>
      <c r="F44" s="2681"/>
      <c r="G44" s="84">
        <v>578</v>
      </c>
      <c r="H44" s="84">
        <v>100.7</v>
      </c>
      <c r="I44" s="84">
        <v>132.9</v>
      </c>
      <c r="J44" s="84">
        <v>125.8</v>
      </c>
      <c r="K44" s="84">
        <v>137.69999999999999</v>
      </c>
      <c r="L44" s="84">
        <v>140.6</v>
      </c>
      <c r="M44" s="84">
        <v>145.69999999999999</v>
      </c>
      <c r="N44" s="84">
        <v>140.4</v>
      </c>
      <c r="O44" s="84">
        <v>140.4</v>
      </c>
      <c r="P44" s="84">
        <v>142.5</v>
      </c>
      <c r="Q44" s="84">
        <v>140</v>
      </c>
      <c r="R44" s="84">
        <v>126.8</v>
      </c>
      <c r="S44" s="84">
        <v>140.69999999999999</v>
      </c>
      <c r="T44" s="84">
        <v>144.69999999999999</v>
      </c>
      <c r="U44" s="84">
        <v>140.30000000000001</v>
      </c>
      <c r="V44" s="84">
        <v>136.4</v>
      </c>
      <c r="W44" s="84">
        <v>127.1</v>
      </c>
      <c r="X44" s="84">
        <v>156.69999999999999</v>
      </c>
    </row>
    <row r="45" spans="4:24" ht="19.5" customHeight="1" x14ac:dyDescent="0.35">
      <c r="D45" s="83">
        <v>30</v>
      </c>
      <c r="E45" s="2690"/>
      <c r="F45" s="2681"/>
      <c r="G45" s="84">
        <v>606</v>
      </c>
      <c r="H45" s="84">
        <v>152.9</v>
      </c>
      <c r="I45" s="84">
        <v>160.9</v>
      </c>
      <c r="J45" s="84">
        <v>152.1</v>
      </c>
      <c r="K45" s="84">
        <v>162.80000000000001</v>
      </c>
      <c r="L45" s="84">
        <v>163.19999999999999</v>
      </c>
      <c r="M45" s="84">
        <v>166.3</v>
      </c>
      <c r="N45" s="84">
        <v>159.80000000000001</v>
      </c>
      <c r="O45" s="84">
        <v>159.69999999999999</v>
      </c>
      <c r="P45" s="84">
        <v>161.5</v>
      </c>
      <c r="Q45" s="84">
        <v>157.80000000000001</v>
      </c>
      <c r="R45" s="84">
        <v>147</v>
      </c>
      <c r="S45" s="84">
        <v>159.9</v>
      </c>
      <c r="T45" s="84">
        <v>165.8</v>
      </c>
      <c r="U45" s="84">
        <v>159.30000000000001</v>
      </c>
      <c r="V45" s="84">
        <v>154.19999999999999</v>
      </c>
      <c r="W45" s="84">
        <v>150.6</v>
      </c>
      <c r="X45" s="84">
        <v>174.7</v>
      </c>
    </row>
    <row r="46" spans="4:24" ht="19.5" customHeight="1" x14ac:dyDescent="0.35">
      <c r="D46" s="83">
        <v>40</v>
      </c>
      <c r="E46" s="2690"/>
      <c r="F46" s="2681"/>
      <c r="G46" s="84">
        <v>635</v>
      </c>
      <c r="H46" s="84">
        <v>164.2</v>
      </c>
      <c r="I46" s="84">
        <v>171</v>
      </c>
      <c r="J46" s="84">
        <v>170.6</v>
      </c>
      <c r="K46" s="84">
        <v>184.6</v>
      </c>
      <c r="L46" s="84">
        <v>183.9</v>
      </c>
      <c r="M46" s="84">
        <v>182.8</v>
      </c>
      <c r="N46" s="84">
        <v>175.7</v>
      </c>
      <c r="O46" s="84">
        <v>175.5</v>
      </c>
      <c r="P46" s="84">
        <v>176.6</v>
      </c>
      <c r="Q46" s="84">
        <v>175.3</v>
      </c>
      <c r="R46" s="84">
        <v>166.6</v>
      </c>
      <c r="S46" s="84">
        <v>175.4</v>
      </c>
      <c r="T46" s="84">
        <v>182.5</v>
      </c>
      <c r="U46" s="84">
        <v>175.6</v>
      </c>
      <c r="V46" s="84">
        <v>174.4</v>
      </c>
      <c r="W46" s="84">
        <v>167.5</v>
      </c>
      <c r="X46" s="84">
        <v>189.5</v>
      </c>
    </row>
    <row r="47" spans="4:24" ht="19.5" customHeight="1" x14ac:dyDescent="0.35">
      <c r="D47" s="83">
        <v>50</v>
      </c>
      <c r="E47" s="2690"/>
      <c r="F47" s="2681"/>
      <c r="G47" s="84">
        <v>667</v>
      </c>
      <c r="H47" s="84">
        <v>170.9</v>
      </c>
      <c r="I47" s="84">
        <v>195.8</v>
      </c>
      <c r="J47" s="84">
        <v>196.6</v>
      </c>
      <c r="K47" s="84">
        <v>208.1</v>
      </c>
      <c r="L47" s="84">
        <v>206</v>
      </c>
      <c r="M47" s="84">
        <v>201.6</v>
      </c>
      <c r="N47" s="84">
        <v>196.2</v>
      </c>
      <c r="O47" s="84">
        <v>196</v>
      </c>
      <c r="P47" s="84">
        <v>196.8</v>
      </c>
      <c r="Q47" s="84">
        <v>192.4</v>
      </c>
      <c r="R47" s="84">
        <v>183.8</v>
      </c>
      <c r="S47" s="84">
        <v>194.9</v>
      </c>
      <c r="T47" s="84">
        <v>202.3</v>
      </c>
      <c r="U47" s="84">
        <v>195.3</v>
      </c>
      <c r="V47" s="84">
        <v>190.2</v>
      </c>
      <c r="W47" s="84">
        <v>186.7</v>
      </c>
      <c r="X47" s="84">
        <v>206.3</v>
      </c>
    </row>
    <row r="48" spans="4:24" ht="19.5" customHeight="1" x14ac:dyDescent="0.35">
      <c r="D48" s="83">
        <v>60</v>
      </c>
      <c r="E48" s="2690"/>
      <c r="F48" s="2681"/>
      <c r="G48" s="84">
        <v>705</v>
      </c>
      <c r="H48" s="84">
        <v>179.6</v>
      </c>
      <c r="I48" s="84">
        <v>221.3</v>
      </c>
      <c r="J48" s="84">
        <v>221.3</v>
      </c>
      <c r="K48" s="84">
        <v>232.8</v>
      </c>
      <c r="L48" s="84">
        <v>229.8</v>
      </c>
      <c r="M48" s="84">
        <v>220.4</v>
      </c>
      <c r="N48" s="84">
        <v>214.6</v>
      </c>
      <c r="O48" s="84">
        <v>214.5</v>
      </c>
      <c r="P48" s="84">
        <v>216</v>
      </c>
      <c r="Q48" s="84">
        <v>211.1</v>
      </c>
      <c r="R48" s="84">
        <v>203.6</v>
      </c>
      <c r="S48" s="84">
        <v>213.6</v>
      </c>
      <c r="T48" s="84">
        <v>221.3</v>
      </c>
      <c r="U48" s="84">
        <v>214.5</v>
      </c>
      <c r="V48" s="84">
        <v>210</v>
      </c>
      <c r="W48" s="84">
        <v>206.9</v>
      </c>
      <c r="X48" s="84">
        <v>224.1</v>
      </c>
    </row>
    <row r="49" spans="4:24" ht="19.5" customHeight="1" x14ac:dyDescent="0.35">
      <c r="D49" s="83">
        <v>70</v>
      </c>
      <c r="E49" s="2690"/>
      <c r="F49" s="2681"/>
      <c r="G49" s="47"/>
      <c r="H49" s="60">
        <v>225</v>
      </c>
      <c r="I49" s="60">
        <v>254.5</v>
      </c>
      <c r="J49" s="60">
        <v>253.6</v>
      </c>
      <c r="K49" s="60">
        <v>260.89999999999998</v>
      </c>
      <c r="L49" s="60">
        <v>256.3</v>
      </c>
      <c r="M49" s="60">
        <v>244.6</v>
      </c>
      <c r="N49" s="60">
        <v>236.1</v>
      </c>
      <c r="O49" s="60">
        <v>236</v>
      </c>
      <c r="P49" s="60">
        <v>236.2</v>
      </c>
      <c r="Q49" s="60">
        <v>232.8</v>
      </c>
      <c r="R49" s="60">
        <v>226</v>
      </c>
      <c r="S49" s="60">
        <v>235.6</v>
      </c>
      <c r="T49" s="60">
        <v>245.6</v>
      </c>
      <c r="U49" s="60">
        <v>236.1</v>
      </c>
      <c r="V49" s="60">
        <v>231.3</v>
      </c>
      <c r="W49" s="60">
        <v>229.7</v>
      </c>
      <c r="X49" s="60">
        <v>245.3</v>
      </c>
    </row>
    <row r="50" spans="4:24" ht="19.5" customHeight="1" x14ac:dyDescent="0.35">
      <c r="D50" s="83">
        <v>80</v>
      </c>
      <c r="E50" s="2690"/>
      <c r="F50" s="2681"/>
      <c r="G50" s="47"/>
      <c r="H50" s="60">
        <v>281.7</v>
      </c>
      <c r="I50" s="60">
        <v>291.2</v>
      </c>
      <c r="J50" s="60">
        <v>288.2</v>
      </c>
      <c r="K50" s="60">
        <v>295.10000000000002</v>
      </c>
      <c r="L50" s="60">
        <v>289.7</v>
      </c>
      <c r="M50" s="60">
        <v>272.89999999999998</v>
      </c>
      <c r="N50" s="60">
        <v>264.2</v>
      </c>
      <c r="O50" s="60">
        <v>264.39999999999998</v>
      </c>
      <c r="P50" s="60">
        <v>265.10000000000002</v>
      </c>
      <c r="Q50" s="60">
        <v>260.3</v>
      </c>
      <c r="R50" s="60">
        <v>254.8</v>
      </c>
      <c r="S50" s="60">
        <v>263.8</v>
      </c>
      <c r="T50" s="60">
        <v>273.39999999999998</v>
      </c>
      <c r="U50" s="60">
        <v>264.60000000000002</v>
      </c>
      <c r="V50" s="60">
        <v>258.60000000000002</v>
      </c>
      <c r="W50" s="60">
        <v>256.89999999999998</v>
      </c>
      <c r="X50" s="60">
        <v>271.60000000000002</v>
      </c>
    </row>
    <row r="51" spans="4:24" ht="19.5" customHeight="1" x14ac:dyDescent="0.35">
      <c r="D51" s="83">
        <v>90</v>
      </c>
      <c r="E51" s="2690"/>
      <c r="F51" s="2681"/>
      <c r="G51" s="47"/>
      <c r="H51" s="60">
        <v>352.8</v>
      </c>
      <c r="I51" s="60">
        <v>344.7</v>
      </c>
      <c r="J51" s="60">
        <v>340</v>
      </c>
      <c r="K51" s="60">
        <v>343.1</v>
      </c>
      <c r="L51" s="60">
        <v>337.7</v>
      </c>
      <c r="M51" s="60">
        <v>317.5</v>
      </c>
      <c r="N51" s="60">
        <v>304.8</v>
      </c>
      <c r="O51" s="60">
        <v>305.5</v>
      </c>
      <c r="P51" s="60">
        <v>306.8</v>
      </c>
      <c r="Q51" s="60">
        <v>302.89999999999998</v>
      </c>
      <c r="R51" s="60">
        <v>297.5</v>
      </c>
      <c r="S51" s="60">
        <v>306.60000000000002</v>
      </c>
      <c r="T51" s="60">
        <v>317.5</v>
      </c>
      <c r="U51" s="60">
        <v>307.2</v>
      </c>
      <c r="V51" s="60">
        <v>302.60000000000002</v>
      </c>
      <c r="W51" s="60">
        <v>301.7</v>
      </c>
      <c r="X51" s="60">
        <v>311.39999999999998</v>
      </c>
    </row>
    <row r="52" spans="4:24" ht="19.5" customHeight="1" x14ac:dyDescent="0.35">
      <c r="D52" s="83">
        <v>95</v>
      </c>
      <c r="E52" s="2690"/>
      <c r="F52" s="2681"/>
      <c r="G52" s="47"/>
      <c r="H52" s="60">
        <v>393.3</v>
      </c>
      <c r="I52" s="60">
        <v>384.6</v>
      </c>
      <c r="J52" s="60">
        <v>380.3</v>
      </c>
      <c r="K52" s="60">
        <v>381.3</v>
      </c>
      <c r="L52" s="60">
        <v>376.9</v>
      </c>
      <c r="M52" s="60">
        <v>357.1</v>
      </c>
      <c r="N52" s="60">
        <v>343.7</v>
      </c>
      <c r="O52" s="60">
        <v>344.1</v>
      </c>
      <c r="P52" s="60">
        <v>344.9</v>
      </c>
      <c r="Q52" s="60">
        <v>340.8</v>
      </c>
      <c r="R52" s="60">
        <v>334.9</v>
      </c>
      <c r="S52" s="60">
        <v>345.7</v>
      </c>
      <c r="T52" s="60">
        <v>357</v>
      </c>
      <c r="U52" s="60">
        <v>345.9</v>
      </c>
      <c r="V52" s="60">
        <v>341</v>
      </c>
      <c r="W52" s="60">
        <v>338.3</v>
      </c>
      <c r="X52" s="60">
        <v>347.3</v>
      </c>
    </row>
    <row r="53" spans="4:24" ht="19.5" customHeight="1" thickBot="1" x14ac:dyDescent="0.4">
      <c r="D53" s="83" t="s">
        <v>61</v>
      </c>
      <c r="E53" s="89" t="s">
        <v>54</v>
      </c>
      <c r="F53" s="2682"/>
      <c r="G53" s="90" t="s">
        <v>158</v>
      </c>
      <c r="H53" s="91">
        <v>473</v>
      </c>
      <c r="I53" s="91">
        <v>468.4</v>
      </c>
      <c r="J53" s="91">
        <v>465.6</v>
      </c>
      <c r="K53" s="91">
        <v>466.8</v>
      </c>
      <c r="L53" s="91">
        <v>465.4</v>
      </c>
      <c r="M53" s="91">
        <v>449.2</v>
      </c>
      <c r="N53" s="91">
        <v>439.4</v>
      </c>
      <c r="O53" s="91">
        <v>437.2</v>
      </c>
      <c r="P53" s="91">
        <v>442.6</v>
      </c>
      <c r="Q53" s="91">
        <v>435.6</v>
      </c>
      <c r="R53" s="91">
        <v>432.2</v>
      </c>
      <c r="S53" s="91">
        <v>442.9</v>
      </c>
      <c r="T53" s="91">
        <v>448.1</v>
      </c>
      <c r="U53" s="91">
        <v>441.7</v>
      </c>
      <c r="V53" s="91">
        <v>440.3</v>
      </c>
      <c r="W53" s="91">
        <v>433.3</v>
      </c>
      <c r="X53" s="91">
        <v>438.7</v>
      </c>
    </row>
    <row r="54" spans="4:24" ht="19.5" customHeight="1" x14ac:dyDescent="0.35">
      <c r="D54" s="92" t="s">
        <v>159</v>
      </c>
      <c r="E54" s="93"/>
      <c r="F54" s="94"/>
      <c r="G54" s="95"/>
      <c r="H54" s="95"/>
      <c r="I54" s="95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</row>
    <row r="55" spans="4:24" ht="19.5" customHeight="1" x14ac:dyDescent="0.35">
      <c r="D55" s="97" t="s">
        <v>101</v>
      </c>
      <c r="E55" s="2692" t="s">
        <v>58</v>
      </c>
      <c r="F55" s="2695" t="s">
        <v>36</v>
      </c>
      <c r="G55" s="98">
        <v>0</v>
      </c>
      <c r="H55" s="3">
        <v>2</v>
      </c>
      <c r="I55" s="3">
        <v>7.5</v>
      </c>
      <c r="J55" s="99">
        <v>9.5</v>
      </c>
      <c r="K55" s="99">
        <v>6.5</v>
      </c>
      <c r="L55" s="99">
        <v>4.5</v>
      </c>
      <c r="M55" s="99">
        <v>2.5</v>
      </c>
      <c r="N55" s="99">
        <v>3.5</v>
      </c>
      <c r="O55" s="99">
        <v>3.5</v>
      </c>
      <c r="P55" s="99">
        <v>3.5</v>
      </c>
      <c r="Q55" s="99">
        <v>3.5</v>
      </c>
      <c r="R55" s="99">
        <v>6.7</v>
      </c>
      <c r="S55" s="99">
        <v>3.5</v>
      </c>
      <c r="T55" s="99">
        <v>3.4</v>
      </c>
      <c r="U55" s="99">
        <v>3.6</v>
      </c>
      <c r="V55" s="99">
        <v>3.7</v>
      </c>
      <c r="W55" s="99">
        <v>6.8</v>
      </c>
      <c r="X55" s="99">
        <v>1.1000000000000001</v>
      </c>
    </row>
    <row r="56" spans="4:24" ht="19.5" customHeight="1" x14ac:dyDescent="0.35">
      <c r="D56" s="97" t="s">
        <v>102</v>
      </c>
      <c r="E56" s="2693"/>
      <c r="F56" s="2696"/>
      <c r="G56" s="98">
        <v>0</v>
      </c>
      <c r="H56" s="3">
        <v>29</v>
      </c>
      <c r="I56" s="3">
        <v>22</v>
      </c>
      <c r="J56" s="99">
        <v>23</v>
      </c>
      <c r="K56" s="99">
        <v>22</v>
      </c>
      <c r="L56" s="99">
        <v>23.5</v>
      </c>
      <c r="M56" s="99">
        <v>24</v>
      </c>
      <c r="N56" s="99">
        <v>26.5</v>
      </c>
      <c r="O56" s="99">
        <v>26.5</v>
      </c>
      <c r="P56" s="99">
        <v>25.5</v>
      </c>
      <c r="Q56" s="99">
        <v>27.4</v>
      </c>
      <c r="R56" s="99">
        <v>29.4</v>
      </c>
      <c r="S56" s="99">
        <v>26.6</v>
      </c>
      <c r="T56" s="99">
        <v>23.8</v>
      </c>
      <c r="U56" s="99">
        <v>26.9</v>
      </c>
      <c r="V56" s="99">
        <v>28.3</v>
      </c>
      <c r="W56" s="99">
        <v>28.5</v>
      </c>
      <c r="X56" s="99">
        <v>20.399999999999999</v>
      </c>
    </row>
    <row r="57" spans="4:24" ht="19.5" customHeight="1" x14ac:dyDescent="0.35">
      <c r="D57" s="97" t="s">
        <v>103</v>
      </c>
      <c r="E57" s="2693"/>
      <c r="F57" s="2696"/>
      <c r="G57" s="98">
        <v>0</v>
      </c>
      <c r="H57" s="3">
        <v>43.5</v>
      </c>
      <c r="I57" s="3">
        <v>39.5</v>
      </c>
      <c r="J57" s="99">
        <v>36.5</v>
      </c>
      <c r="K57" s="99">
        <v>37.5</v>
      </c>
      <c r="L57" s="99">
        <v>39.5</v>
      </c>
      <c r="M57" s="99">
        <v>45.5</v>
      </c>
      <c r="N57" s="99">
        <v>45</v>
      </c>
      <c r="O57" s="99">
        <v>45</v>
      </c>
      <c r="P57" s="99">
        <v>46</v>
      </c>
      <c r="Q57" s="99">
        <v>45.4</v>
      </c>
      <c r="R57" s="99">
        <v>42.4</v>
      </c>
      <c r="S57" s="99">
        <v>43.5</v>
      </c>
      <c r="T57" s="99">
        <v>44.3</v>
      </c>
      <c r="U57" s="99">
        <v>44.6</v>
      </c>
      <c r="V57" s="99">
        <v>44.7</v>
      </c>
      <c r="W57" s="99">
        <v>42</v>
      </c>
      <c r="X57" s="99">
        <v>50.3</v>
      </c>
    </row>
    <row r="58" spans="4:24" ht="19.5" customHeight="1" x14ac:dyDescent="0.35">
      <c r="D58" s="97" t="s">
        <v>104</v>
      </c>
      <c r="E58" s="2693"/>
      <c r="F58" s="2696"/>
      <c r="G58" s="98">
        <v>0</v>
      </c>
      <c r="H58" s="3">
        <v>16.5</v>
      </c>
      <c r="I58" s="3">
        <v>23</v>
      </c>
      <c r="J58" s="99">
        <v>24</v>
      </c>
      <c r="K58" s="99">
        <v>26.5</v>
      </c>
      <c r="L58" s="99">
        <v>25.5</v>
      </c>
      <c r="M58" s="99">
        <v>23.5</v>
      </c>
      <c r="N58" s="99">
        <v>21.5</v>
      </c>
      <c r="O58" s="99">
        <v>21.5</v>
      </c>
      <c r="P58" s="99">
        <v>21.5</v>
      </c>
      <c r="Q58" s="99">
        <v>20.3</v>
      </c>
      <c r="R58" s="99">
        <v>18.399999999999999</v>
      </c>
      <c r="S58" s="99">
        <v>20.8</v>
      </c>
      <c r="T58" s="99">
        <v>23.8</v>
      </c>
      <c r="U58" s="99">
        <v>21</v>
      </c>
      <c r="V58" s="99">
        <v>19.899999999999999</v>
      </c>
      <c r="W58" s="99">
        <v>19.5</v>
      </c>
      <c r="X58" s="99">
        <v>24.4</v>
      </c>
    </row>
    <row r="59" spans="4:24" ht="19.5" customHeight="1" x14ac:dyDescent="0.35">
      <c r="D59" s="97" t="s">
        <v>105</v>
      </c>
      <c r="E59" s="2693"/>
      <c r="F59" s="2696"/>
      <c r="G59" s="98">
        <v>4.17</v>
      </c>
      <c r="H59" s="3">
        <v>9</v>
      </c>
      <c r="I59" s="3">
        <v>8</v>
      </c>
      <c r="J59" s="99">
        <v>7</v>
      </c>
      <c r="K59" s="99">
        <v>7.5</v>
      </c>
      <c r="L59" s="99">
        <v>7</v>
      </c>
      <c r="M59" s="99">
        <v>4.5</v>
      </c>
      <c r="N59" s="99">
        <v>3.5</v>
      </c>
      <c r="O59" s="99">
        <v>3.5</v>
      </c>
      <c r="P59" s="99">
        <v>3.5</v>
      </c>
      <c r="Q59" s="99">
        <v>3.4</v>
      </c>
      <c r="R59" s="99">
        <v>3.1</v>
      </c>
      <c r="S59" s="99">
        <v>5.6</v>
      </c>
      <c r="T59" s="99">
        <v>4.7</v>
      </c>
      <c r="U59" s="99">
        <v>3.9</v>
      </c>
      <c r="V59" s="99">
        <v>3.4</v>
      </c>
      <c r="W59" s="99">
        <v>3.2</v>
      </c>
      <c r="X59" s="99">
        <v>3.8</v>
      </c>
    </row>
    <row r="60" spans="4:24" ht="19.5" customHeight="1" x14ac:dyDescent="0.35">
      <c r="D60" s="97" t="s">
        <v>100</v>
      </c>
      <c r="E60" s="2693"/>
      <c r="F60" s="2696"/>
      <c r="G60" s="98">
        <f>14.05-G59</f>
        <v>9.8800000000000008</v>
      </c>
      <c r="H60" s="3">
        <v>0</v>
      </c>
      <c r="I60" s="3">
        <v>0</v>
      </c>
      <c r="J60" s="99">
        <v>0</v>
      </c>
      <c r="K60" s="99">
        <v>0</v>
      </c>
      <c r="L60" s="99">
        <v>0</v>
      </c>
      <c r="M60" s="99">
        <v>0</v>
      </c>
      <c r="N60" s="99">
        <v>0</v>
      </c>
      <c r="O60" s="99">
        <v>0</v>
      </c>
      <c r="P60" s="99">
        <v>0</v>
      </c>
      <c r="Q60" s="99">
        <v>0</v>
      </c>
      <c r="R60" s="99">
        <v>0</v>
      </c>
      <c r="S60" s="99">
        <v>0</v>
      </c>
      <c r="T60" s="99">
        <v>0</v>
      </c>
      <c r="U60" s="99">
        <v>0</v>
      </c>
      <c r="V60" s="99">
        <v>0</v>
      </c>
      <c r="W60" s="99">
        <v>0</v>
      </c>
      <c r="X60" s="99">
        <v>0</v>
      </c>
    </row>
    <row r="61" spans="4:24" ht="19.5" customHeight="1" x14ac:dyDescent="0.35">
      <c r="D61" s="97" t="s">
        <v>160</v>
      </c>
      <c r="E61" s="2694"/>
      <c r="F61" s="2697"/>
      <c r="G61" s="98">
        <f>100-SUM(G55:G60)</f>
        <v>85.95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4:24" ht="19.5" customHeight="1" thickBot="1" x14ac:dyDescent="0.4">
      <c r="D62" s="100" t="s">
        <v>161</v>
      </c>
      <c r="E62" s="93"/>
      <c r="F62" s="94"/>
      <c r="G62" s="101">
        <f>SUM(G55:G61)</f>
        <v>100</v>
      </c>
      <c r="H62" s="443">
        <f>SUM(H55:H61)</f>
        <v>100</v>
      </c>
      <c r="I62" s="443">
        <f t="shared" ref="I62:X62" si="7">SUM(I55:I61)</f>
        <v>100</v>
      </c>
      <c r="J62" s="443">
        <f t="shared" si="7"/>
        <v>100</v>
      </c>
      <c r="K62" s="443">
        <f t="shared" si="7"/>
        <v>100</v>
      </c>
      <c r="L62" s="443">
        <f t="shared" si="7"/>
        <v>100</v>
      </c>
      <c r="M62" s="443">
        <f t="shared" si="7"/>
        <v>100</v>
      </c>
      <c r="N62" s="443">
        <f>SUM(N55:N61)</f>
        <v>100</v>
      </c>
      <c r="O62" s="443">
        <f t="shared" si="7"/>
        <v>100</v>
      </c>
      <c r="P62" s="443">
        <f t="shared" si="7"/>
        <v>100</v>
      </c>
      <c r="Q62" s="443">
        <f t="shared" si="7"/>
        <v>100</v>
      </c>
      <c r="R62" s="443">
        <f t="shared" si="7"/>
        <v>100</v>
      </c>
      <c r="S62" s="443">
        <f t="shared" si="7"/>
        <v>99.999999999999986</v>
      </c>
      <c r="T62" s="443">
        <f t="shared" si="7"/>
        <v>100</v>
      </c>
      <c r="U62" s="443">
        <f t="shared" si="7"/>
        <v>100</v>
      </c>
      <c r="V62" s="443">
        <f t="shared" si="7"/>
        <v>100</v>
      </c>
      <c r="W62" s="443">
        <f t="shared" si="7"/>
        <v>100</v>
      </c>
      <c r="X62" s="443">
        <f t="shared" si="7"/>
        <v>99.999999999999986</v>
      </c>
    </row>
    <row r="63" spans="4:24" ht="18.75" customHeight="1" x14ac:dyDescent="0.35">
      <c r="D63" s="75" t="s">
        <v>62</v>
      </c>
      <c r="E63" s="2684" t="s">
        <v>63</v>
      </c>
      <c r="F63" s="2698" t="s">
        <v>55</v>
      </c>
      <c r="G63" s="47"/>
      <c r="H63" s="47"/>
      <c r="I63" s="47"/>
      <c r="J63" s="55"/>
      <c r="K63" s="55"/>
      <c r="L63" s="55"/>
      <c r="M63" s="55"/>
      <c r="N63" s="55"/>
      <c r="O63" s="55"/>
      <c r="P63" s="55"/>
      <c r="Q63" s="55"/>
      <c r="R63" s="56"/>
      <c r="S63" s="56"/>
      <c r="T63" s="56"/>
      <c r="U63" s="56"/>
      <c r="V63" s="56"/>
      <c r="W63" s="56"/>
      <c r="X63" s="56"/>
    </row>
    <row r="64" spans="4:24" ht="18.75" customHeight="1" x14ac:dyDescent="0.35">
      <c r="D64" s="44" t="s">
        <v>64</v>
      </c>
      <c r="E64" s="2684"/>
      <c r="F64" s="2698"/>
      <c r="G64" s="60">
        <v>2.2999999999999998</v>
      </c>
      <c r="H64" s="47"/>
      <c r="I64" s="47"/>
      <c r="J64" s="55"/>
      <c r="K64" s="55"/>
      <c r="L64" s="55"/>
      <c r="M64" s="55"/>
      <c r="N64" s="55"/>
      <c r="O64" s="55"/>
      <c r="P64" s="55"/>
      <c r="Q64" s="55"/>
      <c r="R64" s="56"/>
      <c r="S64" s="56"/>
      <c r="T64" s="56"/>
      <c r="U64" s="56"/>
      <c r="V64" s="56"/>
      <c r="W64" s="56"/>
      <c r="X64" s="56"/>
    </row>
    <row r="65" spans="2:24" ht="18.75" customHeight="1" x14ac:dyDescent="0.35">
      <c r="D65" s="44" t="s">
        <v>65</v>
      </c>
      <c r="E65" s="2684"/>
      <c r="F65" s="2698"/>
      <c r="G65" s="60">
        <v>41.8</v>
      </c>
      <c r="H65" s="47"/>
      <c r="I65" s="47"/>
      <c r="J65" s="55"/>
      <c r="K65" s="55"/>
      <c r="L65" s="55"/>
      <c r="M65" s="55"/>
      <c r="N65" s="55"/>
      <c r="O65" s="55"/>
      <c r="P65" s="55"/>
      <c r="Q65" s="55"/>
      <c r="R65" s="56"/>
      <c r="S65" s="56"/>
      <c r="T65" s="56"/>
      <c r="U65" s="56"/>
      <c r="V65" s="56"/>
      <c r="W65" s="56"/>
      <c r="X65" s="56"/>
    </row>
    <row r="66" spans="2:24" ht="18.75" customHeight="1" x14ac:dyDescent="0.35">
      <c r="D66" s="44" t="s">
        <v>66</v>
      </c>
      <c r="E66" s="2684"/>
      <c r="F66" s="2698"/>
      <c r="G66" s="60">
        <v>24.4</v>
      </c>
      <c r="H66" s="47"/>
      <c r="I66" s="47"/>
      <c r="J66" s="276"/>
      <c r="K66" s="55"/>
      <c r="L66" s="55"/>
      <c r="M66" s="55"/>
      <c r="N66" s="55"/>
      <c r="O66" s="55"/>
      <c r="P66" s="55"/>
      <c r="Q66" s="55"/>
      <c r="R66" s="277"/>
      <c r="S66" s="277"/>
      <c r="T66" s="277"/>
      <c r="U66" s="277"/>
      <c r="V66" s="277"/>
      <c r="W66" s="277"/>
      <c r="X66" s="277"/>
    </row>
    <row r="67" spans="2:24" ht="18.75" customHeight="1" x14ac:dyDescent="0.35">
      <c r="D67" s="44" t="s">
        <v>67</v>
      </c>
      <c r="E67" s="2684"/>
      <c r="F67" s="2698"/>
      <c r="G67" s="60">
        <v>31.6</v>
      </c>
      <c r="H67" s="47"/>
      <c r="I67" s="47"/>
      <c r="J67" s="55"/>
      <c r="K67" s="55"/>
      <c r="L67" s="55"/>
      <c r="M67" s="55"/>
      <c r="N67" s="55"/>
      <c r="O67" s="55"/>
      <c r="P67" s="55"/>
      <c r="Q67" s="55"/>
      <c r="R67" s="56"/>
      <c r="S67" s="56"/>
      <c r="T67" s="56"/>
      <c r="U67" s="56"/>
      <c r="V67" s="56"/>
      <c r="W67" s="56"/>
      <c r="X67" s="56"/>
    </row>
    <row r="68" spans="2:24" x14ac:dyDescent="0.35">
      <c r="B68" s="103"/>
      <c r="C68" s="10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</row>
    <row r="69" spans="2:24" x14ac:dyDescent="0.35">
      <c r="B69" s="103"/>
      <c r="C69" s="103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</row>
    <row r="70" spans="2:24" s="18" customFormat="1" x14ac:dyDescent="0.35">
      <c r="B70" s="13"/>
      <c r="C70" s="13"/>
      <c r="D70" s="105"/>
      <c r="E70" s="106"/>
      <c r="F70" s="107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</row>
    <row r="71" spans="2:24" x14ac:dyDescent="0.35">
      <c r="B71" s="103"/>
      <c r="C71" s="103"/>
      <c r="D71" s="105"/>
      <c r="E71" s="106"/>
      <c r="F71" s="107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</row>
    <row r="72" spans="2:24" x14ac:dyDescent="0.35">
      <c r="B72" s="103"/>
      <c r="C72" s="103"/>
      <c r="D72" s="108"/>
      <c r="E72" s="106"/>
      <c r="F72" s="107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</row>
    <row r="73" spans="2:24" x14ac:dyDescent="0.35">
      <c r="B73" s="103"/>
      <c r="C73" s="103"/>
      <c r="D73" s="108"/>
      <c r="E73" s="106"/>
      <c r="F73" s="107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</row>
    <row r="74" spans="2:24" x14ac:dyDescent="0.35">
      <c r="B74" s="103"/>
      <c r="C74" s="103"/>
      <c r="D74" s="108"/>
      <c r="E74" s="106"/>
      <c r="F74" s="107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</row>
    <row r="75" spans="2:24" x14ac:dyDescent="0.35">
      <c r="B75" s="103"/>
      <c r="C75" s="103"/>
      <c r="D75" s="105"/>
      <c r="E75" s="106"/>
      <c r="F75" s="107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</row>
    <row r="76" spans="2:24" x14ac:dyDescent="0.35">
      <c r="B76" s="103"/>
      <c r="C76" s="103"/>
      <c r="D76" s="105"/>
      <c r="E76" s="106"/>
      <c r="F76" s="107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</row>
    <row r="77" spans="2:24" x14ac:dyDescent="0.35">
      <c r="B77" s="103"/>
      <c r="C77" s="103"/>
      <c r="D77" s="108"/>
      <c r="E77" s="106"/>
      <c r="F77" s="107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</row>
    <row r="78" spans="2:24" x14ac:dyDescent="0.35">
      <c r="B78" s="103"/>
      <c r="C78" s="103"/>
      <c r="D78" s="108"/>
      <c r="E78" s="106"/>
      <c r="F78" s="107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</row>
    <row r="79" spans="2:24" x14ac:dyDescent="0.35">
      <c r="B79" s="103"/>
      <c r="C79" s="103"/>
      <c r="D79" s="105"/>
      <c r="E79" s="106"/>
      <c r="F79" s="107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</row>
    <row r="80" spans="2:24" x14ac:dyDescent="0.35">
      <c r="B80" s="103"/>
      <c r="C80" s="103"/>
      <c r="D80" s="108"/>
      <c r="E80" s="106"/>
      <c r="F80" s="107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</row>
    <row r="81" spans="2:22" x14ac:dyDescent="0.35">
      <c r="B81" s="103"/>
      <c r="C81" s="103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</row>
    <row r="82" spans="2:22" x14ac:dyDescent="0.35">
      <c r="B82" s="103"/>
      <c r="C82" s="103"/>
      <c r="D82" s="105"/>
      <c r="E82" s="106"/>
      <c r="F82" s="107"/>
      <c r="G82" s="13"/>
      <c r="H82" s="13"/>
      <c r="I82" s="13"/>
      <c r="J82" s="13"/>
      <c r="K82" s="109"/>
      <c r="L82" s="13"/>
      <c r="M82" s="13"/>
      <c r="N82" s="13"/>
      <c r="O82" s="13"/>
      <c r="P82" s="13"/>
      <c r="Q82" s="13"/>
      <c r="R82" s="109"/>
      <c r="S82" s="109"/>
      <c r="T82" s="109"/>
      <c r="U82" s="109"/>
      <c r="V82" s="109"/>
    </row>
    <row r="83" spans="2:22" x14ac:dyDescent="0.35">
      <c r="B83" s="103"/>
      <c r="C83" s="103"/>
      <c r="D83" s="105"/>
      <c r="E83" s="106"/>
      <c r="F83" s="107"/>
      <c r="G83" s="13"/>
      <c r="H83" s="13"/>
      <c r="I83" s="13"/>
      <c r="J83" s="13"/>
      <c r="K83" s="109"/>
      <c r="L83" s="13"/>
      <c r="M83" s="13"/>
      <c r="N83" s="13"/>
      <c r="O83" s="13"/>
      <c r="P83" s="13"/>
      <c r="Q83" s="13"/>
      <c r="R83" s="109"/>
      <c r="S83" s="109"/>
      <c r="T83" s="109"/>
      <c r="U83" s="109"/>
      <c r="V83" s="109"/>
    </row>
    <row r="84" spans="2:22" x14ac:dyDescent="0.35">
      <c r="B84" s="103"/>
      <c r="C84" s="103"/>
      <c r="D84" s="108"/>
      <c r="E84" s="106"/>
      <c r="F84" s="107"/>
      <c r="G84" s="13"/>
      <c r="H84" s="13"/>
      <c r="I84" s="13"/>
      <c r="J84" s="13"/>
      <c r="K84" s="109"/>
      <c r="L84" s="13"/>
      <c r="M84" s="13"/>
      <c r="N84" s="13"/>
      <c r="O84" s="13"/>
      <c r="P84" s="13"/>
      <c r="Q84" s="13"/>
      <c r="R84" s="109"/>
      <c r="S84" s="109"/>
      <c r="T84" s="109"/>
      <c r="U84" s="109"/>
      <c r="V84" s="109"/>
    </row>
    <row r="85" spans="2:22" x14ac:dyDescent="0.35">
      <c r="B85" s="103"/>
      <c r="C85" s="103"/>
      <c r="D85" s="108"/>
      <c r="E85" s="106"/>
      <c r="F85" s="107"/>
      <c r="G85" s="13"/>
      <c r="H85" s="13"/>
      <c r="I85" s="13"/>
      <c r="J85" s="13"/>
      <c r="K85" s="109"/>
      <c r="L85" s="13"/>
      <c r="M85" s="13"/>
      <c r="N85" s="13"/>
      <c r="O85" s="13"/>
      <c r="P85" s="13"/>
      <c r="Q85" s="13"/>
      <c r="R85" s="109"/>
      <c r="S85" s="109"/>
      <c r="T85" s="109"/>
      <c r="U85" s="109"/>
      <c r="V85" s="109"/>
    </row>
    <row r="86" spans="2:22" x14ac:dyDescent="0.35">
      <c r="B86" s="103"/>
      <c r="C86" s="103"/>
      <c r="D86" s="108"/>
      <c r="E86" s="106"/>
      <c r="F86" s="107"/>
      <c r="G86" s="13"/>
      <c r="H86" s="13"/>
      <c r="I86" s="13"/>
      <c r="J86" s="13"/>
      <c r="K86" s="109"/>
      <c r="L86" s="13"/>
      <c r="M86" s="13"/>
      <c r="N86" s="13"/>
      <c r="O86" s="13"/>
      <c r="P86" s="13"/>
      <c r="Q86" s="13"/>
      <c r="R86" s="109"/>
      <c r="S86" s="109"/>
      <c r="T86" s="109"/>
      <c r="U86" s="109"/>
      <c r="V86" s="109"/>
    </row>
    <row r="87" spans="2:22" x14ac:dyDescent="0.35">
      <c r="B87" s="103"/>
      <c r="C87" s="103"/>
      <c r="D87" s="105"/>
      <c r="E87" s="106"/>
      <c r="F87" s="107"/>
      <c r="G87" s="13"/>
      <c r="H87" s="13"/>
      <c r="I87" s="13"/>
      <c r="J87" s="13"/>
      <c r="K87" s="109"/>
      <c r="L87" s="13"/>
      <c r="M87" s="13"/>
      <c r="N87" s="13"/>
      <c r="O87" s="13"/>
      <c r="P87" s="13"/>
      <c r="Q87" s="13"/>
      <c r="R87" s="109"/>
      <c r="S87" s="109"/>
      <c r="T87" s="109"/>
      <c r="U87" s="109"/>
      <c r="V87" s="109"/>
    </row>
    <row r="88" spans="2:22" x14ac:dyDescent="0.35">
      <c r="B88" s="103"/>
      <c r="C88" s="103"/>
      <c r="D88" s="105"/>
      <c r="E88" s="106"/>
      <c r="F88" s="107"/>
      <c r="G88" s="13"/>
      <c r="H88" s="13"/>
      <c r="I88" s="13"/>
      <c r="J88" s="13"/>
      <c r="K88" s="109"/>
      <c r="L88" s="13"/>
      <c r="M88" s="13"/>
      <c r="N88" s="13"/>
      <c r="O88" s="13"/>
      <c r="P88" s="13"/>
      <c r="Q88" s="13"/>
      <c r="R88" s="109"/>
      <c r="S88" s="109"/>
      <c r="T88" s="109"/>
      <c r="U88" s="109"/>
      <c r="V88" s="109"/>
    </row>
    <row r="89" spans="2:22" x14ac:dyDescent="0.35">
      <c r="B89" s="103"/>
      <c r="C89" s="103"/>
      <c r="D89" s="108"/>
      <c r="E89" s="106"/>
      <c r="F89" s="107"/>
      <c r="G89" s="13"/>
      <c r="H89" s="13"/>
      <c r="I89" s="13"/>
      <c r="J89" s="13"/>
      <c r="K89" s="109"/>
      <c r="L89" s="13"/>
      <c r="M89" s="13"/>
      <c r="N89" s="13"/>
      <c r="O89" s="13"/>
      <c r="P89" s="13"/>
      <c r="Q89" s="13"/>
      <c r="R89" s="109"/>
      <c r="S89" s="109"/>
      <c r="T89" s="109"/>
      <c r="U89" s="109"/>
      <c r="V89" s="109"/>
    </row>
    <row r="90" spans="2:22" x14ac:dyDescent="0.35">
      <c r="B90" s="103"/>
      <c r="C90" s="103"/>
      <c r="D90" s="108"/>
      <c r="E90" s="106"/>
      <c r="F90" s="107"/>
      <c r="G90" s="13"/>
      <c r="H90" s="13"/>
      <c r="I90" s="13"/>
      <c r="J90" s="13"/>
      <c r="K90" s="109"/>
      <c r="L90" s="13"/>
      <c r="M90" s="13"/>
      <c r="N90" s="13"/>
      <c r="O90" s="13"/>
      <c r="P90" s="13"/>
      <c r="Q90" s="13"/>
      <c r="R90" s="109"/>
      <c r="S90" s="109"/>
      <c r="T90" s="109"/>
      <c r="U90" s="109"/>
      <c r="V90" s="109"/>
    </row>
    <row r="91" spans="2:22" x14ac:dyDescent="0.35">
      <c r="B91" s="103"/>
      <c r="C91" s="103"/>
      <c r="D91" s="105"/>
      <c r="E91" s="106"/>
      <c r="F91" s="107"/>
      <c r="G91" s="13"/>
      <c r="H91" s="13"/>
      <c r="I91" s="13"/>
      <c r="J91" s="13"/>
      <c r="K91" s="109"/>
      <c r="L91" s="13"/>
      <c r="M91" s="13"/>
      <c r="N91" s="13"/>
      <c r="O91" s="13"/>
      <c r="P91" s="13"/>
      <c r="Q91" s="13"/>
      <c r="R91" s="109"/>
      <c r="S91" s="109"/>
      <c r="T91" s="109"/>
      <c r="U91" s="109"/>
      <c r="V91" s="109"/>
    </row>
    <row r="92" spans="2:22" x14ac:dyDescent="0.35">
      <c r="B92" s="103"/>
      <c r="C92" s="103"/>
      <c r="D92" s="108"/>
      <c r="E92" s="106"/>
      <c r="F92" s="107"/>
      <c r="G92" s="13"/>
      <c r="H92" s="13"/>
      <c r="I92" s="13"/>
      <c r="J92" s="13"/>
      <c r="K92" s="109"/>
      <c r="L92" s="13"/>
      <c r="M92" s="13"/>
      <c r="N92" s="13"/>
      <c r="O92" s="13"/>
      <c r="P92" s="13"/>
      <c r="Q92" s="13"/>
      <c r="R92" s="109"/>
      <c r="S92" s="109"/>
      <c r="T92" s="109"/>
      <c r="U92" s="109"/>
      <c r="V92" s="109"/>
    </row>
    <row r="93" spans="2:22" x14ac:dyDescent="0.35">
      <c r="B93" s="103"/>
      <c r="C93" s="10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</row>
    <row r="94" spans="2:22" x14ac:dyDescent="0.35">
      <c r="B94" s="103"/>
      <c r="C94" s="10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</row>
    <row r="95" spans="2:22" x14ac:dyDescent="0.35">
      <c r="B95" s="103"/>
      <c r="C95" s="10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</row>
  </sheetData>
  <mergeCells count="16">
    <mergeCell ref="D1:H1"/>
    <mergeCell ref="H4:V4"/>
    <mergeCell ref="E12:E17"/>
    <mergeCell ref="F12:F17"/>
    <mergeCell ref="D18:D20"/>
    <mergeCell ref="E19:E20"/>
    <mergeCell ref="E55:E61"/>
    <mergeCell ref="F55:F61"/>
    <mergeCell ref="E63:E67"/>
    <mergeCell ref="F63:F67"/>
    <mergeCell ref="D21:D23"/>
    <mergeCell ref="E22:E23"/>
    <mergeCell ref="E24:E27"/>
    <mergeCell ref="F24:F27"/>
    <mergeCell ref="E39:E52"/>
    <mergeCell ref="F39:F53"/>
  </mergeCells>
  <printOptions horizontalCentered="1"/>
  <pageMargins left="0.24" right="0.17" top="0.52" bottom="0.38" header="0.31496062992126" footer="0.16"/>
  <pageSetup paperSize="9" scale="63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FEEAF-042F-46B8-B7CD-8874B79375D0}">
  <sheetPr>
    <tabColor rgb="FFFF0000"/>
    <pageSetUpPr fitToPage="1"/>
  </sheetPr>
  <dimension ref="B1:AA128"/>
  <sheetViews>
    <sheetView showGridLines="0" zoomScale="54" zoomScaleNormal="10" zoomScaleSheetLayoutView="100" workbookViewId="0">
      <pane xSplit="4" ySplit="8" topLeftCell="F42" activePane="bottomRight" state="frozen"/>
      <selection activeCell="N20" sqref="N20"/>
      <selection pane="topRight" activeCell="N20" sqref="N20"/>
      <selection pane="bottomLeft" activeCell="N20" sqref="N20"/>
      <selection pane="bottomRight" activeCell="O72" sqref="O72:T72"/>
    </sheetView>
  </sheetViews>
  <sheetFormatPr defaultColWidth="9.1796875" defaultRowHeight="16" x14ac:dyDescent="0.35"/>
  <cols>
    <col min="1" max="2" width="9.1796875" style="7"/>
    <col min="3" max="3" width="1" style="7" customWidth="1"/>
    <col min="4" max="4" width="31.1796875" style="18" customWidth="1"/>
    <col min="5" max="5" width="31.81640625" style="18" bestFit="1" customWidth="1"/>
    <col min="6" max="6" width="14.453125" style="18" customWidth="1"/>
    <col min="7" max="24" width="22.81640625" style="18" customWidth="1"/>
    <col min="25" max="25" width="22.81640625" style="7" customWidth="1"/>
    <col min="26" max="26" width="21.54296875" style="576" hidden="1" customWidth="1"/>
    <col min="27" max="27" width="21.54296875" style="18" hidden="1" customWidth="1"/>
    <col min="28" max="16384" width="9.1796875" style="7"/>
  </cols>
  <sheetData>
    <row r="1" spans="4:27" ht="26.25" customHeight="1" x14ac:dyDescent="0.55000000000000004">
      <c r="D1" s="2676" t="s">
        <v>5</v>
      </c>
      <c r="E1" s="2676"/>
      <c r="F1" s="2676"/>
      <c r="G1" s="2676"/>
      <c r="H1" s="2676"/>
      <c r="I1" s="2676"/>
      <c r="J1" s="2676"/>
      <c r="K1" s="2676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4:27" ht="30.75" customHeight="1" x14ac:dyDescent="0.35">
      <c r="D2" s="8" t="s">
        <v>6</v>
      </c>
      <c r="E2" s="9" t="s">
        <v>353</v>
      </c>
      <c r="F2" s="10"/>
      <c r="G2" s="10"/>
      <c r="H2" s="1684"/>
      <c r="I2" s="12"/>
      <c r="J2" s="12"/>
      <c r="K2" s="11"/>
      <c r="L2" s="11"/>
      <c r="M2" s="7"/>
      <c r="N2" s="7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spans="4:27" ht="26.25" customHeight="1" x14ac:dyDescent="0.35">
      <c r="D3" s="8" t="s">
        <v>8</v>
      </c>
      <c r="E3" s="14" t="s">
        <v>432</v>
      </c>
      <c r="F3" s="15"/>
      <c r="G3" s="15"/>
      <c r="H3" s="1684"/>
      <c r="I3" s="12"/>
      <c r="J3" s="12"/>
      <c r="K3" s="11"/>
      <c r="L3" s="11"/>
      <c r="M3" s="7"/>
      <c r="N3" s="7"/>
      <c r="O3" s="2705"/>
      <c r="P3" s="2705"/>
      <c r="Q3" s="2705"/>
      <c r="R3" s="2705"/>
      <c r="S3" s="2705"/>
      <c r="T3" s="2705"/>
      <c r="U3" s="2705"/>
      <c r="V3" s="2705"/>
      <c r="W3" s="2705"/>
      <c r="X3" s="2705"/>
      <c r="Y3" s="2705"/>
      <c r="Z3" s="588"/>
    </row>
    <row r="4" spans="4:27" ht="28.5" customHeight="1" x14ac:dyDescent="0.45">
      <c r="D4" s="8" t="s">
        <v>9</v>
      </c>
      <c r="E4" s="16" t="s">
        <v>10</v>
      </c>
      <c r="F4" s="15"/>
      <c r="G4" s="15"/>
      <c r="H4" s="1684"/>
      <c r="I4" s="12"/>
      <c r="J4" s="12"/>
      <c r="K4" s="2685" t="s">
        <v>162</v>
      </c>
      <c r="L4" s="2685"/>
      <c r="M4" s="2685"/>
      <c r="N4" s="2685"/>
      <c r="O4" s="2772" t="s">
        <v>149</v>
      </c>
      <c r="P4" s="2772"/>
      <c r="Q4" s="2772"/>
      <c r="R4" s="2772"/>
      <c r="S4" s="2772"/>
      <c r="T4" s="2772"/>
      <c r="U4" s="2772"/>
      <c r="V4" s="2772"/>
      <c r="W4" s="2772"/>
      <c r="X4" s="2772"/>
      <c r="Y4" s="2772"/>
      <c r="Z4" s="589"/>
    </row>
    <row r="5" spans="4:27" ht="28.5" customHeight="1" x14ac:dyDescent="0.45">
      <c r="D5" s="8" t="s">
        <v>427</v>
      </c>
      <c r="E5" s="11"/>
      <c r="F5" s="12"/>
      <c r="G5" s="12"/>
      <c r="H5" s="12"/>
      <c r="I5" s="12"/>
      <c r="J5" s="12"/>
      <c r="K5" s="187" t="s">
        <v>94</v>
      </c>
      <c r="L5" s="185"/>
      <c r="M5" s="185"/>
      <c r="N5" s="185"/>
      <c r="O5" s="188" t="s">
        <v>356</v>
      </c>
      <c r="P5" s="186"/>
      <c r="Q5" s="186"/>
      <c r="R5" s="186"/>
      <c r="S5" s="186"/>
      <c r="T5" s="186"/>
      <c r="U5" s="188" t="s">
        <v>357</v>
      </c>
      <c r="V5" s="186"/>
      <c r="W5" s="186"/>
      <c r="X5" s="186"/>
      <c r="Y5" s="186"/>
    </row>
    <row r="6" spans="4:27" ht="21.65" customHeight="1" x14ac:dyDescent="0.35">
      <c r="D6" s="17"/>
      <c r="G6" s="18">
        <f>G20/G25</f>
        <v>10.687377254061774</v>
      </c>
      <c r="J6" s="18" t="s">
        <v>355</v>
      </c>
      <c r="K6" s="712">
        <v>1</v>
      </c>
      <c r="L6" s="212">
        <v>2</v>
      </c>
      <c r="M6" s="212">
        <v>3</v>
      </c>
      <c r="N6" s="212">
        <v>4</v>
      </c>
      <c r="O6" s="190">
        <v>5</v>
      </c>
      <c r="P6" s="191">
        <v>6</v>
      </c>
      <c r="Q6" s="191">
        <v>7</v>
      </c>
      <c r="R6" s="212">
        <v>8</v>
      </c>
      <c r="S6" s="212">
        <v>9</v>
      </c>
      <c r="T6" s="191">
        <v>10</v>
      </c>
      <c r="U6" s="190">
        <v>11</v>
      </c>
      <c r="V6" s="191">
        <v>12</v>
      </c>
      <c r="W6" s="191">
        <v>13</v>
      </c>
      <c r="X6" s="191">
        <v>14</v>
      </c>
      <c r="Y6" s="191">
        <v>15</v>
      </c>
      <c r="Z6" s="212" t="s">
        <v>911</v>
      </c>
      <c r="AA6" s="212" t="s">
        <v>912</v>
      </c>
    </row>
    <row r="7" spans="4:27" ht="17.149999999999999" customHeight="1" thickBot="1" x14ac:dyDescent="0.4">
      <c r="D7" s="17"/>
      <c r="J7" s="18" t="s">
        <v>354</v>
      </c>
      <c r="K7" s="428">
        <v>45856</v>
      </c>
      <c r="L7" s="12"/>
      <c r="M7" s="12"/>
      <c r="N7" s="12"/>
      <c r="O7" s="184"/>
      <c r="P7" s="12"/>
      <c r="Q7" s="12"/>
      <c r="R7" s="12"/>
      <c r="S7" s="12"/>
      <c r="T7" s="12"/>
      <c r="U7" s="184"/>
      <c r="V7" s="12"/>
      <c r="W7" s="12"/>
      <c r="X7" s="12"/>
      <c r="Y7" s="12"/>
      <c r="Z7" s="576" t="s">
        <v>585</v>
      </c>
      <c r="AA7" s="18" t="s">
        <v>584</v>
      </c>
    </row>
    <row r="8" spans="4:27" ht="16.5" thickBot="1" x14ac:dyDescent="0.4">
      <c r="D8" s="19" t="s">
        <v>11</v>
      </c>
      <c r="E8" s="20" t="s">
        <v>12</v>
      </c>
      <c r="F8" s="21" t="s">
        <v>13</v>
      </c>
      <c r="G8" s="22" t="s">
        <v>361</v>
      </c>
      <c r="H8" s="22" t="s">
        <v>913</v>
      </c>
      <c r="I8" s="22" t="s">
        <v>360</v>
      </c>
      <c r="J8" s="22" t="s">
        <v>914</v>
      </c>
      <c r="K8" s="22" t="s">
        <v>15</v>
      </c>
      <c r="L8" s="110" t="s">
        <v>15</v>
      </c>
      <c r="M8" s="110" t="s">
        <v>15</v>
      </c>
      <c r="N8" s="111" t="s">
        <v>15</v>
      </c>
      <c r="O8" s="111" t="s">
        <v>15</v>
      </c>
      <c r="P8" s="111" t="s">
        <v>15</v>
      </c>
      <c r="Q8" s="111" t="s">
        <v>15</v>
      </c>
      <c r="R8" s="111" t="s">
        <v>15</v>
      </c>
      <c r="S8" s="111" t="s">
        <v>15</v>
      </c>
      <c r="T8" s="111" t="s">
        <v>15</v>
      </c>
      <c r="U8" s="111" t="s">
        <v>15</v>
      </c>
      <c r="V8" s="111" t="s">
        <v>15</v>
      </c>
      <c r="W8" s="111" t="s">
        <v>15</v>
      </c>
      <c r="X8" s="111" t="s">
        <v>15</v>
      </c>
      <c r="Y8" s="111" t="s">
        <v>15</v>
      </c>
      <c r="Z8" s="111" t="s">
        <v>15</v>
      </c>
      <c r="AA8" s="111" t="s">
        <v>15</v>
      </c>
    </row>
    <row r="9" spans="4:27" ht="19.5" customHeight="1" x14ac:dyDescent="0.35">
      <c r="D9" s="23" t="s">
        <v>16</v>
      </c>
      <c r="E9" s="24" t="s">
        <v>17</v>
      </c>
      <c r="F9" s="25" t="s">
        <v>18</v>
      </c>
      <c r="G9" s="26">
        <v>100</v>
      </c>
      <c r="H9" s="26"/>
      <c r="I9" s="26"/>
      <c r="J9" s="26"/>
      <c r="K9" s="27"/>
      <c r="L9" s="28"/>
      <c r="M9" s="28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192"/>
      <c r="Z9" s="590"/>
      <c r="AA9" s="172"/>
    </row>
    <row r="10" spans="4:27" ht="19.5" customHeight="1" x14ac:dyDescent="0.35">
      <c r="D10" s="30" t="s">
        <v>835</v>
      </c>
      <c r="E10" s="31" t="s">
        <v>17</v>
      </c>
      <c r="F10" s="32"/>
      <c r="G10" s="889">
        <f>(141.5/(G11/0.9991))-131.5</f>
        <v>3.3589621291615117</v>
      </c>
      <c r="H10" s="889"/>
      <c r="I10" s="889">
        <f t="shared" ref="I10:J10" si="0">(141.5/(I11/0.9991))-131.5</f>
        <v>1.431499764927139</v>
      </c>
      <c r="J10" s="889">
        <f t="shared" si="0"/>
        <v>1.8201150509241586</v>
      </c>
      <c r="K10" s="34">
        <v>11.8</v>
      </c>
      <c r="L10" s="35">
        <v>11.9</v>
      </c>
      <c r="M10" s="35">
        <v>11.91</v>
      </c>
      <c r="N10" s="36">
        <v>11.86</v>
      </c>
      <c r="O10" s="36">
        <v>17.899999999999999</v>
      </c>
      <c r="P10" s="36">
        <v>15.7</v>
      </c>
      <c r="Q10" s="36">
        <v>14.6</v>
      </c>
      <c r="R10" s="36">
        <v>14.98</v>
      </c>
      <c r="S10" s="36">
        <v>14.76</v>
      </c>
      <c r="T10" s="36">
        <v>14.4</v>
      </c>
      <c r="U10" s="36">
        <v>15.12</v>
      </c>
      <c r="V10" s="36">
        <v>15.88</v>
      </c>
      <c r="W10" s="36">
        <v>15.45</v>
      </c>
      <c r="X10" s="36">
        <v>16.07</v>
      </c>
      <c r="Y10" s="193">
        <v>15.69</v>
      </c>
      <c r="Z10" s="577">
        <v>15.1</v>
      </c>
      <c r="AA10" s="39">
        <v>15.6</v>
      </c>
    </row>
    <row r="11" spans="4:27" ht="19.5" customHeight="1" x14ac:dyDescent="0.35">
      <c r="D11" s="37" t="s">
        <v>836</v>
      </c>
      <c r="E11" s="31" t="s">
        <v>22</v>
      </c>
      <c r="F11" s="32" t="s">
        <v>23</v>
      </c>
      <c r="G11" s="39">
        <v>1.0483</v>
      </c>
      <c r="H11" s="1685"/>
      <c r="I11" s="424">
        <v>1.0634999999999999</v>
      </c>
      <c r="J11" s="39">
        <v>1.0604</v>
      </c>
      <c r="K11" s="39">
        <v>0.98680000000000001</v>
      </c>
      <c r="L11" s="40">
        <v>0.98580000000000001</v>
      </c>
      <c r="M11" s="40">
        <v>0.98570000000000002</v>
      </c>
      <c r="N11" s="41">
        <v>0.98609999999999998</v>
      </c>
      <c r="O11" s="41">
        <v>0.94620000000000004</v>
      </c>
      <c r="P11" s="41">
        <v>0.96040000000000003</v>
      </c>
      <c r="Q11" s="41">
        <v>0.9677</v>
      </c>
      <c r="R11" s="41">
        <v>0.96509999999999996</v>
      </c>
      <c r="S11" s="41">
        <v>0.96650000000000003</v>
      </c>
      <c r="T11" s="41">
        <v>0.96889999999999998</v>
      </c>
      <c r="U11" s="41">
        <v>0.96409999999999996</v>
      </c>
      <c r="V11" s="148">
        <v>0.95920000000000005</v>
      </c>
      <c r="W11" s="41">
        <v>0.96199999999999997</v>
      </c>
      <c r="X11" s="41">
        <v>0.95789999999999997</v>
      </c>
      <c r="Y11" s="32">
        <v>0.96040000000000003</v>
      </c>
      <c r="Z11" s="577">
        <v>0.96440000000000003</v>
      </c>
      <c r="AA11" s="39">
        <v>0.96120000000000005</v>
      </c>
    </row>
    <row r="12" spans="4:27" ht="19.5" customHeight="1" x14ac:dyDescent="0.35">
      <c r="D12" s="37" t="s">
        <v>24</v>
      </c>
      <c r="E12" s="31" t="s">
        <v>25</v>
      </c>
      <c r="F12" s="32" t="s">
        <v>17</v>
      </c>
      <c r="G12" s="39">
        <v>1.0489999999999999</v>
      </c>
      <c r="H12" s="1685"/>
      <c r="I12" s="424">
        <v>1.0649999999999999</v>
      </c>
      <c r="J12" s="39">
        <v>1.0609999999999999</v>
      </c>
      <c r="K12" s="38"/>
      <c r="L12" s="42"/>
      <c r="M12" s="42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194"/>
      <c r="Z12" s="591"/>
      <c r="AA12" s="38"/>
    </row>
    <row r="13" spans="4:27" ht="19.5" customHeight="1" x14ac:dyDescent="0.35">
      <c r="D13" s="44" t="s">
        <v>26</v>
      </c>
      <c r="E13" s="2677" t="s">
        <v>27</v>
      </c>
      <c r="F13" s="2680" t="s">
        <v>28</v>
      </c>
      <c r="G13" s="38"/>
      <c r="H13" s="38"/>
      <c r="I13" s="38"/>
      <c r="J13" s="38"/>
      <c r="K13" s="38"/>
      <c r="L13" s="42"/>
      <c r="M13" s="42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194"/>
      <c r="Z13" s="590"/>
      <c r="AA13" s="172"/>
    </row>
    <row r="14" spans="4:27" ht="19.5" customHeight="1" x14ac:dyDescent="0.35">
      <c r="D14" s="44" t="s">
        <v>29</v>
      </c>
      <c r="E14" s="2678"/>
      <c r="F14" s="2681"/>
      <c r="G14" s="47"/>
      <c r="H14" s="47"/>
      <c r="I14" s="47"/>
      <c r="J14" s="47"/>
      <c r="K14" s="47"/>
      <c r="L14" s="55"/>
      <c r="M14" s="55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195"/>
      <c r="Z14" s="590"/>
      <c r="AA14" s="172"/>
    </row>
    <row r="15" spans="4:27" ht="19.5" customHeight="1" x14ac:dyDescent="0.35">
      <c r="D15" s="44" t="s">
        <v>30</v>
      </c>
      <c r="E15" s="2678"/>
      <c r="F15" s="2681"/>
      <c r="G15" s="47"/>
      <c r="H15" s="47"/>
      <c r="I15" s="47"/>
      <c r="J15" s="47"/>
      <c r="K15" s="47"/>
      <c r="L15" s="286"/>
      <c r="M15" s="286"/>
      <c r="N15" s="287"/>
      <c r="O15" s="287"/>
      <c r="P15" s="287"/>
      <c r="Q15" s="287"/>
      <c r="R15" s="287"/>
      <c r="S15" s="287"/>
      <c r="T15" s="287"/>
      <c r="U15" s="287"/>
      <c r="V15" s="287"/>
      <c r="W15" s="287"/>
      <c r="X15" s="287"/>
      <c r="Y15" s="288"/>
      <c r="Z15" s="591"/>
      <c r="AA15" s="38"/>
    </row>
    <row r="16" spans="4:27" ht="19.5" customHeight="1" x14ac:dyDescent="0.35">
      <c r="D16" s="44" t="s">
        <v>31</v>
      </c>
      <c r="E16" s="2678"/>
      <c r="F16" s="2681"/>
      <c r="G16" s="47"/>
      <c r="H16" s="47"/>
      <c r="I16" s="47"/>
      <c r="J16" s="47"/>
      <c r="K16" s="47"/>
      <c r="L16" s="55"/>
      <c r="M16" s="55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195"/>
      <c r="Z16" s="591"/>
      <c r="AA16" s="38"/>
    </row>
    <row r="17" spans="2:27" ht="19.5" customHeight="1" x14ac:dyDescent="0.35">
      <c r="D17" s="44" t="s">
        <v>428</v>
      </c>
      <c r="E17" s="2678"/>
      <c r="F17" s="2681"/>
      <c r="G17" s="48"/>
      <c r="H17" s="48"/>
      <c r="I17" s="48"/>
      <c r="J17" s="48"/>
      <c r="K17" s="47"/>
      <c r="L17" s="55"/>
      <c r="M17" s="55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195"/>
      <c r="Z17" s="591"/>
      <c r="AA17" s="38"/>
    </row>
    <row r="18" spans="2:27" ht="19.5" customHeight="1" x14ac:dyDescent="0.35">
      <c r="D18" s="44" t="s">
        <v>32</v>
      </c>
      <c r="E18" s="2678"/>
      <c r="F18" s="2681"/>
      <c r="G18" s="48"/>
      <c r="H18" s="48"/>
      <c r="I18" s="48"/>
      <c r="J18" s="48">
        <v>5.5949999999999998</v>
      </c>
      <c r="K18" s="47"/>
      <c r="L18" s="55"/>
      <c r="M18" s="55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195"/>
      <c r="Z18" s="590"/>
      <c r="AA18" s="172"/>
    </row>
    <row r="19" spans="2:27" ht="19.5" customHeight="1" x14ac:dyDescent="0.35">
      <c r="D19" s="44" t="s">
        <v>33</v>
      </c>
      <c r="E19" s="2679"/>
      <c r="F19" s="2682"/>
      <c r="G19" s="57"/>
      <c r="H19" s="57"/>
      <c r="I19" s="57"/>
      <c r="J19" s="886"/>
      <c r="K19" s="47"/>
      <c r="L19" s="55"/>
      <c r="M19" s="55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195"/>
      <c r="Z19" s="590"/>
      <c r="AA19" s="172"/>
    </row>
    <row r="20" spans="2:27" ht="19.5" customHeight="1" x14ac:dyDescent="0.35">
      <c r="D20" s="2683" t="s">
        <v>34</v>
      </c>
      <c r="E20" s="58" t="s">
        <v>35</v>
      </c>
      <c r="F20" s="59" t="s">
        <v>36</v>
      </c>
      <c r="G20" s="48">
        <v>5.9859999999999998</v>
      </c>
      <c r="H20" s="1686">
        <v>6.35</v>
      </c>
      <c r="I20" s="423">
        <v>5.69</v>
      </c>
      <c r="J20" s="48">
        <v>5.2480000000000002</v>
      </c>
      <c r="K20" s="60">
        <v>2.34</v>
      </c>
      <c r="L20" s="62">
        <v>2.27</v>
      </c>
      <c r="M20" s="62">
        <v>2.3340000000000001</v>
      </c>
      <c r="N20" s="63">
        <v>2.3660000000000001</v>
      </c>
      <c r="O20" s="112">
        <v>1.01</v>
      </c>
      <c r="P20" s="112">
        <v>1.1919999999999999</v>
      </c>
      <c r="Q20" s="112">
        <v>1.45</v>
      </c>
      <c r="R20" s="112">
        <v>1.4119999999999999</v>
      </c>
      <c r="S20" s="112">
        <v>1.452</v>
      </c>
      <c r="T20" s="112">
        <v>1.5389999999999999</v>
      </c>
      <c r="U20" s="112">
        <v>1.4430000000000001</v>
      </c>
      <c r="V20" s="112">
        <v>1.24</v>
      </c>
      <c r="W20" s="112">
        <v>1.288</v>
      </c>
      <c r="X20" s="112">
        <v>1.2649999999999999</v>
      </c>
      <c r="Y20" s="196">
        <v>1.302</v>
      </c>
      <c r="Z20" s="577">
        <v>1.363</v>
      </c>
      <c r="AA20" s="39">
        <v>1.3540000000000001</v>
      </c>
    </row>
    <row r="21" spans="2:27" ht="19.5" customHeight="1" x14ac:dyDescent="0.35">
      <c r="D21" s="2683"/>
      <c r="E21" s="2684" t="s">
        <v>37</v>
      </c>
      <c r="F21" s="59" t="s">
        <v>36</v>
      </c>
      <c r="G21" s="47"/>
      <c r="H21" s="47"/>
      <c r="I21" s="47"/>
      <c r="J21" s="47"/>
      <c r="K21" s="47"/>
      <c r="L21" s="55"/>
      <c r="M21" s="55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195"/>
      <c r="Z21" s="590"/>
      <c r="AA21" s="172"/>
    </row>
    <row r="22" spans="2:27" ht="19.5" customHeight="1" x14ac:dyDescent="0.35">
      <c r="D22" s="2683"/>
      <c r="E22" s="2684"/>
      <c r="F22" s="59" t="s">
        <v>38</v>
      </c>
      <c r="G22" s="47"/>
      <c r="H22" s="47"/>
      <c r="I22" s="47"/>
      <c r="J22" s="47"/>
      <c r="K22" s="47"/>
      <c r="L22" s="55"/>
      <c r="M22" s="55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195"/>
      <c r="Z22" s="590"/>
      <c r="AA22" s="172"/>
    </row>
    <row r="23" spans="2:27" ht="19.5" customHeight="1" x14ac:dyDescent="0.35">
      <c r="D23" s="2686" t="s">
        <v>39</v>
      </c>
      <c r="E23" s="64" t="s">
        <v>40</v>
      </c>
      <c r="F23" s="59" t="s">
        <v>38</v>
      </c>
      <c r="G23" s="65"/>
      <c r="H23" s="65"/>
      <c r="I23" s="65"/>
      <c r="J23" s="65"/>
      <c r="K23" s="47"/>
      <c r="L23" s="55"/>
      <c r="M23" s="55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195"/>
      <c r="Z23" s="590"/>
      <c r="AA23" s="172"/>
    </row>
    <row r="24" spans="2:27" ht="19.5" customHeight="1" x14ac:dyDescent="0.35">
      <c r="D24" s="2687"/>
      <c r="E24" s="2677" t="s">
        <v>41</v>
      </c>
      <c r="F24" s="66" t="s">
        <v>38</v>
      </c>
      <c r="G24" s="67">
        <v>5601</v>
      </c>
      <c r="H24" s="67">
        <v>4099</v>
      </c>
      <c r="I24" s="67">
        <v>7378</v>
      </c>
      <c r="J24" s="67">
        <v>7863.48</v>
      </c>
      <c r="K24" s="68">
        <v>3786</v>
      </c>
      <c r="L24" s="70">
        <v>3837</v>
      </c>
      <c r="M24" s="70">
        <v>3540</v>
      </c>
      <c r="N24" s="71">
        <v>3816</v>
      </c>
      <c r="O24" s="71">
        <v>3079.62</v>
      </c>
      <c r="P24" s="71">
        <v>5151</v>
      </c>
      <c r="Q24" s="71">
        <v>5473</v>
      </c>
      <c r="R24" s="71">
        <v>5357.83</v>
      </c>
      <c r="S24" s="71">
        <v>5756.65</v>
      </c>
      <c r="T24" s="71">
        <v>5612.97</v>
      </c>
      <c r="U24" s="71">
        <v>5704.94</v>
      </c>
      <c r="V24" s="71">
        <v>6137</v>
      </c>
      <c r="W24" s="71">
        <v>6649</v>
      </c>
      <c r="X24" s="71">
        <v>6476.22</v>
      </c>
      <c r="Y24" s="197">
        <v>6435.59</v>
      </c>
      <c r="Z24" s="577">
        <v>6506</v>
      </c>
      <c r="AA24" s="39">
        <v>6415</v>
      </c>
    </row>
    <row r="25" spans="2:27" ht="19.5" customHeight="1" x14ac:dyDescent="0.35">
      <c r="B25" s="72">
        <v>0.45190000000000002</v>
      </c>
      <c r="D25" s="2688"/>
      <c r="E25" s="2679"/>
      <c r="F25" s="66" t="s">
        <v>36</v>
      </c>
      <c r="G25" s="160">
        <f>G24/10000</f>
        <v>0.56010000000000004</v>
      </c>
      <c r="H25" s="160">
        <v>0.40989999999999999</v>
      </c>
      <c r="I25" s="160">
        <f>I24/10000</f>
        <v>0.73780000000000001</v>
      </c>
      <c r="J25" s="160">
        <f>J24/10000</f>
        <v>0.78634799999999994</v>
      </c>
      <c r="K25" s="74">
        <f t="shared" ref="K25:AA25" si="1">K24/10000</f>
        <v>0.37859999999999999</v>
      </c>
      <c r="L25" s="74">
        <f t="shared" si="1"/>
        <v>0.38369999999999999</v>
      </c>
      <c r="M25" s="74">
        <f t="shared" si="1"/>
        <v>0.35399999999999998</v>
      </c>
      <c r="N25" s="74">
        <f t="shared" si="1"/>
        <v>0.38159999999999999</v>
      </c>
      <c r="O25" s="74">
        <f t="shared" si="1"/>
        <v>0.30796200000000001</v>
      </c>
      <c r="P25" s="74">
        <f t="shared" si="1"/>
        <v>0.5151</v>
      </c>
      <c r="Q25" s="74">
        <f t="shared" si="1"/>
        <v>0.54730000000000001</v>
      </c>
      <c r="R25" s="74">
        <f t="shared" si="1"/>
        <v>0.53578300000000001</v>
      </c>
      <c r="S25" s="74">
        <f t="shared" si="1"/>
        <v>0.57566499999999998</v>
      </c>
      <c r="T25" s="74">
        <f t="shared" si="1"/>
        <v>0.56129700000000005</v>
      </c>
      <c r="U25" s="74">
        <f t="shared" si="1"/>
        <v>0.57049399999999995</v>
      </c>
      <c r="V25" s="74">
        <f t="shared" si="1"/>
        <v>0.61370000000000002</v>
      </c>
      <c r="W25" s="74">
        <f t="shared" si="1"/>
        <v>0.66490000000000005</v>
      </c>
      <c r="X25" s="74">
        <f t="shared" si="1"/>
        <v>0.64762200000000003</v>
      </c>
      <c r="Y25" s="74">
        <f t="shared" si="1"/>
        <v>0.64355899999999999</v>
      </c>
      <c r="Z25" s="578">
        <f t="shared" si="1"/>
        <v>0.65059999999999996</v>
      </c>
      <c r="AA25" s="74">
        <f t="shared" si="1"/>
        <v>0.64149999999999996</v>
      </c>
    </row>
    <row r="26" spans="2:27" ht="19.5" customHeight="1" x14ac:dyDescent="0.35">
      <c r="D26" s="75" t="s">
        <v>42</v>
      </c>
      <c r="E26" s="2677" t="s">
        <v>43</v>
      </c>
      <c r="F26" s="2680" t="s">
        <v>36</v>
      </c>
      <c r="G26" s="47"/>
      <c r="H26" s="47"/>
      <c r="I26" s="47"/>
      <c r="J26" s="47"/>
      <c r="K26" s="47"/>
      <c r="L26" s="55"/>
      <c r="M26" s="55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195"/>
      <c r="Z26" s="590"/>
      <c r="AA26" s="172"/>
    </row>
    <row r="27" spans="2:27" ht="19.5" customHeight="1" x14ac:dyDescent="0.35">
      <c r="B27" s="76"/>
      <c r="D27" s="44" t="s">
        <v>44</v>
      </c>
      <c r="E27" s="2678"/>
      <c r="F27" s="2681"/>
      <c r="G27" s="60">
        <v>84.31</v>
      </c>
      <c r="H27" s="60">
        <v>88.04</v>
      </c>
      <c r="I27" s="60">
        <v>84.05</v>
      </c>
      <c r="J27" s="60">
        <v>84.66</v>
      </c>
      <c r="K27" s="77">
        <v>88.08</v>
      </c>
      <c r="L27" s="62">
        <v>87.96</v>
      </c>
      <c r="M27" s="62">
        <v>87.83</v>
      </c>
      <c r="N27" s="63">
        <v>87.56</v>
      </c>
      <c r="O27" s="63">
        <v>88.31</v>
      </c>
      <c r="P27" s="63">
        <v>88.14</v>
      </c>
      <c r="Q27" s="63">
        <v>88.24</v>
      </c>
      <c r="R27" s="63">
        <v>88.37</v>
      </c>
      <c r="S27" s="63">
        <v>88.46</v>
      </c>
      <c r="T27" s="63">
        <v>88.77</v>
      </c>
      <c r="U27" s="63">
        <v>88.86</v>
      </c>
      <c r="V27" s="63">
        <v>88.53</v>
      </c>
      <c r="W27" s="63">
        <v>88.67</v>
      </c>
      <c r="X27" s="63">
        <v>88.1</v>
      </c>
      <c r="Y27" s="198">
        <v>88.52</v>
      </c>
      <c r="Z27" s="577">
        <v>88.35</v>
      </c>
      <c r="AA27" s="39">
        <v>88.33</v>
      </c>
    </row>
    <row r="28" spans="2:27" ht="19.5" customHeight="1" x14ac:dyDescent="0.35">
      <c r="B28" s="76"/>
      <c r="D28" s="44" t="s">
        <v>45</v>
      </c>
      <c r="E28" s="2678"/>
      <c r="F28" s="2681"/>
      <c r="G28" s="60">
        <v>9.782</v>
      </c>
      <c r="H28" s="60">
        <v>10.09</v>
      </c>
      <c r="I28" s="60">
        <v>9.68</v>
      </c>
      <c r="J28" s="60">
        <v>9.7899999999999991</v>
      </c>
      <c r="K28" s="77">
        <v>11.2</v>
      </c>
      <c r="L28" s="62">
        <v>10.56</v>
      </c>
      <c r="M28" s="62">
        <v>10.98</v>
      </c>
      <c r="N28" s="63">
        <v>11.44</v>
      </c>
      <c r="O28" s="63">
        <v>11.57</v>
      </c>
      <c r="P28" s="63">
        <v>11.26</v>
      </c>
      <c r="Q28" s="63">
        <v>11.51</v>
      </c>
      <c r="R28" s="63">
        <v>11.43</v>
      </c>
      <c r="S28" s="63">
        <v>11.44</v>
      </c>
      <c r="T28" s="63">
        <v>11.32</v>
      </c>
      <c r="U28" s="63">
        <v>11.41</v>
      </c>
      <c r="V28" s="63">
        <v>11.55</v>
      </c>
      <c r="W28" s="63">
        <v>11.65</v>
      </c>
      <c r="X28" s="63">
        <v>11.73</v>
      </c>
      <c r="Y28" s="198">
        <v>11.77</v>
      </c>
      <c r="Z28" s="577">
        <v>11.55</v>
      </c>
      <c r="AA28" s="39">
        <v>11.86</v>
      </c>
    </row>
    <row r="29" spans="2:27" ht="19.5" customHeight="1" x14ac:dyDescent="0.35">
      <c r="B29" s="76"/>
      <c r="D29" s="44" t="s">
        <v>46</v>
      </c>
      <c r="E29" s="2679"/>
      <c r="F29" s="2682"/>
      <c r="G29" s="60">
        <v>0.56699999999999995</v>
      </c>
      <c r="H29" s="1687">
        <f>H25</f>
        <v>0.40989999999999999</v>
      </c>
      <c r="I29" s="60">
        <v>0.79</v>
      </c>
      <c r="J29" s="60">
        <v>2.5089999999999999</v>
      </c>
      <c r="K29" s="77">
        <v>0.44</v>
      </c>
      <c r="L29" s="62">
        <v>0.44419999999999998</v>
      </c>
      <c r="M29" s="62">
        <v>0.44556000000000001</v>
      </c>
      <c r="N29" s="63">
        <v>0.44</v>
      </c>
      <c r="O29" s="63">
        <v>0.48570000000000002</v>
      </c>
      <c r="P29" s="525">
        <v>1.0069999999999999</v>
      </c>
      <c r="Q29" s="525">
        <v>0.52500000000000002</v>
      </c>
      <c r="R29" s="525">
        <v>1.0449999999999999</v>
      </c>
      <c r="S29" s="525">
        <v>0.64729999999999999</v>
      </c>
      <c r="T29" s="525">
        <v>2.14</v>
      </c>
      <c r="U29" s="525">
        <v>2.1949999999999998</v>
      </c>
      <c r="V29" s="525">
        <v>2.31</v>
      </c>
      <c r="W29" s="525">
        <v>3.16</v>
      </c>
      <c r="X29" s="525">
        <v>3.266</v>
      </c>
      <c r="Y29" s="529">
        <v>5.1470000000000002</v>
      </c>
      <c r="Z29" s="592">
        <v>4.8899999999999997</v>
      </c>
      <c r="AA29" s="597">
        <v>9.0299999999999994</v>
      </c>
    </row>
    <row r="30" spans="2:27" ht="19.5" customHeight="1" x14ac:dyDescent="0.35">
      <c r="B30" s="76"/>
      <c r="D30" s="78" t="s">
        <v>150</v>
      </c>
      <c r="E30" s="79"/>
      <c r="F30" s="80"/>
      <c r="G30" s="2">
        <f>(G$27+G$28+G$25+G$20)</f>
        <v>100.63810000000001</v>
      </c>
      <c r="H30" s="2">
        <f>SUM(H27:H29)</f>
        <v>98.539900000000003</v>
      </c>
      <c r="I30" s="2">
        <f t="shared" ref="I30:AA30" si="2">(I$27+I$28+I$25+I$20)</f>
        <v>100.15779999999998</v>
      </c>
      <c r="J30" s="2">
        <f t="shared" si="2"/>
        <v>100.484348</v>
      </c>
      <c r="K30" s="2">
        <f t="shared" si="2"/>
        <v>101.99860000000001</v>
      </c>
      <c r="L30" s="2">
        <f t="shared" si="2"/>
        <v>101.1737</v>
      </c>
      <c r="M30" s="2">
        <f t="shared" si="2"/>
        <v>101.498</v>
      </c>
      <c r="N30" s="2">
        <f t="shared" si="2"/>
        <v>101.74760000000001</v>
      </c>
      <c r="O30" s="2">
        <f t="shared" si="2"/>
        <v>101.197962</v>
      </c>
      <c r="P30" s="2">
        <f t="shared" si="2"/>
        <v>101.1071</v>
      </c>
      <c r="Q30" s="2">
        <f t="shared" si="2"/>
        <v>101.74730000000001</v>
      </c>
      <c r="R30" s="2">
        <f t="shared" si="2"/>
        <v>101.74778300000001</v>
      </c>
      <c r="S30" s="2">
        <f t="shared" si="2"/>
        <v>101.92766499999999</v>
      </c>
      <c r="T30" s="2">
        <f t="shared" si="2"/>
        <v>102.190297</v>
      </c>
      <c r="U30" s="2">
        <f t="shared" si="2"/>
        <v>102.28349399999999</v>
      </c>
      <c r="V30" s="2">
        <f t="shared" si="2"/>
        <v>101.93369999999999</v>
      </c>
      <c r="W30" s="2">
        <f t="shared" si="2"/>
        <v>102.27290000000001</v>
      </c>
      <c r="X30" s="2">
        <f t="shared" si="2"/>
        <v>101.742622</v>
      </c>
      <c r="Y30" s="2">
        <f t="shared" si="2"/>
        <v>102.23555899999999</v>
      </c>
      <c r="Z30" s="2">
        <f t="shared" si="2"/>
        <v>101.91359999999999</v>
      </c>
      <c r="AA30" s="2">
        <f t="shared" si="2"/>
        <v>102.18549999999999</v>
      </c>
    </row>
    <row r="31" spans="2:27" ht="19.5" customHeight="1" x14ac:dyDescent="0.35">
      <c r="D31" s="78" t="s">
        <v>151</v>
      </c>
      <c r="E31" s="79"/>
      <c r="F31" s="80"/>
      <c r="G31" s="2">
        <f>(100-G$33-G$34)/(1+(G$28/G$27))</f>
        <v>83.775428987629937</v>
      </c>
      <c r="H31" s="2">
        <f>(100-H$33-H$34)/(1+(H$28/H$27))</f>
        <v>83.563028470432215</v>
      </c>
      <c r="I31" s="2">
        <f t="shared" ref="I31" si="3">(100-I$33-I$34)/(1+(I$28/I$27))</f>
        <v>83.91757806181846</v>
      </c>
      <c r="J31" s="2">
        <f>(100-J$33-J$34)/(1+(J$28/J$27))</f>
        <v>84.251927474316702</v>
      </c>
      <c r="K31" s="2">
        <f t="shared" ref="K31:AA31" si="4">(100-K$33-K$34)/(1+(K$28/K$27))</f>
        <v>86.35412642918628</v>
      </c>
      <c r="L31" s="2">
        <f t="shared" si="4"/>
        <v>86.939590031796797</v>
      </c>
      <c r="M31" s="2">
        <f t="shared" si="4"/>
        <v>86.533724802459176</v>
      </c>
      <c r="N31" s="2">
        <f t="shared" si="4"/>
        <v>86.056083878145543</v>
      </c>
      <c r="O31" s="2">
        <f t="shared" si="4"/>
        <v>87.264603214044968</v>
      </c>
      <c r="P31" s="2">
        <f t="shared" si="4"/>
        <v>87.174886827927992</v>
      </c>
      <c r="Q31" s="2">
        <f t="shared" si="4"/>
        <v>86.724660015548309</v>
      </c>
      <c r="R31" s="2">
        <f>(100-R$33-R$34)/(1+(R$28/R$27))</f>
        <v>86.852015242435314</v>
      </c>
      <c r="S31" s="2">
        <f t="shared" si="4"/>
        <v>86.787036669583287</v>
      </c>
      <c r="T31" s="2">
        <f t="shared" si="4"/>
        <v>86.867347102435758</v>
      </c>
      <c r="U31" s="2">
        <f t="shared" si="4"/>
        <v>86.876187471655996</v>
      </c>
      <c r="V31" s="2">
        <f t="shared" si="4"/>
        <v>86.850570517895449</v>
      </c>
      <c r="W31" s="2">
        <f t="shared" si="4"/>
        <v>86.699409129886803</v>
      </c>
      <c r="X31" s="2">
        <f t="shared" si="4"/>
        <v>86.591045392952438</v>
      </c>
      <c r="Y31" s="2">
        <f t="shared" si="4"/>
        <v>86.584355644790861</v>
      </c>
      <c r="Z31" s="579">
        <f t="shared" si="4"/>
        <v>86.691079502637521</v>
      </c>
      <c r="AA31" s="2">
        <f t="shared" si="4"/>
        <v>86.440835539288855</v>
      </c>
    </row>
    <row r="32" spans="2:27" ht="19.5" customHeight="1" x14ac:dyDescent="0.35">
      <c r="D32" s="78" t="s">
        <v>152</v>
      </c>
      <c r="E32" s="79"/>
      <c r="F32" s="80" t="s">
        <v>36</v>
      </c>
      <c r="G32" s="2">
        <f>G$31*(G$28/G$27)</f>
        <v>9.7199768278614158</v>
      </c>
      <c r="H32" s="2">
        <f>H$31*(H$28/H$27)</f>
        <v>9.5769077381492611</v>
      </c>
      <c r="I32" s="2">
        <f t="shared" ref="I32:AA32" si="5">I$31*(I$28/I$27)</f>
        <v>9.6647490260369153</v>
      </c>
      <c r="J32" s="2">
        <f t="shared" si="5"/>
        <v>9.7428108903090074</v>
      </c>
      <c r="K32" s="2">
        <f t="shared" si="5"/>
        <v>10.980542870196256</v>
      </c>
      <c r="L32" s="2">
        <f t="shared" si="5"/>
        <v>10.437495119779154</v>
      </c>
      <c r="M32" s="2">
        <f t="shared" si="5"/>
        <v>10.817947151668017</v>
      </c>
      <c r="N32" s="2">
        <f t="shared" si="5"/>
        <v>11.243508446390873</v>
      </c>
      <c r="O32" s="2">
        <f t="shared" si="5"/>
        <v>11.433036566487377</v>
      </c>
      <c r="P32" s="2">
        <f t="shared" si="5"/>
        <v>11.136705533043672</v>
      </c>
      <c r="Q32" s="2">
        <f t="shared" si="5"/>
        <v>11.312339492055315</v>
      </c>
      <c r="R32" s="2">
        <f t="shared" si="5"/>
        <v>11.233660000238039</v>
      </c>
      <c r="S32" s="2">
        <f t="shared" si="5"/>
        <v>11.22364570992576</v>
      </c>
      <c r="T32" s="2">
        <f t="shared" si="5"/>
        <v>11.077372639400391</v>
      </c>
      <c r="U32" s="2">
        <f t="shared" si="5"/>
        <v>11.155270077105502</v>
      </c>
      <c r="V32" s="2">
        <f t="shared" si="5"/>
        <v>11.330894493185276</v>
      </c>
      <c r="W32" s="2">
        <f t="shared" si="5"/>
        <v>11.391091872822614</v>
      </c>
      <c r="X32" s="2">
        <f t="shared" si="5"/>
        <v>11.529091514861888</v>
      </c>
      <c r="Y32" s="2">
        <f t="shared" si="5"/>
        <v>11.512628399674519</v>
      </c>
      <c r="Z32" s="579">
        <f t="shared" si="5"/>
        <v>11.333129238884702</v>
      </c>
      <c r="AA32" s="2">
        <f t="shared" si="5"/>
        <v>11.606343365741717</v>
      </c>
    </row>
    <row r="33" spans="4:27" ht="19.5" customHeight="1" x14ac:dyDescent="0.35">
      <c r="D33" s="78" t="s">
        <v>153</v>
      </c>
      <c r="E33" s="79"/>
      <c r="F33" s="80"/>
      <c r="G33" s="2">
        <f>G$25*100/G$30</f>
        <v>0.55654866298151495</v>
      </c>
      <c r="H33" s="2">
        <f>H$25*100/H$30</f>
        <v>0.41597363098602697</v>
      </c>
      <c r="I33" s="2">
        <f t="shared" ref="I33:AA33" si="6">I$25*100/I$30</f>
        <v>0.7366375858894666</v>
      </c>
      <c r="J33" s="2">
        <f t="shared" si="6"/>
        <v>0.78255769744358594</v>
      </c>
      <c r="K33" s="2">
        <f t="shared" si="6"/>
        <v>0.37118156523716989</v>
      </c>
      <c r="L33" s="2">
        <f t="shared" si="6"/>
        <v>0.37924875733515723</v>
      </c>
      <c r="M33" s="2">
        <f t="shared" si="6"/>
        <v>0.3487753453270015</v>
      </c>
      <c r="N33" s="2">
        <f t="shared" si="6"/>
        <v>0.37504570132366755</v>
      </c>
      <c r="O33" s="2">
        <f t="shared" si="6"/>
        <v>0.30431640510705149</v>
      </c>
      <c r="P33" s="2">
        <f t="shared" si="6"/>
        <v>0.50945977087662486</v>
      </c>
      <c r="Q33" s="2">
        <f t="shared" si="6"/>
        <v>0.53790125143369893</v>
      </c>
      <c r="R33" s="2">
        <f>R$25*100/R$30</f>
        <v>0.52657953245035316</v>
      </c>
      <c r="S33" s="2">
        <f t="shared" si="6"/>
        <v>0.56477797269269348</v>
      </c>
      <c r="T33" s="2">
        <f t="shared" si="6"/>
        <v>0.54926643377893314</v>
      </c>
      <c r="U33" s="2">
        <f t="shared" si="6"/>
        <v>0.55775763780615473</v>
      </c>
      <c r="V33" s="2">
        <f t="shared" si="6"/>
        <v>0.60205800436950696</v>
      </c>
      <c r="W33" s="2">
        <f t="shared" si="6"/>
        <v>0.65012334645834824</v>
      </c>
      <c r="X33" s="2">
        <f t="shared" si="6"/>
        <v>0.63652969352411626</v>
      </c>
      <c r="Y33" s="2">
        <f t="shared" si="6"/>
        <v>0.62948645881615428</v>
      </c>
      <c r="Z33" s="579">
        <f t="shared" si="6"/>
        <v>0.63838388595830198</v>
      </c>
      <c r="AA33" s="2">
        <f t="shared" si="6"/>
        <v>0.62777987092102105</v>
      </c>
    </row>
    <row r="34" spans="4:27" ht="19.5" customHeight="1" x14ac:dyDescent="0.35">
      <c r="D34" s="78" t="s">
        <v>154</v>
      </c>
      <c r="E34" s="79"/>
      <c r="F34" s="80"/>
      <c r="G34" s="2">
        <f>G$20*100/G$30</f>
        <v>5.9480455215271348</v>
      </c>
      <c r="H34" s="2">
        <f>H$20*100/H$30</f>
        <v>6.4440901604324745</v>
      </c>
      <c r="I34" s="2">
        <f t="shared" ref="I34:AA34" si="7">I$20*100/I$30</f>
        <v>5.68103532625517</v>
      </c>
      <c r="J34" s="2">
        <f t="shared" si="7"/>
        <v>5.2227039379307119</v>
      </c>
      <c r="K34" s="2">
        <f t="shared" si="7"/>
        <v>2.2941491353802892</v>
      </c>
      <c r="L34" s="2">
        <f t="shared" si="7"/>
        <v>2.2436660910888899</v>
      </c>
      <c r="M34" s="2">
        <f t="shared" si="7"/>
        <v>2.2995527005458234</v>
      </c>
      <c r="N34" s="2">
        <f t="shared" si="7"/>
        <v>2.3253619741399305</v>
      </c>
      <c r="O34" s="2">
        <f t="shared" si="7"/>
        <v>0.99804381436060929</v>
      </c>
      <c r="P34" s="2">
        <f t="shared" si="7"/>
        <v>1.1789478681516925</v>
      </c>
      <c r="Q34" s="2">
        <f t="shared" si="7"/>
        <v>1.4250992409626593</v>
      </c>
      <c r="R34" s="2">
        <f t="shared" si="7"/>
        <v>1.3877452248763</v>
      </c>
      <c r="S34" s="2">
        <f t="shared" si="7"/>
        <v>1.4245396477982695</v>
      </c>
      <c r="T34" s="2">
        <f t="shared" si="7"/>
        <v>1.5060138243849119</v>
      </c>
      <c r="U34" s="2">
        <f t="shared" si="7"/>
        <v>1.4107848134323611</v>
      </c>
      <c r="V34" s="2">
        <f t="shared" si="7"/>
        <v>1.2164769845497614</v>
      </c>
      <c r="W34" s="2">
        <f t="shared" si="7"/>
        <v>1.2593756508322342</v>
      </c>
      <c r="X34" s="2">
        <f t="shared" si="7"/>
        <v>1.2433333986615756</v>
      </c>
      <c r="Y34" s="2">
        <f t="shared" si="7"/>
        <v>1.2735294967184561</v>
      </c>
      <c r="Z34" s="579">
        <f t="shared" si="7"/>
        <v>1.3374073725194677</v>
      </c>
      <c r="AA34" s="2">
        <f t="shared" si="7"/>
        <v>1.325041224048422</v>
      </c>
    </row>
    <row r="35" spans="4:27" ht="19.5" customHeight="1" x14ac:dyDescent="0.35">
      <c r="D35" s="78" t="s">
        <v>155</v>
      </c>
      <c r="E35" s="79"/>
      <c r="F35" s="80"/>
      <c r="G35" s="149">
        <f>G$32/G$31</f>
        <v>0.11602419641798124</v>
      </c>
      <c r="H35" s="149">
        <f>H$32/H$31</f>
        <v>0.11460699681962742</v>
      </c>
      <c r="I35" s="149">
        <f t="shared" ref="I35:AA35" si="8">I$32/I$31</f>
        <v>0.11516954193932184</v>
      </c>
      <c r="J35" s="149">
        <f t="shared" si="8"/>
        <v>0.11563902669501536</v>
      </c>
      <c r="K35" s="149">
        <f t="shared" si="8"/>
        <v>0.12715712988192551</v>
      </c>
      <c r="L35" s="149">
        <f t="shared" si="8"/>
        <v>0.12005457025920875</v>
      </c>
      <c r="M35" s="149">
        <f t="shared" si="8"/>
        <v>0.12501423203916659</v>
      </c>
      <c r="N35" s="149">
        <f t="shared" si="8"/>
        <v>0.13065326633165827</v>
      </c>
      <c r="O35" s="149">
        <f t="shared" si="8"/>
        <v>0.13101574000679425</v>
      </c>
      <c r="P35" s="149">
        <f t="shared" si="8"/>
        <v>0.12775130474245519</v>
      </c>
      <c r="Q35" s="149">
        <f t="shared" si="8"/>
        <v>0.13043970988213963</v>
      </c>
      <c r="R35" s="149">
        <f t="shared" si="8"/>
        <v>0.12934253706008825</v>
      </c>
      <c r="S35" s="149">
        <f t="shared" si="8"/>
        <v>0.12932398824327379</v>
      </c>
      <c r="T35" s="149">
        <f t="shared" si="8"/>
        <v>0.12752055874732454</v>
      </c>
      <c r="U35" s="149">
        <f t="shared" si="8"/>
        <v>0.12840423137519694</v>
      </c>
      <c r="V35" s="149">
        <f t="shared" si="8"/>
        <v>0.1304642494069807</v>
      </c>
      <c r="W35" s="149">
        <f t="shared" si="8"/>
        <v>0.1313860381188677</v>
      </c>
      <c r="X35" s="149">
        <f t="shared" si="8"/>
        <v>0.13314415437003407</v>
      </c>
      <c r="Y35" s="149">
        <f t="shared" si="8"/>
        <v>0.13296430185268865</v>
      </c>
      <c r="Z35" s="580">
        <f t="shared" si="8"/>
        <v>0.13073005093378609</v>
      </c>
      <c r="AA35" s="149">
        <f t="shared" si="8"/>
        <v>0.13426921770632855</v>
      </c>
    </row>
    <row r="36" spans="4:27" ht="19.5" hidden="1" customHeight="1" x14ac:dyDescent="0.35">
      <c r="D36" s="81" t="s">
        <v>106</v>
      </c>
      <c r="E36" s="45"/>
      <c r="F36" s="46"/>
      <c r="G36" s="82">
        <f>G27*100/G30</f>
        <v>83.775428987629923</v>
      </c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199"/>
      <c r="Z36" s="577"/>
      <c r="AA36" s="39"/>
    </row>
    <row r="37" spans="4:27" ht="19.5" hidden="1" customHeight="1" x14ac:dyDescent="0.35">
      <c r="D37" s="81" t="s">
        <v>107</v>
      </c>
      <c r="E37" s="45"/>
      <c r="F37" s="46"/>
      <c r="G37" s="82">
        <f>G28*100/G30</f>
        <v>9.7199768278614158</v>
      </c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199"/>
      <c r="Z37" s="577"/>
      <c r="AA37" s="39"/>
    </row>
    <row r="38" spans="4:27" ht="19.5" hidden="1" customHeight="1" x14ac:dyDescent="0.35">
      <c r="D38" s="81" t="s">
        <v>156</v>
      </c>
      <c r="E38" s="45"/>
      <c r="F38" s="46"/>
      <c r="G38" s="82">
        <f>G29*100/G30</f>
        <v>0.56340491324856079</v>
      </c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199"/>
      <c r="Z38" s="577"/>
      <c r="AA38" s="39"/>
    </row>
    <row r="39" spans="4:27" ht="19.5" hidden="1" customHeight="1" x14ac:dyDescent="0.35">
      <c r="D39" s="81" t="s">
        <v>157</v>
      </c>
      <c r="E39" s="45"/>
      <c r="F39" s="46"/>
      <c r="G39" s="82">
        <f>G20*100/G30</f>
        <v>5.9480455215271348</v>
      </c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199"/>
      <c r="Z39" s="577"/>
      <c r="AA39" s="39"/>
    </row>
    <row r="40" spans="4:27" ht="19.5" hidden="1" customHeight="1" x14ac:dyDescent="0.35">
      <c r="D40" s="81" t="s">
        <v>108</v>
      </c>
      <c r="E40" s="45"/>
      <c r="F40" s="46"/>
      <c r="G40" s="82">
        <f>G37/G36</f>
        <v>0.11602419641798127</v>
      </c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199"/>
      <c r="Z40" s="577"/>
      <c r="AA40" s="39"/>
    </row>
    <row r="41" spans="4:27" ht="19.5" customHeight="1" x14ac:dyDescent="0.35">
      <c r="D41" s="75" t="s">
        <v>47</v>
      </c>
      <c r="E41" s="2689" t="s">
        <v>48</v>
      </c>
      <c r="F41" s="2680" t="s">
        <v>38</v>
      </c>
      <c r="G41" s="47"/>
      <c r="H41" s="47"/>
      <c r="I41" s="47"/>
      <c r="J41" s="47"/>
      <c r="K41" s="47"/>
      <c r="L41" s="55"/>
      <c r="M41" s="55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195"/>
      <c r="Z41" s="590"/>
      <c r="AA41" s="172"/>
    </row>
    <row r="42" spans="4:27" ht="19.5" customHeight="1" x14ac:dyDescent="0.35">
      <c r="D42" s="44" t="s">
        <v>49</v>
      </c>
      <c r="E42" s="2703"/>
      <c r="F42" s="2681"/>
      <c r="G42" s="48">
        <v>57.54</v>
      </c>
      <c r="H42" s="48">
        <v>59.4</v>
      </c>
      <c r="I42" s="48">
        <v>113.36</v>
      </c>
      <c r="J42" s="48">
        <v>171.3</v>
      </c>
      <c r="K42" s="60">
        <v>23.22</v>
      </c>
      <c r="L42" s="62">
        <v>21.56</v>
      </c>
      <c r="M42" s="62">
        <v>20.83</v>
      </c>
      <c r="N42" s="63">
        <v>20.440000000000001</v>
      </c>
      <c r="O42" s="63">
        <v>15.95</v>
      </c>
      <c r="P42" s="63">
        <v>19.940000000000001</v>
      </c>
      <c r="Q42" s="63">
        <v>22.84</v>
      </c>
      <c r="R42" s="63">
        <v>21.74</v>
      </c>
      <c r="S42" s="63">
        <v>25.13</v>
      </c>
      <c r="T42" s="63">
        <v>24.63</v>
      </c>
      <c r="U42" s="63">
        <v>24.52</v>
      </c>
      <c r="V42" s="63">
        <v>30.84</v>
      </c>
      <c r="W42" s="63">
        <v>41.32</v>
      </c>
      <c r="X42" s="63">
        <v>34.82</v>
      </c>
      <c r="Y42" s="198">
        <v>47.78</v>
      </c>
      <c r="Z42" s="577">
        <v>42.98</v>
      </c>
      <c r="AA42" s="577">
        <v>48.83</v>
      </c>
    </row>
    <row r="43" spans="4:27" ht="19.5" customHeight="1" x14ac:dyDescent="0.35">
      <c r="D43" s="44" t="s">
        <v>50</v>
      </c>
      <c r="E43" s="2703"/>
      <c r="F43" s="2681"/>
      <c r="G43" s="48">
        <v>194.27</v>
      </c>
      <c r="H43" s="48">
        <v>198</v>
      </c>
      <c r="I43" s="48">
        <v>285.95999999999998</v>
      </c>
      <c r="J43" s="48">
        <v>481.4</v>
      </c>
      <c r="K43" s="60">
        <v>37.799999999999997</v>
      </c>
      <c r="L43" s="62">
        <v>35.770000000000003</v>
      </c>
      <c r="M43" s="62">
        <v>36</v>
      </c>
      <c r="N43" s="63">
        <v>35.1</v>
      </c>
      <c r="O43" s="63">
        <v>12.19</v>
      </c>
      <c r="P43" s="63">
        <v>16.88</v>
      </c>
      <c r="Q43" s="63">
        <v>21.84</v>
      </c>
      <c r="R43" s="63">
        <v>19.579999999999998</v>
      </c>
      <c r="S43" s="63">
        <v>24.52</v>
      </c>
      <c r="T43" s="63">
        <v>25.21</v>
      </c>
      <c r="U43" s="63">
        <v>22.28</v>
      </c>
      <c r="V43" s="18">
        <v>31.92</v>
      </c>
      <c r="W43" s="63">
        <v>50.16</v>
      </c>
      <c r="X43" s="63">
        <v>36.43</v>
      </c>
      <c r="Y43" s="198">
        <v>63.12</v>
      </c>
      <c r="Z43" s="577">
        <v>55.81</v>
      </c>
      <c r="AA43" s="577">
        <v>73.86</v>
      </c>
    </row>
    <row r="44" spans="4:27" ht="19.5" customHeight="1" x14ac:dyDescent="0.35">
      <c r="D44" s="44" t="s">
        <v>51</v>
      </c>
      <c r="E44" s="2703"/>
      <c r="F44" s="2681"/>
      <c r="G44" s="60">
        <v>25.11</v>
      </c>
      <c r="H44" s="60"/>
      <c r="I44" s="60">
        <v>50.58</v>
      </c>
      <c r="J44" s="60">
        <v>45.9</v>
      </c>
      <c r="K44" s="60">
        <v>19.440000000000001</v>
      </c>
      <c r="L44" s="62">
        <v>16.399999999999999</v>
      </c>
      <c r="M44" s="62">
        <v>20.23</v>
      </c>
      <c r="N44" s="63">
        <v>22.15</v>
      </c>
      <c r="O44" s="63">
        <v>22.65</v>
      </c>
      <c r="P44" s="63">
        <v>5.87</v>
      </c>
      <c r="Q44" s="63">
        <v>12.06</v>
      </c>
      <c r="R44" s="63">
        <v>11.15</v>
      </c>
      <c r="S44" s="63">
        <v>15.22</v>
      </c>
      <c r="T44" s="63">
        <v>16.100000000000001</v>
      </c>
      <c r="U44" s="63">
        <v>21.25</v>
      </c>
      <c r="V44" s="63">
        <v>16.920000000000002</v>
      </c>
      <c r="W44" s="63">
        <v>17.38</v>
      </c>
      <c r="X44" s="63">
        <v>22.14</v>
      </c>
      <c r="Y44" s="198">
        <v>14.15</v>
      </c>
      <c r="Z44" s="577">
        <v>35.68</v>
      </c>
      <c r="AA44" s="577">
        <v>25.16</v>
      </c>
    </row>
    <row r="45" spans="4:27" ht="19.5" customHeight="1" x14ac:dyDescent="0.35">
      <c r="D45" s="44" t="s">
        <v>52</v>
      </c>
      <c r="E45" s="2703"/>
      <c r="F45" s="2681"/>
      <c r="G45" s="60">
        <v>1.38</v>
      </c>
      <c r="H45" s="60"/>
      <c r="I45" s="60">
        <v>24.93</v>
      </c>
      <c r="J45" s="60">
        <v>122.4</v>
      </c>
      <c r="K45" s="84">
        <v>3.88</v>
      </c>
      <c r="L45" s="62">
        <v>5.26</v>
      </c>
      <c r="M45" s="62">
        <v>3.28</v>
      </c>
      <c r="N45" s="63">
        <v>5.72</v>
      </c>
      <c r="O45" s="63">
        <v>7.08</v>
      </c>
      <c r="P45" s="63">
        <v>19.68</v>
      </c>
      <c r="Q45" s="63">
        <v>1.1499999999999999</v>
      </c>
      <c r="R45" s="63">
        <v>1.1200000000000001</v>
      </c>
      <c r="S45" s="63">
        <v>3.89</v>
      </c>
      <c r="T45" s="63">
        <v>2.41</v>
      </c>
      <c r="U45" s="63">
        <v>2.4300000000000002</v>
      </c>
      <c r="V45" s="63">
        <v>5.5</v>
      </c>
      <c r="W45" s="63">
        <v>10.75</v>
      </c>
      <c r="X45" s="63">
        <v>5.71</v>
      </c>
      <c r="Y45" s="198">
        <v>16.510000000000002</v>
      </c>
      <c r="Z45" s="577">
        <v>18.75</v>
      </c>
      <c r="AA45" s="577">
        <v>24.09</v>
      </c>
    </row>
    <row r="46" spans="4:27" ht="19.5" customHeight="1" x14ac:dyDescent="0.35">
      <c r="D46" s="44" t="s">
        <v>53</v>
      </c>
      <c r="E46" s="2704"/>
      <c r="F46" s="2682"/>
      <c r="G46" s="60">
        <v>16.48</v>
      </c>
      <c r="H46" s="60"/>
      <c r="I46" s="60">
        <v>82.57</v>
      </c>
      <c r="J46" s="60">
        <v>68.900000000000006</v>
      </c>
      <c r="K46" s="60">
        <v>13.76</v>
      </c>
      <c r="L46" s="62">
        <v>12.41</v>
      </c>
      <c r="M46" s="62">
        <v>10.57</v>
      </c>
      <c r="N46" s="63">
        <v>7.49</v>
      </c>
      <c r="O46" s="63">
        <v>26.69</v>
      </c>
      <c r="P46" s="63">
        <v>7.39</v>
      </c>
      <c r="Q46" s="63">
        <v>3</v>
      </c>
      <c r="R46" s="63">
        <v>2.46</v>
      </c>
      <c r="S46" s="63">
        <v>5.58</v>
      </c>
      <c r="T46" s="63">
        <v>2.93</v>
      </c>
      <c r="U46" s="63">
        <v>3.26</v>
      </c>
      <c r="V46" s="63">
        <v>7.29</v>
      </c>
      <c r="W46" s="63">
        <v>21.38</v>
      </c>
      <c r="X46" s="63">
        <v>3.41</v>
      </c>
      <c r="Y46" s="198">
        <v>30.31</v>
      </c>
      <c r="Z46" s="577">
        <v>10.45</v>
      </c>
      <c r="AA46" s="577">
        <v>28.42</v>
      </c>
    </row>
    <row r="47" spans="4:27" ht="19.5" customHeight="1" x14ac:dyDescent="0.35">
      <c r="D47" s="113" t="s">
        <v>3</v>
      </c>
      <c r="E47" s="79"/>
      <c r="F47" s="80"/>
      <c r="G47" s="114" t="s">
        <v>17</v>
      </c>
      <c r="H47" s="114"/>
      <c r="I47" s="114"/>
      <c r="J47" s="114"/>
      <c r="K47" s="115">
        <f>100-(K42*100/$G$42)</f>
        <v>59.645464025026065</v>
      </c>
      <c r="L47" s="115">
        <f t="shared" ref="L47:N47" si="9">100-(L42*100/$G$42)</f>
        <v>62.530413625304135</v>
      </c>
      <c r="M47" s="115">
        <f t="shared" si="9"/>
        <v>63.799096280848104</v>
      </c>
      <c r="N47" s="115">
        <f t="shared" si="9"/>
        <v>64.476885644768856</v>
      </c>
      <c r="O47" s="115">
        <f>100-(O42*100/$I$42)</f>
        <v>85.929781227946364</v>
      </c>
      <c r="P47" s="115">
        <f t="shared" ref="P47:T47" si="10">100-(P42*100/$I$42)</f>
        <v>82.410021171489063</v>
      </c>
      <c r="Q47" s="115">
        <f t="shared" si="10"/>
        <v>79.851799576570215</v>
      </c>
      <c r="R47" s="115">
        <f t="shared" si="10"/>
        <v>80.822159491884264</v>
      </c>
      <c r="S47" s="115">
        <f t="shared" si="10"/>
        <v>77.831686661961896</v>
      </c>
      <c r="T47" s="115">
        <f t="shared" si="10"/>
        <v>78.272759350740998</v>
      </c>
      <c r="U47" s="115">
        <f>100-(U42*100/$J$42)</f>
        <v>85.685931115002916</v>
      </c>
      <c r="V47" s="115">
        <f t="shared" ref="V47:AA47" si="11">100-(V42*100/$J$42)</f>
        <v>81.996497373029769</v>
      </c>
      <c r="W47" s="115">
        <f t="shared" si="11"/>
        <v>75.878575598365444</v>
      </c>
      <c r="X47" s="115">
        <f t="shared" si="11"/>
        <v>79.67308814944542</v>
      </c>
      <c r="Y47" s="115">
        <f t="shared" si="11"/>
        <v>72.107413893753659</v>
      </c>
      <c r="Z47" s="581">
        <f t="shared" si="11"/>
        <v>74.909515469935783</v>
      </c>
      <c r="AA47" s="115">
        <f t="shared" si="11"/>
        <v>71.494454173963817</v>
      </c>
    </row>
    <row r="48" spans="4:27" ht="19.5" customHeight="1" x14ac:dyDescent="0.35">
      <c r="D48" s="113" t="s">
        <v>4</v>
      </c>
      <c r="E48" s="79" t="s">
        <v>163</v>
      </c>
      <c r="F48" s="80" t="s">
        <v>55</v>
      </c>
      <c r="G48" s="114" t="s">
        <v>17</v>
      </c>
      <c r="H48" s="114"/>
      <c r="I48" s="114"/>
      <c r="J48" s="114"/>
      <c r="K48" s="115">
        <f>100-(K43*100/$G$43)</f>
        <v>80.542543882225772</v>
      </c>
      <c r="L48" s="115">
        <f t="shared" ref="L48:N48" si="12">100-(L43*100/$G$43)</f>
        <v>81.587481340402533</v>
      </c>
      <c r="M48" s="115">
        <f t="shared" si="12"/>
        <v>81.469089411643594</v>
      </c>
      <c r="N48" s="115">
        <f t="shared" si="12"/>
        <v>81.932362176352498</v>
      </c>
      <c r="O48" s="115">
        <f>100-(O43*100/$I$43)</f>
        <v>95.737166037207999</v>
      </c>
      <c r="P48" s="115">
        <f t="shared" ref="P48:T48" si="13">100-(P43*100/$I$43)</f>
        <v>94.097076514197795</v>
      </c>
      <c r="Q48" s="115">
        <f t="shared" si="13"/>
        <v>92.362568191355436</v>
      </c>
      <c r="R48" s="115">
        <f t="shared" si="13"/>
        <v>93.152888515876342</v>
      </c>
      <c r="S48" s="115">
        <f t="shared" si="13"/>
        <v>91.425374178206738</v>
      </c>
      <c r="T48" s="115">
        <f t="shared" si="13"/>
        <v>91.184081689746819</v>
      </c>
      <c r="U48" s="115">
        <f>100-(U43*100/$J$43)</f>
        <v>95.371832156211056</v>
      </c>
      <c r="V48" s="115">
        <f>100-(V44*100/$J$43)</f>
        <v>96.485251350228495</v>
      </c>
      <c r="W48" s="115">
        <f t="shared" ref="W48:AA48" si="14">100-(W43*100/$J$43)</f>
        <v>89.580390527627756</v>
      </c>
      <c r="X48" s="115">
        <f t="shared" si="14"/>
        <v>92.43248857498962</v>
      </c>
      <c r="Y48" s="115">
        <f t="shared" si="14"/>
        <v>86.888242625675119</v>
      </c>
      <c r="Z48" s="581">
        <f t="shared" si="14"/>
        <v>88.406730369754882</v>
      </c>
      <c r="AA48" s="115">
        <f t="shared" si="14"/>
        <v>84.657249688408811</v>
      </c>
    </row>
    <row r="49" spans="4:27" ht="19.5" customHeight="1" x14ac:dyDescent="0.35">
      <c r="D49" s="113" t="s">
        <v>56</v>
      </c>
      <c r="E49" s="79"/>
      <c r="F49" s="80"/>
      <c r="G49" s="114" t="s">
        <v>17</v>
      </c>
      <c r="H49" s="114"/>
      <c r="I49" s="114"/>
      <c r="J49" s="114"/>
      <c r="K49" s="115">
        <f>100-((K42+K43)*100/($G$42+$G$43))</f>
        <v>75.767443707557277</v>
      </c>
      <c r="L49" s="115">
        <f t="shared" ref="L49:M49" si="15">100-((L42+L43)*100/($G$42+$G$43))</f>
        <v>77.232834279814142</v>
      </c>
      <c r="M49" s="115">
        <f t="shared" si="15"/>
        <v>77.431396687979031</v>
      </c>
      <c r="N49" s="115">
        <f>100-((N42+N43)*100/($G$42+$G$43))</f>
        <v>77.943687701044439</v>
      </c>
      <c r="O49" s="115">
        <f>100-((O42+O43)*100/($I$42+$I$43))</f>
        <v>92.953020134228183</v>
      </c>
      <c r="P49" s="115">
        <f t="shared" ref="P49:S49" si="16">100-((P42+P43)*100/($I$42+$I$43))</f>
        <v>90.77932485224882</v>
      </c>
      <c r="Q49" s="115">
        <f t="shared" si="16"/>
        <v>88.810978663728335</v>
      </c>
      <c r="R49" s="115">
        <f t="shared" si="16"/>
        <v>89.652409095462289</v>
      </c>
      <c r="S49" s="115">
        <f t="shared" si="16"/>
        <v>87.566362816788541</v>
      </c>
      <c r="T49" s="115">
        <f>100-((T42+T43)*100/($I$42+$I$43))</f>
        <v>87.518781929279783</v>
      </c>
      <c r="U49" s="115">
        <f>100-((U42+U43)*100/($J$42+$J$43))</f>
        <v>92.829783974260764</v>
      </c>
      <c r="V49" s="115">
        <f>100-((V42+V44)*100/($J$42+$J$43))</f>
        <v>92.682702619886626</v>
      </c>
      <c r="W49" s="115">
        <f t="shared" ref="W49:AA49" si="17">100-((W42+W43)*100/($J$42+$J$43))</f>
        <v>85.98437260609775</v>
      </c>
      <c r="X49" s="115">
        <f t="shared" si="17"/>
        <v>89.083805730044432</v>
      </c>
      <c r="Y49" s="115">
        <f t="shared" si="17"/>
        <v>83.009039374904248</v>
      </c>
      <c r="Z49" s="581">
        <f t="shared" si="17"/>
        <v>84.864409376436342</v>
      </c>
      <c r="AA49" s="115">
        <f t="shared" si="17"/>
        <v>81.202696491496852</v>
      </c>
    </row>
    <row r="50" spans="4:27" ht="19.5" customHeight="1" x14ac:dyDescent="0.35">
      <c r="D50" s="75" t="s">
        <v>57</v>
      </c>
      <c r="E50" s="2689" t="s">
        <v>58</v>
      </c>
      <c r="F50" s="2680" t="s">
        <v>59</v>
      </c>
      <c r="G50" s="47"/>
      <c r="H50" s="47"/>
      <c r="I50" s="47"/>
      <c r="J50" s="47"/>
      <c r="K50" s="47"/>
      <c r="L50" s="55"/>
      <c r="M50" s="55"/>
      <c r="N50" s="56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200"/>
      <c r="Z50" s="590"/>
      <c r="AA50" s="172"/>
    </row>
    <row r="51" spans="4:27" ht="19.5" customHeight="1" x14ac:dyDescent="0.35">
      <c r="D51" s="83" t="s">
        <v>60</v>
      </c>
      <c r="E51" s="2690"/>
      <c r="F51" s="2681"/>
      <c r="G51" s="84">
        <v>281.3</v>
      </c>
      <c r="H51" s="1688"/>
      <c r="I51" s="425">
        <v>462.3</v>
      </c>
      <c r="J51" s="84">
        <v>436.7</v>
      </c>
      <c r="K51" s="84">
        <v>142.1</v>
      </c>
      <c r="L51" s="84">
        <v>140.19999999999999</v>
      </c>
      <c r="M51" s="84">
        <v>152.5</v>
      </c>
      <c r="N51" s="84">
        <v>133.6</v>
      </c>
      <c r="O51" s="84">
        <v>95.5</v>
      </c>
      <c r="P51" s="84">
        <v>110.4</v>
      </c>
      <c r="Q51" s="84">
        <v>106</v>
      </c>
      <c r="R51" s="84">
        <v>96.3</v>
      </c>
      <c r="S51" s="84">
        <v>123.5</v>
      </c>
      <c r="T51" s="84">
        <v>111.7</v>
      </c>
      <c r="U51" s="84">
        <v>68.7</v>
      </c>
      <c r="V51" s="84">
        <v>107.7</v>
      </c>
      <c r="W51" s="84">
        <v>121.9</v>
      </c>
      <c r="X51" s="84">
        <v>77</v>
      </c>
      <c r="Y51" s="84">
        <v>114.7</v>
      </c>
      <c r="Z51" s="582">
        <v>116.5</v>
      </c>
      <c r="AA51" s="84">
        <v>116.6</v>
      </c>
    </row>
    <row r="52" spans="4:27" ht="19.5" customHeight="1" x14ac:dyDescent="0.35">
      <c r="D52" s="83">
        <v>5</v>
      </c>
      <c r="E52" s="2690"/>
      <c r="F52" s="2681"/>
      <c r="G52" s="84">
        <v>473.3</v>
      </c>
      <c r="H52" s="1688"/>
      <c r="I52" s="425">
        <v>565.70000000000005</v>
      </c>
      <c r="J52" s="84">
        <v>553.1</v>
      </c>
      <c r="K52" s="84">
        <v>291.2</v>
      </c>
      <c r="L52" s="84">
        <v>305.60000000000002</v>
      </c>
      <c r="M52" s="84">
        <v>299.2</v>
      </c>
      <c r="N52" s="84">
        <v>300.89999999999998</v>
      </c>
      <c r="O52" s="84">
        <v>203.2</v>
      </c>
      <c r="P52" s="84">
        <v>211.2</v>
      </c>
      <c r="Q52" s="84">
        <v>211.5</v>
      </c>
      <c r="R52" s="84">
        <v>211.3</v>
      </c>
      <c r="S52" s="84">
        <v>209.7</v>
      </c>
      <c r="T52" s="84">
        <v>210.8</v>
      </c>
      <c r="U52" s="84">
        <v>193.1</v>
      </c>
      <c r="V52" s="84">
        <v>206</v>
      </c>
      <c r="W52" s="84">
        <v>212.1</v>
      </c>
      <c r="X52" s="84">
        <v>195.3</v>
      </c>
      <c r="Y52" s="84">
        <v>200.3</v>
      </c>
      <c r="Z52" s="582">
        <v>217.3</v>
      </c>
      <c r="AA52" s="84">
        <v>213.1</v>
      </c>
    </row>
    <row r="53" spans="4:27" ht="19.5" customHeight="1" x14ac:dyDescent="0.35">
      <c r="D53" s="83">
        <v>10</v>
      </c>
      <c r="E53" s="2690"/>
      <c r="F53" s="2681"/>
      <c r="G53" s="84">
        <v>550.79999999999995</v>
      </c>
      <c r="H53" s="1688"/>
      <c r="I53" s="425">
        <v>583.4</v>
      </c>
      <c r="J53" s="84">
        <v>574.70000000000005</v>
      </c>
      <c r="K53" s="84">
        <v>363.5</v>
      </c>
      <c r="L53" s="84">
        <v>374.1</v>
      </c>
      <c r="M53" s="84">
        <v>366.7</v>
      </c>
      <c r="N53" s="84">
        <v>367.8</v>
      </c>
      <c r="O53" s="84">
        <v>253.3</v>
      </c>
      <c r="P53" s="84">
        <v>264</v>
      </c>
      <c r="Q53" s="84">
        <v>262.60000000000002</v>
      </c>
      <c r="R53" s="84">
        <v>261.89999999999998</v>
      </c>
      <c r="S53" s="84">
        <v>258.39999999999998</v>
      </c>
      <c r="T53" s="84">
        <v>267.8</v>
      </c>
      <c r="U53" s="84">
        <v>245</v>
      </c>
      <c r="V53" s="84">
        <v>258.10000000000002</v>
      </c>
      <c r="W53" s="84">
        <v>257</v>
      </c>
      <c r="X53" s="84">
        <v>242.2</v>
      </c>
      <c r="Y53" s="84">
        <v>244.6</v>
      </c>
      <c r="Z53" s="582">
        <v>268.8</v>
      </c>
      <c r="AA53" s="84">
        <v>266</v>
      </c>
    </row>
    <row r="54" spans="4:27" ht="19.5" customHeight="1" x14ac:dyDescent="0.35">
      <c r="D54" s="83">
        <v>15</v>
      </c>
      <c r="E54" s="2690"/>
      <c r="F54" s="2681"/>
      <c r="G54" s="84">
        <v>575.1</v>
      </c>
      <c r="H54" s="1688"/>
      <c r="I54" s="425">
        <v>583.4</v>
      </c>
      <c r="J54" s="84">
        <v>591.6</v>
      </c>
      <c r="K54" s="84">
        <v>413.2</v>
      </c>
      <c r="L54" s="84">
        <v>424.4</v>
      </c>
      <c r="M54" s="84">
        <v>415.7</v>
      </c>
      <c r="N54" s="84">
        <v>417</v>
      </c>
      <c r="O54" s="84">
        <v>294.10000000000002</v>
      </c>
      <c r="P54" s="84">
        <v>306.89999999999998</v>
      </c>
      <c r="Q54" s="84">
        <v>305</v>
      </c>
      <c r="R54" s="84">
        <v>304.2</v>
      </c>
      <c r="S54" s="84">
        <v>301.89999999999998</v>
      </c>
      <c r="T54" s="84">
        <v>314.5</v>
      </c>
      <c r="U54" s="84">
        <v>287.39999999999998</v>
      </c>
      <c r="V54" s="84">
        <v>300.7</v>
      </c>
      <c r="W54" s="84">
        <v>298.7</v>
      </c>
      <c r="X54" s="84">
        <v>283.10000000000002</v>
      </c>
      <c r="Y54" s="84">
        <v>284.10000000000002</v>
      </c>
      <c r="Z54" s="582">
        <v>310</v>
      </c>
      <c r="AA54" s="84">
        <v>308.39999999999998</v>
      </c>
    </row>
    <row r="55" spans="4:27" ht="19.5" customHeight="1" x14ac:dyDescent="0.35">
      <c r="D55" s="83">
        <v>20</v>
      </c>
      <c r="E55" s="2690"/>
      <c r="F55" s="2681"/>
      <c r="G55" s="84">
        <v>591.1</v>
      </c>
      <c r="H55" s="1688"/>
      <c r="I55" s="425">
        <v>598.5</v>
      </c>
      <c r="J55" s="84">
        <v>607.9</v>
      </c>
      <c r="K55" s="84">
        <v>454.4</v>
      </c>
      <c r="L55" s="84">
        <v>465.4</v>
      </c>
      <c r="M55" s="84">
        <v>455.9</v>
      </c>
      <c r="N55" s="84">
        <v>457.4</v>
      </c>
      <c r="O55" s="84">
        <v>328.2</v>
      </c>
      <c r="P55" s="84">
        <v>342.6</v>
      </c>
      <c r="Q55" s="84">
        <v>341</v>
      </c>
      <c r="R55" s="84">
        <v>340.1</v>
      </c>
      <c r="S55" s="84">
        <v>338.2</v>
      </c>
      <c r="T55" s="84">
        <v>353.6</v>
      </c>
      <c r="U55" s="84">
        <v>323.2</v>
      </c>
      <c r="V55" s="84">
        <v>336.6</v>
      </c>
      <c r="W55" s="84">
        <v>332.5</v>
      </c>
      <c r="X55" s="84">
        <v>317.89999999999998</v>
      </c>
      <c r="Y55" s="84">
        <v>318.2</v>
      </c>
      <c r="Z55" s="582">
        <v>344.6</v>
      </c>
      <c r="AA55" s="84">
        <v>344.7</v>
      </c>
    </row>
    <row r="56" spans="4:27" ht="19.5" customHeight="1" x14ac:dyDescent="0.35">
      <c r="D56" s="83">
        <v>30</v>
      </c>
      <c r="E56" s="2690"/>
      <c r="F56" s="2681"/>
      <c r="G56" s="84">
        <v>617.79999999999995</v>
      </c>
      <c r="H56" s="1688"/>
      <c r="I56" s="425">
        <v>613.1</v>
      </c>
      <c r="J56" s="84">
        <v>642.6</v>
      </c>
      <c r="K56" s="84">
        <v>519.1</v>
      </c>
      <c r="L56" s="84">
        <v>529.6</v>
      </c>
      <c r="M56" s="84">
        <v>520.6</v>
      </c>
      <c r="N56" s="84">
        <v>522.4</v>
      </c>
      <c r="O56" s="84">
        <v>388.2</v>
      </c>
      <c r="P56" s="84">
        <v>407.5</v>
      </c>
      <c r="Q56" s="84">
        <v>402.8</v>
      </c>
      <c r="R56" s="84">
        <v>401.6</v>
      </c>
      <c r="S56" s="84">
        <v>401.5</v>
      </c>
      <c r="T56" s="84">
        <v>424.1</v>
      </c>
      <c r="U56" s="84">
        <v>388.5</v>
      </c>
      <c r="V56" s="84">
        <v>402.9</v>
      </c>
      <c r="W56" s="84">
        <v>395.2</v>
      </c>
      <c r="X56" s="84">
        <v>380.8</v>
      </c>
      <c r="Y56" s="84">
        <v>379.1</v>
      </c>
      <c r="Z56" s="582">
        <v>409.1</v>
      </c>
      <c r="AA56" s="84">
        <v>412.9</v>
      </c>
    </row>
    <row r="57" spans="4:27" ht="19.5" customHeight="1" x14ac:dyDescent="0.35">
      <c r="D57" s="83">
        <v>40</v>
      </c>
      <c r="E57" s="2690"/>
      <c r="F57" s="2681"/>
      <c r="G57" s="84">
        <v>643.9</v>
      </c>
      <c r="H57" s="1688"/>
      <c r="I57" s="425">
        <v>644.20000000000005</v>
      </c>
      <c r="J57" s="84">
        <v>688.5</v>
      </c>
      <c r="K57" s="84">
        <v>560.4</v>
      </c>
      <c r="L57" s="84">
        <v>571.4</v>
      </c>
      <c r="M57" s="84">
        <v>563.5</v>
      </c>
      <c r="N57" s="84">
        <v>564.9</v>
      </c>
      <c r="O57" s="84">
        <v>443.3</v>
      </c>
      <c r="P57" s="84">
        <v>466.1</v>
      </c>
      <c r="Q57" s="84">
        <v>457.1</v>
      </c>
      <c r="R57" s="84">
        <v>459.8</v>
      </c>
      <c r="S57" s="84">
        <v>461.7</v>
      </c>
      <c r="T57" s="84">
        <v>488</v>
      </c>
      <c r="U57" s="84">
        <v>448.2</v>
      </c>
      <c r="V57" s="84">
        <v>465</v>
      </c>
      <c r="W57" s="84">
        <v>450.9</v>
      </c>
      <c r="X57" s="84">
        <v>437.8</v>
      </c>
      <c r="Y57" s="84">
        <v>435.4</v>
      </c>
      <c r="Z57" s="582">
        <v>470.8</v>
      </c>
      <c r="AA57" s="84">
        <v>478.4</v>
      </c>
    </row>
    <row r="58" spans="4:27" ht="19.5" customHeight="1" x14ac:dyDescent="0.35">
      <c r="D58" s="83">
        <v>50</v>
      </c>
      <c r="E58" s="2690"/>
      <c r="F58" s="2681"/>
      <c r="G58" s="84">
        <v>673</v>
      </c>
      <c r="H58" s="1688"/>
      <c r="I58" s="425">
        <v>683.9</v>
      </c>
      <c r="J58" s="84" t="s">
        <v>17</v>
      </c>
      <c r="K58" s="84">
        <v>591.6</v>
      </c>
      <c r="L58" s="84">
        <v>601.5</v>
      </c>
      <c r="M58" s="84">
        <v>592.79999999999995</v>
      </c>
      <c r="N58" s="84">
        <v>594.29999999999995</v>
      </c>
      <c r="O58" s="84">
        <v>498.4</v>
      </c>
      <c r="P58" s="84">
        <v>520.79999999999995</v>
      </c>
      <c r="Q58" s="84">
        <v>507.9</v>
      </c>
      <c r="R58" s="84">
        <v>513.1</v>
      </c>
      <c r="S58" s="84">
        <v>516.29999999999995</v>
      </c>
      <c r="T58" s="84">
        <v>543</v>
      </c>
      <c r="U58" s="84">
        <v>506</v>
      </c>
      <c r="V58" s="84">
        <v>523.6</v>
      </c>
      <c r="W58" s="84">
        <v>507.4</v>
      </c>
      <c r="X58" s="84">
        <v>494.9</v>
      </c>
      <c r="Y58" s="84">
        <v>490.6</v>
      </c>
      <c r="Z58" s="582">
        <v>527</v>
      </c>
      <c r="AA58" s="84">
        <v>537</v>
      </c>
    </row>
    <row r="59" spans="4:27" ht="19.5" customHeight="1" x14ac:dyDescent="0.35">
      <c r="D59" s="83">
        <v>60</v>
      </c>
      <c r="E59" s="2690"/>
      <c r="F59" s="2681"/>
      <c r="G59" s="84">
        <v>705.3</v>
      </c>
      <c r="H59" s="1688"/>
      <c r="I59" s="425" t="s">
        <v>17</v>
      </c>
      <c r="J59" s="84" t="s">
        <v>17</v>
      </c>
      <c r="K59" s="84">
        <v>625</v>
      </c>
      <c r="L59" s="84">
        <v>631.9</v>
      </c>
      <c r="M59" s="84">
        <v>620.1</v>
      </c>
      <c r="N59" s="84">
        <v>622.70000000000005</v>
      </c>
      <c r="O59" s="84">
        <v>548.1</v>
      </c>
      <c r="P59" s="84">
        <v>565.79999999999995</v>
      </c>
      <c r="Q59" s="84">
        <v>551.70000000000005</v>
      </c>
      <c r="R59" s="84">
        <v>558.1</v>
      </c>
      <c r="S59" s="84">
        <v>561.29999999999995</v>
      </c>
      <c r="T59" s="84">
        <v>585.29999999999995</v>
      </c>
      <c r="U59" s="84">
        <v>556.1</v>
      </c>
      <c r="V59" s="84">
        <v>571.5</v>
      </c>
      <c r="W59" s="84">
        <v>556</v>
      </c>
      <c r="X59" s="84">
        <v>544.5</v>
      </c>
      <c r="Y59" s="84">
        <v>540.4</v>
      </c>
      <c r="Z59" s="582">
        <v>572.6</v>
      </c>
      <c r="AA59" s="84">
        <v>584.4</v>
      </c>
    </row>
    <row r="60" spans="4:27" ht="19.5" customHeight="1" x14ac:dyDescent="0.35">
      <c r="D60" s="83">
        <v>70</v>
      </c>
      <c r="E60" s="2690"/>
      <c r="F60" s="2681"/>
      <c r="G60" s="60" t="s">
        <v>17</v>
      </c>
      <c r="H60" s="1689"/>
      <c r="I60" s="425" t="s">
        <v>17</v>
      </c>
      <c r="J60" s="60" t="s">
        <v>17</v>
      </c>
      <c r="K60" s="60">
        <v>664.4</v>
      </c>
      <c r="L60" s="60">
        <v>669.1</v>
      </c>
      <c r="M60" s="60">
        <v>649.20000000000005</v>
      </c>
      <c r="N60" s="60">
        <v>653.70000000000005</v>
      </c>
      <c r="O60" s="60">
        <v>591.6</v>
      </c>
      <c r="P60" s="60">
        <v>605.1</v>
      </c>
      <c r="Q60" s="60">
        <v>586.9</v>
      </c>
      <c r="R60" s="60">
        <v>594.4</v>
      </c>
      <c r="S60" s="60">
        <v>598</v>
      </c>
      <c r="T60" s="60">
        <v>629.6</v>
      </c>
      <c r="U60" s="60">
        <v>596.29999999999995</v>
      </c>
      <c r="V60" s="60">
        <v>618.1</v>
      </c>
      <c r="W60" s="60">
        <v>596.79999999999995</v>
      </c>
      <c r="X60" s="60">
        <v>587.1</v>
      </c>
      <c r="Y60" s="60">
        <v>582.79999999999995</v>
      </c>
      <c r="Z60" s="583">
        <v>617.70000000000005</v>
      </c>
      <c r="AA60" s="60">
        <v>638.70000000000005</v>
      </c>
    </row>
    <row r="61" spans="4:27" ht="19.5" customHeight="1" x14ac:dyDescent="0.35">
      <c r="D61" s="83">
        <v>80</v>
      </c>
      <c r="E61" s="2690"/>
      <c r="F61" s="2681"/>
      <c r="G61" s="60" t="s">
        <v>17</v>
      </c>
      <c r="H61" s="1689"/>
      <c r="I61" s="425" t="s">
        <v>17</v>
      </c>
      <c r="J61" s="60" t="s">
        <v>17</v>
      </c>
      <c r="K61" s="60" t="s">
        <v>17</v>
      </c>
      <c r="L61" s="60">
        <v>733.8</v>
      </c>
      <c r="M61" s="60">
        <v>685</v>
      </c>
      <c r="N61" s="60">
        <v>694.8</v>
      </c>
      <c r="O61" s="60">
        <v>644.6</v>
      </c>
      <c r="P61" s="60">
        <v>658</v>
      </c>
      <c r="Q61" s="60">
        <v>626.1</v>
      </c>
      <c r="R61" s="60">
        <v>637</v>
      </c>
      <c r="S61" s="60">
        <v>643.29999999999995</v>
      </c>
      <c r="T61" s="60">
        <v>700.8</v>
      </c>
      <c r="U61" s="60">
        <v>646.70000000000005</v>
      </c>
      <c r="V61" s="60">
        <v>695.6</v>
      </c>
      <c r="W61" s="60">
        <v>648.29999999999995</v>
      </c>
      <c r="X61" s="60">
        <v>636.1</v>
      </c>
      <c r="Y61" s="60">
        <v>630.20000000000005</v>
      </c>
      <c r="Z61" s="583">
        <v>693.7</v>
      </c>
      <c r="AA61" s="60" t="s">
        <v>17</v>
      </c>
    </row>
    <row r="62" spans="4:27" ht="19.5" customHeight="1" x14ac:dyDescent="0.35">
      <c r="D62" s="83">
        <v>90</v>
      </c>
      <c r="E62" s="2690"/>
      <c r="F62" s="2681"/>
      <c r="G62" s="60" t="s">
        <v>17</v>
      </c>
      <c r="H62" s="1689"/>
      <c r="I62" s="425" t="s">
        <v>17</v>
      </c>
      <c r="J62" s="60" t="s">
        <v>17</v>
      </c>
      <c r="K62" s="60" t="s">
        <v>17</v>
      </c>
      <c r="L62" s="60" t="s">
        <v>17</v>
      </c>
      <c r="M62" s="60">
        <v>722.6</v>
      </c>
      <c r="N62" s="60" t="s">
        <v>17</v>
      </c>
      <c r="O62" s="60" t="s">
        <v>17</v>
      </c>
      <c r="P62" s="60">
        <v>0</v>
      </c>
      <c r="Q62" s="60">
        <v>693.3</v>
      </c>
      <c r="R62" s="60">
        <v>713.8</v>
      </c>
      <c r="S62" s="60" t="s">
        <v>17</v>
      </c>
      <c r="T62" s="60">
        <v>0</v>
      </c>
      <c r="U62" s="60" t="s">
        <v>17</v>
      </c>
      <c r="V62" s="60" t="s">
        <v>17</v>
      </c>
      <c r="W62" s="60" t="s">
        <v>17</v>
      </c>
      <c r="X62" s="60" t="s">
        <v>17</v>
      </c>
      <c r="Y62" s="60">
        <v>720</v>
      </c>
      <c r="Z62" s="583" t="s">
        <v>17</v>
      </c>
      <c r="AA62" s="60" t="s">
        <v>17</v>
      </c>
    </row>
    <row r="63" spans="4:27" ht="19.5" customHeight="1" x14ac:dyDescent="0.35">
      <c r="D63" s="83">
        <v>95</v>
      </c>
      <c r="E63" s="2690"/>
      <c r="F63" s="2681"/>
      <c r="G63" s="60" t="s">
        <v>17</v>
      </c>
      <c r="H63" s="1689"/>
      <c r="I63" s="425" t="s">
        <v>17</v>
      </c>
      <c r="J63" s="60" t="s">
        <v>17</v>
      </c>
      <c r="K63" s="60" t="s">
        <v>17</v>
      </c>
      <c r="L63" s="60" t="s">
        <v>17</v>
      </c>
      <c r="M63" s="60" t="s">
        <v>17</v>
      </c>
      <c r="N63" s="60" t="s">
        <v>17</v>
      </c>
      <c r="O63" s="60" t="s">
        <v>17</v>
      </c>
      <c r="P63" s="60">
        <v>0</v>
      </c>
      <c r="Q63" s="60" t="s">
        <v>17</v>
      </c>
      <c r="R63" s="60" t="s">
        <v>17</v>
      </c>
      <c r="S63" s="60" t="s">
        <v>17</v>
      </c>
      <c r="T63" s="60">
        <v>0</v>
      </c>
      <c r="U63" s="60" t="s">
        <v>17</v>
      </c>
      <c r="V63" s="60" t="s">
        <v>17</v>
      </c>
      <c r="W63" s="60" t="s">
        <v>17</v>
      </c>
      <c r="X63" s="60" t="s">
        <v>17</v>
      </c>
      <c r="Y63" s="60">
        <v>0</v>
      </c>
      <c r="Z63" s="583" t="s">
        <v>17</v>
      </c>
      <c r="AA63" s="60" t="s">
        <v>17</v>
      </c>
    </row>
    <row r="64" spans="4:27" ht="19.5" customHeight="1" thickBot="1" x14ac:dyDescent="0.4">
      <c r="D64" s="83" t="s">
        <v>61</v>
      </c>
      <c r="E64" s="89" t="s">
        <v>54</v>
      </c>
      <c r="F64" s="2682"/>
      <c r="G64" s="90" t="s">
        <v>437</v>
      </c>
      <c r="H64" s="1690"/>
      <c r="I64" s="502" t="s">
        <v>543</v>
      </c>
      <c r="J64" s="90" t="s">
        <v>915</v>
      </c>
      <c r="K64" s="91" t="s">
        <v>17</v>
      </c>
      <c r="L64" s="91" t="s">
        <v>17</v>
      </c>
      <c r="M64" s="91" t="s">
        <v>17</v>
      </c>
      <c r="N64" s="91" t="s">
        <v>17</v>
      </c>
      <c r="O64" s="91" t="s">
        <v>17</v>
      </c>
      <c r="P64" s="91">
        <v>0</v>
      </c>
      <c r="Q64" s="91" t="s">
        <v>17</v>
      </c>
      <c r="R64" s="91" t="s">
        <v>17</v>
      </c>
      <c r="S64" s="91" t="s">
        <v>17</v>
      </c>
      <c r="T64" s="91">
        <v>0</v>
      </c>
      <c r="U64" s="91" t="s">
        <v>17</v>
      </c>
      <c r="V64" s="91" t="s">
        <v>17</v>
      </c>
      <c r="W64" s="91" t="s">
        <v>17</v>
      </c>
      <c r="X64" s="91" t="s">
        <v>17</v>
      </c>
      <c r="Y64" s="91">
        <v>0</v>
      </c>
      <c r="Z64" s="584" t="s">
        <v>17</v>
      </c>
      <c r="AA64" s="91" t="s">
        <v>17</v>
      </c>
    </row>
    <row r="65" spans="4:27" ht="19.5" customHeight="1" x14ac:dyDescent="0.35">
      <c r="D65" s="92" t="s">
        <v>159</v>
      </c>
      <c r="E65" s="93"/>
      <c r="F65" s="94"/>
      <c r="G65" s="95"/>
      <c r="H65" s="95"/>
      <c r="I65" s="95"/>
      <c r="J65" s="95"/>
      <c r="K65" s="95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201"/>
      <c r="Z65" s="585"/>
      <c r="AA65" s="201"/>
    </row>
    <row r="66" spans="4:27" ht="19.5" customHeight="1" x14ac:dyDescent="0.35">
      <c r="D66" s="97" t="s">
        <v>101</v>
      </c>
      <c r="E66" s="2692" t="s">
        <v>58</v>
      </c>
      <c r="F66" s="2695" t="s">
        <v>36</v>
      </c>
      <c r="G66" s="98">
        <v>0</v>
      </c>
      <c r="H66" s="98"/>
      <c r="I66" s="98">
        <v>0</v>
      </c>
      <c r="J66" s="98">
        <v>0</v>
      </c>
      <c r="K66" s="3">
        <v>0.14299999999999999</v>
      </c>
      <c r="L66" s="99">
        <v>0.26600000000000001</v>
      </c>
      <c r="M66" s="99">
        <v>0.151</v>
      </c>
      <c r="N66" s="99">
        <v>0.26400000000000001</v>
      </c>
      <c r="O66" s="99">
        <v>0.58399999999999996</v>
      </c>
      <c r="P66" s="99">
        <v>0.73</v>
      </c>
      <c r="Q66" s="99">
        <v>0.28000000000000003</v>
      </c>
      <c r="R66" s="99">
        <v>0.45400000000000001</v>
      </c>
      <c r="S66" s="99">
        <v>0.161</v>
      </c>
      <c r="T66" s="99">
        <v>0.158</v>
      </c>
      <c r="U66" s="99">
        <v>0.308</v>
      </c>
      <c r="V66" s="99">
        <v>0.77400000000000002</v>
      </c>
      <c r="W66" s="99">
        <v>0.156</v>
      </c>
      <c r="X66" s="99">
        <v>0.64700000000000002</v>
      </c>
      <c r="Y66" s="202">
        <v>0.20499999999999999</v>
      </c>
      <c r="Z66" s="601">
        <v>0.19600000000000001</v>
      </c>
      <c r="AA66" s="3">
        <v>0.192</v>
      </c>
    </row>
    <row r="67" spans="4:27" ht="19.5" customHeight="1" x14ac:dyDescent="0.35">
      <c r="D67" s="97" t="s">
        <v>102</v>
      </c>
      <c r="E67" s="2693"/>
      <c r="F67" s="2696"/>
      <c r="G67" s="98">
        <v>7.0000000000000001E-3</v>
      </c>
      <c r="H67" s="98"/>
      <c r="I67" s="98">
        <v>0</v>
      </c>
      <c r="J67" s="98">
        <v>0</v>
      </c>
      <c r="K67" s="3">
        <v>0.58399999999999996</v>
      </c>
      <c r="L67" s="99">
        <v>0.40200000000000002</v>
      </c>
      <c r="M67" s="99">
        <v>0.45700000000000002</v>
      </c>
      <c r="N67" s="99">
        <v>0.49399999999999999</v>
      </c>
      <c r="O67" s="99">
        <v>1.6970000000000001</v>
      </c>
      <c r="P67" s="99">
        <v>1.605</v>
      </c>
      <c r="Q67" s="99">
        <v>1.5880000000000001</v>
      </c>
      <c r="R67" s="99">
        <v>1.393</v>
      </c>
      <c r="S67" s="99">
        <v>1.5049999999999999</v>
      </c>
      <c r="T67" s="99">
        <v>1.484</v>
      </c>
      <c r="U67" s="99">
        <v>1.8759999999999999</v>
      </c>
      <c r="V67" s="99">
        <v>1.7490000000000001</v>
      </c>
      <c r="W67" s="99">
        <v>1.4419999999999999</v>
      </c>
      <c r="X67" s="99">
        <v>1.9410000000000001</v>
      </c>
      <c r="Y67" s="202">
        <v>1.897</v>
      </c>
      <c r="Z67" s="601">
        <v>1.3480000000000001</v>
      </c>
      <c r="AA67" s="3">
        <v>1.4990000000000001</v>
      </c>
    </row>
    <row r="68" spans="4:27" ht="19.5" customHeight="1" x14ac:dyDescent="0.35">
      <c r="D68" s="97" t="s">
        <v>103</v>
      </c>
      <c r="E68" s="2693"/>
      <c r="F68" s="2696"/>
      <c r="G68" s="98">
        <v>0.26400000000000001</v>
      </c>
      <c r="H68" s="98"/>
      <c r="I68" s="98">
        <v>0.03</v>
      </c>
      <c r="J68" s="98">
        <v>0</v>
      </c>
      <c r="K68" s="3">
        <v>2.33</v>
      </c>
      <c r="L68" s="99">
        <v>1.913</v>
      </c>
      <c r="M68" s="99">
        <v>2.169</v>
      </c>
      <c r="N68" s="99">
        <v>2.0150000000000001</v>
      </c>
      <c r="O68" s="99">
        <v>7.016</v>
      </c>
      <c r="P68" s="99">
        <v>6.6289999999999996</v>
      </c>
      <c r="Q68" s="99">
        <v>7.0439999999999996</v>
      </c>
      <c r="R68" s="99">
        <v>6.84</v>
      </c>
      <c r="S68" s="99">
        <v>7.343</v>
      </c>
      <c r="T68" s="99">
        <v>6.8390000000000004</v>
      </c>
      <c r="U68" s="99">
        <v>7.7</v>
      </c>
      <c r="V68" s="99">
        <v>7.0110000000000001</v>
      </c>
      <c r="W68" s="99">
        <v>7.4290000000000003</v>
      </c>
      <c r="X68" s="99">
        <v>8.2919999999999998</v>
      </c>
      <c r="Y68" s="202">
        <v>8.5809999999999995</v>
      </c>
      <c r="Z68" s="601">
        <v>6.4180000000000001</v>
      </c>
      <c r="AA68" s="3">
        <v>6.6379999999999999</v>
      </c>
    </row>
    <row r="69" spans="4:27" ht="19.5" customHeight="1" x14ac:dyDescent="0.35">
      <c r="D69" s="97" t="s">
        <v>104</v>
      </c>
      <c r="E69" s="2693"/>
      <c r="F69" s="2696"/>
      <c r="G69" s="98">
        <v>1.0409999999999999</v>
      </c>
      <c r="H69" s="98"/>
      <c r="I69" s="98">
        <v>0.16500000000000001</v>
      </c>
      <c r="J69" s="98">
        <v>0.219</v>
      </c>
      <c r="K69" s="3">
        <v>6.6609999999999996</v>
      </c>
      <c r="L69" s="99">
        <v>6.17</v>
      </c>
      <c r="M69" s="99">
        <v>6.61</v>
      </c>
      <c r="N69" s="99">
        <v>6.5049999999999999</v>
      </c>
      <c r="O69" s="99">
        <v>16.114999999999998</v>
      </c>
      <c r="P69" s="99">
        <v>14.157</v>
      </c>
      <c r="Q69" s="99">
        <v>14.746</v>
      </c>
      <c r="R69" s="99">
        <v>14.393000000000001</v>
      </c>
      <c r="S69" s="99">
        <v>14.273</v>
      </c>
      <c r="T69" s="99">
        <v>13.709</v>
      </c>
      <c r="U69" s="99">
        <v>15.262</v>
      </c>
      <c r="V69" s="99">
        <v>14.618</v>
      </c>
      <c r="W69" s="99">
        <v>15.250999999999999</v>
      </c>
      <c r="X69" s="99">
        <v>15.74</v>
      </c>
      <c r="Y69" s="202">
        <v>16.094999999999999</v>
      </c>
      <c r="Z69" s="601">
        <v>14.513</v>
      </c>
      <c r="AA69" s="3">
        <v>14.006</v>
      </c>
    </row>
    <row r="70" spans="4:27" ht="19.5" customHeight="1" x14ac:dyDescent="0.35">
      <c r="D70" s="97" t="s">
        <v>105</v>
      </c>
      <c r="E70" s="2693"/>
      <c r="F70" s="2696"/>
      <c r="G70" s="98">
        <v>4.7430000000000003</v>
      </c>
      <c r="H70" s="98"/>
      <c r="I70" s="98">
        <v>0.47199999999999998</v>
      </c>
      <c r="J70" s="98">
        <v>0.80500000000000005</v>
      </c>
      <c r="K70" s="3">
        <v>16.82</v>
      </c>
      <c r="L70" s="99">
        <v>16.152000000000001</v>
      </c>
      <c r="M70" s="99">
        <v>17.013000000000002</v>
      </c>
      <c r="N70" s="99">
        <v>16.838000000000001</v>
      </c>
      <c r="O70" s="99">
        <v>26.524000000000001</v>
      </c>
      <c r="P70" s="99">
        <v>23.327999999999999</v>
      </c>
      <c r="Q70" s="99">
        <v>24.245000000000001</v>
      </c>
      <c r="R70" s="99">
        <v>24.225999999999999</v>
      </c>
      <c r="S70" s="99">
        <v>23.512</v>
      </c>
      <c r="T70" s="99">
        <v>22.968</v>
      </c>
      <c r="U70" s="99">
        <v>23</v>
      </c>
      <c r="V70" s="99">
        <v>22.116</v>
      </c>
      <c r="W70" s="99">
        <v>24.204000000000001</v>
      </c>
      <c r="X70" s="99">
        <v>24.353999999999999</v>
      </c>
      <c r="Y70" s="202">
        <v>24.951000000000001</v>
      </c>
      <c r="Z70" s="601">
        <v>22.513000000000002</v>
      </c>
      <c r="AA70" s="3">
        <v>21.085000000000001</v>
      </c>
    </row>
    <row r="71" spans="4:27" ht="19.5" customHeight="1" x14ac:dyDescent="0.35">
      <c r="D71" s="97" t="s">
        <v>100</v>
      </c>
      <c r="E71" s="2693"/>
      <c r="F71" s="2696"/>
      <c r="G71" s="98">
        <v>5.3239999999999998</v>
      </c>
      <c r="H71" s="98"/>
      <c r="I71" s="98">
        <v>3.141</v>
      </c>
      <c r="J71" s="98">
        <v>5.2809999999999997</v>
      </c>
      <c r="K71" s="3">
        <v>13.346</v>
      </c>
      <c r="L71" s="99">
        <v>11.814</v>
      </c>
      <c r="M71" s="99">
        <v>12.590999999999999</v>
      </c>
      <c r="N71" s="99">
        <v>12.481999999999999</v>
      </c>
      <c r="O71" s="99">
        <v>12.973000000000001</v>
      </c>
      <c r="P71" s="99">
        <v>12.542</v>
      </c>
      <c r="Q71" s="99">
        <v>13.506</v>
      </c>
      <c r="R71" s="99">
        <v>13.202999999999999</v>
      </c>
      <c r="S71" s="99">
        <v>12.878</v>
      </c>
      <c r="T71" s="99">
        <v>12.824999999999999</v>
      </c>
      <c r="U71" s="99">
        <v>12.103999999999999</v>
      </c>
      <c r="V71" s="99">
        <v>11.558</v>
      </c>
      <c r="W71" s="99">
        <v>12.454000000000001</v>
      </c>
      <c r="X71" s="99">
        <v>12.411</v>
      </c>
      <c r="Y71" s="202">
        <v>12.65</v>
      </c>
      <c r="Z71" s="601">
        <v>11.971</v>
      </c>
      <c r="AA71" s="3">
        <v>11.154999999999999</v>
      </c>
    </row>
    <row r="72" spans="4:27" ht="19.5" customHeight="1" x14ac:dyDescent="0.35">
      <c r="D72" s="97" t="s">
        <v>160</v>
      </c>
      <c r="E72" s="2694"/>
      <c r="F72" s="2697"/>
      <c r="G72" s="98">
        <f>100-SUM(G66:G71)</f>
        <v>88.620999999999995</v>
      </c>
      <c r="H72" s="98">
        <v>87.4</v>
      </c>
      <c r="I72" s="98">
        <f>100-SUM(I66:I71)</f>
        <v>96.192000000000007</v>
      </c>
      <c r="J72" s="98">
        <f t="shared" ref="J72:AA72" si="18">100-SUM(J66:J71)</f>
        <v>93.694999999999993</v>
      </c>
      <c r="K72" s="98">
        <f t="shared" si="18"/>
        <v>60.116</v>
      </c>
      <c r="L72" s="98">
        <f t="shared" si="18"/>
        <v>63.283000000000001</v>
      </c>
      <c r="M72" s="98">
        <f t="shared" si="18"/>
        <v>61.009</v>
      </c>
      <c r="N72" s="98">
        <f t="shared" si="18"/>
        <v>61.402000000000001</v>
      </c>
      <c r="O72" s="98">
        <f t="shared" si="18"/>
        <v>35.090999999999994</v>
      </c>
      <c r="P72" s="98">
        <f t="shared" si="18"/>
        <v>41.009</v>
      </c>
      <c r="Q72" s="98">
        <f t="shared" si="18"/>
        <v>38.590999999999994</v>
      </c>
      <c r="R72" s="98">
        <f t="shared" si="18"/>
        <v>39.491</v>
      </c>
      <c r="S72" s="98">
        <f t="shared" si="18"/>
        <v>40.328000000000003</v>
      </c>
      <c r="T72" s="98">
        <f t="shared" si="18"/>
        <v>42.016999999999996</v>
      </c>
      <c r="U72" s="98">
        <f t="shared" si="18"/>
        <v>39.75</v>
      </c>
      <c r="V72" s="98">
        <f t="shared" si="18"/>
        <v>42.173999999999999</v>
      </c>
      <c r="W72" s="98">
        <f t="shared" si="18"/>
        <v>39.064</v>
      </c>
      <c r="X72" s="98">
        <f t="shared" si="18"/>
        <v>36.615000000000002</v>
      </c>
      <c r="Y72" s="98">
        <f t="shared" si="18"/>
        <v>35.620999999999995</v>
      </c>
      <c r="Z72" s="601">
        <f t="shared" si="18"/>
        <v>43.040999999999997</v>
      </c>
      <c r="AA72" s="3">
        <f t="shared" si="18"/>
        <v>45.424999999999997</v>
      </c>
    </row>
    <row r="73" spans="4:27" ht="19.5" customHeight="1" thickBot="1" x14ac:dyDescent="0.4">
      <c r="D73" s="100" t="s">
        <v>161</v>
      </c>
      <c r="E73" s="93"/>
      <c r="F73" s="94"/>
      <c r="G73" s="101">
        <f>SUM(G66:G72)</f>
        <v>100</v>
      </c>
      <c r="H73" s="101"/>
      <c r="I73" s="101">
        <f t="shared" ref="I73:AA73" si="19">SUM(I66:I72)</f>
        <v>100</v>
      </c>
      <c r="J73" s="101">
        <f t="shared" si="19"/>
        <v>100</v>
      </c>
      <c r="K73" s="101">
        <f t="shared" si="19"/>
        <v>100</v>
      </c>
      <c r="L73" s="101">
        <f t="shared" si="19"/>
        <v>100</v>
      </c>
      <c r="M73" s="101">
        <f t="shared" si="19"/>
        <v>100</v>
      </c>
      <c r="N73" s="101">
        <f t="shared" si="19"/>
        <v>100</v>
      </c>
      <c r="O73" s="101">
        <f t="shared" si="19"/>
        <v>100</v>
      </c>
      <c r="P73" s="101">
        <f t="shared" si="19"/>
        <v>100</v>
      </c>
      <c r="Q73" s="101">
        <f t="shared" si="19"/>
        <v>100</v>
      </c>
      <c r="R73" s="101">
        <f t="shared" si="19"/>
        <v>100</v>
      </c>
      <c r="S73" s="101">
        <f t="shared" si="19"/>
        <v>100</v>
      </c>
      <c r="T73" s="101">
        <f t="shared" si="19"/>
        <v>100</v>
      </c>
      <c r="U73" s="101">
        <f t="shared" si="19"/>
        <v>100</v>
      </c>
      <c r="V73" s="101">
        <f t="shared" si="19"/>
        <v>100</v>
      </c>
      <c r="W73" s="101">
        <f t="shared" si="19"/>
        <v>100</v>
      </c>
      <c r="X73" s="101">
        <f t="shared" si="19"/>
        <v>100</v>
      </c>
      <c r="Y73" s="101">
        <f t="shared" si="19"/>
        <v>100</v>
      </c>
      <c r="Z73" s="586">
        <f t="shared" si="19"/>
        <v>100</v>
      </c>
      <c r="AA73" s="101">
        <f t="shared" si="19"/>
        <v>100</v>
      </c>
    </row>
    <row r="74" spans="4:27" ht="18.75" customHeight="1" x14ac:dyDescent="0.35">
      <c r="D74" s="75" t="s">
        <v>62</v>
      </c>
      <c r="E74" s="2684" t="s">
        <v>63</v>
      </c>
      <c r="F74" s="2698" t="s">
        <v>55</v>
      </c>
      <c r="G74" s="47"/>
      <c r="H74" s="47"/>
      <c r="I74" s="47"/>
      <c r="J74" s="47"/>
      <c r="K74" s="47"/>
      <c r="L74" s="55"/>
      <c r="M74" s="55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195"/>
      <c r="Z74" s="590"/>
      <c r="AA74" s="172"/>
    </row>
    <row r="75" spans="4:27" ht="18.75" customHeight="1" x14ac:dyDescent="0.35">
      <c r="D75" s="44" t="s">
        <v>64</v>
      </c>
      <c r="E75" s="2684"/>
      <c r="F75" s="2698"/>
      <c r="G75" s="60">
        <v>2.8</v>
      </c>
      <c r="H75" s="1689"/>
      <c r="I75" s="425">
        <v>2</v>
      </c>
      <c r="J75" s="60">
        <v>1.4</v>
      </c>
      <c r="K75" s="60">
        <v>13.8</v>
      </c>
      <c r="L75" s="87">
        <v>11.4</v>
      </c>
      <c r="M75" s="87">
        <v>12.4</v>
      </c>
      <c r="N75" s="88"/>
      <c r="O75" s="88">
        <v>16.7</v>
      </c>
      <c r="P75" s="88">
        <v>13.2</v>
      </c>
      <c r="Q75" s="88">
        <v>14</v>
      </c>
      <c r="R75" s="88">
        <v>17.899999999999999</v>
      </c>
      <c r="S75" s="88">
        <v>13.4</v>
      </c>
      <c r="T75" s="88">
        <v>13</v>
      </c>
      <c r="U75" s="88">
        <v>15.8</v>
      </c>
      <c r="V75" s="88">
        <v>18.3</v>
      </c>
      <c r="W75" s="88">
        <v>16.899999999999999</v>
      </c>
      <c r="X75" s="88">
        <v>19.399999999999999</v>
      </c>
      <c r="Y75" s="59">
        <v>18.8</v>
      </c>
      <c r="Z75" s="577">
        <v>18.600000000000001</v>
      </c>
      <c r="AA75" s="39">
        <v>19.5</v>
      </c>
    </row>
    <row r="76" spans="4:27" ht="18.75" customHeight="1" x14ac:dyDescent="0.35">
      <c r="D76" s="44" t="s">
        <v>65</v>
      </c>
      <c r="E76" s="2684"/>
      <c r="F76" s="2698"/>
      <c r="G76" s="60">
        <v>34.299999999999997</v>
      </c>
      <c r="H76" s="1689"/>
      <c r="I76" s="425">
        <v>27.7</v>
      </c>
      <c r="J76" s="60">
        <v>25.8</v>
      </c>
      <c r="K76" s="60">
        <v>68</v>
      </c>
      <c r="L76" s="87">
        <v>51</v>
      </c>
      <c r="M76" s="87">
        <v>53.4</v>
      </c>
      <c r="N76" s="88"/>
      <c r="O76" s="88">
        <v>66.5</v>
      </c>
      <c r="P76" s="88">
        <v>60.7</v>
      </c>
      <c r="Q76" s="88">
        <v>56.6</v>
      </c>
      <c r="R76" s="88">
        <v>56.1</v>
      </c>
      <c r="S76" s="88">
        <v>51.5</v>
      </c>
      <c r="T76" s="88">
        <v>54.1</v>
      </c>
      <c r="U76" s="88">
        <v>59.1</v>
      </c>
      <c r="V76" s="88">
        <v>52</v>
      </c>
      <c r="W76" s="88">
        <v>52.7</v>
      </c>
      <c r="X76" s="88">
        <v>53.1</v>
      </c>
      <c r="Y76" s="59">
        <v>58.9</v>
      </c>
      <c r="Z76" s="577">
        <v>51.6</v>
      </c>
      <c r="AA76" s="39">
        <v>52.9</v>
      </c>
    </row>
    <row r="77" spans="4:27" ht="18.75" customHeight="1" x14ac:dyDescent="0.35">
      <c r="D77" s="44" t="s">
        <v>66</v>
      </c>
      <c r="E77" s="2684"/>
      <c r="F77" s="2698"/>
      <c r="G77" s="60">
        <v>15.5</v>
      </c>
      <c r="H77" s="1689"/>
      <c r="I77" s="425">
        <v>15.6</v>
      </c>
      <c r="J77" s="60">
        <v>12.5</v>
      </c>
      <c r="K77" s="60">
        <v>4.9000000000000004</v>
      </c>
      <c r="L77" s="85">
        <v>6.5</v>
      </c>
      <c r="M77" s="87">
        <v>5</v>
      </c>
      <c r="N77" s="86"/>
      <c r="O77" s="86">
        <v>6.4</v>
      </c>
      <c r="P77" s="86">
        <v>9.6</v>
      </c>
      <c r="Q77" s="86">
        <v>10.7</v>
      </c>
      <c r="R77" s="86">
        <v>8.3000000000000007</v>
      </c>
      <c r="S77" s="86">
        <v>11.5</v>
      </c>
      <c r="T77" s="86">
        <v>13.9</v>
      </c>
      <c r="U77" s="86">
        <v>10.3</v>
      </c>
      <c r="V77" s="86">
        <v>13.6</v>
      </c>
      <c r="W77" s="86">
        <v>10.1</v>
      </c>
      <c r="X77" s="86">
        <v>8.6999999999999993</v>
      </c>
      <c r="Y77" s="203">
        <v>6.9</v>
      </c>
      <c r="Z77" s="577">
        <v>8.9</v>
      </c>
      <c r="AA77" s="39">
        <v>7.7</v>
      </c>
    </row>
    <row r="78" spans="4:27" ht="18.75" customHeight="1" x14ac:dyDescent="0.35">
      <c r="D78" s="44" t="s">
        <v>67</v>
      </c>
      <c r="E78" s="2684"/>
      <c r="F78" s="2698"/>
      <c r="G78" s="60">
        <v>47.4</v>
      </c>
      <c r="H78" s="1689"/>
      <c r="I78" s="425">
        <v>54.6</v>
      </c>
      <c r="J78" s="60">
        <v>60.3</v>
      </c>
      <c r="K78" s="60">
        <v>13.3</v>
      </c>
      <c r="L78" s="87">
        <v>31.1</v>
      </c>
      <c r="M78" s="87">
        <v>29.2</v>
      </c>
      <c r="N78" s="88"/>
      <c r="O78" s="88">
        <v>10.5</v>
      </c>
      <c r="P78" s="88">
        <v>16.600000000000001</v>
      </c>
      <c r="Q78" s="88">
        <v>18.7</v>
      </c>
      <c r="R78" s="88">
        <v>17.7</v>
      </c>
      <c r="S78" s="88">
        <v>23.6</v>
      </c>
      <c r="T78" s="88">
        <v>19</v>
      </c>
      <c r="U78" s="88">
        <v>14.8</v>
      </c>
      <c r="V78" s="88">
        <v>16.100000000000001</v>
      </c>
      <c r="W78" s="88">
        <v>20.3</v>
      </c>
      <c r="X78" s="88">
        <v>18.8</v>
      </c>
      <c r="Y78" s="59">
        <v>15.4</v>
      </c>
      <c r="Z78" s="577">
        <v>20.9</v>
      </c>
      <c r="AA78" s="39">
        <v>19.899999999999999</v>
      </c>
    </row>
    <row r="79" spans="4:27" ht="18.75" customHeight="1" x14ac:dyDescent="0.35">
      <c r="D79" s="475" t="s">
        <v>320</v>
      </c>
      <c r="E79" s="158"/>
      <c r="F79" s="159"/>
      <c r="G79" s="77">
        <f>(G78+G75)/(G76+G77)</f>
        <v>1.0080321285140561</v>
      </c>
      <c r="H79" s="77"/>
      <c r="I79" s="77">
        <f t="shared" ref="I79:AA79" si="20">(I78+I75)/(I76+I77)</f>
        <v>1.30715935334873</v>
      </c>
      <c r="J79" s="77">
        <f t="shared" si="20"/>
        <v>1.6109660574412532</v>
      </c>
      <c r="K79" s="77">
        <f t="shared" si="20"/>
        <v>0.37174211248285322</v>
      </c>
      <c r="L79" s="77">
        <f t="shared" si="20"/>
        <v>0.73913043478260865</v>
      </c>
      <c r="M79" s="77">
        <f t="shared" si="20"/>
        <v>0.71232876712328774</v>
      </c>
      <c r="N79" s="77" t="e">
        <f t="shared" si="20"/>
        <v>#DIV/0!</v>
      </c>
      <c r="O79" s="77">
        <f t="shared" si="20"/>
        <v>0.37311385459533603</v>
      </c>
      <c r="P79" s="77">
        <f t="shared" si="20"/>
        <v>0.42389758179231868</v>
      </c>
      <c r="Q79" s="77">
        <f t="shared" si="20"/>
        <v>0.48588410104011892</v>
      </c>
      <c r="R79" s="77">
        <f t="shared" si="20"/>
        <v>0.55279503105590044</v>
      </c>
      <c r="S79" s="77">
        <f t="shared" si="20"/>
        <v>0.58730158730158732</v>
      </c>
      <c r="T79" s="77">
        <f t="shared" si="20"/>
        <v>0.47058823529411764</v>
      </c>
      <c r="U79" s="77">
        <f t="shared" si="20"/>
        <v>0.44092219020172907</v>
      </c>
      <c r="V79" s="77">
        <f t="shared" si="20"/>
        <v>0.52439024390243916</v>
      </c>
      <c r="W79" s="77">
        <f t="shared" si="20"/>
        <v>0.59235668789808915</v>
      </c>
      <c r="X79" s="77">
        <f t="shared" si="20"/>
        <v>0.61812297734627841</v>
      </c>
      <c r="Y79" s="77">
        <f t="shared" si="20"/>
        <v>0.51975683890577518</v>
      </c>
      <c r="Z79" s="587">
        <f t="shared" si="20"/>
        <v>0.65289256198347112</v>
      </c>
      <c r="AA79" s="77">
        <f t="shared" si="20"/>
        <v>0.65016501650165015</v>
      </c>
    </row>
    <row r="80" spans="4:27" ht="18.75" customHeight="1" x14ac:dyDescent="0.35">
      <c r="D80" s="75" t="s">
        <v>68</v>
      </c>
      <c r="E80" s="2699" t="s">
        <v>69</v>
      </c>
      <c r="F80" s="2700" t="s">
        <v>17</v>
      </c>
      <c r="G80" s="47"/>
      <c r="H80" s="47"/>
      <c r="I80" s="47"/>
      <c r="J80" s="47"/>
      <c r="K80" s="47"/>
      <c r="L80" s="55"/>
      <c r="M80" s="55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195"/>
      <c r="Z80" s="590"/>
      <c r="AA80" s="172"/>
    </row>
    <row r="81" spans="4:27" ht="18.75" customHeight="1" x14ac:dyDescent="0.35">
      <c r="D81" s="44" t="s">
        <v>70</v>
      </c>
      <c r="E81" s="2678"/>
      <c r="F81" s="2701"/>
      <c r="G81" s="60">
        <v>0.59040000000000004</v>
      </c>
      <c r="H81" s="1689"/>
      <c r="I81" s="425">
        <v>0.55030000000000001</v>
      </c>
      <c r="J81" s="60">
        <v>0.61009999999999998</v>
      </c>
      <c r="K81" s="47"/>
      <c r="L81" s="55"/>
      <c r="M81" s="55"/>
      <c r="N81" s="56"/>
      <c r="O81" s="88">
        <v>0.2467</v>
      </c>
      <c r="P81" s="88">
        <v>0.216</v>
      </c>
      <c r="Q81" s="88">
        <v>0.31659999999999999</v>
      </c>
      <c r="R81" s="88">
        <v>0.2442</v>
      </c>
      <c r="S81" s="88">
        <v>0.22320000000000001</v>
      </c>
      <c r="T81" s="88">
        <v>0.24149999999999999</v>
      </c>
      <c r="U81" s="88">
        <v>0.22919999999999999</v>
      </c>
      <c r="V81" s="88">
        <v>0.1784</v>
      </c>
      <c r="W81" s="56"/>
      <c r="X81" s="56"/>
      <c r="Y81" s="195"/>
      <c r="Z81" s="591"/>
      <c r="AA81" s="38"/>
    </row>
    <row r="82" spans="4:27" ht="18.75" customHeight="1" x14ac:dyDescent="0.35">
      <c r="D82" s="44" t="s">
        <v>71</v>
      </c>
      <c r="E82" s="2678"/>
      <c r="F82" s="2701"/>
      <c r="G82" s="60">
        <v>1.5</v>
      </c>
      <c r="H82" s="1689"/>
      <c r="I82" s="425">
        <v>1.5483</v>
      </c>
      <c r="J82" s="60">
        <v>1.4153</v>
      </c>
      <c r="K82" s="47"/>
      <c r="L82" s="55"/>
      <c r="M82" s="55"/>
      <c r="N82" s="56"/>
      <c r="O82" s="88">
        <v>0.9375</v>
      </c>
      <c r="P82" s="88">
        <v>0.99419999999999997</v>
      </c>
      <c r="Q82" s="88">
        <v>0.80189999999999995</v>
      </c>
      <c r="R82" s="88">
        <v>0.91239999999999999</v>
      </c>
      <c r="S82" s="88">
        <v>0.98360000000000003</v>
      </c>
      <c r="T82" s="88">
        <v>0.95920000000000005</v>
      </c>
      <c r="U82" s="88">
        <v>0.8468</v>
      </c>
      <c r="V82" s="88">
        <v>0.93030000000000002</v>
      </c>
      <c r="W82" s="56"/>
      <c r="X82" s="56"/>
      <c r="Y82" s="195"/>
      <c r="Z82" s="591"/>
      <c r="AA82" s="38"/>
    </row>
    <row r="83" spans="4:27" ht="18.75" customHeight="1" x14ac:dyDescent="0.35">
      <c r="D83" s="44" t="s">
        <v>72</v>
      </c>
      <c r="E83" s="2678"/>
      <c r="F83" s="2701"/>
      <c r="G83" s="60">
        <v>3.6623999999999999</v>
      </c>
      <c r="H83" s="1689"/>
      <c r="I83" s="425">
        <v>3.44</v>
      </c>
      <c r="J83" s="60">
        <v>3.63</v>
      </c>
      <c r="K83" s="47"/>
      <c r="L83" s="55"/>
      <c r="M83" s="55"/>
      <c r="N83" s="56"/>
      <c r="O83" s="88">
        <v>1.24</v>
      </c>
      <c r="P83" s="88">
        <v>1.27</v>
      </c>
      <c r="Q83" s="88">
        <v>1.17</v>
      </c>
      <c r="R83" s="88">
        <v>1.21</v>
      </c>
      <c r="S83" s="88">
        <v>1.27</v>
      </c>
      <c r="T83" s="88">
        <v>1.26</v>
      </c>
      <c r="U83" s="88">
        <v>1.1000000000000001</v>
      </c>
      <c r="V83" s="88">
        <v>1.1299999999999999</v>
      </c>
      <c r="W83" s="56"/>
      <c r="X83" s="56"/>
      <c r="Y83" s="195"/>
      <c r="Z83" s="591"/>
      <c r="AA83" s="38"/>
    </row>
    <row r="84" spans="4:27" ht="18.75" customHeight="1" x14ac:dyDescent="0.35">
      <c r="D84" s="44" t="s">
        <v>73</v>
      </c>
      <c r="E84" s="2678"/>
      <c r="F84" s="2701"/>
      <c r="G84" s="60">
        <v>0.40960000000000002</v>
      </c>
      <c r="H84" s="1689"/>
      <c r="I84" s="425">
        <v>0.44969999999999999</v>
      </c>
      <c r="J84" s="60">
        <v>0.38990000000000002</v>
      </c>
      <c r="K84" s="47"/>
      <c r="L84" s="55"/>
      <c r="M84" s="55"/>
      <c r="N84" s="56"/>
      <c r="O84" s="88">
        <v>0.75329999999999997</v>
      </c>
      <c r="P84" s="88">
        <v>0.78400000000000003</v>
      </c>
      <c r="Q84" s="88">
        <v>0.68340000000000001</v>
      </c>
      <c r="R84" s="88">
        <v>0.75580000000000003</v>
      </c>
      <c r="S84" s="88">
        <v>0.77680000000000005</v>
      </c>
      <c r="T84" s="88">
        <v>0.75849999999999995</v>
      </c>
      <c r="U84" s="88">
        <v>0.77080000000000004</v>
      </c>
      <c r="V84" s="88">
        <v>0.8216</v>
      </c>
      <c r="W84" s="56"/>
      <c r="X84" s="56"/>
      <c r="Y84" s="195"/>
      <c r="Z84" s="591"/>
      <c r="AA84" s="38"/>
    </row>
    <row r="85" spans="4:27" ht="18.75" customHeight="1" x14ac:dyDescent="0.35">
      <c r="D85" s="44" t="s">
        <v>74</v>
      </c>
      <c r="E85" s="2678"/>
      <c r="F85" s="2701"/>
      <c r="G85" s="77">
        <v>149.57</v>
      </c>
      <c r="H85" s="1691"/>
      <c r="I85" s="425">
        <v>163</v>
      </c>
      <c r="J85" s="77">
        <v>301</v>
      </c>
      <c r="K85" s="47"/>
      <c r="L85" s="55"/>
      <c r="M85" s="55"/>
      <c r="N85" s="56"/>
      <c r="O85" s="88">
        <v>92</v>
      </c>
      <c r="P85" s="88">
        <v>102</v>
      </c>
      <c r="Q85" s="88">
        <v>78</v>
      </c>
      <c r="R85" s="88">
        <v>91</v>
      </c>
      <c r="S85" s="88">
        <v>94</v>
      </c>
      <c r="T85" s="88">
        <v>94</v>
      </c>
      <c r="U85" s="88">
        <v>80</v>
      </c>
      <c r="V85" s="88">
        <v>93</v>
      </c>
      <c r="W85" s="56"/>
      <c r="X85" s="56"/>
      <c r="Y85" s="195"/>
      <c r="Z85" s="591"/>
      <c r="AA85" s="38"/>
    </row>
    <row r="86" spans="4:27" ht="18.75" customHeight="1" thickBot="1" x14ac:dyDescent="0.4">
      <c r="D86" s="507" t="s">
        <v>75</v>
      </c>
      <c r="E86" s="2678"/>
      <c r="F86" s="2701"/>
      <c r="G86" s="508">
        <v>105.1005</v>
      </c>
      <c r="H86" s="1692"/>
      <c r="I86" s="426">
        <v>45</v>
      </c>
      <c r="J86" s="508">
        <v>46</v>
      </c>
      <c r="K86" s="509"/>
      <c r="L86" s="510"/>
      <c r="M86" s="510"/>
      <c r="N86" s="511"/>
      <c r="O86" s="512">
        <v>75</v>
      </c>
      <c r="P86" s="512">
        <v>78</v>
      </c>
      <c r="Q86" s="512">
        <v>68</v>
      </c>
      <c r="R86" s="512">
        <v>76</v>
      </c>
      <c r="S86" s="512">
        <v>78</v>
      </c>
      <c r="T86" s="512">
        <v>76</v>
      </c>
      <c r="U86" s="512">
        <v>77</v>
      </c>
      <c r="V86" s="512">
        <v>82</v>
      </c>
      <c r="W86" s="511"/>
      <c r="X86" s="511"/>
      <c r="Y86" s="565"/>
      <c r="Z86" s="593"/>
      <c r="AA86" s="598"/>
    </row>
    <row r="87" spans="4:27" ht="19.5" customHeight="1" x14ac:dyDescent="0.35">
      <c r="D87" s="513" t="s">
        <v>76</v>
      </c>
      <c r="E87" s="514" t="s">
        <v>77</v>
      </c>
      <c r="F87" s="515" t="s">
        <v>36</v>
      </c>
      <c r="G87" s="516">
        <v>22.94</v>
      </c>
      <c r="H87" s="516"/>
      <c r="I87" s="516">
        <v>33.22</v>
      </c>
      <c r="J87" s="516">
        <v>40.28</v>
      </c>
      <c r="K87" s="517">
        <v>10.67</v>
      </c>
      <c r="L87" s="518">
        <v>9.93</v>
      </c>
      <c r="M87" s="518">
        <v>11.1</v>
      </c>
      <c r="N87" s="519">
        <v>10.16</v>
      </c>
      <c r="O87" s="520">
        <v>6</v>
      </c>
      <c r="P87" s="519">
        <v>10.52</v>
      </c>
      <c r="Q87" s="519">
        <v>11.38</v>
      </c>
      <c r="R87" s="519">
        <v>11.39</v>
      </c>
      <c r="S87" s="519">
        <v>11.63</v>
      </c>
      <c r="T87" s="519">
        <v>13.45</v>
      </c>
      <c r="U87" s="519">
        <v>12.06</v>
      </c>
      <c r="V87" s="519">
        <v>11.79</v>
      </c>
      <c r="W87" s="519">
        <v>12.25</v>
      </c>
      <c r="X87" s="519">
        <v>12.2</v>
      </c>
      <c r="Y87" s="521">
        <v>12.7</v>
      </c>
      <c r="Z87" s="594">
        <v>13.59</v>
      </c>
      <c r="AA87" s="599">
        <v>12.32</v>
      </c>
    </row>
    <row r="88" spans="4:27" ht="19.5" customHeight="1" x14ac:dyDescent="0.35">
      <c r="D88" s="44" t="s">
        <v>78</v>
      </c>
      <c r="E88" s="58" t="s">
        <v>79</v>
      </c>
      <c r="F88" s="102" t="s">
        <v>36</v>
      </c>
      <c r="G88" s="48">
        <v>12.22</v>
      </c>
      <c r="H88" s="48">
        <v>17.91</v>
      </c>
      <c r="I88" s="48">
        <v>20.9</v>
      </c>
      <c r="J88" s="48">
        <v>22</v>
      </c>
      <c r="K88" s="84">
        <v>4.5999999999999996</v>
      </c>
      <c r="L88" s="85">
        <v>4.3</v>
      </c>
      <c r="M88" s="85">
        <v>4.4000000000000004</v>
      </c>
      <c r="N88" s="86">
        <v>4.5</v>
      </c>
      <c r="O88" s="86">
        <v>3</v>
      </c>
      <c r="P88" s="86">
        <v>5.7</v>
      </c>
      <c r="Q88" s="86">
        <v>6.1</v>
      </c>
      <c r="R88" s="86">
        <v>6.2</v>
      </c>
      <c r="S88" s="86">
        <v>6.1</v>
      </c>
      <c r="T88" s="86">
        <v>6.46</v>
      </c>
      <c r="U88" s="86">
        <v>6.7</v>
      </c>
      <c r="V88" s="86">
        <v>6</v>
      </c>
      <c r="W88" s="86">
        <v>6.7</v>
      </c>
      <c r="X88" s="86">
        <v>5.9</v>
      </c>
      <c r="Y88" s="203">
        <v>6.5</v>
      </c>
      <c r="Z88" s="577">
        <v>6.9</v>
      </c>
      <c r="AA88" s="39">
        <v>7</v>
      </c>
    </row>
    <row r="89" spans="4:27" ht="19.5" customHeight="1" x14ac:dyDescent="0.35">
      <c r="D89" s="44" t="s">
        <v>80</v>
      </c>
      <c r="E89" s="161" t="s">
        <v>81</v>
      </c>
      <c r="F89" s="59" t="s">
        <v>36</v>
      </c>
      <c r="G89" s="48">
        <v>25.66</v>
      </c>
      <c r="H89" s="48">
        <v>25.44</v>
      </c>
      <c r="I89" s="48">
        <v>31.59</v>
      </c>
      <c r="J89" s="48">
        <v>32.07</v>
      </c>
      <c r="K89" s="77">
        <v>14.8</v>
      </c>
      <c r="L89" s="62">
        <v>14.57</v>
      </c>
      <c r="M89" s="62">
        <v>14.55</v>
      </c>
      <c r="N89" s="63">
        <v>14.7</v>
      </c>
      <c r="O89" s="63">
        <v>9.61</v>
      </c>
      <c r="P89" s="63">
        <v>13.7</v>
      </c>
      <c r="Q89" s="63">
        <v>14.2</v>
      </c>
      <c r="R89" s="63">
        <v>14</v>
      </c>
      <c r="S89" s="63">
        <v>13.96</v>
      </c>
      <c r="T89" s="63">
        <v>14.8</v>
      </c>
      <c r="U89" s="63">
        <v>13.97</v>
      </c>
      <c r="V89" s="63">
        <v>13.44</v>
      </c>
      <c r="W89" s="63">
        <v>14.2</v>
      </c>
      <c r="X89" s="63">
        <v>13.5</v>
      </c>
      <c r="Y89" s="198">
        <v>14.07</v>
      </c>
      <c r="Z89" s="577">
        <v>14.5</v>
      </c>
      <c r="AA89" s="39">
        <v>14.2</v>
      </c>
    </row>
    <row r="90" spans="4:27" ht="19.5" customHeight="1" thickBot="1" x14ac:dyDescent="0.4">
      <c r="D90" s="116" t="s">
        <v>82</v>
      </c>
      <c r="E90" s="117" t="s">
        <v>83</v>
      </c>
      <c r="F90" s="118" t="s">
        <v>36</v>
      </c>
      <c r="G90" s="119"/>
      <c r="H90" s="119"/>
      <c r="I90" s="119"/>
      <c r="J90" s="119"/>
      <c r="K90" s="504">
        <v>153.31</v>
      </c>
      <c r="L90" s="505">
        <v>250.3</v>
      </c>
      <c r="M90" s="505">
        <v>50</v>
      </c>
      <c r="N90" s="506">
        <v>224.78</v>
      </c>
      <c r="O90" s="506">
        <v>428.74</v>
      </c>
      <c r="P90" s="506">
        <v>1832.7</v>
      </c>
      <c r="Q90" s="506">
        <v>2657.3</v>
      </c>
      <c r="R90" s="506">
        <v>3072</v>
      </c>
      <c r="S90" s="506">
        <v>4183.8</v>
      </c>
      <c r="T90" s="506">
        <v>4329.1000000000004</v>
      </c>
      <c r="U90" s="527">
        <v>5116.2</v>
      </c>
      <c r="V90" s="506">
        <v>9382.7999999999993</v>
      </c>
      <c r="W90" s="506">
        <v>11823</v>
      </c>
      <c r="X90" s="506">
        <v>12960</v>
      </c>
      <c r="Y90" s="528">
        <v>18485</v>
      </c>
      <c r="Z90" s="595">
        <v>16439</v>
      </c>
      <c r="AA90" s="600">
        <v>19799</v>
      </c>
    </row>
    <row r="91" spans="4:27" ht="16.5" thickBot="1" x14ac:dyDescent="0.4">
      <c r="Y91" s="18"/>
      <c r="Z91" s="596"/>
    </row>
    <row r="92" spans="4:27" ht="16.5" thickBot="1" x14ac:dyDescent="0.4">
      <c r="D92" s="19" t="s">
        <v>11</v>
      </c>
      <c r="E92" s="20" t="s">
        <v>12</v>
      </c>
      <c r="F92" s="20" t="s">
        <v>13</v>
      </c>
      <c r="G92" s="20" t="s">
        <v>2</v>
      </c>
      <c r="H92" s="20"/>
      <c r="I92" s="20" t="s">
        <v>2</v>
      </c>
      <c r="J92" s="20" t="s">
        <v>2</v>
      </c>
      <c r="K92" s="20" t="s">
        <v>2</v>
      </c>
      <c r="L92" s="20" t="s">
        <v>2</v>
      </c>
      <c r="M92" s="20" t="s">
        <v>2</v>
      </c>
      <c r="N92" s="20" t="s">
        <v>2</v>
      </c>
      <c r="O92" s="20" t="s">
        <v>2</v>
      </c>
      <c r="P92" s="20" t="s">
        <v>2</v>
      </c>
      <c r="Q92" s="20" t="s">
        <v>2</v>
      </c>
      <c r="R92" s="20" t="s">
        <v>2</v>
      </c>
      <c r="S92" s="20" t="s">
        <v>2</v>
      </c>
      <c r="T92" s="20" t="s">
        <v>2</v>
      </c>
      <c r="U92" s="20" t="s">
        <v>2</v>
      </c>
      <c r="V92" s="20" t="s">
        <v>2</v>
      </c>
      <c r="W92" s="20" t="s">
        <v>2</v>
      </c>
      <c r="X92" s="20" t="s">
        <v>2</v>
      </c>
      <c r="Y92" s="20" t="s">
        <v>2</v>
      </c>
      <c r="Z92" s="20" t="s">
        <v>2</v>
      </c>
    </row>
    <row r="93" spans="4:27" s="18" customFormat="1" x14ac:dyDescent="0.35">
      <c r="D93" s="23" t="s">
        <v>45</v>
      </c>
      <c r="E93" s="2707" t="s">
        <v>84</v>
      </c>
      <c r="F93" s="2710" t="s">
        <v>164</v>
      </c>
      <c r="G93" s="120">
        <v>0</v>
      </c>
      <c r="H93" s="120"/>
      <c r="I93" s="120">
        <v>0</v>
      </c>
      <c r="J93" s="120">
        <v>0</v>
      </c>
      <c r="K93" s="487">
        <v>37.869999999999997</v>
      </c>
      <c r="L93" s="487">
        <v>5.4</v>
      </c>
      <c r="M93" s="487">
        <v>13.51</v>
      </c>
      <c r="N93" s="487">
        <v>5.58</v>
      </c>
      <c r="O93" s="487">
        <v>2</v>
      </c>
      <c r="P93" s="487">
        <v>2.11</v>
      </c>
      <c r="Q93" s="487">
        <v>1.78</v>
      </c>
      <c r="R93" s="487">
        <v>1.99</v>
      </c>
      <c r="S93" s="487">
        <v>2</v>
      </c>
      <c r="T93" s="487">
        <v>2.1</v>
      </c>
      <c r="U93" s="487">
        <v>1.9</v>
      </c>
      <c r="V93" s="487">
        <v>2.93</v>
      </c>
      <c r="W93" s="487">
        <v>3.02</v>
      </c>
      <c r="X93" s="120">
        <v>0.99</v>
      </c>
      <c r="Y93" s="204">
        <v>1.2</v>
      </c>
      <c r="Z93" s="204">
        <v>1.2</v>
      </c>
    </row>
    <row r="94" spans="4:27" ht="18" x14ac:dyDescent="0.45">
      <c r="D94" s="30" t="s">
        <v>86</v>
      </c>
      <c r="E94" s="2708"/>
      <c r="F94" s="2711"/>
      <c r="G94" s="121">
        <v>0</v>
      </c>
      <c r="H94" s="121"/>
      <c r="I94" s="121">
        <v>0</v>
      </c>
      <c r="J94" s="121">
        <v>0</v>
      </c>
      <c r="K94" s="488">
        <v>5.78</v>
      </c>
      <c r="L94" s="488">
        <v>0.2</v>
      </c>
      <c r="M94" s="488">
        <v>0.21</v>
      </c>
      <c r="N94" s="488">
        <v>0.1</v>
      </c>
      <c r="O94" s="488">
        <v>0.15</v>
      </c>
      <c r="P94" s="488">
        <v>0.19</v>
      </c>
      <c r="Q94" s="488">
        <v>0.12</v>
      </c>
      <c r="R94" s="488">
        <v>0.14000000000000001</v>
      </c>
      <c r="S94" s="488">
        <v>0.16</v>
      </c>
      <c r="T94" s="488">
        <v>0.17</v>
      </c>
      <c r="U94" s="488">
        <v>0.2</v>
      </c>
      <c r="V94" s="488">
        <v>0.33</v>
      </c>
      <c r="W94" s="488">
        <v>0.35</v>
      </c>
      <c r="X94" s="121">
        <v>0.15</v>
      </c>
      <c r="Y94" s="32">
        <v>0.19</v>
      </c>
      <c r="Z94" s="32">
        <v>0.19</v>
      </c>
    </row>
    <row r="95" spans="4:27" ht="18" x14ac:dyDescent="0.35">
      <c r="D95" s="37" t="s">
        <v>87</v>
      </c>
      <c r="E95" s="2708"/>
      <c r="F95" s="2711"/>
      <c r="G95" s="121">
        <v>0</v>
      </c>
      <c r="H95" s="121"/>
      <c r="I95" s="121">
        <v>0</v>
      </c>
      <c r="J95" s="121">
        <v>0</v>
      </c>
      <c r="K95" s="488">
        <v>9.36</v>
      </c>
      <c r="L95" s="488">
        <v>0.25</v>
      </c>
      <c r="M95" s="488">
        <v>0.08</v>
      </c>
      <c r="N95" s="488">
        <v>0.06</v>
      </c>
      <c r="O95" s="488">
        <v>0.22</v>
      </c>
      <c r="P95" s="488">
        <v>0.27</v>
      </c>
      <c r="Q95" s="488">
        <v>0.18</v>
      </c>
      <c r="R95" s="488">
        <v>0.2</v>
      </c>
      <c r="S95" s="488">
        <v>0.22</v>
      </c>
      <c r="T95" s="488">
        <v>0.23</v>
      </c>
      <c r="U95" s="488">
        <v>0.36</v>
      </c>
      <c r="V95" s="488">
        <v>0.53</v>
      </c>
      <c r="W95" s="488">
        <v>0.53</v>
      </c>
      <c r="X95" s="121">
        <v>0.28999999999999998</v>
      </c>
      <c r="Y95" s="32">
        <v>0.34</v>
      </c>
      <c r="Z95" s="32">
        <v>0.34</v>
      </c>
    </row>
    <row r="96" spans="4:27" ht="18" x14ac:dyDescent="0.35">
      <c r="D96" s="37" t="s">
        <v>88</v>
      </c>
      <c r="E96" s="2708"/>
      <c r="F96" s="2711"/>
      <c r="G96" s="121">
        <v>0</v>
      </c>
      <c r="H96" s="121"/>
      <c r="I96" s="121">
        <v>0</v>
      </c>
      <c r="J96" s="121">
        <v>0</v>
      </c>
      <c r="K96" s="488">
        <v>13.81</v>
      </c>
      <c r="L96" s="488">
        <v>0.39</v>
      </c>
      <c r="M96" s="488">
        <v>0.19</v>
      </c>
      <c r="N96" s="488">
        <v>0.08</v>
      </c>
      <c r="O96" s="488">
        <v>0.3</v>
      </c>
      <c r="P96" s="488">
        <v>0.4</v>
      </c>
      <c r="Q96" s="488">
        <v>0.28999999999999998</v>
      </c>
      <c r="R96" s="488">
        <v>0.3</v>
      </c>
      <c r="S96" s="488">
        <v>0.33</v>
      </c>
      <c r="T96" s="488">
        <v>0.32</v>
      </c>
      <c r="U96" s="488">
        <v>0.6</v>
      </c>
      <c r="V96" s="488">
        <v>0.8</v>
      </c>
      <c r="W96" s="488">
        <v>0.79</v>
      </c>
      <c r="X96" s="121">
        <v>0.46</v>
      </c>
      <c r="Y96" s="32">
        <v>0.53</v>
      </c>
      <c r="Z96" s="32">
        <v>0.53</v>
      </c>
    </row>
    <row r="97" spans="4:27" ht="18" x14ac:dyDescent="0.35">
      <c r="D97" s="37" t="s">
        <v>377</v>
      </c>
      <c r="E97" s="2708"/>
      <c r="F97" s="2711"/>
      <c r="G97" s="121">
        <v>0</v>
      </c>
      <c r="H97" s="121"/>
      <c r="I97" s="121">
        <v>0</v>
      </c>
      <c r="J97" s="121">
        <v>0</v>
      </c>
      <c r="K97" s="488">
        <v>12.58</v>
      </c>
      <c r="L97" s="488">
        <v>0.6</v>
      </c>
      <c r="M97" s="488">
        <v>0.7</v>
      </c>
      <c r="N97" s="488">
        <v>0.23</v>
      </c>
      <c r="O97" s="488">
        <v>0.45</v>
      </c>
      <c r="P97" s="488">
        <v>0.52</v>
      </c>
      <c r="Q97" s="488">
        <v>0.41</v>
      </c>
      <c r="R97" s="488">
        <v>0.42</v>
      </c>
      <c r="S97" s="488">
        <v>0.42</v>
      </c>
      <c r="T97" s="488">
        <v>0.4</v>
      </c>
      <c r="U97" s="488">
        <v>0.78</v>
      </c>
      <c r="V97" s="488">
        <v>0.93</v>
      </c>
      <c r="W97" s="488">
        <v>0.91</v>
      </c>
      <c r="X97" s="121">
        <v>0.56999999999999995</v>
      </c>
      <c r="Y97" s="32">
        <v>0.61</v>
      </c>
      <c r="Z97" s="32">
        <v>0.61</v>
      </c>
    </row>
    <row r="98" spans="4:27" ht="18" x14ac:dyDescent="0.45">
      <c r="D98" s="23" t="s">
        <v>89</v>
      </c>
      <c r="E98" s="2708"/>
      <c r="F98" s="2711"/>
      <c r="G98" s="122">
        <v>0</v>
      </c>
      <c r="H98" s="122"/>
      <c r="I98" s="122">
        <v>0</v>
      </c>
      <c r="J98" s="122">
        <v>0</v>
      </c>
      <c r="K98" s="489">
        <v>11.15</v>
      </c>
      <c r="L98" s="489">
        <v>2.58</v>
      </c>
      <c r="M98" s="489">
        <v>0.35</v>
      </c>
      <c r="N98" s="489">
        <v>0.23</v>
      </c>
      <c r="O98" s="489">
        <v>1.59</v>
      </c>
      <c r="P98" s="489">
        <v>1.48</v>
      </c>
      <c r="Q98" s="489">
        <v>1.52</v>
      </c>
      <c r="R98" s="489">
        <v>1.43</v>
      </c>
      <c r="S98" s="489">
        <v>1.31</v>
      </c>
      <c r="T98" s="489">
        <v>1.04</v>
      </c>
      <c r="U98" s="489">
        <v>1.72</v>
      </c>
      <c r="V98" s="489">
        <v>2.2000000000000002</v>
      </c>
      <c r="W98" s="489">
        <v>2.0099999999999998</v>
      </c>
      <c r="X98" s="122">
        <v>1.72</v>
      </c>
      <c r="Y98" s="25">
        <v>1.44</v>
      </c>
      <c r="Z98" s="25">
        <v>1.44</v>
      </c>
    </row>
    <row r="99" spans="4:27" ht="18.5" thickBot="1" x14ac:dyDescent="0.5">
      <c r="D99" s="233" t="s">
        <v>381</v>
      </c>
      <c r="E99" s="2708"/>
      <c r="F99" s="2711"/>
      <c r="G99" s="123">
        <v>0</v>
      </c>
      <c r="H99" s="123"/>
      <c r="I99" s="123">
        <v>0</v>
      </c>
      <c r="J99" s="123">
        <v>0</v>
      </c>
      <c r="K99" s="490">
        <v>2.57</v>
      </c>
      <c r="L99" s="490">
        <v>1.01</v>
      </c>
      <c r="M99" s="490">
        <v>0.55000000000000004</v>
      </c>
      <c r="N99" s="490">
        <v>0.34</v>
      </c>
      <c r="O99" s="490">
        <v>0.42</v>
      </c>
      <c r="P99" s="490">
        <v>0.36</v>
      </c>
      <c r="Q99" s="490">
        <v>0.37</v>
      </c>
      <c r="R99" s="490">
        <v>0.28000000000000003</v>
      </c>
      <c r="S99" s="490">
        <v>0.25</v>
      </c>
      <c r="T99" s="490">
        <v>0.18</v>
      </c>
      <c r="U99" s="490">
        <v>0.24</v>
      </c>
      <c r="V99" s="490">
        <v>0.4</v>
      </c>
      <c r="W99" s="490">
        <v>0.3</v>
      </c>
      <c r="X99" s="123">
        <v>0.4</v>
      </c>
      <c r="Y99" s="205">
        <v>0.26</v>
      </c>
      <c r="Z99" s="205">
        <v>0.26</v>
      </c>
    </row>
    <row r="100" spans="4:27" s="237" customFormat="1" ht="16.5" thickTop="1" x14ac:dyDescent="0.35">
      <c r="D100" s="234" t="s">
        <v>378</v>
      </c>
      <c r="E100" s="2708"/>
      <c r="F100" s="2711"/>
      <c r="G100" s="235"/>
      <c r="H100" s="235"/>
      <c r="I100" s="235"/>
      <c r="J100" s="235"/>
      <c r="K100" s="447">
        <f>2.63/12.58</f>
        <v>0.20906200317965024</v>
      </c>
      <c r="L100" s="447">
        <f>0.1/L97</f>
        <v>0.16666666666666669</v>
      </c>
      <c r="M100" s="447">
        <f>0.21/M97</f>
        <v>0.3</v>
      </c>
      <c r="N100" s="447">
        <f>0.05/N97</f>
        <v>0.21739130434782608</v>
      </c>
      <c r="O100" s="447">
        <f>0.07/O97</f>
        <v>0.15555555555555556</v>
      </c>
      <c r="P100" s="447">
        <v>0.17</v>
      </c>
      <c r="Q100" s="447">
        <v>0.17</v>
      </c>
      <c r="R100" s="447">
        <v>0.17</v>
      </c>
      <c r="S100" s="447">
        <v>0.17</v>
      </c>
      <c r="T100" s="447">
        <v>0.18</v>
      </c>
      <c r="U100" s="447">
        <v>0.17</v>
      </c>
      <c r="V100" s="447">
        <v>0.19</v>
      </c>
      <c r="W100" s="447">
        <v>0.2</v>
      </c>
      <c r="X100" s="235">
        <v>0.19</v>
      </c>
      <c r="Y100" s="236">
        <v>0.2</v>
      </c>
      <c r="Z100" s="236">
        <v>0.2</v>
      </c>
      <c r="AA100" s="1693"/>
    </row>
    <row r="101" spans="4:27" x14ac:dyDescent="0.35">
      <c r="D101" s="37" t="s">
        <v>90</v>
      </c>
      <c r="E101" s="2708"/>
      <c r="F101" s="2711"/>
      <c r="G101" s="121">
        <v>0</v>
      </c>
      <c r="H101" s="121"/>
      <c r="I101" s="121">
        <v>0</v>
      </c>
      <c r="J101" s="121">
        <v>0</v>
      </c>
      <c r="K101" s="488">
        <v>0</v>
      </c>
      <c r="L101" s="488">
        <v>0</v>
      </c>
      <c r="M101" s="488">
        <v>0</v>
      </c>
      <c r="N101" s="488">
        <v>0</v>
      </c>
      <c r="O101" s="488">
        <v>0</v>
      </c>
      <c r="P101" s="488">
        <v>0</v>
      </c>
      <c r="Q101" s="488">
        <v>0</v>
      </c>
      <c r="R101" s="488">
        <v>0</v>
      </c>
      <c r="S101" s="488">
        <v>0</v>
      </c>
      <c r="T101" s="488">
        <v>0</v>
      </c>
      <c r="U101" s="488">
        <v>0</v>
      </c>
      <c r="V101" s="488">
        <v>0</v>
      </c>
      <c r="W101" s="488">
        <v>0</v>
      </c>
      <c r="X101" s="121">
        <v>0</v>
      </c>
      <c r="Y101" s="32">
        <v>0</v>
      </c>
      <c r="Z101" s="32">
        <v>0</v>
      </c>
    </row>
    <row r="102" spans="4:27" ht="18" x14ac:dyDescent="0.35">
      <c r="D102" s="37" t="s">
        <v>91</v>
      </c>
      <c r="E102" s="2708"/>
      <c r="F102" s="2711"/>
      <c r="G102" s="121">
        <v>0</v>
      </c>
      <c r="H102" s="121"/>
      <c r="I102" s="121">
        <v>0</v>
      </c>
      <c r="J102" s="121">
        <v>0</v>
      </c>
      <c r="K102" s="488">
        <v>0.4</v>
      </c>
      <c r="L102" s="488">
        <v>0.01</v>
      </c>
      <c r="M102" s="488">
        <v>0.01</v>
      </c>
      <c r="N102" s="488">
        <v>0</v>
      </c>
      <c r="O102" s="488">
        <v>0</v>
      </c>
      <c r="P102" s="488">
        <v>0</v>
      </c>
      <c r="Q102" s="488">
        <v>0</v>
      </c>
      <c r="R102" s="488">
        <v>0</v>
      </c>
      <c r="S102" s="488">
        <v>0</v>
      </c>
      <c r="T102" s="488">
        <v>0</v>
      </c>
      <c r="U102" s="488">
        <v>0</v>
      </c>
      <c r="V102" s="488">
        <v>0</v>
      </c>
      <c r="W102" s="488">
        <v>0</v>
      </c>
      <c r="X102" s="121">
        <v>0</v>
      </c>
      <c r="Y102" s="32">
        <v>0</v>
      </c>
      <c r="Z102" s="32">
        <v>0</v>
      </c>
    </row>
    <row r="103" spans="4:27" ht="18" x14ac:dyDescent="0.45">
      <c r="D103" s="30" t="s">
        <v>85</v>
      </c>
      <c r="E103" s="2708"/>
      <c r="F103" s="2711"/>
      <c r="G103" s="123">
        <v>0</v>
      </c>
      <c r="H103" s="123"/>
      <c r="I103" s="123">
        <v>0</v>
      </c>
      <c r="J103" s="123">
        <v>0</v>
      </c>
      <c r="K103" s="490">
        <v>0</v>
      </c>
      <c r="L103" s="490">
        <v>0</v>
      </c>
      <c r="M103" s="490">
        <v>0</v>
      </c>
      <c r="N103" s="490">
        <v>0</v>
      </c>
      <c r="O103" s="490">
        <v>0</v>
      </c>
      <c r="P103" s="490">
        <v>0</v>
      </c>
      <c r="Q103" s="490">
        <v>0</v>
      </c>
      <c r="R103" s="490">
        <v>0</v>
      </c>
      <c r="S103" s="490">
        <v>0</v>
      </c>
      <c r="T103" s="490">
        <v>0</v>
      </c>
      <c r="U103" s="490">
        <v>0</v>
      </c>
      <c r="V103" s="490">
        <v>0</v>
      </c>
      <c r="W103" s="490">
        <v>0</v>
      </c>
      <c r="X103" s="123">
        <v>0</v>
      </c>
      <c r="Y103" s="205">
        <v>0</v>
      </c>
      <c r="Z103" s="205">
        <v>0</v>
      </c>
    </row>
    <row r="104" spans="4:27" ht="18.5" thickBot="1" x14ac:dyDescent="0.4">
      <c r="D104" s="124" t="s">
        <v>165</v>
      </c>
      <c r="E104" s="2709"/>
      <c r="F104" s="2712"/>
      <c r="G104" s="125">
        <v>0</v>
      </c>
      <c r="H104" s="125"/>
      <c r="I104" s="125">
        <v>0</v>
      </c>
      <c r="J104" s="125">
        <v>0</v>
      </c>
      <c r="K104" s="491">
        <v>6.47</v>
      </c>
      <c r="L104" s="491">
        <v>89.55</v>
      </c>
      <c r="M104" s="491">
        <v>84.4</v>
      </c>
      <c r="N104" s="491">
        <v>93.38</v>
      </c>
      <c r="O104" s="491">
        <v>94.87</v>
      </c>
      <c r="P104" s="491">
        <v>94.69</v>
      </c>
      <c r="Q104" s="491">
        <v>95.33</v>
      </c>
      <c r="R104" s="491">
        <v>95.25</v>
      </c>
      <c r="S104" s="491">
        <v>95.3</v>
      </c>
      <c r="T104" s="491">
        <v>95.56</v>
      </c>
      <c r="U104" s="491">
        <v>94.2</v>
      </c>
      <c r="V104" s="491">
        <v>91.87</v>
      </c>
      <c r="W104" s="491">
        <v>92.08</v>
      </c>
      <c r="X104" s="125">
        <v>95.43</v>
      </c>
      <c r="Y104" s="206">
        <v>95.42</v>
      </c>
      <c r="Z104" s="206">
        <v>95.42</v>
      </c>
    </row>
    <row r="105" spans="4:27" ht="16.5" thickBot="1" x14ac:dyDescent="0.4">
      <c r="D105" s="19" t="s">
        <v>11</v>
      </c>
      <c r="E105" s="20" t="s">
        <v>12</v>
      </c>
      <c r="F105" s="20" t="s">
        <v>13</v>
      </c>
      <c r="G105" s="20" t="s">
        <v>1</v>
      </c>
      <c r="H105" s="20"/>
      <c r="I105" s="20" t="s">
        <v>1</v>
      </c>
      <c r="J105" s="20" t="s">
        <v>1</v>
      </c>
      <c r="K105" s="20" t="s">
        <v>1</v>
      </c>
      <c r="L105" s="20" t="s">
        <v>1</v>
      </c>
      <c r="M105" s="20" t="s">
        <v>1</v>
      </c>
      <c r="N105" s="20" t="s">
        <v>1</v>
      </c>
      <c r="O105" s="20" t="s">
        <v>1</v>
      </c>
      <c r="P105" s="20" t="s">
        <v>1</v>
      </c>
      <c r="Q105" s="20" t="s">
        <v>1</v>
      </c>
      <c r="R105" s="20" t="s">
        <v>1</v>
      </c>
      <c r="S105" s="20" t="s">
        <v>1</v>
      </c>
      <c r="T105" s="20" t="s">
        <v>1</v>
      </c>
      <c r="U105" s="20" t="s">
        <v>1</v>
      </c>
      <c r="V105" s="20" t="s">
        <v>1</v>
      </c>
      <c r="W105" s="20" t="s">
        <v>1</v>
      </c>
      <c r="X105" s="20" t="s">
        <v>1</v>
      </c>
      <c r="Y105" s="20" t="s">
        <v>1</v>
      </c>
      <c r="Z105" s="20" t="s">
        <v>1</v>
      </c>
    </row>
    <row r="106" spans="4:27" x14ac:dyDescent="0.35">
      <c r="D106" s="23" t="s">
        <v>45</v>
      </c>
      <c r="E106" s="2707" t="s">
        <v>84</v>
      </c>
      <c r="F106" s="2710" t="s">
        <v>18</v>
      </c>
      <c r="G106" s="120">
        <v>0</v>
      </c>
      <c r="H106" s="120"/>
      <c r="I106" s="120">
        <v>0</v>
      </c>
      <c r="J106" s="120">
        <v>0</v>
      </c>
      <c r="K106" s="120">
        <v>54.35</v>
      </c>
      <c r="L106" s="120">
        <v>46.17</v>
      </c>
      <c r="M106" s="120">
        <v>59.72</v>
      </c>
      <c r="N106" s="487">
        <v>71.92</v>
      </c>
      <c r="O106" s="487">
        <v>51.89</v>
      </c>
      <c r="P106" s="487">
        <v>51.32</v>
      </c>
      <c r="Q106" s="487">
        <v>50.92</v>
      </c>
      <c r="R106" s="487">
        <v>49.96</v>
      </c>
      <c r="S106" s="487">
        <v>51.37</v>
      </c>
      <c r="T106" s="487">
        <v>49.83</v>
      </c>
      <c r="U106" s="487">
        <v>47.22</v>
      </c>
      <c r="V106" s="487">
        <v>50.25</v>
      </c>
      <c r="W106" s="487">
        <v>49.67</v>
      </c>
      <c r="X106" s="487">
        <v>50.83</v>
      </c>
      <c r="Y106" s="567">
        <v>48.73</v>
      </c>
      <c r="Z106" s="567">
        <v>48.73</v>
      </c>
    </row>
    <row r="107" spans="4:27" ht="18" x14ac:dyDescent="0.45">
      <c r="D107" s="30" t="s">
        <v>86</v>
      </c>
      <c r="E107" s="2708"/>
      <c r="F107" s="2711"/>
      <c r="G107" s="121">
        <v>0</v>
      </c>
      <c r="H107" s="121"/>
      <c r="I107" s="121">
        <v>0</v>
      </c>
      <c r="J107" s="121">
        <v>0</v>
      </c>
      <c r="K107" s="121">
        <v>5.83</v>
      </c>
      <c r="L107" s="121">
        <v>4.34</v>
      </c>
      <c r="M107" s="121">
        <v>5.88</v>
      </c>
      <c r="N107" s="488">
        <v>7.1</v>
      </c>
      <c r="O107" s="488">
        <v>15.37</v>
      </c>
      <c r="P107" s="488">
        <v>14.29</v>
      </c>
      <c r="Q107" s="488">
        <v>14.36</v>
      </c>
      <c r="R107" s="488">
        <v>12.7</v>
      </c>
      <c r="S107" s="488">
        <v>12.78</v>
      </c>
      <c r="T107" s="488">
        <v>13.91</v>
      </c>
      <c r="U107" s="488">
        <v>14.9</v>
      </c>
      <c r="V107" s="488">
        <v>15.42</v>
      </c>
      <c r="W107" s="488">
        <v>15.02</v>
      </c>
      <c r="X107" s="488">
        <v>14.69</v>
      </c>
      <c r="Y107" s="568">
        <v>13.62</v>
      </c>
      <c r="Z107" s="568">
        <v>13.62</v>
      </c>
    </row>
    <row r="108" spans="4:27" ht="18" x14ac:dyDescent="0.35">
      <c r="D108" s="37" t="s">
        <v>87</v>
      </c>
      <c r="E108" s="2708"/>
      <c r="F108" s="2711"/>
      <c r="G108" s="121">
        <v>0</v>
      </c>
      <c r="H108" s="121"/>
      <c r="I108" s="121">
        <v>0</v>
      </c>
      <c r="J108" s="121">
        <v>0</v>
      </c>
      <c r="K108" s="121">
        <v>5.2</v>
      </c>
      <c r="L108" s="121">
        <v>3.69</v>
      </c>
      <c r="M108" s="121">
        <v>4.78</v>
      </c>
      <c r="N108" s="488">
        <v>5.68</v>
      </c>
      <c r="O108" s="488">
        <v>11.69</v>
      </c>
      <c r="P108" s="488">
        <v>11.12</v>
      </c>
      <c r="Q108" s="488">
        <v>11</v>
      </c>
      <c r="R108" s="488">
        <v>10.130000000000001</v>
      </c>
      <c r="S108" s="488">
        <v>10.07</v>
      </c>
      <c r="T108" s="488">
        <v>10.56</v>
      </c>
      <c r="U108" s="488">
        <v>11.18</v>
      </c>
      <c r="V108" s="488">
        <v>11.4</v>
      </c>
      <c r="W108" s="488">
        <v>11.16</v>
      </c>
      <c r="X108" s="488">
        <v>11.13</v>
      </c>
      <c r="Y108" s="568">
        <v>10.27</v>
      </c>
      <c r="Z108" s="568">
        <v>10.27</v>
      </c>
    </row>
    <row r="109" spans="4:27" ht="18" x14ac:dyDescent="0.35">
      <c r="D109" s="37" t="s">
        <v>88</v>
      </c>
      <c r="E109" s="2708"/>
      <c r="F109" s="2711"/>
      <c r="G109" s="121">
        <v>0</v>
      </c>
      <c r="H109" s="121"/>
      <c r="I109" s="121">
        <v>0</v>
      </c>
      <c r="J109" s="121">
        <v>0</v>
      </c>
      <c r="K109" s="121">
        <v>6.23</v>
      </c>
      <c r="L109" s="121">
        <v>3.97</v>
      </c>
      <c r="M109" s="121">
        <v>5.1100000000000003</v>
      </c>
      <c r="N109" s="488">
        <v>5.36</v>
      </c>
      <c r="O109" s="488">
        <v>9.9600000000000009</v>
      </c>
      <c r="P109" s="488">
        <v>10.14</v>
      </c>
      <c r="Q109" s="488">
        <v>9.98</v>
      </c>
      <c r="R109" s="488">
        <v>10.06</v>
      </c>
      <c r="S109" s="488">
        <v>9.68</v>
      </c>
      <c r="T109" s="488">
        <v>9.5299999999999994</v>
      </c>
      <c r="U109" s="488">
        <v>10.44</v>
      </c>
      <c r="V109" s="488">
        <v>10.119999999999999</v>
      </c>
      <c r="W109" s="488">
        <v>10.18</v>
      </c>
      <c r="X109" s="488">
        <v>10.24</v>
      </c>
      <c r="Y109" s="568">
        <v>9.8699999999999992</v>
      </c>
      <c r="Z109" s="568">
        <v>9.8699999999999992</v>
      </c>
    </row>
    <row r="110" spans="4:27" x14ac:dyDescent="0.35">
      <c r="D110" s="37" t="s">
        <v>379</v>
      </c>
      <c r="E110" s="2708"/>
      <c r="F110" s="2711"/>
      <c r="G110" s="121">
        <v>0</v>
      </c>
      <c r="H110" s="121"/>
      <c r="I110" s="121">
        <v>0</v>
      </c>
      <c r="J110" s="121">
        <v>0</v>
      </c>
      <c r="K110" s="121">
        <v>7.1</v>
      </c>
      <c r="L110" s="121">
        <v>3.76</v>
      </c>
      <c r="M110" s="121">
        <v>8.26</v>
      </c>
      <c r="N110" s="488">
        <v>3.85</v>
      </c>
      <c r="O110" s="488">
        <v>5.97</v>
      </c>
      <c r="P110" s="488">
        <v>6.61</v>
      </c>
      <c r="Q110" s="488">
        <v>6.63</v>
      </c>
      <c r="R110" s="488">
        <v>7.15</v>
      </c>
      <c r="S110" s="488">
        <v>6.65</v>
      </c>
      <c r="T110" s="488">
        <v>6.43</v>
      </c>
      <c r="U110" s="488">
        <v>6.95</v>
      </c>
      <c r="V110" s="488">
        <v>6.46</v>
      </c>
      <c r="W110" s="488">
        <v>6.82</v>
      </c>
      <c r="X110" s="488">
        <v>6.76</v>
      </c>
      <c r="Y110" s="568">
        <v>7.04</v>
      </c>
      <c r="Z110" s="568">
        <v>7.04</v>
      </c>
    </row>
    <row r="111" spans="4:27" ht="18" x14ac:dyDescent="0.45">
      <c r="D111" s="23" t="s">
        <v>89</v>
      </c>
      <c r="E111" s="2708"/>
      <c r="F111" s="2711"/>
      <c r="G111" s="122">
        <v>0</v>
      </c>
      <c r="H111" s="122"/>
      <c r="I111" s="122">
        <v>0</v>
      </c>
      <c r="J111" s="122">
        <v>0</v>
      </c>
      <c r="K111" s="122">
        <v>8.67</v>
      </c>
      <c r="L111" s="122">
        <v>6.83</v>
      </c>
      <c r="M111" s="122">
        <v>6.02</v>
      </c>
      <c r="N111" s="489">
        <v>3.91</v>
      </c>
      <c r="O111" s="489">
        <v>3.82</v>
      </c>
      <c r="P111" s="489">
        <v>5.28</v>
      </c>
      <c r="Q111" s="489">
        <v>5.93</v>
      </c>
      <c r="R111" s="489">
        <v>7.85</v>
      </c>
      <c r="S111" s="489">
        <v>7.04</v>
      </c>
      <c r="T111" s="489">
        <v>7.2</v>
      </c>
      <c r="U111" s="489">
        <v>7.24</v>
      </c>
      <c r="V111" s="489">
        <v>5.23</v>
      </c>
      <c r="W111" s="489">
        <v>6.38</v>
      </c>
      <c r="X111" s="489">
        <v>5.68</v>
      </c>
      <c r="Y111" s="569">
        <v>8.67</v>
      </c>
      <c r="Z111" s="569">
        <v>8.67</v>
      </c>
    </row>
    <row r="112" spans="4:27" ht="18.5" thickBot="1" x14ac:dyDescent="0.5">
      <c r="D112" s="233" t="s">
        <v>380</v>
      </c>
      <c r="E112" s="2708"/>
      <c r="F112" s="2711"/>
      <c r="G112" s="123">
        <v>0</v>
      </c>
      <c r="H112" s="123"/>
      <c r="I112" s="123">
        <v>0</v>
      </c>
      <c r="J112" s="123">
        <v>0</v>
      </c>
      <c r="K112" s="123">
        <v>12.33</v>
      </c>
      <c r="L112" s="123">
        <v>30.83</v>
      </c>
      <c r="M112" s="123">
        <v>10.039999999999999</v>
      </c>
      <c r="N112" s="490">
        <v>1.85</v>
      </c>
      <c r="O112" s="490">
        <v>0.92</v>
      </c>
      <c r="P112" s="490">
        <v>1.03</v>
      </c>
      <c r="Q112" s="490">
        <v>0.99</v>
      </c>
      <c r="R112" s="490">
        <v>1.94</v>
      </c>
      <c r="S112" s="490">
        <v>1.68</v>
      </c>
      <c r="T112" s="490">
        <v>1.7</v>
      </c>
      <c r="U112" s="490">
        <v>1.45</v>
      </c>
      <c r="V112" s="490">
        <v>0.7</v>
      </c>
      <c r="W112" s="490">
        <v>0.62</v>
      </c>
      <c r="X112" s="490">
        <v>0.51</v>
      </c>
      <c r="Y112" s="570">
        <v>1.63</v>
      </c>
      <c r="Z112" s="570">
        <v>1.63</v>
      </c>
    </row>
    <row r="113" spans="4:27" s="237" customFormat="1" ht="16.5" thickTop="1" x14ac:dyDescent="0.35">
      <c r="D113" s="234" t="s">
        <v>378</v>
      </c>
      <c r="E113" s="2708"/>
      <c r="F113" s="2711"/>
      <c r="G113" s="235"/>
      <c r="H113" s="235"/>
      <c r="I113" s="235"/>
      <c r="J113" s="235"/>
      <c r="K113" s="447">
        <f>1.73/K110</f>
        <v>0.24366197183098592</v>
      </c>
      <c r="L113" s="447">
        <f>0.75/L110</f>
        <v>0.199468085106383</v>
      </c>
      <c r="M113" s="447">
        <f>2.42/M110</f>
        <v>0.29297820823244553</v>
      </c>
      <c r="N113" s="447">
        <f>0.81/N110</f>
        <v>0.2103896103896104</v>
      </c>
      <c r="O113" s="447">
        <f>1.36/O110</f>
        <v>0.22780569514237858</v>
      </c>
      <c r="P113" s="447">
        <v>0.22</v>
      </c>
      <c r="Q113" s="447">
        <v>0.22</v>
      </c>
      <c r="R113" s="447">
        <v>0.21</v>
      </c>
      <c r="S113" s="447">
        <v>0.22</v>
      </c>
      <c r="T113" s="447">
        <v>0.22</v>
      </c>
      <c r="U113" s="447">
        <v>0.23</v>
      </c>
      <c r="V113" s="447">
        <v>0.24</v>
      </c>
      <c r="W113" s="447">
        <v>0.24</v>
      </c>
      <c r="X113" s="447">
        <v>0.24</v>
      </c>
      <c r="Y113" s="571">
        <v>0.23</v>
      </c>
      <c r="Z113" s="571">
        <v>0.23</v>
      </c>
      <c r="AA113" s="1693"/>
    </row>
    <row r="114" spans="4:27" x14ac:dyDescent="0.35">
      <c r="D114" s="37" t="s">
        <v>90</v>
      </c>
      <c r="E114" s="2708"/>
      <c r="F114" s="2711"/>
      <c r="G114" s="121">
        <v>0</v>
      </c>
      <c r="H114" s="121"/>
      <c r="I114" s="121">
        <v>0</v>
      </c>
      <c r="J114" s="121">
        <v>0</v>
      </c>
      <c r="K114" s="488">
        <v>0</v>
      </c>
      <c r="L114" s="488">
        <v>0</v>
      </c>
      <c r="M114" s="488">
        <v>0</v>
      </c>
      <c r="N114" s="488">
        <v>0</v>
      </c>
      <c r="O114" s="488">
        <v>0</v>
      </c>
      <c r="P114" s="488">
        <v>0</v>
      </c>
      <c r="Q114" s="488">
        <v>0</v>
      </c>
      <c r="R114" s="488">
        <v>0</v>
      </c>
      <c r="S114" s="488">
        <v>0</v>
      </c>
      <c r="T114" s="488">
        <v>0</v>
      </c>
      <c r="U114" s="488">
        <v>0</v>
      </c>
      <c r="V114" s="488">
        <v>0</v>
      </c>
      <c r="W114" s="488">
        <v>0</v>
      </c>
      <c r="X114" s="488">
        <v>0</v>
      </c>
      <c r="Y114" s="568">
        <v>0</v>
      </c>
      <c r="Z114" s="568">
        <v>0</v>
      </c>
    </row>
    <row r="115" spans="4:27" ht="18" x14ac:dyDescent="0.35">
      <c r="D115" s="37" t="s">
        <v>91</v>
      </c>
      <c r="E115" s="2708"/>
      <c r="F115" s="2711"/>
      <c r="G115" s="121">
        <v>0</v>
      </c>
      <c r="H115" s="121"/>
      <c r="I115" s="121">
        <v>0</v>
      </c>
      <c r="J115" s="121">
        <v>0</v>
      </c>
      <c r="K115" s="488">
        <v>0</v>
      </c>
      <c r="L115" s="488">
        <v>0.05</v>
      </c>
      <c r="M115" s="488">
        <v>0</v>
      </c>
      <c r="N115" s="488">
        <v>0</v>
      </c>
      <c r="O115" s="488">
        <v>0</v>
      </c>
      <c r="P115" s="488">
        <v>0</v>
      </c>
      <c r="Q115" s="488">
        <v>0</v>
      </c>
      <c r="R115" s="488">
        <v>0</v>
      </c>
      <c r="S115" s="488">
        <v>0</v>
      </c>
      <c r="T115" s="488">
        <v>0</v>
      </c>
      <c r="U115" s="488">
        <v>0</v>
      </c>
      <c r="V115" s="488">
        <v>0</v>
      </c>
      <c r="W115" s="488">
        <v>0</v>
      </c>
      <c r="X115" s="488">
        <v>0</v>
      </c>
      <c r="Y115" s="568">
        <v>0</v>
      </c>
      <c r="Z115" s="568">
        <v>0</v>
      </c>
    </row>
    <row r="116" spans="4:27" ht="18" x14ac:dyDescent="0.45">
      <c r="D116" s="30" t="s">
        <v>85</v>
      </c>
      <c r="E116" s="2708"/>
      <c r="F116" s="2711"/>
      <c r="G116" s="123">
        <v>0</v>
      </c>
      <c r="H116" s="123"/>
      <c r="I116" s="123">
        <v>0</v>
      </c>
      <c r="J116" s="123">
        <v>0</v>
      </c>
      <c r="K116" s="490">
        <v>0</v>
      </c>
      <c r="L116" s="490">
        <v>0</v>
      </c>
      <c r="M116" s="490">
        <v>0</v>
      </c>
      <c r="N116" s="490">
        <v>0</v>
      </c>
      <c r="O116" s="490">
        <v>0</v>
      </c>
      <c r="P116" s="490">
        <v>0</v>
      </c>
      <c r="Q116" s="490">
        <v>0</v>
      </c>
      <c r="R116" s="490">
        <v>0</v>
      </c>
      <c r="S116" s="490">
        <v>0</v>
      </c>
      <c r="T116" s="490">
        <v>0</v>
      </c>
      <c r="U116" s="490">
        <v>0</v>
      </c>
      <c r="V116" s="490">
        <v>0</v>
      </c>
      <c r="W116" s="490">
        <v>0</v>
      </c>
      <c r="X116" s="490">
        <v>0</v>
      </c>
      <c r="Y116" s="570">
        <v>0</v>
      </c>
      <c r="Z116" s="570">
        <v>0</v>
      </c>
    </row>
    <row r="117" spans="4:27" ht="18.5" thickBot="1" x14ac:dyDescent="0.4">
      <c r="D117" s="124" t="s">
        <v>165</v>
      </c>
      <c r="E117" s="2709"/>
      <c r="F117" s="2712"/>
      <c r="G117" s="125">
        <v>0</v>
      </c>
      <c r="H117" s="125"/>
      <c r="I117" s="125">
        <v>0</v>
      </c>
      <c r="J117" s="125">
        <v>0</v>
      </c>
      <c r="K117" s="491">
        <v>0.3</v>
      </c>
      <c r="L117" s="491">
        <v>0.36</v>
      </c>
      <c r="M117" s="491">
        <v>0.2</v>
      </c>
      <c r="N117" s="491">
        <v>0.32</v>
      </c>
      <c r="O117" s="491">
        <v>0.38</v>
      </c>
      <c r="P117" s="491">
        <v>0</v>
      </c>
      <c r="Q117" s="491">
        <v>0.19</v>
      </c>
      <c r="R117" s="491">
        <v>0</v>
      </c>
      <c r="S117" s="491">
        <v>0.72</v>
      </c>
      <c r="T117" s="491">
        <v>0.85</v>
      </c>
      <c r="U117" s="491">
        <v>0.6</v>
      </c>
      <c r="V117" s="491">
        <v>0.42</v>
      </c>
      <c r="W117" s="491">
        <v>0.15</v>
      </c>
      <c r="X117" s="491">
        <v>0.15</v>
      </c>
      <c r="Y117" s="572">
        <v>0.17</v>
      </c>
      <c r="Z117" s="572">
        <v>0.17</v>
      </c>
    </row>
    <row r="118" spans="4:27" x14ac:dyDescent="0.35">
      <c r="U118" s="147"/>
    </row>
    <row r="119" spans="4:27" x14ac:dyDescent="0.35">
      <c r="N119" s="18" t="s">
        <v>644</v>
      </c>
    </row>
    <row r="120" spans="4:27" x14ac:dyDescent="0.35">
      <c r="M120" s="2706"/>
      <c r="O120" s="44" t="s">
        <v>64</v>
      </c>
      <c r="P120" s="88">
        <v>18.8</v>
      </c>
      <c r="Q120" s="88">
        <v>18.399999999999999</v>
      </c>
      <c r="R120" s="88">
        <v>19.399999999999999</v>
      </c>
      <c r="S120" s="88">
        <v>17.399999999999999</v>
      </c>
      <c r="T120" s="88">
        <v>15.7</v>
      </c>
      <c r="U120" s="88">
        <v>13.8</v>
      </c>
      <c r="V120" s="88">
        <v>13.5</v>
      </c>
      <c r="Y120" s="18"/>
    </row>
    <row r="121" spans="4:27" x14ac:dyDescent="0.35">
      <c r="M121" s="2706"/>
      <c r="O121" s="44" t="s">
        <v>65</v>
      </c>
      <c r="P121" s="88">
        <v>76.599999999999994</v>
      </c>
      <c r="Q121" s="88">
        <v>72.3</v>
      </c>
      <c r="R121" s="88">
        <v>68.400000000000006</v>
      </c>
      <c r="S121" s="88">
        <v>68.2</v>
      </c>
      <c r="T121" s="88">
        <v>66.599999999999994</v>
      </c>
      <c r="U121" s="88">
        <v>68.7</v>
      </c>
      <c r="V121" s="88">
        <v>69.7</v>
      </c>
      <c r="Y121" s="18"/>
    </row>
    <row r="122" spans="4:27" x14ac:dyDescent="0.35">
      <c r="M122" s="2706"/>
      <c r="O122" s="44" t="s">
        <v>66</v>
      </c>
      <c r="P122" s="86">
        <v>0</v>
      </c>
      <c r="Q122" s="86">
        <v>4.7</v>
      </c>
      <c r="R122" s="86">
        <v>5.6</v>
      </c>
      <c r="S122" s="86">
        <v>7.5</v>
      </c>
      <c r="T122" s="86">
        <v>7.4</v>
      </c>
      <c r="U122" s="86">
        <v>9.1999999999999993</v>
      </c>
      <c r="V122" s="86">
        <v>8.6999999999999993</v>
      </c>
      <c r="Y122" s="18"/>
    </row>
    <row r="123" spans="4:27" x14ac:dyDescent="0.35">
      <c r="M123" s="2706"/>
      <c r="O123" s="44" t="s">
        <v>67</v>
      </c>
      <c r="P123" s="88">
        <v>4.7</v>
      </c>
      <c r="Q123" s="88">
        <v>4.5999999999999996</v>
      </c>
      <c r="R123" s="88">
        <v>6.7</v>
      </c>
      <c r="S123" s="88">
        <v>7</v>
      </c>
      <c r="T123" s="88">
        <v>10.3</v>
      </c>
      <c r="U123" s="88">
        <v>8.3000000000000007</v>
      </c>
      <c r="V123" s="88">
        <v>8.1</v>
      </c>
      <c r="Y123" s="18"/>
    </row>
    <row r="124" spans="4:27" x14ac:dyDescent="0.35">
      <c r="M124" s="2706"/>
      <c r="O124" s="44" t="s">
        <v>320</v>
      </c>
      <c r="P124" s="63">
        <f>(P$75+P$72)/(P$74+P$73)</f>
        <v>0.54209000000000007</v>
      </c>
      <c r="Q124" s="63">
        <f t="shared" ref="Q124:V124" si="21">(Q$75+Q$72)/(Q$74+Q$73)</f>
        <v>0.52590999999999999</v>
      </c>
      <c r="R124" s="63">
        <f t="shared" si="21"/>
        <v>0.57391000000000003</v>
      </c>
      <c r="S124" s="63">
        <f t="shared" si="21"/>
        <v>0.53727999999999998</v>
      </c>
      <c r="T124" s="63">
        <f t="shared" si="21"/>
        <v>0.55016999999999994</v>
      </c>
      <c r="U124" s="63">
        <f t="shared" si="21"/>
        <v>0.55549999999999999</v>
      </c>
      <c r="V124" s="63">
        <f t="shared" si="21"/>
        <v>0.60474000000000006</v>
      </c>
      <c r="Y124" s="18"/>
    </row>
    <row r="127" spans="4:27" x14ac:dyDescent="0.35">
      <c r="P127" s="713"/>
      <c r="Q127" s="713"/>
      <c r="R127" s="713"/>
      <c r="S127" s="713"/>
      <c r="T127" s="713"/>
      <c r="U127" s="713"/>
    </row>
    <row r="128" spans="4:27" x14ac:dyDescent="0.35">
      <c r="P128" s="713"/>
      <c r="Q128" s="713"/>
      <c r="R128" s="713"/>
      <c r="S128" s="713"/>
      <c r="T128" s="713"/>
      <c r="U128" s="713"/>
    </row>
  </sheetData>
  <mergeCells count="27">
    <mergeCell ref="E106:E117"/>
    <mergeCell ref="F106:F117"/>
    <mergeCell ref="M120:M124"/>
    <mergeCell ref="E74:E78"/>
    <mergeCell ref="F74:F78"/>
    <mergeCell ref="E80:E86"/>
    <mergeCell ref="F80:F86"/>
    <mergeCell ref="E93:E104"/>
    <mergeCell ref="F93:F104"/>
    <mergeCell ref="E41:E46"/>
    <mergeCell ref="F41:F46"/>
    <mergeCell ref="E50:E63"/>
    <mergeCell ref="F50:F64"/>
    <mergeCell ref="E66:E72"/>
    <mergeCell ref="F66:F72"/>
    <mergeCell ref="F26:F29"/>
    <mergeCell ref="D1:K1"/>
    <mergeCell ref="O3:Y3"/>
    <mergeCell ref="K4:N4"/>
    <mergeCell ref="O4:Y4"/>
    <mergeCell ref="E13:E19"/>
    <mergeCell ref="F13:F19"/>
    <mergeCell ref="D20:D22"/>
    <mergeCell ref="E21:E22"/>
    <mergeCell ref="D23:D25"/>
    <mergeCell ref="E24:E25"/>
    <mergeCell ref="E26:E29"/>
  </mergeCells>
  <printOptions horizontalCentered="1"/>
  <pageMargins left="0.24" right="0.17" top="0.52" bottom="0.38" header="0.31496062992126" footer="0.16"/>
  <pageSetup paperSize="9" scale="47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D60A0-026C-40F2-8DB2-7668BD6A9EDA}">
  <sheetPr>
    <tabColor rgb="FFFF0000"/>
    <pageSetUpPr fitToPage="1"/>
  </sheetPr>
  <dimension ref="B1:AL128"/>
  <sheetViews>
    <sheetView showGridLines="0" zoomScale="55" zoomScaleNormal="55" zoomScaleSheetLayoutView="100" workbookViewId="0">
      <pane xSplit="4" ySplit="8" topLeftCell="E77" activePane="bottomRight" state="frozen"/>
      <selection activeCell="N20" sqref="N20"/>
      <selection pane="topRight" activeCell="N20" sqref="N20"/>
      <selection pane="bottomLeft" activeCell="N20" sqref="N20"/>
      <selection pane="bottomRight" activeCell="N20" sqref="N20"/>
    </sheetView>
  </sheetViews>
  <sheetFormatPr defaultColWidth="9.26953125" defaultRowHeight="16" x14ac:dyDescent="0.35"/>
  <cols>
    <col min="1" max="2" width="9.26953125" style="7"/>
    <col min="3" max="3" width="1" style="7" customWidth="1"/>
    <col min="4" max="4" width="31.26953125" style="18" customWidth="1"/>
    <col min="5" max="5" width="31.7265625" style="18" bestFit="1" customWidth="1"/>
    <col min="6" max="6" width="14.453125" style="18" customWidth="1"/>
    <col min="7" max="10" width="22.7265625" style="18" customWidth="1"/>
    <col min="11" max="11" width="26.26953125" style="18" bestFit="1" customWidth="1"/>
    <col min="12" max="14" width="27.26953125" style="18" bestFit="1" customWidth="1"/>
    <col min="15" max="15" width="24.453125" style="18" customWidth="1"/>
    <col min="16" max="19" width="24.81640625" style="18" bestFit="1" customWidth="1"/>
    <col min="20" max="20" width="25.81640625" style="18" bestFit="1" customWidth="1"/>
    <col min="21" max="21" width="25.54296875" style="18" bestFit="1" customWidth="1"/>
    <col min="22" max="23" width="25.81640625" style="18" bestFit="1" customWidth="1"/>
    <col min="24" max="24" width="24" style="18" bestFit="1" customWidth="1"/>
    <col min="25" max="25" width="25.26953125" style="7" customWidth="1"/>
    <col min="26" max="26" width="25.26953125" style="576" bestFit="1" customWidth="1"/>
    <col min="27" max="27" width="25.26953125" style="18" bestFit="1" customWidth="1"/>
    <col min="28" max="28" width="24.453125" style="18" bestFit="1" customWidth="1"/>
    <col min="29" max="29" width="25.26953125" style="18" customWidth="1"/>
    <col min="30" max="30" width="24.81640625" style="18" bestFit="1" customWidth="1"/>
    <col min="31" max="31" width="25.26953125" style="18" bestFit="1" customWidth="1"/>
    <col min="32" max="32" width="24" style="18" bestFit="1" customWidth="1"/>
    <col min="33" max="33" width="25.26953125" style="18" bestFit="1" customWidth="1"/>
    <col min="34" max="34" width="24" style="18" bestFit="1" customWidth="1"/>
    <col min="35" max="35" width="25.26953125" style="18" customWidth="1"/>
    <col min="36" max="36" width="24" style="18" bestFit="1" customWidth="1"/>
    <col min="37" max="37" width="25.26953125" style="18" bestFit="1" customWidth="1"/>
    <col min="38" max="38" width="24" style="18" bestFit="1" customWidth="1"/>
    <col min="39" max="16384" width="9.26953125" style="7"/>
  </cols>
  <sheetData>
    <row r="1" spans="4:38" ht="26.25" customHeight="1" x14ac:dyDescent="0.55000000000000004">
      <c r="D1" s="2676" t="s">
        <v>5</v>
      </c>
      <c r="E1" s="2676"/>
      <c r="F1" s="2676"/>
      <c r="G1" s="2676"/>
      <c r="H1" s="2676"/>
      <c r="I1" s="2676"/>
      <c r="J1" s="2676"/>
      <c r="K1" s="2676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4:38" ht="30.75" customHeight="1" x14ac:dyDescent="0.35">
      <c r="D2" s="8" t="s">
        <v>6</v>
      </c>
      <c r="E2" s="9" t="s">
        <v>353</v>
      </c>
      <c r="F2" s="10"/>
      <c r="G2" s="10"/>
      <c r="H2" s="12"/>
      <c r="I2" s="12"/>
      <c r="J2" s="12"/>
      <c r="K2" s="11" t="s">
        <v>887</v>
      </c>
      <c r="L2" s="11" t="s">
        <v>888</v>
      </c>
      <c r="M2" s="11" t="s">
        <v>889</v>
      </c>
      <c r="N2" s="11" t="s">
        <v>890</v>
      </c>
      <c r="O2" s="12" t="s">
        <v>891</v>
      </c>
      <c r="P2" s="12" t="s">
        <v>892</v>
      </c>
      <c r="Q2" s="12" t="s">
        <v>893</v>
      </c>
      <c r="R2" s="12" t="s">
        <v>894</v>
      </c>
      <c r="S2" s="12" t="s">
        <v>895</v>
      </c>
      <c r="T2" s="12" t="s">
        <v>896</v>
      </c>
      <c r="U2" s="12" t="s">
        <v>897</v>
      </c>
      <c r="V2" s="12" t="s">
        <v>898</v>
      </c>
      <c r="W2" s="12" t="s">
        <v>899</v>
      </c>
      <c r="X2" s="12" t="s">
        <v>886</v>
      </c>
      <c r="Y2" s="12" t="s">
        <v>900</v>
      </c>
      <c r="Z2" s="12" t="s">
        <v>901</v>
      </c>
      <c r="AA2" s="12" t="s">
        <v>902</v>
      </c>
      <c r="AB2" s="12" t="s">
        <v>903</v>
      </c>
      <c r="AC2" s="12" t="s">
        <v>904</v>
      </c>
      <c r="AD2" s="12" t="s">
        <v>905</v>
      </c>
      <c r="AE2" s="12" t="s">
        <v>906</v>
      </c>
      <c r="AF2" s="12" t="s">
        <v>907</v>
      </c>
      <c r="AG2" s="12" t="s">
        <v>908</v>
      </c>
      <c r="AH2" s="12" t="s">
        <v>909</v>
      </c>
      <c r="AI2" s="12" t="s">
        <v>910</v>
      </c>
      <c r="AJ2" s="12"/>
      <c r="AK2" s="12"/>
      <c r="AL2" s="12"/>
    </row>
    <row r="3" spans="4:38" ht="26.25" customHeight="1" x14ac:dyDescent="0.35">
      <c r="D3" s="8" t="s">
        <v>8</v>
      </c>
      <c r="E3" s="14" t="s">
        <v>432</v>
      </c>
      <c r="F3" s="15"/>
      <c r="G3" s="15"/>
      <c r="H3" s="12"/>
      <c r="I3" s="12"/>
      <c r="J3" s="12"/>
      <c r="K3" s="11"/>
      <c r="L3" s="11"/>
      <c r="M3" s="7"/>
      <c r="N3" s="7"/>
      <c r="O3" s="1014"/>
      <c r="P3" s="1014"/>
      <c r="Q3" s="1014"/>
      <c r="R3" s="1014"/>
      <c r="S3" s="1014"/>
      <c r="T3" s="1014"/>
      <c r="U3" s="1014"/>
      <c r="V3" s="1014"/>
      <c r="W3" s="1014"/>
      <c r="X3" s="1014"/>
      <c r="Y3" s="1014"/>
      <c r="Z3" s="1012"/>
      <c r="AA3" s="1013"/>
      <c r="AB3" s="1013"/>
      <c r="AC3" s="1013"/>
      <c r="AD3" s="1013"/>
      <c r="AE3" s="1013"/>
      <c r="AF3" s="1013"/>
      <c r="AG3" s="1013"/>
      <c r="AH3" s="1013"/>
      <c r="AI3" s="1013"/>
      <c r="AJ3" s="1013"/>
      <c r="AK3" s="1013"/>
      <c r="AL3" s="1013"/>
    </row>
    <row r="4" spans="4:38" ht="28.5" customHeight="1" x14ac:dyDescent="0.45">
      <c r="D4" s="8" t="s">
        <v>9</v>
      </c>
      <c r="E4" s="16" t="s">
        <v>10</v>
      </c>
      <c r="F4" s="15"/>
      <c r="G4" s="15"/>
      <c r="H4" s="12"/>
      <c r="I4" s="12"/>
      <c r="J4" s="12"/>
      <c r="K4" s="2685" t="s">
        <v>162</v>
      </c>
      <c r="L4" s="2685"/>
      <c r="M4" s="2685"/>
      <c r="N4" s="2685"/>
      <c r="O4" s="2772" t="s">
        <v>149</v>
      </c>
      <c r="P4" s="2772"/>
      <c r="Q4" s="2772"/>
      <c r="R4" s="2772"/>
      <c r="S4" s="2772"/>
      <c r="T4" s="2772"/>
      <c r="U4" s="2772"/>
      <c r="V4" s="2772"/>
      <c r="W4" s="2772"/>
      <c r="X4" s="2772"/>
      <c r="Y4" s="2772"/>
      <c r="Z4" s="2772"/>
      <c r="AA4" s="2772"/>
      <c r="AB4" s="2772"/>
      <c r="AC4" s="2772"/>
      <c r="AD4" s="2772"/>
      <c r="AE4" s="2772"/>
      <c r="AF4" s="2772"/>
      <c r="AG4" s="2772"/>
      <c r="AH4" s="2772"/>
      <c r="AI4" s="2772"/>
      <c r="AJ4" s="1676"/>
      <c r="AK4" s="1676"/>
      <c r="AL4" s="1676"/>
    </row>
    <row r="5" spans="4:38" ht="28.5" customHeight="1" x14ac:dyDescent="0.45">
      <c r="D5" s="8" t="s">
        <v>427</v>
      </c>
      <c r="E5" s="11"/>
      <c r="F5" s="12"/>
      <c r="G5" s="12"/>
      <c r="H5" s="12"/>
      <c r="I5" s="12"/>
      <c r="J5" s="12"/>
      <c r="K5" s="187" t="s">
        <v>94</v>
      </c>
      <c r="L5" s="185"/>
      <c r="M5" s="185"/>
      <c r="N5" s="185"/>
      <c r="O5" s="188" t="s">
        <v>356</v>
      </c>
      <c r="P5" s="186"/>
      <c r="Q5" s="186"/>
      <c r="R5" s="186"/>
      <c r="S5" s="186"/>
      <c r="T5" s="186"/>
      <c r="U5" s="188"/>
      <c r="V5" s="186"/>
      <c r="W5" s="186"/>
      <c r="X5" s="1372" t="s">
        <v>882</v>
      </c>
      <c r="Y5" s="186"/>
      <c r="AD5" s="1372" t="s">
        <v>883</v>
      </c>
    </row>
    <row r="6" spans="4:38" ht="21.4" customHeight="1" x14ac:dyDescent="0.35">
      <c r="D6" s="17"/>
      <c r="J6" s="18" t="s">
        <v>355</v>
      </c>
      <c r="K6" s="712">
        <v>0</v>
      </c>
      <c r="L6" s="212">
        <v>2</v>
      </c>
      <c r="M6" s="212">
        <v>3</v>
      </c>
      <c r="N6" s="212">
        <v>4</v>
      </c>
      <c r="O6" s="190">
        <v>5</v>
      </c>
      <c r="P6" s="191">
        <v>6</v>
      </c>
      <c r="Q6" s="191">
        <v>7</v>
      </c>
      <c r="R6" s="212">
        <v>8</v>
      </c>
      <c r="S6" s="212">
        <v>9</v>
      </c>
      <c r="T6" s="191">
        <v>10</v>
      </c>
      <c r="U6" s="1370">
        <v>11</v>
      </c>
      <c r="V6" s="1371">
        <v>12</v>
      </c>
      <c r="W6" s="1371">
        <v>13</v>
      </c>
      <c r="X6" s="1373">
        <v>14</v>
      </c>
      <c r="Y6" s="191">
        <v>15</v>
      </c>
      <c r="Z6" s="212">
        <v>16</v>
      </c>
      <c r="AA6" s="212">
        <v>17</v>
      </c>
      <c r="AB6" s="212">
        <v>18</v>
      </c>
      <c r="AC6" s="212">
        <v>19</v>
      </c>
      <c r="AD6" s="1375">
        <v>20</v>
      </c>
      <c r="AE6" s="212">
        <v>21</v>
      </c>
      <c r="AF6" s="212">
        <v>22</v>
      </c>
      <c r="AG6" s="212">
        <v>23</v>
      </c>
      <c r="AH6" s="212">
        <v>24</v>
      </c>
      <c r="AI6" s="212">
        <v>25</v>
      </c>
      <c r="AJ6" s="212">
        <v>26</v>
      </c>
      <c r="AK6" s="212">
        <v>27</v>
      </c>
      <c r="AL6" s="212">
        <v>28</v>
      </c>
    </row>
    <row r="7" spans="4:38" ht="16.899999999999999" customHeight="1" thickBot="1" x14ac:dyDescent="0.4">
      <c r="D7" s="17"/>
      <c r="J7" s="18" t="s">
        <v>354</v>
      </c>
      <c r="K7" s="428"/>
      <c r="L7" s="12"/>
      <c r="M7" s="12"/>
      <c r="N7" s="12"/>
      <c r="O7" s="184"/>
      <c r="P7" s="12"/>
      <c r="Q7" s="12"/>
      <c r="R7" s="12"/>
      <c r="S7" s="12"/>
      <c r="T7" s="12"/>
      <c r="U7" s="184"/>
      <c r="V7" s="12"/>
      <c r="W7" s="12"/>
      <c r="X7" s="1374"/>
      <c r="Y7" s="12"/>
      <c r="AD7" s="1376"/>
    </row>
    <row r="8" spans="4:38" ht="16.5" thickBot="1" x14ac:dyDescent="0.4">
      <c r="D8" s="19" t="s">
        <v>11</v>
      </c>
      <c r="E8" s="20" t="s">
        <v>12</v>
      </c>
      <c r="F8" s="21" t="s">
        <v>13</v>
      </c>
      <c r="G8" s="22" t="s">
        <v>361</v>
      </c>
      <c r="H8" s="22" t="s">
        <v>360</v>
      </c>
      <c r="I8" s="22" t="s">
        <v>884</v>
      </c>
      <c r="J8" s="22" t="s">
        <v>885</v>
      </c>
      <c r="K8" s="22" t="s">
        <v>15</v>
      </c>
      <c r="L8" s="110" t="s">
        <v>15</v>
      </c>
      <c r="M8" s="110" t="s">
        <v>15</v>
      </c>
      <c r="N8" s="111" t="s">
        <v>15</v>
      </c>
      <c r="O8" s="111" t="s">
        <v>15</v>
      </c>
      <c r="P8" s="111" t="s">
        <v>15</v>
      </c>
      <c r="Q8" s="111" t="s">
        <v>15</v>
      </c>
      <c r="R8" s="111" t="s">
        <v>15</v>
      </c>
      <c r="S8" s="111" t="s">
        <v>15</v>
      </c>
      <c r="T8" s="111" t="s">
        <v>15</v>
      </c>
      <c r="U8" s="111" t="s">
        <v>15</v>
      </c>
      <c r="V8" s="111" t="s">
        <v>15</v>
      </c>
      <c r="W8" s="111" t="s">
        <v>15</v>
      </c>
      <c r="X8" s="111" t="s">
        <v>15</v>
      </c>
      <c r="Y8" s="111" t="s">
        <v>15</v>
      </c>
      <c r="Z8" s="111" t="s">
        <v>15</v>
      </c>
      <c r="AA8" s="111" t="s">
        <v>15</v>
      </c>
      <c r="AB8" s="111" t="s">
        <v>15</v>
      </c>
      <c r="AC8" s="111" t="s">
        <v>15</v>
      </c>
      <c r="AD8" s="111" t="s">
        <v>15</v>
      </c>
      <c r="AE8" s="111" t="s">
        <v>15</v>
      </c>
      <c r="AF8" s="111" t="s">
        <v>15</v>
      </c>
      <c r="AG8" s="111" t="s">
        <v>15</v>
      </c>
      <c r="AH8" s="111" t="s">
        <v>15</v>
      </c>
      <c r="AI8" s="111" t="s">
        <v>15</v>
      </c>
      <c r="AJ8" s="111" t="s">
        <v>15</v>
      </c>
      <c r="AK8" s="111" t="s">
        <v>15</v>
      </c>
      <c r="AL8" s="111" t="s">
        <v>15</v>
      </c>
    </row>
    <row r="9" spans="4:38" ht="19.5" customHeight="1" x14ac:dyDescent="0.35">
      <c r="D9" s="23" t="s">
        <v>16</v>
      </c>
      <c r="E9" s="24" t="s">
        <v>17</v>
      </c>
      <c r="F9" s="25" t="s">
        <v>18</v>
      </c>
      <c r="G9" s="26"/>
      <c r="H9" s="26"/>
      <c r="I9" s="26"/>
      <c r="J9" s="26"/>
      <c r="K9" s="27"/>
      <c r="L9" s="28"/>
      <c r="M9" s="28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192"/>
      <c r="Z9" s="590"/>
      <c r="AA9" s="172"/>
      <c r="AB9" s="172"/>
      <c r="AC9" s="172"/>
      <c r="AD9" s="172"/>
      <c r="AE9" s="172"/>
      <c r="AF9" s="172"/>
      <c r="AG9" s="172"/>
      <c r="AH9" s="172"/>
      <c r="AI9" s="172"/>
      <c r="AJ9" s="172"/>
      <c r="AK9" s="172"/>
      <c r="AL9" s="172"/>
    </row>
    <row r="10" spans="4:38" ht="19.5" customHeight="1" x14ac:dyDescent="0.35">
      <c r="D10" s="30" t="s">
        <v>835</v>
      </c>
      <c r="E10" s="31" t="s">
        <v>17</v>
      </c>
      <c r="F10" s="32"/>
      <c r="G10" s="889">
        <f>(141.5/(G11/0.9991))-131.5</f>
        <v>3.3589621291615117</v>
      </c>
      <c r="H10" s="889">
        <f t="shared" ref="H10:J10" si="0">(141.5/(H11/0.9991))-131.5</f>
        <v>1.431499764927139</v>
      </c>
      <c r="I10" s="889" t="e">
        <f t="shared" si="0"/>
        <v>#DIV/0!</v>
      </c>
      <c r="J10" s="889" t="e">
        <f t="shared" si="0"/>
        <v>#DIV/0!</v>
      </c>
      <c r="K10" s="34">
        <v>16</v>
      </c>
      <c r="L10" s="35"/>
      <c r="M10" s="35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193"/>
      <c r="Z10" s="577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</row>
    <row r="11" spans="4:38" ht="19.5" customHeight="1" x14ac:dyDescent="0.35">
      <c r="D11" s="37" t="s">
        <v>836</v>
      </c>
      <c r="E11" s="31" t="s">
        <v>22</v>
      </c>
      <c r="F11" s="32" t="s">
        <v>23</v>
      </c>
      <c r="G11" s="39">
        <v>1.0483</v>
      </c>
      <c r="H11" s="424">
        <v>1.0634999999999999</v>
      </c>
      <c r="I11" s="39"/>
      <c r="J11" s="39"/>
      <c r="K11" s="39">
        <v>0.95830000000000004</v>
      </c>
      <c r="L11" s="40"/>
      <c r="M11" s="40"/>
      <c r="N11" s="41"/>
      <c r="O11" s="41"/>
      <c r="P11" s="41"/>
      <c r="Q11" s="41"/>
      <c r="R11" s="41"/>
      <c r="S11" s="41"/>
      <c r="T11" s="41"/>
      <c r="U11" s="41"/>
      <c r="V11" s="148"/>
      <c r="W11" s="41"/>
      <c r="X11" s="41"/>
      <c r="Y11" s="32"/>
      <c r="Z11" s="577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</row>
    <row r="12" spans="4:38" ht="19.5" customHeight="1" x14ac:dyDescent="0.35">
      <c r="D12" s="37" t="s">
        <v>24</v>
      </c>
      <c r="E12" s="31" t="s">
        <v>25</v>
      </c>
      <c r="F12" s="32" t="s">
        <v>17</v>
      </c>
      <c r="G12" s="39">
        <v>1.0489999999999999</v>
      </c>
      <c r="H12" s="424">
        <v>1.0649999999999999</v>
      </c>
      <c r="I12" s="39"/>
      <c r="J12" s="39"/>
      <c r="K12" s="38"/>
      <c r="L12" s="42"/>
      <c r="M12" s="42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194"/>
      <c r="Z12" s="591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</row>
    <row r="13" spans="4:38" ht="19.5" customHeight="1" x14ac:dyDescent="0.35">
      <c r="D13" s="44" t="s">
        <v>26</v>
      </c>
      <c r="E13" s="2677" t="s">
        <v>27</v>
      </c>
      <c r="F13" s="2680" t="s">
        <v>28</v>
      </c>
      <c r="G13" s="38"/>
      <c r="H13" s="38"/>
      <c r="I13" s="38"/>
      <c r="J13" s="38"/>
      <c r="K13" s="38"/>
      <c r="L13" s="42"/>
      <c r="M13" s="42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194"/>
      <c r="Z13" s="590"/>
      <c r="AA13" s="172"/>
      <c r="AB13" s="172"/>
      <c r="AC13" s="172"/>
      <c r="AD13" s="172"/>
      <c r="AE13" s="172"/>
      <c r="AF13" s="172"/>
      <c r="AG13" s="172"/>
      <c r="AH13" s="172"/>
      <c r="AI13" s="172"/>
      <c r="AJ13" s="172"/>
      <c r="AK13" s="172"/>
      <c r="AL13" s="172"/>
    </row>
    <row r="14" spans="4:38" ht="19.5" customHeight="1" x14ac:dyDescent="0.35">
      <c r="D14" s="44" t="s">
        <v>29</v>
      </c>
      <c r="E14" s="2678"/>
      <c r="F14" s="2681"/>
      <c r="G14" s="47"/>
      <c r="H14" s="47"/>
      <c r="I14" s="47"/>
      <c r="J14" s="47"/>
      <c r="K14" s="47"/>
      <c r="L14" s="55"/>
      <c r="M14" s="55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195"/>
      <c r="Z14" s="590"/>
      <c r="AA14" s="172"/>
      <c r="AB14" s="172"/>
      <c r="AC14" s="172"/>
      <c r="AD14" s="172"/>
      <c r="AE14" s="172"/>
      <c r="AF14" s="172"/>
      <c r="AG14" s="172"/>
      <c r="AH14" s="172"/>
      <c r="AI14" s="172"/>
      <c r="AJ14" s="172"/>
      <c r="AK14" s="172"/>
      <c r="AL14" s="172"/>
    </row>
    <row r="15" spans="4:38" ht="19.5" customHeight="1" x14ac:dyDescent="0.35">
      <c r="D15" s="44" t="s">
        <v>30</v>
      </c>
      <c r="E15" s="2678"/>
      <c r="F15" s="2681"/>
      <c r="G15" s="47"/>
      <c r="H15" s="47"/>
      <c r="I15" s="47"/>
      <c r="J15" s="47"/>
      <c r="K15" s="47"/>
      <c r="L15" s="286"/>
      <c r="M15" s="286"/>
      <c r="N15" s="287"/>
      <c r="O15" s="287"/>
      <c r="P15" s="287"/>
      <c r="Q15" s="287"/>
      <c r="R15" s="287"/>
      <c r="S15" s="287"/>
      <c r="T15" s="287"/>
      <c r="U15" s="287"/>
      <c r="V15" s="287"/>
      <c r="W15" s="287"/>
      <c r="X15" s="287"/>
      <c r="Y15" s="288"/>
      <c r="Z15" s="591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</row>
    <row r="16" spans="4:38" ht="19.5" customHeight="1" x14ac:dyDescent="0.35">
      <c r="D16" s="44" t="s">
        <v>31</v>
      </c>
      <c r="E16" s="2678"/>
      <c r="F16" s="2681"/>
      <c r="G16" s="47"/>
      <c r="H16" s="47"/>
      <c r="I16" s="47"/>
      <c r="J16" s="47"/>
      <c r="K16" s="47"/>
      <c r="L16" s="55"/>
      <c r="M16" s="55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195"/>
      <c r="Z16" s="591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</row>
    <row r="17" spans="2:38" ht="19.5" customHeight="1" x14ac:dyDescent="0.35">
      <c r="D17" s="44" t="s">
        <v>428</v>
      </c>
      <c r="E17" s="2678"/>
      <c r="F17" s="2681"/>
      <c r="G17" s="48"/>
      <c r="H17" s="48"/>
      <c r="I17" s="48"/>
      <c r="J17" s="48"/>
      <c r="K17" s="47"/>
      <c r="L17" s="55"/>
      <c r="M17" s="55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195"/>
      <c r="Z17" s="591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</row>
    <row r="18" spans="2:38" ht="19.5" customHeight="1" x14ac:dyDescent="0.35">
      <c r="D18" s="44" t="s">
        <v>32</v>
      </c>
      <c r="E18" s="2678"/>
      <c r="F18" s="2681"/>
      <c r="G18" s="48"/>
      <c r="H18" s="48"/>
      <c r="I18" s="48"/>
      <c r="J18" s="48"/>
      <c r="K18" s="47"/>
      <c r="L18" s="55"/>
      <c r="M18" s="55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195"/>
      <c r="Z18" s="590"/>
      <c r="AA18" s="172"/>
      <c r="AB18" s="172"/>
      <c r="AC18" s="172"/>
      <c r="AD18" s="172"/>
      <c r="AE18" s="172"/>
      <c r="AF18" s="172"/>
      <c r="AG18" s="172"/>
      <c r="AH18" s="172"/>
      <c r="AI18" s="172"/>
      <c r="AJ18" s="172"/>
      <c r="AK18" s="172"/>
      <c r="AL18" s="172"/>
    </row>
    <row r="19" spans="2:38" ht="19.5" customHeight="1" x14ac:dyDescent="0.35">
      <c r="D19" s="44" t="s">
        <v>33</v>
      </c>
      <c r="E19" s="2679"/>
      <c r="F19" s="2682"/>
      <c r="G19" s="57"/>
      <c r="H19" s="57"/>
      <c r="I19" s="886"/>
      <c r="J19" s="886"/>
      <c r="K19" s="47"/>
      <c r="L19" s="55"/>
      <c r="M19" s="55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195"/>
      <c r="Z19" s="590"/>
      <c r="AA19" s="172"/>
      <c r="AB19" s="172"/>
      <c r="AC19" s="172"/>
      <c r="AD19" s="172"/>
      <c r="AE19" s="172"/>
      <c r="AF19" s="172"/>
      <c r="AG19" s="172"/>
      <c r="AH19" s="172"/>
      <c r="AI19" s="172"/>
      <c r="AJ19" s="172"/>
      <c r="AK19" s="172"/>
      <c r="AL19" s="172"/>
    </row>
    <row r="20" spans="2:38" ht="19.5" customHeight="1" x14ac:dyDescent="0.35">
      <c r="D20" s="2683" t="s">
        <v>34</v>
      </c>
      <c r="E20" s="58" t="s">
        <v>35</v>
      </c>
      <c r="F20" s="59" t="s">
        <v>36</v>
      </c>
      <c r="G20" s="48">
        <v>5.9859999999999998</v>
      </c>
      <c r="H20" s="423">
        <v>5.69</v>
      </c>
      <c r="I20" s="48"/>
      <c r="J20" s="48"/>
      <c r="K20" s="60">
        <v>1.8260000000000001</v>
      </c>
      <c r="L20" s="62"/>
      <c r="M20" s="62"/>
      <c r="N20" s="63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96"/>
      <c r="Z20" s="577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</row>
    <row r="21" spans="2:38" ht="19.5" customHeight="1" x14ac:dyDescent="0.35">
      <c r="D21" s="2683"/>
      <c r="E21" s="2684" t="s">
        <v>37</v>
      </c>
      <c r="F21" s="59" t="s">
        <v>36</v>
      </c>
      <c r="G21" s="47"/>
      <c r="H21" s="47"/>
      <c r="I21" s="47"/>
      <c r="J21" s="47"/>
      <c r="K21" s="47"/>
      <c r="L21" s="55"/>
      <c r="M21" s="55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195"/>
      <c r="Z21" s="590"/>
      <c r="AA21" s="172"/>
      <c r="AB21" s="172"/>
      <c r="AC21" s="172"/>
      <c r="AD21" s="172"/>
      <c r="AE21" s="172"/>
      <c r="AF21" s="172"/>
      <c r="AG21" s="172"/>
      <c r="AH21" s="172"/>
      <c r="AI21" s="172"/>
      <c r="AJ21" s="172"/>
      <c r="AK21" s="172"/>
      <c r="AL21" s="172"/>
    </row>
    <row r="22" spans="2:38" ht="19.5" customHeight="1" x14ac:dyDescent="0.35">
      <c r="D22" s="2683"/>
      <c r="E22" s="2684"/>
      <c r="F22" s="59" t="s">
        <v>38</v>
      </c>
      <c r="G22" s="47"/>
      <c r="H22" s="47"/>
      <c r="I22" s="47"/>
      <c r="J22" s="47"/>
      <c r="K22" s="47"/>
      <c r="L22" s="55"/>
      <c r="M22" s="55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195"/>
      <c r="Z22" s="590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</row>
    <row r="23" spans="2:38" ht="19.5" customHeight="1" x14ac:dyDescent="0.35">
      <c r="D23" s="2686" t="s">
        <v>39</v>
      </c>
      <c r="E23" s="64" t="s">
        <v>40</v>
      </c>
      <c r="F23" s="59" t="s">
        <v>38</v>
      </c>
      <c r="G23" s="65"/>
      <c r="H23" s="65"/>
      <c r="I23" s="65"/>
      <c r="J23" s="65"/>
      <c r="K23" s="47"/>
      <c r="L23" s="55"/>
      <c r="M23" s="55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195"/>
      <c r="Z23" s="590"/>
      <c r="AA23" s="172"/>
      <c r="AB23" s="172"/>
      <c r="AC23" s="172"/>
      <c r="AD23" s="172"/>
      <c r="AE23" s="172"/>
      <c r="AF23" s="172"/>
      <c r="AG23" s="172"/>
      <c r="AH23" s="172"/>
      <c r="AI23" s="172"/>
      <c r="AJ23" s="172"/>
      <c r="AK23" s="172"/>
      <c r="AL23" s="172"/>
    </row>
    <row r="24" spans="2:38" ht="19.5" customHeight="1" x14ac:dyDescent="0.35">
      <c r="D24" s="2687"/>
      <c r="E24" s="2677" t="s">
        <v>41</v>
      </c>
      <c r="F24" s="66" t="s">
        <v>38</v>
      </c>
      <c r="G24" s="67">
        <v>5601</v>
      </c>
      <c r="H24" s="67">
        <v>7378</v>
      </c>
      <c r="I24" s="67"/>
      <c r="J24" s="67"/>
      <c r="K24" s="68"/>
      <c r="L24" s="70"/>
      <c r="M24" s="70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197"/>
      <c r="Z24" s="577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</row>
    <row r="25" spans="2:38" ht="19.5" customHeight="1" x14ac:dyDescent="0.35">
      <c r="B25" s="72">
        <v>0.45190000000000002</v>
      </c>
      <c r="D25" s="2688"/>
      <c r="E25" s="2679"/>
      <c r="F25" s="66" t="s">
        <v>36</v>
      </c>
      <c r="G25" s="160">
        <f>G24/10000</f>
        <v>0.56010000000000004</v>
      </c>
      <c r="H25" s="160">
        <f>H24/10000</f>
        <v>0.73780000000000001</v>
      </c>
      <c r="I25" s="160"/>
      <c r="J25" s="160"/>
      <c r="K25" s="74">
        <f t="shared" ref="K25:AL25" si="1">K24/10000</f>
        <v>0</v>
      </c>
      <c r="L25" s="74">
        <f t="shared" si="1"/>
        <v>0</v>
      </c>
      <c r="M25" s="74">
        <f t="shared" si="1"/>
        <v>0</v>
      </c>
      <c r="N25" s="74">
        <f t="shared" si="1"/>
        <v>0</v>
      </c>
      <c r="O25" s="74">
        <f t="shared" si="1"/>
        <v>0</v>
      </c>
      <c r="P25" s="74">
        <f t="shared" si="1"/>
        <v>0</v>
      </c>
      <c r="Q25" s="74">
        <f t="shared" si="1"/>
        <v>0</v>
      </c>
      <c r="R25" s="74">
        <f t="shared" si="1"/>
        <v>0</v>
      </c>
      <c r="S25" s="74">
        <f t="shared" si="1"/>
        <v>0</v>
      </c>
      <c r="T25" s="74">
        <f t="shared" si="1"/>
        <v>0</v>
      </c>
      <c r="U25" s="74">
        <f t="shared" si="1"/>
        <v>0</v>
      </c>
      <c r="V25" s="74">
        <f t="shared" si="1"/>
        <v>0</v>
      </c>
      <c r="W25" s="74">
        <f t="shared" si="1"/>
        <v>0</v>
      </c>
      <c r="X25" s="74">
        <f t="shared" si="1"/>
        <v>0</v>
      </c>
      <c r="Y25" s="74">
        <f t="shared" si="1"/>
        <v>0</v>
      </c>
      <c r="Z25" s="578">
        <f t="shared" si="1"/>
        <v>0</v>
      </c>
      <c r="AA25" s="74">
        <f t="shared" si="1"/>
        <v>0</v>
      </c>
      <c r="AB25" s="74">
        <f t="shared" si="1"/>
        <v>0</v>
      </c>
      <c r="AC25" s="74">
        <f t="shared" si="1"/>
        <v>0</v>
      </c>
      <c r="AD25" s="74">
        <f t="shared" si="1"/>
        <v>0</v>
      </c>
      <c r="AE25" s="74">
        <f t="shared" si="1"/>
        <v>0</v>
      </c>
      <c r="AF25" s="74">
        <f t="shared" si="1"/>
        <v>0</v>
      </c>
      <c r="AG25" s="74">
        <f t="shared" si="1"/>
        <v>0</v>
      </c>
      <c r="AH25" s="74">
        <f t="shared" si="1"/>
        <v>0</v>
      </c>
      <c r="AI25" s="74">
        <f t="shared" si="1"/>
        <v>0</v>
      </c>
      <c r="AJ25" s="74">
        <f t="shared" si="1"/>
        <v>0</v>
      </c>
      <c r="AK25" s="74">
        <f t="shared" si="1"/>
        <v>0</v>
      </c>
      <c r="AL25" s="74">
        <f t="shared" si="1"/>
        <v>0</v>
      </c>
    </row>
    <row r="26" spans="2:38" ht="19.5" customHeight="1" x14ac:dyDescent="0.35">
      <c r="D26" s="75" t="s">
        <v>42</v>
      </c>
      <c r="E26" s="2677" t="s">
        <v>43</v>
      </c>
      <c r="F26" s="2680" t="s">
        <v>36</v>
      </c>
      <c r="G26" s="47"/>
      <c r="H26" s="47"/>
      <c r="I26" s="47"/>
      <c r="J26" s="47"/>
      <c r="K26" s="47"/>
      <c r="L26" s="55"/>
      <c r="M26" s="55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195"/>
      <c r="Z26" s="590"/>
      <c r="AA26" s="172"/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</row>
    <row r="27" spans="2:38" ht="19.5" customHeight="1" x14ac:dyDescent="0.35">
      <c r="B27" s="76"/>
      <c r="D27" s="44" t="s">
        <v>44</v>
      </c>
      <c r="E27" s="2678"/>
      <c r="F27" s="2681"/>
      <c r="G27" s="60">
        <v>84.31</v>
      </c>
      <c r="H27" s="60">
        <v>84.05</v>
      </c>
      <c r="I27" s="60"/>
      <c r="J27" s="60"/>
      <c r="K27" s="77"/>
      <c r="L27" s="62"/>
      <c r="M27" s="62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198"/>
      <c r="Z27" s="577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</row>
    <row r="28" spans="2:38" ht="19.5" customHeight="1" x14ac:dyDescent="0.35">
      <c r="B28" s="76"/>
      <c r="D28" s="44" t="s">
        <v>45</v>
      </c>
      <c r="E28" s="2678"/>
      <c r="F28" s="2681"/>
      <c r="G28" s="60">
        <v>9.782</v>
      </c>
      <c r="H28" s="60">
        <v>9.68</v>
      </c>
      <c r="I28" s="60"/>
      <c r="J28" s="60"/>
      <c r="K28" s="77"/>
      <c r="L28" s="62"/>
      <c r="M28" s="62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198"/>
      <c r="Z28" s="577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</row>
    <row r="29" spans="2:38" ht="19.5" customHeight="1" x14ac:dyDescent="0.35">
      <c r="B29" s="76"/>
      <c r="D29" s="44" t="s">
        <v>46</v>
      </c>
      <c r="E29" s="2679"/>
      <c r="F29" s="2682"/>
      <c r="G29" s="60">
        <v>0.56699999999999995</v>
      </c>
      <c r="H29" s="60">
        <v>0.79</v>
      </c>
      <c r="I29" s="60"/>
      <c r="J29" s="60"/>
      <c r="K29" s="77"/>
      <c r="L29" s="62"/>
      <c r="M29" s="62"/>
      <c r="N29" s="63"/>
      <c r="O29" s="63"/>
      <c r="P29" s="1017"/>
      <c r="Q29" s="1017"/>
      <c r="R29" s="1017"/>
      <c r="S29" s="1017"/>
      <c r="T29" s="1017"/>
      <c r="U29" s="1017"/>
      <c r="V29" s="1017"/>
      <c r="W29" s="1017"/>
      <c r="X29" s="1017"/>
      <c r="Y29" s="1020"/>
      <c r="Z29" s="1405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</row>
    <row r="30" spans="2:38" ht="19.5" customHeight="1" x14ac:dyDescent="0.35">
      <c r="B30" s="76"/>
      <c r="D30" s="78" t="s">
        <v>150</v>
      </c>
      <c r="E30" s="79"/>
      <c r="F30" s="80"/>
      <c r="G30" s="2">
        <f>(G$27+G$28+G$25+G$20)</f>
        <v>100.63810000000001</v>
      </c>
      <c r="H30" s="2">
        <f t="shared" ref="H30:AL30" si="2">(H$27+H$28+H$25+H$20)</f>
        <v>100.15779999999998</v>
      </c>
      <c r="I30" s="2">
        <f t="shared" si="2"/>
        <v>0</v>
      </c>
      <c r="J30" s="2">
        <f t="shared" si="2"/>
        <v>0</v>
      </c>
      <c r="K30" s="2">
        <f t="shared" si="2"/>
        <v>1.8260000000000001</v>
      </c>
      <c r="L30" s="2">
        <f t="shared" si="2"/>
        <v>0</v>
      </c>
      <c r="M30" s="2">
        <f t="shared" si="2"/>
        <v>0</v>
      </c>
      <c r="N30" s="2">
        <f t="shared" si="2"/>
        <v>0</v>
      </c>
      <c r="O30" s="2">
        <f t="shared" si="2"/>
        <v>0</v>
      </c>
      <c r="P30" s="2">
        <f t="shared" si="2"/>
        <v>0</v>
      </c>
      <c r="Q30" s="2">
        <f t="shared" si="2"/>
        <v>0</v>
      </c>
      <c r="R30" s="2">
        <f t="shared" si="2"/>
        <v>0</v>
      </c>
      <c r="S30" s="2">
        <f t="shared" si="2"/>
        <v>0</v>
      </c>
      <c r="T30" s="2">
        <f t="shared" si="2"/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2">
        <f t="shared" si="2"/>
        <v>0</v>
      </c>
      <c r="Y30" s="2">
        <f t="shared" si="2"/>
        <v>0</v>
      </c>
      <c r="Z30" s="2">
        <f t="shared" si="2"/>
        <v>0</v>
      </c>
      <c r="AA30" s="2">
        <f t="shared" si="2"/>
        <v>0</v>
      </c>
      <c r="AB30" s="2">
        <f t="shared" si="2"/>
        <v>0</v>
      </c>
      <c r="AC30" s="2">
        <f t="shared" si="2"/>
        <v>0</v>
      </c>
      <c r="AD30" s="2">
        <f t="shared" si="2"/>
        <v>0</v>
      </c>
      <c r="AE30" s="2">
        <f t="shared" si="2"/>
        <v>0</v>
      </c>
      <c r="AF30" s="2">
        <f t="shared" si="2"/>
        <v>0</v>
      </c>
      <c r="AG30" s="2">
        <f t="shared" si="2"/>
        <v>0</v>
      </c>
      <c r="AH30" s="2">
        <f t="shared" si="2"/>
        <v>0</v>
      </c>
      <c r="AI30" s="2">
        <f t="shared" si="2"/>
        <v>0</v>
      </c>
      <c r="AJ30" s="2">
        <f t="shared" si="2"/>
        <v>0</v>
      </c>
      <c r="AK30" s="2">
        <f t="shared" si="2"/>
        <v>0</v>
      </c>
      <c r="AL30" s="2">
        <f t="shared" si="2"/>
        <v>0</v>
      </c>
    </row>
    <row r="31" spans="2:38" ht="19.5" customHeight="1" x14ac:dyDescent="0.35">
      <c r="D31" s="78" t="s">
        <v>151</v>
      </c>
      <c r="E31" s="79"/>
      <c r="F31" s="80"/>
      <c r="G31" s="2">
        <f>(100-G$33-G$34)/(1+(G$28/G$27))</f>
        <v>83.775428987629937</v>
      </c>
      <c r="H31" s="2">
        <f t="shared" ref="H31" si="3">(100-H$33-H$34)/(1+(H$28/H$27))</f>
        <v>83.91757806181846</v>
      </c>
      <c r="I31" s="2" t="e">
        <f>(100-I$33-I$34)/(1+(I$28/I$27))</f>
        <v>#DIV/0!</v>
      </c>
      <c r="J31" s="2" t="e">
        <f>(100-J$33-J$34)/(1+(J$28/J$27))</f>
        <v>#DIV/0!</v>
      </c>
      <c r="K31" s="2" t="e">
        <f t="shared" ref="K31:AL31" si="4">(100-K$33-K$34)/(1+(K$28/K$27))</f>
        <v>#DIV/0!</v>
      </c>
      <c r="L31" s="2" t="e">
        <f t="shared" si="4"/>
        <v>#DIV/0!</v>
      </c>
      <c r="M31" s="2" t="e">
        <f t="shared" si="4"/>
        <v>#DIV/0!</v>
      </c>
      <c r="N31" s="2" t="e">
        <f t="shared" si="4"/>
        <v>#DIV/0!</v>
      </c>
      <c r="O31" s="2" t="e">
        <f t="shared" si="4"/>
        <v>#DIV/0!</v>
      </c>
      <c r="P31" s="2" t="e">
        <f t="shared" si="4"/>
        <v>#DIV/0!</v>
      </c>
      <c r="Q31" s="2" t="e">
        <f t="shared" si="4"/>
        <v>#DIV/0!</v>
      </c>
      <c r="R31" s="2" t="e">
        <f>(100-R$33-R$34)/(1+(R$28/R$27))</f>
        <v>#DIV/0!</v>
      </c>
      <c r="S31" s="2" t="e">
        <f t="shared" si="4"/>
        <v>#DIV/0!</v>
      </c>
      <c r="T31" s="2" t="e">
        <f t="shared" si="4"/>
        <v>#DIV/0!</v>
      </c>
      <c r="U31" s="2" t="e">
        <f t="shared" si="4"/>
        <v>#DIV/0!</v>
      </c>
      <c r="V31" s="2" t="e">
        <f t="shared" si="4"/>
        <v>#DIV/0!</v>
      </c>
      <c r="W31" s="2" t="e">
        <f t="shared" si="4"/>
        <v>#DIV/0!</v>
      </c>
      <c r="X31" s="2" t="e">
        <f t="shared" si="4"/>
        <v>#DIV/0!</v>
      </c>
      <c r="Y31" s="2" t="e">
        <f t="shared" si="4"/>
        <v>#DIV/0!</v>
      </c>
      <c r="Z31" s="579" t="e">
        <f t="shared" si="4"/>
        <v>#DIV/0!</v>
      </c>
      <c r="AA31" s="2" t="e">
        <f t="shared" si="4"/>
        <v>#DIV/0!</v>
      </c>
      <c r="AB31" s="2" t="e">
        <f t="shared" si="4"/>
        <v>#DIV/0!</v>
      </c>
      <c r="AC31" s="2" t="e">
        <f t="shared" si="4"/>
        <v>#DIV/0!</v>
      </c>
      <c r="AD31" s="2" t="e">
        <f t="shared" si="4"/>
        <v>#DIV/0!</v>
      </c>
      <c r="AE31" s="2" t="e">
        <f t="shared" si="4"/>
        <v>#DIV/0!</v>
      </c>
      <c r="AF31" s="2" t="e">
        <f t="shared" si="4"/>
        <v>#DIV/0!</v>
      </c>
      <c r="AG31" s="2" t="e">
        <f t="shared" si="4"/>
        <v>#DIV/0!</v>
      </c>
      <c r="AH31" s="2" t="e">
        <f t="shared" si="4"/>
        <v>#DIV/0!</v>
      </c>
      <c r="AI31" s="2" t="e">
        <f t="shared" si="4"/>
        <v>#DIV/0!</v>
      </c>
      <c r="AJ31" s="2" t="e">
        <f t="shared" si="4"/>
        <v>#DIV/0!</v>
      </c>
      <c r="AK31" s="2" t="e">
        <f t="shared" si="4"/>
        <v>#DIV/0!</v>
      </c>
      <c r="AL31" s="2" t="e">
        <f t="shared" si="4"/>
        <v>#DIV/0!</v>
      </c>
    </row>
    <row r="32" spans="2:38" ht="19.5" customHeight="1" x14ac:dyDescent="0.35">
      <c r="D32" s="78" t="s">
        <v>152</v>
      </c>
      <c r="E32" s="79"/>
      <c r="F32" s="80" t="s">
        <v>36</v>
      </c>
      <c r="G32" s="2">
        <f>G$31*(G$28/G$27)</f>
        <v>9.7199768278614158</v>
      </c>
      <c r="H32" s="2">
        <f t="shared" ref="H32:AL32" si="5">H$31*(H$28/H$27)</f>
        <v>9.6647490260369153</v>
      </c>
      <c r="I32" s="2" t="e">
        <f t="shared" si="5"/>
        <v>#DIV/0!</v>
      </c>
      <c r="J32" s="2" t="e">
        <f t="shared" si="5"/>
        <v>#DIV/0!</v>
      </c>
      <c r="K32" s="2" t="e">
        <f t="shared" si="5"/>
        <v>#DIV/0!</v>
      </c>
      <c r="L32" s="2" t="e">
        <f t="shared" si="5"/>
        <v>#DIV/0!</v>
      </c>
      <c r="M32" s="2" t="e">
        <f t="shared" si="5"/>
        <v>#DIV/0!</v>
      </c>
      <c r="N32" s="2" t="e">
        <f t="shared" si="5"/>
        <v>#DIV/0!</v>
      </c>
      <c r="O32" s="2" t="e">
        <f t="shared" si="5"/>
        <v>#DIV/0!</v>
      </c>
      <c r="P32" s="2" t="e">
        <f t="shared" si="5"/>
        <v>#DIV/0!</v>
      </c>
      <c r="Q32" s="2" t="e">
        <f t="shared" si="5"/>
        <v>#DIV/0!</v>
      </c>
      <c r="R32" s="2" t="e">
        <f t="shared" si="5"/>
        <v>#DIV/0!</v>
      </c>
      <c r="S32" s="2" t="e">
        <f t="shared" si="5"/>
        <v>#DIV/0!</v>
      </c>
      <c r="T32" s="2" t="e">
        <f t="shared" si="5"/>
        <v>#DIV/0!</v>
      </c>
      <c r="U32" s="2" t="e">
        <f t="shared" si="5"/>
        <v>#DIV/0!</v>
      </c>
      <c r="V32" s="2" t="e">
        <f t="shared" si="5"/>
        <v>#DIV/0!</v>
      </c>
      <c r="W32" s="2" t="e">
        <f t="shared" si="5"/>
        <v>#DIV/0!</v>
      </c>
      <c r="X32" s="2" t="e">
        <f t="shared" si="5"/>
        <v>#DIV/0!</v>
      </c>
      <c r="Y32" s="2" t="e">
        <f t="shared" si="5"/>
        <v>#DIV/0!</v>
      </c>
      <c r="Z32" s="579" t="e">
        <f t="shared" si="5"/>
        <v>#DIV/0!</v>
      </c>
      <c r="AA32" s="2" t="e">
        <f t="shared" si="5"/>
        <v>#DIV/0!</v>
      </c>
      <c r="AB32" s="2" t="e">
        <f t="shared" si="5"/>
        <v>#DIV/0!</v>
      </c>
      <c r="AC32" s="2" t="e">
        <f t="shared" si="5"/>
        <v>#DIV/0!</v>
      </c>
      <c r="AD32" s="2" t="e">
        <f t="shared" si="5"/>
        <v>#DIV/0!</v>
      </c>
      <c r="AE32" s="2" t="e">
        <f t="shared" si="5"/>
        <v>#DIV/0!</v>
      </c>
      <c r="AF32" s="2" t="e">
        <f t="shared" si="5"/>
        <v>#DIV/0!</v>
      </c>
      <c r="AG32" s="2" t="e">
        <f t="shared" si="5"/>
        <v>#DIV/0!</v>
      </c>
      <c r="AH32" s="2" t="e">
        <f t="shared" si="5"/>
        <v>#DIV/0!</v>
      </c>
      <c r="AI32" s="2" t="e">
        <f t="shared" si="5"/>
        <v>#DIV/0!</v>
      </c>
      <c r="AJ32" s="2" t="e">
        <f t="shared" si="5"/>
        <v>#DIV/0!</v>
      </c>
      <c r="AK32" s="2" t="e">
        <f t="shared" si="5"/>
        <v>#DIV/0!</v>
      </c>
      <c r="AL32" s="2" t="e">
        <f t="shared" si="5"/>
        <v>#DIV/0!</v>
      </c>
    </row>
    <row r="33" spans="4:38" ht="19.5" customHeight="1" x14ac:dyDescent="0.35">
      <c r="D33" s="78" t="s">
        <v>153</v>
      </c>
      <c r="E33" s="79"/>
      <c r="F33" s="80"/>
      <c r="G33" s="2">
        <f>G$25*100/G$30</f>
        <v>0.55654866298151495</v>
      </c>
      <c r="H33" s="2">
        <f t="shared" ref="H33:AL33" si="6">H$25*100/H$30</f>
        <v>0.7366375858894666</v>
      </c>
      <c r="I33" s="2" t="e">
        <f t="shared" si="6"/>
        <v>#DIV/0!</v>
      </c>
      <c r="J33" s="2" t="e">
        <f t="shared" si="6"/>
        <v>#DIV/0!</v>
      </c>
      <c r="K33" s="2">
        <f t="shared" si="6"/>
        <v>0</v>
      </c>
      <c r="L33" s="2" t="e">
        <f t="shared" si="6"/>
        <v>#DIV/0!</v>
      </c>
      <c r="M33" s="2" t="e">
        <f t="shared" si="6"/>
        <v>#DIV/0!</v>
      </c>
      <c r="N33" s="2" t="e">
        <f t="shared" si="6"/>
        <v>#DIV/0!</v>
      </c>
      <c r="O33" s="2" t="e">
        <f t="shared" si="6"/>
        <v>#DIV/0!</v>
      </c>
      <c r="P33" s="2" t="e">
        <f t="shared" si="6"/>
        <v>#DIV/0!</v>
      </c>
      <c r="Q33" s="2" t="e">
        <f t="shared" si="6"/>
        <v>#DIV/0!</v>
      </c>
      <c r="R33" s="2" t="e">
        <f>R$25*100/R$30</f>
        <v>#DIV/0!</v>
      </c>
      <c r="S33" s="2" t="e">
        <f t="shared" si="6"/>
        <v>#DIV/0!</v>
      </c>
      <c r="T33" s="2" t="e">
        <f t="shared" si="6"/>
        <v>#DIV/0!</v>
      </c>
      <c r="U33" s="2" t="e">
        <f t="shared" si="6"/>
        <v>#DIV/0!</v>
      </c>
      <c r="V33" s="2" t="e">
        <f t="shared" si="6"/>
        <v>#DIV/0!</v>
      </c>
      <c r="W33" s="2" t="e">
        <f t="shared" si="6"/>
        <v>#DIV/0!</v>
      </c>
      <c r="X33" s="2" t="e">
        <f t="shared" si="6"/>
        <v>#DIV/0!</v>
      </c>
      <c r="Y33" s="2" t="e">
        <f t="shared" si="6"/>
        <v>#DIV/0!</v>
      </c>
      <c r="Z33" s="579" t="e">
        <f t="shared" si="6"/>
        <v>#DIV/0!</v>
      </c>
      <c r="AA33" s="2" t="e">
        <f t="shared" si="6"/>
        <v>#DIV/0!</v>
      </c>
      <c r="AB33" s="2" t="e">
        <f t="shared" si="6"/>
        <v>#DIV/0!</v>
      </c>
      <c r="AC33" s="2" t="e">
        <f t="shared" si="6"/>
        <v>#DIV/0!</v>
      </c>
      <c r="AD33" s="2" t="e">
        <f t="shared" si="6"/>
        <v>#DIV/0!</v>
      </c>
      <c r="AE33" s="2" t="e">
        <f t="shared" si="6"/>
        <v>#DIV/0!</v>
      </c>
      <c r="AF33" s="2" t="e">
        <f t="shared" si="6"/>
        <v>#DIV/0!</v>
      </c>
      <c r="AG33" s="2" t="e">
        <f t="shared" si="6"/>
        <v>#DIV/0!</v>
      </c>
      <c r="AH33" s="2" t="e">
        <f t="shared" si="6"/>
        <v>#DIV/0!</v>
      </c>
      <c r="AI33" s="2" t="e">
        <f t="shared" si="6"/>
        <v>#DIV/0!</v>
      </c>
      <c r="AJ33" s="2" t="e">
        <f t="shared" si="6"/>
        <v>#DIV/0!</v>
      </c>
      <c r="AK33" s="2" t="e">
        <f t="shared" si="6"/>
        <v>#DIV/0!</v>
      </c>
      <c r="AL33" s="2" t="e">
        <f t="shared" si="6"/>
        <v>#DIV/0!</v>
      </c>
    </row>
    <row r="34" spans="4:38" ht="19.5" customHeight="1" x14ac:dyDescent="0.35">
      <c r="D34" s="78" t="s">
        <v>154</v>
      </c>
      <c r="E34" s="79"/>
      <c r="F34" s="80"/>
      <c r="G34" s="2">
        <f>G$20*100/G$30</f>
        <v>5.9480455215271348</v>
      </c>
      <c r="H34" s="2">
        <f t="shared" ref="H34:AL34" si="7">H$20*100/H$30</f>
        <v>5.68103532625517</v>
      </c>
      <c r="I34" s="2" t="e">
        <f t="shared" si="7"/>
        <v>#DIV/0!</v>
      </c>
      <c r="J34" s="2" t="e">
        <f t="shared" si="7"/>
        <v>#DIV/0!</v>
      </c>
      <c r="K34" s="2">
        <f t="shared" si="7"/>
        <v>100</v>
      </c>
      <c r="L34" s="2" t="e">
        <f t="shared" si="7"/>
        <v>#DIV/0!</v>
      </c>
      <c r="M34" s="2" t="e">
        <f t="shared" si="7"/>
        <v>#DIV/0!</v>
      </c>
      <c r="N34" s="2" t="e">
        <f t="shared" si="7"/>
        <v>#DIV/0!</v>
      </c>
      <c r="O34" s="2" t="e">
        <f t="shared" si="7"/>
        <v>#DIV/0!</v>
      </c>
      <c r="P34" s="2" t="e">
        <f t="shared" si="7"/>
        <v>#DIV/0!</v>
      </c>
      <c r="Q34" s="2" t="e">
        <f t="shared" si="7"/>
        <v>#DIV/0!</v>
      </c>
      <c r="R34" s="2" t="e">
        <f t="shared" si="7"/>
        <v>#DIV/0!</v>
      </c>
      <c r="S34" s="2" t="e">
        <f t="shared" si="7"/>
        <v>#DIV/0!</v>
      </c>
      <c r="T34" s="2" t="e">
        <f t="shared" si="7"/>
        <v>#DIV/0!</v>
      </c>
      <c r="U34" s="2" t="e">
        <f t="shared" si="7"/>
        <v>#DIV/0!</v>
      </c>
      <c r="V34" s="2" t="e">
        <f t="shared" si="7"/>
        <v>#DIV/0!</v>
      </c>
      <c r="W34" s="2" t="e">
        <f t="shared" si="7"/>
        <v>#DIV/0!</v>
      </c>
      <c r="X34" s="2" t="e">
        <f t="shared" si="7"/>
        <v>#DIV/0!</v>
      </c>
      <c r="Y34" s="2" t="e">
        <f t="shared" si="7"/>
        <v>#DIV/0!</v>
      </c>
      <c r="Z34" s="579" t="e">
        <f t="shared" si="7"/>
        <v>#DIV/0!</v>
      </c>
      <c r="AA34" s="2" t="e">
        <f t="shared" si="7"/>
        <v>#DIV/0!</v>
      </c>
      <c r="AB34" s="2" t="e">
        <f t="shared" si="7"/>
        <v>#DIV/0!</v>
      </c>
      <c r="AC34" s="2" t="e">
        <f t="shared" si="7"/>
        <v>#DIV/0!</v>
      </c>
      <c r="AD34" s="2" t="e">
        <f t="shared" si="7"/>
        <v>#DIV/0!</v>
      </c>
      <c r="AE34" s="2" t="e">
        <f t="shared" si="7"/>
        <v>#DIV/0!</v>
      </c>
      <c r="AF34" s="2" t="e">
        <f t="shared" si="7"/>
        <v>#DIV/0!</v>
      </c>
      <c r="AG34" s="2" t="e">
        <f t="shared" si="7"/>
        <v>#DIV/0!</v>
      </c>
      <c r="AH34" s="2" t="e">
        <f t="shared" si="7"/>
        <v>#DIV/0!</v>
      </c>
      <c r="AI34" s="2" t="e">
        <f t="shared" si="7"/>
        <v>#DIV/0!</v>
      </c>
      <c r="AJ34" s="2" t="e">
        <f t="shared" si="7"/>
        <v>#DIV/0!</v>
      </c>
      <c r="AK34" s="2" t="e">
        <f t="shared" si="7"/>
        <v>#DIV/0!</v>
      </c>
      <c r="AL34" s="2" t="e">
        <f t="shared" si="7"/>
        <v>#DIV/0!</v>
      </c>
    </row>
    <row r="35" spans="4:38" ht="19.5" customHeight="1" x14ac:dyDescent="0.35">
      <c r="D35" s="78" t="s">
        <v>155</v>
      </c>
      <c r="E35" s="79"/>
      <c r="F35" s="80"/>
      <c r="G35" s="149">
        <f>G$32/G$31</f>
        <v>0.11602419641798124</v>
      </c>
      <c r="H35" s="149">
        <f t="shared" ref="H35:AL35" si="8">H$32/H$31</f>
        <v>0.11516954193932184</v>
      </c>
      <c r="I35" s="149" t="e">
        <f t="shared" si="8"/>
        <v>#DIV/0!</v>
      </c>
      <c r="J35" s="149" t="e">
        <f t="shared" si="8"/>
        <v>#DIV/0!</v>
      </c>
      <c r="K35" s="149" t="e">
        <f t="shared" si="8"/>
        <v>#DIV/0!</v>
      </c>
      <c r="L35" s="149" t="e">
        <f t="shared" si="8"/>
        <v>#DIV/0!</v>
      </c>
      <c r="M35" s="149" t="e">
        <f t="shared" si="8"/>
        <v>#DIV/0!</v>
      </c>
      <c r="N35" s="149" t="e">
        <f t="shared" si="8"/>
        <v>#DIV/0!</v>
      </c>
      <c r="O35" s="149" t="e">
        <f t="shared" si="8"/>
        <v>#DIV/0!</v>
      </c>
      <c r="P35" s="149" t="e">
        <f t="shared" si="8"/>
        <v>#DIV/0!</v>
      </c>
      <c r="Q35" s="149" t="e">
        <f t="shared" si="8"/>
        <v>#DIV/0!</v>
      </c>
      <c r="R35" s="149" t="e">
        <f t="shared" si="8"/>
        <v>#DIV/0!</v>
      </c>
      <c r="S35" s="149" t="e">
        <f t="shared" si="8"/>
        <v>#DIV/0!</v>
      </c>
      <c r="T35" s="149" t="e">
        <f t="shared" si="8"/>
        <v>#DIV/0!</v>
      </c>
      <c r="U35" s="149" t="e">
        <f t="shared" si="8"/>
        <v>#DIV/0!</v>
      </c>
      <c r="V35" s="149" t="e">
        <f t="shared" si="8"/>
        <v>#DIV/0!</v>
      </c>
      <c r="W35" s="149" t="e">
        <f t="shared" si="8"/>
        <v>#DIV/0!</v>
      </c>
      <c r="X35" s="149" t="e">
        <f t="shared" si="8"/>
        <v>#DIV/0!</v>
      </c>
      <c r="Y35" s="149" t="e">
        <f t="shared" si="8"/>
        <v>#DIV/0!</v>
      </c>
      <c r="Z35" s="580" t="e">
        <f t="shared" si="8"/>
        <v>#DIV/0!</v>
      </c>
      <c r="AA35" s="149" t="e">
        <f t="shared" si="8"/>
        <v>#DIV/0!</v>
      </c>
      <c r="AB35" s="149" t="e">
        <f t="shared" si="8"/>
        <v>#DIV/0!</v>
      </c>
      <c r="AC35" s="149" t="e">
        <f t="shared" si="8"/>
        <v>#DIV/0!</v>
      </c>
      <c r="AD35" s="149" t="e">
        <f t="shared" si="8"/>
        <v>#DIV/0!</v>
      </c>
      <c r="AE35" s="149" t="e">
        <f t="shared" si="8"/>
        <v>#DIV/0!</v>
      </c>
      <c r="AF35" s="149" t="e">
        <f t="shared" si="8"/>
        <v>#DIV/0!</v>
      </c>
      <c r="AG35" s="149" t="e">
        <f t="shared" si="8"/>
        <v>#DIV/0!</v>
      </c>
      <c r="AH35" s="149" t="e">
        <f t="shared" si="8"/>
        <v>#DIV/0!</v>
      </c>
      <c r="AI35" s="149" t="e">
        <f t="shared" si="8"/>
        <v>#DIV/0!</v>
      </c>
      <c r="AJ35" s="149" t="e">
        <f t="shared" si="8"/>
        <v>#DIV/0!</v>
      </c>
      <c r="AK35" s="149" t="e">
        <f t="shared" si="8"/>
        <v>#DIV/0!</v>
      </c>
      <c r="AL35" s="149" t="e">
        <f t="shared" si="8"/>
        <v>#DIV/0!</v>
      </c>
    </row>
    <row r="36" spans="4:38" ht="19.5" hidden="1" customHeight="1" x14ac:dyDescent="0.35">
      <c r="D36" s="81" t="s">
        <v>106</v>
      </c>
      <c r="E36" s="45"/>
      <c r="F36" s="46"/>
      <c r="G36" s="82">
        <f>G27*100/G30</f>
        <v>83.775428987629923</v>
      </c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199"/>
      <c r="Z36" s="577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</row>
    <row r="37" spans="4:38" ht="19.5" hidden="1" customHeight="1" x14ac:dyDescent="0.35">
      <c r="D37" s="81" t="s">
        <v>107</v>
      </c>
      <c r="E37" s="45"/>
      <c r="F37" s="46"/>
      <c r="G37" s="82">
        <f>G28*100/G30</f>
        <v>9.7199768278614158</v>
      </c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199"/>
      <c r="Z37" s="577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</row>
    <row r="38" spans="4:38" ht="19.5" hidden="1" customHeight="1" x14ac:dyDescent="0.35">
      <c r="D38" s="81" t="s">
        <v>156</v>
      </c>
      <c r="E38" s="45"/>
      <c r="F38" s="46"/>
      <c r="G38" s="82">
        <f>G29*100/G30</f>
        <v>0.56340491324856079</v>
      </c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199"/>
      <c r="Z38" s="577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</row>
    <row r="39" spans="4:38" ht="19.5" hidden="1" customHeight="1" x14ac:dyDescent="0.35">
      <c r="D39" s="81" t="s">
        <v>157</v>
      </c>
      <c r="E39" s="45"/>
      <c r="F39" s="46"/>
      <c r="G39" s="82">
        <f>G20*100/G30</f>
        <v>5.9480455215271348</v>
      </c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199"/>
      <c r="Z39" s="577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</row>
    <row r="40" spans="4:38" ht="19.5" hidden="1" customHeight="1" x14ac:dyDescent="0.35">
      <c r="D40" s="81" t="s">
        <v>108</v>
      </c>
      <c r="E40" s="45"/>
      <c r="F40" s="46"/>
      <c r="G40" s="82">
        <f>G37/G36</f>
        <v>0.11602419641798127</v>
      </c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199"/>
      <c r="Z40" s="577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</row>
    <row r="41" spans="4:38" ht="19.5" customHeight="1" x14ac:dyDescent="0.35">
      <c r="D41" s="75" t="s">
        <v>47</v>
      </c>
      <c r="E41" s="2689" t="s">
        <v>48</v>
      </c>
      <c r="F41" s="2680" t="s">
        <v>38</v>
      </c>
      <c r="G41" s="47"/>
      <c r="H41" s="47"/>
      <c r="I41" s="47"/>
      <c r="J41" s="47"/>
      <c r="K41" s="47"/>
      <c r="L41" s="55"/>
      <c r="M41" s="55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195"/>
      <c r="Z41" s="590"/>
      <c r="AA41" s="172"/>
      <c r="AB41" s="172"/>
      <c r="AC41" s="172"/>
      <c r="AD41" s="172"/>
      <c r="AE41" s="172"/>
      <c r="AF41" s="172"/>
      <c r="AG41" s="172"/>
      <c r="AH41" s="172"/>
      <c r="AI41" s="172"/>
      <c r="AJ41" s="172"/>
      <c r="AK41" s="172"/>
      <c r="AL41" s="172"/>
    </row>
    <row r="42" spans="4:38" ht="19.5" customHeight="1" x14ac:dyDescent="0.35">
      <c r="D42" s="44" t="s">
        <v>49</v>
      </c>
      <c r="E42" s="2703"/>
      <c r="F42" s="2681"/>
      <c r="G42" s="48">
        <v>57.54</v>
      </c>
      <c r="H42" s="48">
        <v>113.36</v>
      </c>
      <c r="I42" s="48"/>
      <c r="J42" s="48"/>
      <c r="K42" s="60">
        <v>12.66</v>
      </c>
      <c r="L42" s="62"/>
      <c r="M42" s="62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198"/>
      <c r="Z42" s="577"/>
      <c r="AA42" s="577"/>
      <c r="AB42" s="577"/>
      <c r="AC42" s="577"/>
      <c r="AD42" s="577"/>
      <c r="AE42" s="577"/>
      <c r="AF42" s="577"/>
      <c r="AG42" s="577"/>
      <c r="AH42" s="577"/>
      <c r="AI42" s="577"/>
      <c r="AJ42" s="577"/>
      <c r="AK42" s="577"/>
      <c r="AL42" s="577"/>
    </row>
    <row r="43" spans="4:38" ht="19.5" customHeight="1" x14ac:dyDescent="0.35">
      <c r="D43" s="44" t="s">
        <v>50</v>
      </c>
      <c r="E43" s="2703"/>
      <c r="F43" s="2681"/>
      <c r="G43" s="48">
        <v>194.27</v>
      </c>
      <c r="H43" s="48">
        <v>285.95999999999998</v>
      </c>
      <c r="I43" s="48"/>
      <c r="J43" s="48"/>
      <c r="K43" s="60">
        <v>17.28</v>
      </c>
      <c r="L43" s="62"/>
      <c r="M43" s="62"/>
      <c r="N43" s="63"/>
      <c r="O43" s="63"/>
      <c r="P43" s="63"/>
      <c r="Q43" s="63"/>
      <c r="R43" s="63"/>
      <c r="S43" s="63"/>
      <c r="T43" s="63"/>
      <c r="U43" s="63"/>
      <c r="W43" s="63"/>
      <c r="X43" s="63"/>
      <c r="Y43" s="198"/>
      <c r="Z43" s="577"/>
      <c r="AA43" s="577"/>
      <c r="AB43" s="577"/>
      <c r="AC43" s="577"/>
      <c r="AD43" s="577"/>
      <c r="AE43" s="577"/>
      <c r="AF43" s="577"/>
      <c r="AG43" s="577"/>
      <c r="AH43" s="577"/>
      <c r="AI43" s="577"/>
      <c r="AJ43" s="577"/>
      <c r="AK43" s="577"/>
      <c r="AL43" s="577"/>
    </row>
    <row r="44" spans="4:38" ht="19.5" customHeight="1" x14ac:dyDescent="0.35">
      <c r="D44" s="44" t="s">
        <v>51</v>
      </c>
      <c r="E44" s="2703"/>
      <c r="F44" s="2681"/>
      <c r="G44" s="60">
        <v>25.11</v>
      </c>
      <c r="H44" s="60">
        <v>50.58</v>
      </c>
      <c r="I44" s="60"/>
      <c r="J44" s="60"/>
      <c r="K44" s="60">
        <v>1.93</v>
      </c>
      <c r="L44" s="62"/>
      <c r="M44" s="62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198"/>
      <c r="Z44" s="577"/>
      <c r="AA44" s="577"/>
      <c r="AB44" s="577"/>
      <c r="AC44" s="577"/>
      <c r="AD44" s="577"/>
      <c r="AE44" s="577"/>
      <c r="AF44" s="577"/>
      <c r="AG44" s="577"/>
      <c r="AH44" s="577"/>
      <c r="AI44" s="577"/>
      <c r="AJ44" s="577"/>
      <c r="AK44" s="577"/>
      <c r="AL44" s="577"/>
    </row>
    <row r="45" spans="4:38" ht="19.5" customHeight="1" x14ac:dyDescent="0.35">
      <c r="D45" s="44" t="s">
        <v>52</v>
      </c>
      <c r="E45" s="2703"/>
      <c r="F45" s="2681"/>
      <c r="G45" s="60">
        <v>1.38</v>
      </c>
      <c r="H45" s="60">
        <v>24.93</v>
      </c>
      <c r="I45" s="60"/>
      <c r="J45" s="60"/>
      <c r="K45" s="84">
        <v>2.46</v>
      </c>
      <c r="L45" s="62"/>
      <c r="M45" s="62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198"/>
      <c r="Z45" s="577"/>
      <c r="AA45" s="577"/>
      <c r="AB45" s="577"/>
      <c r="AC45" s="577"/>
      <c r="AD45" s="577"/>
      <c r="AE45" s="577"/>
      <c r="AF45" s="577"/>
      <c r="AG45" s="577"/>
      <c r="AH45" s="577"/>
      <c r="AI45" s="577"/>
      <c r="AJ45" s="577"/>
      <c r="AK45" s="577"/>
      <c r="AL45" s="577"/>
    </row>
    <row r="46" spans="4:38" ht="19.5" customHeight="1" x14ac:dyDescent="0.35">
      <c r="D46" s="44" t="s">
        <v>53</v>
      </c>
      <c r="E46" s="2704"/>
      <c r="F46" s="2682"/>
      <c r="G46" s="60">
        <v>16.48</v>
      </c>
      <c r="H46" s="60">
        <v>82.57</v>
      </c>
      <c r="I46" s="60"/>
      <c r="J46" s="60"/>
      <c r="K46" s="60">
        <v>7.14</v>
      </c>
      <c r="L46" s="62"/>
      <c r="M46" s="62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198"/>
      <c r="Z46" s="577"/>
      <c r="AA46" s="577"/>
      <c r="AB46" s="577"/>
      <c r="AC46" s="577"/>
      <c r="AD46" s="577"/>
      <c r="AE46" s="577"/>
      <c r="AF46" s="577"/>
      <c r="AG46" s="577"/>
      <c r="AH46" s="577"/>
      <c r="AI46" s="577"/>
      <c r="AJ46" s="577"/>
      <c r="AK46" s="577"/>
      <c r="AL46" s="577"/>
    </row>
    <row r="47" spans="4:38" ht="19.5" customHeight="1" x14ac:dyDescent="0.35">
      <c r="D47" s="113" t="s">
        <v>3</v>
      </c>
      <c r="E47" s="79"/>
      <c r="F47" s="80"/>
      <c r="G47" s="114" t="s">
        <v>17</v>
      </c>
      <c r="H47" s="114"/>
      <c r="I47" s="114"/>
      <c r="J47" s="114"/>
      <c r="K47" s="115">
        <f>100-(K42*100/$G$42)</f>
        <v>77.997914494264862</v>
      </c>
      <c r="L47" s="115">
        <f t="shared" ref="L47:N47" si="9">100-(L42*100/$G$42)</f>
        <v>100</v>
      </c>
      <c r="M47" s="115">
        <f t="shared" si="9"/>
        <v>100</v>
      </c>
      <c r="N47" s="115">
        <f t="shared" si="9"/>
        <v>100</v>
      </c>
      <c r="O47" s="115">
        <f>100-(O42*100/$H$42)</f>
        <v>100</v>
      </c>
      <c r="P47" s="115">
        <f t="shared" ref="P47:T47" si="10">100-(P42*100/$H$42)</f>
        <v>100</v>
      </c>
      <c r="Q47" s="115">
        <f t="shared" si="10"/>
        <v>100</v>
      </c>
      <c r="R47" s="115">
        <f t="shared" si="10"/>
        <v>100</v>
      </c>
      <c r="S47" s="115">
        <f t="shared" si="10"/>
        <v>100</v>
      </c>
      <c r="T47" s="115">
        <f t="shared" si="10"/>
        <v>100</v>
      </c>
      <c r="U47" s="115" t="e">
        <f>100-(U42*100/$I$42)</f>
        <v>#DIV/0!</v>
      </c>
      <c r="V47" s="115" t="e">
        <f t="shared" ref="V47:AL47" si="11">100-(V42*100/$I$42)</f>
        <v>#DIV/0!</v>
      </c>
      <c r="W47" s="115" t="e">
        <f t="shared" si="11"/>
        <v>#DIV/0!</v>
      </c>
      <c r="X47" s="115" t="e">
        <f t="shared" si="11"/>
        <v>#DIV/0!</v>
      </c>
      <c r="Y47" s="115" t="e">
        <f t="shared" si="11"/>
        <v>#DIV/0!</v>
      </c>
      <c r="Z47" s="581" t="e">
        <f t="shared" si="11"/>
        <v>#DIV/0!</v>
      </c>
      <c r="AA47" s="115" t="e">
        <f t="shared" si="11"/>
        <v>#DIV/0!</v>
      </c>
      <c r="AB47" s="115" t="e">
        <f t="shared" si="11"/>
        <v>#DIV/0!</v>
      </c>
      <c r="AC47" s="115" t="e">
        <f t="shared" si="11"/>
        <v>#DIV/0!</v>
      </c>
      <c r="AD47" s="115" t="e">
        <f t="shared" si="11"/>
        <v>#DIV/0!</v>
      </c>
      <c r="AE47" s="115" t="e">
        <f t="shared" si="11"/>
        <v>#DIV/0!</v>
      </c>
      <c r="AF47" s="115" t="e">
        <f t="shared" si="11"/>
        <v>#DIV/0!</v>
      </c>
      <c r="AG47" s="115" t="e">
        <f t="shared" si="11"/>
        <v>#DIV/0!</v>
      </c>
      <c r="AH47" s="115" t="e">
        <f t="shared" si="11"/>
        <v>#DIV/0!</v>
      </c>
      <c r="AI47" s="115" t="e">
        <f t="shared" si="11"/>
        <v>#DIV/0!</v>
      </c>
      <c r="AJ47" s="115" t="e">
        <f t="shared" si="11"/>
        <v>#DIV/0!</v>
      </c>
      <c r="AK47" s="115" t="e">
        <f t="shared" si="11"/>
        <v>#DIV/0!</v>
      </c>
      <c r="AL47" s="115" t="e">
        <f t="shared" si="11"/>
        <v>#DIV/0!</v>
      </c>
    </row>
    <row r="48" spans="4:38" ht="19.5" customHeight="1" x14ac:dyDescent="0.35">
      <c r="D48" s="113" t="s">
        <v>4</v>
      </c>
      <c r="E48" s="79" t="s">
        <v>163</v>
      </c>
      <c r="F48" s="80" t="s">
        <v>55</v>
      </c>
      <c r="G48" s="114" t="s">
        <v>17</v>
      </c>
      <c r="H48" s="114"/>
      <c r="I48" s="114"/>
      <c r="J48" s="114"/>
      <c r="K48" s="115">
        <f>100-(K43*100/$G$43)</f>
        <v>91.105162917588927</v>
      </c>
      <c r="L48" s="115">
        <f t="shared" ref="L48:N48" si="12">100-(L43*100/$G$43)</f>
        <v>100</v>
      </c>
      <c r="M48" s="115">
        <f t="shared" si="12"/>
        <v>100</v>
      </c>
      <c r="N48" s="115">
        <f t="shared" si="12"/>
        <v>100</v>
      </c>
      <c r="O48" s="115">
        <f>100-(O43*100/$H$43)</f>
        <v>100</v>
      </c>
      <c r="P48" s="115">
        <f t="shared" ref="P48:T48" si="13">100-(P43*100/$H$43)</f>
        <v>100</v>
      </c>
      <c r="Q48" s="115">
        <f t="shared" si="13"/>
        <v>100</v>
      </c>
      <c r="R48" s="115">
        <f t="shared" si="13"/>
        <v>100</v>
      </c>
      <c r="S48" s="115">
        <f t="shared" si="13"/>
        <v>100</v>
      </c>
      <c r="T48" s="115">
        <f t="shared" si="13"/>
        <v>100</v>
      </c>
      <c r="U48" s="115" t="e">
        <f>100-(U43*100/$I$43)</f>
        <v>#DIV/0!</v>
      </c>
      <c r="V48" s="115" t="e">
        <f>100-(V44*100/$I$43)</f>
        <v>#DIV/0!</v>
      </c>
      <c r="W48" s="115" t="e">
        <f t="shared" ref="W48:AL48" si="14">100-(W43*100/$I$43)</f>
        <v>#DIV/0!</v>
      </c>
      <c r="X48" s="115" t="e">
        <f t="shared" si="14"/>
        <v>#DIV/0!</v>
      </c>
      <c r="Y48" s="115" t="e">
        <f t="shared" si="14"/>
        <v>#DIV/0!</v>
      </c>
      <c r="Z48" s="581" t="e">
        <f t="shared" si="14"/>
        <v>#DIV/0!</v>
      </c>
      <c r="AA48" s="115" t="e">
        <f t="shared" si="14"/>
        <v>#DIV/0!</v>
      </c>
      <c r="AB48" s="115" t="e">
        <f t="shared" si="14"/>
        <v>#DIV/0!</v>
      </c>
      <c r="AC48" s="115" t="e">
        <f t="shared" si="14"/>
        <v>#DIV/0!</v>
      </c>
      <c r="AD48" s="115" t="e">
        <f t="shared" si="14"/>
        <v>#DIV/0!</v>
      </c>
      <c r="AE48" s="115" t="e">
        <f t="shared" si="14"/>
        <v>#DIV/0!</v>
      </c>
      <c r="AF48" s="115" t="e">
        <f t="shared" si="14"/>
        <v>#DIV/0!</v>
      </c>
      <c r="AG48" s="115" t="e">
        <f t="shared" si="14"/>
        <v>#DIV/0!</v>
      </c>
      <c r="AH48" s="115" t="e">
        <f t="shared" si="14"/>
        <v>#DIV/0!</v>
      </c>
      <c r="AI48" s="115" t="e">
        <f t="shared" si="14"/>
        <v>#DIV/0!</v>
      </c>
      <c r="AJ48" s="115" t="e">
        <f t="shared" si="14"/>
        <v>#DIV/0!</v>
      </c>
      <c r="AK48" s="115" t="e">
        <f t="shared" si="14"/>
        <v>#DIV/0!</v>
      </c>
      <c r="AL48" s="115" t="e">
        <f t="shared" si="14"/>
        <v>#DIV/0!</v>
      </c>
    </row>
    <row r="49" spans="4:38" ht="19.5" customHeight="1" x14ac:dyDescent="0.35">
      <c r="D49" s="113" t="s">
        <v>56</v>
      </c>
      <c r="E49" s="79"/>
      <c r="F49" s="80"/>
      <c r="G49" s="114" t="s">
        <v>17</v>
      </c>
      <c r="H49" s="114"/>
      <c r="I49" s="114"/>
      <c r="J49" s="114"/>
      <c r="K49" s="115">
        <f>100-((K42+K43)*100/($G$42+$G$43))</f>
        <v>88.110082999086615</v>
      </c>
      <c r="L49" s="115">
        <f t="shared" ref="L49:M49" si="15">100-((L42+L43)*100/($G$42+$G$43))</f>
        <v>100</v>
      </c>
      <c r="M49" s="115">
        <f t="shared" si="15"/>
        <v>100</v>
      </c>
      <c r="N49" s="115">
        <f>100-((N42+N43)*100/($G$42+$G$43))</f>
        <v>100</v>
      </c>
      <c r="O49" s="115">
        <f>100-((O42+O43)*100/($H$42+$H$43))</f>
        <v>100</v>
      </c>
      <c r="P49" s="115">
        <f t="shared" ref="P49:S49" si="16">100-((P42+P43)*100/($H$42+$H$43))</f>
        <v>100</v>
      </c>
      <c r="Q49" s="115">
        <f t="shared" si="16"/>
        <v>100</v>
      </c>
      <c r="R49" s="115">
        <f t="shared" si="16"/>
        <v>100</v>
      </c>
      <c r="S49" s="115">
        <f t="shared" si="16"/>
        <v>100</v>
      </c>
      <c r="T49" s="115">
        <f>100-((T42+T43)*100/($H$42+$H$43))</f>
        <v>100</v>
      </c>
      <c r="U49" s="115" t="e">
        <f>100-((U42+U43)*100/($I$42+$I$43))</f>
        <v>#DIV/0!</v>
      </c>
      <c r="V49" s="115" t="e">
        <f>100-((V42+V44)*100/($I$42+$I$43))</f>
        <v>#DIV/0!</v>
      </c>
      <c r="W49" s="115" t="e">
        <f t="shared" ref="W49:AL49" si="17">100-((W42+W43)*100/($I$42+$I$43))</f>
        <v>#DIV/0!</v>
      </c>
      <c r="X49" s="115" t="e">
        <f t="shared" si="17"/>
        <v>#DIV/0!</v>
      </c>
      <c r="Y49" s="115" t="e">
        <f t="shared" si="17"/>
        <v>#DIV/0!</v>
      </c>
      <c r="Z49" s="581" t="e">
        <f t="shared" si="17"/>
        <v>#DIV/0!</v>
      </c>
      <c r="AA49" s="115" t="e">
        <f t="shared" si="17"/>
        <v>#DIV/0!</v>
      </c>
      <c r="AB49" s="115" t="e">
        <f t="shared" si="17"/>
        <v>#DIV/0!</v>
      </c>
      <c r="AC49" s="115" t="e">
        <f t="shared" si="17"/>
        <v>#DIV/0!</v>
      </c>
      <c r="AD49" s="115" t="e">
        <f t="shared" si="17"/>
        <v>#DIV/0!</v>
      </c>
      <c r="AE49" s="115" t="e">
        <f t="shared" si="17"/>
        <v>#DIV/0!</v>
      </c>
      <c r="AF49" s="115" t="e">
        <f t="shared" si="17"/>
        <v>#DIV/0!</v>
      </c>
      <c r="AG49" s="115" t="e">
        <f t="shared" si="17"/>
        <v>#DIV/0!</v>
      </c>
      <c r="AH49" s="115" t="e">
        <f t="shared" si="17"/>
        <v>#DIV/0!</v>
      </c>
      <c r="AI49" s="115" t="e">
        <f t="shared" si="17"/>
        <v>#DIV/0!</v>
      </c>
      <c r="AJ49" s="115" t="e">
        <f t="shared" si="17"/>
        <v>#DIV/0!</v>
      </c>
      <c r="AK49" s="115" t="e">
        <f t="shared" si="17"/>
        <v>#DIV/0!</v>
      </c>
      <c r="AL49" s="115" t="e">
        <f t="shared" si="17"/>
        <v>#DIV/0!</v>
      </c>
    </row>
    <row r="50" spans="4:38" ht="19.5" customHeight="1" x14ac:dyDescent="0.35">
      <c r="D50" s="75" t="s">
        <v>57</v>
      </c>
      <c r="E50" s="2689" t="s">
        <v>58</v>
      </c>
      <c r="F50" s="2680" t="s">
        <v>59</v>
      </c>
      <c r="G50" s="47"/>
      <c r="H50" s="47"/>
      <c r="I50" s="47"/>
      <c r="J50" s="47"/>
      <c r="K50" s="47"/>
      <c r="L50" s="55"/>
      <c r="M50" s="55"/>
      <c r="N50" s="56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200"/>
      <c r="Z50" s="590"/>
      <c r="AA50" s="172"/>
      <c r="AB50" s="172"/>
      <c r="AC50" s="172"/>
      <c r="AD50" s="172"/>
      <c r="AE50" s="172"/>
      <c r="AF50" s="172"/>
      <c r="AG50" s="172"/>
      <c r="AH50" s="172"/>
      <c r="AI50" s="172"/>
      <c r="AJ50" s="172"/>
      <c r="AK50" s="172"/>
      <c r="AL50" s="172"/>
    </row>
    <row r="51" spans="4:38" ht="19.5" customHeight="1" x14ac:dyDescent="0.35">
      <c r="D51" s="83" t="s">
        <v>60</v>
      </c>
      <c r="E51" s="2690"/>
      <c r="F51" s="2681"/>
      <c r="G51" s="84">
        <v>281.3</v>
      </c>
      <c r="H51" s="425">
        <v>462.3</v>
      </c>
      <c r="I51" s="84" t="e">
        <f>'HPS LTO DAILY '!#REF!</f>
        <v>#REF!</v>
      </c>
      <c r="J51" s="84" t="e">
        <f>'HPS LTO DAILY '!#REF!</f>
        <v>#REF!</v>
      </c>
      <c r="K51" s="84">
        <f>'HPS LTO DAILY '!H10</f>
        <v>153.4</v>
      </c>
      <c r="L51" s="84">
        <f>'HPS LTO DAILY '!I10</f>
        <v>140.19999999999999</v>
      </c>
      <c r="M51" s="84">
        <f>'HPS LTO DAILY '!J10</f>
        <v>158.69999999999999</v>
      </c>
      <c r="N51" s="84">
        <f>'HPS LTO DAILY '!K10</f>
        <v>156</v>
      </c>
      <c r="O51" s="84">
        <f>'HPS LTO DAILY '!L10</f>
        <v>114.8</v>
      </c>
      <c r="P51" s="84">
        <f>'HPS LTO DAILY '!M10</f>
        <v>130.69999999999999</v>
      </c>
      <c r="Q51" s="84">
        <f>'HPS LTO DAILY '!N10</f>
        <v>130.1</v>
      </c>
      <c r="R51" s="84">
        <f>'HPS LTO DAILY '!O10</f>
        <v>131.80000000000001</v>
      </c>
      <c r="S51" s="84">
        <f>'HPS LTO DAILY '!P10</f>
        <v>149.30000000000001</v>
      </c>
      <c r="T51" s="84">
        <f>'HPS LTO DAILY '!Q10</f>
        <v>135</v>
      </c>
      <c r="U51" s="84" t="e">
        <f>'HPS LTO DAILY '!#REF!</f>
        <v>#REF!</v>
      </c>
      <c r="V51" s="84">
        <f>'HPS LTO DAILY '!R10</f>
        <v>133.1</v>
      </c>
      <c r="W51" s="84">
        <f>'HPS LTO DAILY '!S10</f>
        <v>136.19999999999999</v>
      </c>
      <c r="X51" s="84">
        <f>'HPS LTO DAILY '!T10</f>
        <v>132.6</v>
      </c>
      <c r="Y51" s="84">
        <f>'HPS LTO DAILY '!V10</f>
        <v>0</v>
      </c>
      <c r="Z51" s="582">
        <f>'HPS LTO DAILY '!W10</f>
        <v>0</v>
      </c>
      <c r="AA51" s="84">
        <f>'HPS LTO DAILY '!X10</f>
        <v>0</v>
      </c>
      <c r="AB51" s="84">
        <f>'HPS LTO DAILY '!AG10</f>
        <v>0</v>
      </c>
      <c r="AC51" s="84">
        <f>'HPS LTO DAILY '!AH10</f>
        <v>0</v>
      </c>
      <c r="AD51" s="84">
        <f>'HPS LTO DAILY '!AI10</f>
        <v>0</v>
      </c>
      <c r="AE51" s="84">
        <f>'HPS LTO DAILY '!AJ10</f>
        <v>0</v>
      </c>
      <c r="AF51" s="84">
        <f>'HPS LTO DAILY '!AK10</f>
        <v>4.5</v>
      </c>
      <c r="AG51" s="84">
        <f>'HPS LTO DAILY '!AL10</f>
        <v>105</v>
      </c>
      <c r="AH51" s="84">
        <f>'HPS LTO DAILY '!AM10</f>
        <v>0</v>
      </c>
      <c r="AI51" s="84">
        <f>'HPS LTO DAILY '!AN10</f>
        <v>0</v>
      </c>
      <c r="AJ51" s="84">
        <f>'HPS LTO DAILY '!AO10</f>
        <v>0</v>
      </c>
      <c r="AK51" s="84">
        <f>'HPS LTO DAILY '!AP10</f>
        <v>0</v>
      </c>
      <c r="AL51" s="84">
        <f>'HPS LTO DAILY '!AQ10</f>
        <v>0</v>
      </c>
    </row>
    <row r="52" spans="4:38" ht="19.5" customHeight="1" x14ac:dyDescent="0.35">
      <c r="D52" s="83">
        <v>5</v>
      </c>
      <c r="E52" s="2690"/>
      <c r="F52" s="2681"/>
      <c r="G52" s="84">
        <v>473.3</v>
      </c>
      <c r="H52" s="425">
        <v>565.70000000000005</v>
      </c>
      <c r="I52" s="84" t="e">
        <f>'HPS LTO DAILY '!#REF!</f>
        <v>#REF!</v>
      </c>
      <c r="J52" s="84" t="e">
        <f>'HPS LTO DAILY '!#REF!</f>
        <v>#REF!</v>
      </c>
      <c r="K52" s="84">
        <f>'HPS LTO DAILY '!H15</f>
        <v>301.5</v>
      </c>
      <c r="L52" s="84">
        <f>'HPS LTO DAILY '!I15</f>
        <v>290.8</v>
      </c>
      <c r="M52" s="84">
        <f>'HPS LTO DAILY '!J15</f>
        <v>295.8</v>
      </c>
      <c r="N52" s="84">
        <f>'HPS LTO DAILY '!K15</f>
        <v>283.3</v>
      </c>
      <c r="O52" s="84">
        <f>'HPS LTO DAILY '!L15</f>
        <v>209.6</v>
      </c>
      <c r="P52" s="84">
        <f>'HPS LTO DAILY '!M15</f>
        <v>208.3</v>
      </c>
      <c r="Q52" s="84">
        <f>'HPS LTO DAILY '!N15</f>
        <v>209.4</v>
      </c>
      <c r="R52" s="84">
        <f>'HPS LTO DAILY '!O15</f>
        <v>212.7</v>
      </c>
      <c r="S52" s="84">
        <f>'HPS LTO DAILY '!P15</f>
        <v>223.4</v>
      </c>
      <c r="T52" s="84">
        <f>'HPS LTO DAILY '!Q15</f>
        <v>217.4</v>
      </c>
      <c r="U52" s="84" t="e">
        <f>'HPS LTO DAILY '!#REF!</f>
        <v>#REF!</v>
      </c>
      <c r="V52" s="84">
        <f>'HPS LTO DAILY '!R15</f>
        <v>216.9</v>
      </c>
      <c r="W52" s="84">
        <f>'HPS LTO DAILY '!S15</f>
        <v>218.6</v>
      </c>
      <c r="X52" s="84">
        <f>'HPS LTO DAILY '!T15</f>
        <v>218.2</v>
      </c>
      <c r="Y52" s="84">
        <f>'HPS LTO DAILY '!V15</f>
        <v>0</v>
      </c>
      <c r="Z52" s="582">
        <f>'HPS LTO DAILY '!W15</f>
        <v>0</v>
      </c>
      <c r="AA52" s="84">
        <f>'HPS LTO DAILY '!X15</f>
        <v>0</v>
      </c>
      <c r="AB52" s="84">
        <f>'HPS LTO DAILY '!AG15</f>
        <v>0</v>
      </c>
      <c r="AC52" s="84">
        <f>'HPS LTO DAILY '!AH15</f>
        <v>0</v>
      </c>
      <c r="AD52" s="84">
        <f>'HPS LTO DAILY '!AI15</f>
        <v>0</v>
      </c>
      <c r="AE52" s="84">
        <f>'HPS LTO DAILY '!AJ15</f>
        <v>16</v>
      </c>
      <c r="AF52" s="84">
        <f>'HPS LTO DAILY '!AK15</f>
        <v>0</v>
      </c>
      <c r="AG52" s="84">
        <f>'HPS LTO DAILY '!AL15</f>
        <v>0</v>
      </c>
      <c r="AH52" s="84">
        <f>'HPS LTO DAILY '!AM15</f>
        <v>0</v>
      </c>
      <c r="AI52" s="84">
        <f>'HPS LTO DAILY '!AN15</f>
        <v>0</v>
      </c>
      <c r="AJ52" s="84">
        <f>'HPS LTO DAILY '!AO15</f>
        <v>0</v>
      </c>
      <c r="AK52" s="84">
        <f>'HPS LTO DAILY '!AP15</f>
        <v>0</v>
      </c>
      <c r="AL52" s="84">
        <f>'HPS LTO DAILY '!AQ15</f>
        <v>0</v>
      </c>
    </row>
    <row r="53" spans="4:38" ht="19.5" customHeight="1" x14ac:dyDescent="0.35">
      <c r="D53" s="83">
        <v>10</v>
      </c>
      <c r="E53" s="2690"/>
      <c r="F53" s="2681"/>
      <c r="G53" s="84">
        <v>550.79999999999995</v>
      </c>
      <c r="H53" s="425">
        <v>583.4</v>
      </c>
      <c r="I53" s="84" t="e">
        <f>'HPS LTO DAILY '!#REF!</f>
        <v>#REF!</v>
      </c>
      <c r="J53" s="84" t="e">
        <f>'HPS LTO DAILY '!#REF!</f>
        <v>#REF!</v>
      </c>
      <c r="K53" s="84">
        <f>'HPS LTO DAILY '!H20</f>
        <v>367.4</v>
      </c>
      <c r="L53" s="84">
        <f>'HPS LTO DAILY '!I20</f>
        <v>359.3</v>
      </c>
      <c r="M53" s="84">
        <f>'HPS LTO DAILY '!J20</f>
        <v>365.9</v>
      </c>
      <c r="N53" s="84">
        <f>'HPS LTO DAILY '!K20</f>
        <v>352.6</v>
      </c>
      <c r="O53" s="84">
        <f>'HPS LTO DAILY '!L20</f>
        <v>252.5</v>
      </c>
      <c r="P53" s="84">
        <f>'HPS LTO DAILY '!M20</f>
        <v>249.7</v>
      </c>
      <c r="Q53" s="84">
        <f>'HPS LTO DAILY '!N20</f>
        <v>251.4</v>
      </c>
      <c r="R53" s="84">
        <f>'HPS LTO DAILY '!O20</f>
        <v>255.4</v>
      </c>
      <c r="S53" s="84">
        <f>'HPS LTO DAILY '!P20</f>
        <v>266.3</v>
      </c>
      <c r="T53" s="84">
        <f>'HPS LTO DAILY '!Q20</f>
        <v>260.10000000000002</v>
      </c>
      <c r="U53" s="84" t="e">
        <f>'HPS LTO DAILY '!#REF!</f>
        <v>#REF!</v>
      </c>
      <c r="V53" s="84">
        <f>'HPS LTO DAILY '!R20</f>
        <v>259.2</v>
      </c>
      <c r="W53" s="84">
        <f>'HPS LTO DAILY '!S20</f>
        <v>261.2</v>
      </c>
      <c r="X53" s="84">
        <f>'HPS LTO DAILY '!T20</f>
        <v>258.8</v>
      </c>
      <c r="Y53" s="84">
        <f>'HPS LTO DAILY '!V20</f>
        <v>0</v>
      </c>
      <c r="Z53" s="582">
        <f>'HPS LTO DAILY '!W20</f>
        <v>0</v>
      </c>
      <c r="AA53" s="84">
        <f>'HPS LTO DAILY '!X20</f>
        <v>0</v>
      </c>
      <c r="AB53" s="84">
        <f>'HPS LTO DAILY '!AG20</f>
        <v>0</v>
      </c>
      <c r="AC53" s="84">
        <f>'HPS LTO DAILY '!AH20</f>
        <v>0</v>
      </c>
      <c r="AD53" s="84">
        <f>'HPS LTO DAILY '!AI20</f>
        <v>0</v>
      </c>
      <c r="AE53" s="84">
        <f>'HPS LTO DAILY '!AJ20</f>
        <v>15.7</v>
      </c>
      <c r="AF53" s="84">
        <f>'HPS LTO DAILY '!AK20</f>
        <v>0</v>
      </c>
      <c r="AG53" s="84">
        <f>'HPS LTO DAILY '!AL20</f>
        <v>0</v>
      </c>
      <c r="AH53" s="84">
        <f>'HPS LTO DAILY '!AM20</f>
        <v>0</v>
      </c>
      <c r="AI53" s="84">
        <f>'HPS LTO DAILY '!AN20</f>
        <v>0</v>
      </c>
      <c r="AJ53" s="84">
        <f>'HPS LTO DAILY '!AO20</f>
        <v>0</v>
      </c>
      <c r="AK53" s="84">
        <f>'HPS LTO DAILY '!AP20</f>
        <v>0</v>
      </c>
      <c r="AL53" s="84">
        <f>'HPS LTO DAILY '!AQ20</f>
        <v>0</v>
      </c>
    </row>
    <row r="54" spans="4:38" ht="19.5" customHeight="1" x14ac:dyDescent="0.35">
      <c r="D54" s="83">
        <v>15</v>
      </c>
      <c r="E54" s="2690"/>
      <c r="F54" s="2681"/>
      <c r="G54" s="84">
        <v>575.1</v>
      </c>
      <c r="H54" s="425">
        <v>583.4</v>
      </c>
      <c r="I54" s="84" t="e">
        <f>'HPS LTO DAILY '!#REF!</f>
        <v>#REF!</v>
      </c>
      <c r="J54" s="84" t="e">
        <f>'HPS LTO DAILY '!#REF!</f>
        <v>#REF!</v>
      </c>
      <c r="K54" s="84">
        <f>'HPS LTO DAILY '!H25</f>
        <v>407.7</v>
      </c>
      <c r="L54" s="84">
        <f>'HPS LTO DAILY '!I25</f>
        <v>403</v>
      </c>
      <c r="M54" s="84">
        <f>'HPS LTO DAILY '!J25</f>
        <v>411.9</v>
      </c>
      <c r="N54" s="84">
        <f>'HPS LTO DAILY '!K25</f>
        <v>398.3</v>
      </c>
      <c r="O54" s="84">
        <f>'HPS LTO DAILY '!L25</f>
        <v>289.89999999999998</v>
      </c>
      <c r="P54" s="84">
        <f>'HPS LTO DAILY '!M25</f>
        <v>284.8</v>
      </c>
      <c r="Q54" s="84">
        <f>'HPS LTO DAILY '!N25</f>
        <v>288.2</v>
      </c>
      <c r="R54" s="84">
        <f>'HPS LTO DAILY '!O25</f>
        <v>291.60000000000002</v>
      </c>
      <c r="S54" s="84">
        <f>'HPS LTO DAILY '!P25</f>
        <v>301.60000000000002</v>
      </c>
      <c r="T54" s="84">
        <f>'HPS LTO DAILY '!Q25</f>
        <v>297.60000000000002</v>
      </c>
      <c r="U54" s="84" t="e">
        <f>'HPS LTO DAILY '!#REF!</f>
        <v>#REF!</v>
      </c>
      <c r="V54" s="84">
        <f>'HPS LTO DAILY '!R25</f>
        <v>294.8</v>
      </c>
      <c r="W54" s="84">
        <f>'HPS LTO DAILY '!S25</f>
        <v>297.3</v>
      </c>
      <c r="X54" s="84">
        <f>'HPS LTO DAILY '!T25</f>
        <v>291.5</v>
      </c>
      <c r="Y54" s="84">
        <f>'HPS LTO DAILY '!V25</f>
        <v>0</v>
      </c>
      <c r="Z54" s="582">
        <f>'HPS LTO DAILY '!W25</f>
        <v>0</v>
      </c>
      <c r="AA54" s="84">
        <f>'HPS LTO DAILY '!X25</f>
        <v>0</v>
      </c>
      <c r="AB54" s="84">
        <f>'HPS LTO DAILY '!AG25</f>
        <v>0</v>
      </c>
      <c r="AC54" s="84">
        <f>'HPS LTO DAILY '!AH25</f>
        <v>0</v>
      </c>
      <c r="AD54" s="84">
        <f>'HPS LTO DAILY '!AI25</f>
        <v>0</v>
      </c>
      <c r="AE54" s="84">
        <f>'HPS LTO DAILY '!AJ25</f>
        <v>15</v>
      </c>
      <c r="AF54" s="84">
        <f>'HPS LTO DAILY '!AK25</f>
        <v>0</v>
      </c>
      <c r="AG54" s="84">
        <f>'HPS LTO DAILY '!AL25</f>
        <v>0</v>
      </c>
      <c r="AH54" s="84">
        <f>'HPS LTO DAILY '!AM25</f>
        <v>0</v>
      </c>
      <c r="AI54" s="84">
        <f>'HPS LTO DAILY '!AN25</f>
        <v>0</v>
      </c>
      <c r="AJ54" s="84">
        <f>'HPS LTO DAILY '!AO25</f>
        <v>0</v>
      </c>
      <c r="AK54" s="84">
        <f>'HPS LTO DAILY '!AP25</f>
        <v>0</v>
      </c>
      <c r="AL54" s="84">
        <f>'HPS LTO DAILY '!AQ25</f>
        <v>0</v>
      </c>
    </row>
    <row r="55" spans="4:38" ht="19.5" customHeight="1" x14ac:dyDescent="0.35">
      <c r="D55" s="83">
        <v>20</v>
      </c>
      <c r="E55" s="2690"/>
      <c r="F55" s="2681"/>
      <c r="G55" s="84">
        <v>591.1</v>
      </c>
      <c r="H55" s="425">
        <v>598.5</v>
      </c>
      <c r="I55" s="84" t="e">
        <f>'HPS LTO DAILY '!#REF!</f>
        <v>#REF!</v>
      </c>
      <c r="J55" s="84" t="e">
        <f>'HPS LTO DAILY '!#REF!</f>
        <v>#REF!</v>
      </c>
      <c r="K55" s="84">
        <f>'HPS LTO DAILY '!H30</f>
        <v>440.4</v>
      </c>
      <c r="L55" s="84">
        <f>'HPS LTO DAILY '!I30</f>
        <v>438.9</v>
      </c>
      <c r="M55" s="84">
        <f>'HPS LTO DAILY '!J30</f>
        <v>449.8</v>
      </c>
      <c r="N55" s="84">
        <f>'HPS LTO DAILY '!K30</f>
        <v>436.5</v>
      </c>
      <c r="O55" s="84">
        <f>'HPS LTO DAILY '!L30</f>
        <v>322.3</v>
      </c>
      <c r="P55" s="84">
        <f>'HPS LTO DAILY '!M30</f>
        <v>314.39999999999998</v>
      </c>
      <c r="Q55" s="84">
        <f>'HPS LTO DAILY '!N30</f>
        <v>318.10000000000002</v>
      </c>
      <c r="R55" s="84">
        <f>'HPS LTO DAILY '!O30</f>
        <v>322.39999999999998</v>
      </c>
      <c r="S55" s="84">
        <f>'HPS LTO DAILY '!P30</f>
        <v>332</v>
      </c>
      <c r="T55" s="84">
        <f>'HPS LTO DAILY '!Q30</f>
        <v>328.4</v>
      </c>
      <c r="U55" s="84" t="e">
        <f>'HPS LTO DAILY '!#REF!</f>
        <v>#REF!</v>
      </c>
      <c r="V55" s="84">
        <f>'HPS LTO DAILY '!R30</f>
        <v>325.8</v>
      </c>
      <c r="W55" s="84">
        <f>'HPS LTO DAILY '!S30</f>
        <v>327.3</v>
      </c>
      <c r="X55" s="84">
        <f>'HPS LTO DAILY '!T30</f>
        <v>322.10000000000002</v>
      </c>
      <c r="Y55" s="84">
        <f>'HPS LTO DAILY '!V30</f>
        <v>0</v>
      </c>
      <c r="Z55" s="582">
        <f>'HPS LTO DAILY '!W30</f>
        <v>0</v>
      </c>
      <c r="AA55" s="84">
        <f>'HPS LTO DAILY '!X30</f>
        <v>0</v>
      </c>
      <c r="AB55" s="84">
        <f>'HPS LTO DAILY '!AG30</f>
        <v>0</v>
      </c>
      <c r="AC55" s="84">
        <f>'HPS LTO DAILY '!AH30</f>
        <v>0</v>
      </c>
      <c r="AD55" s="84">
        <f>'HPS LTO DAILY '!AI30</f>
        <v>0</v>
      </c>
      <c r="AE55" s="84">
        <f>'HPS LTO DAILY '!AJ30</f>
        <v>0</v>
      </c>
      <c r="AF55" s="84">
        <f>'HPS LTO DAILY '!AK30</f>
        <v>0</v>
      </c>
      <c r="AG55" s="84">
        <f>'HPS LTO DAILY '!AL30</f>
        <v>0</v>
      </c>
      <c r="AH55" s="84">
        <f>'HPS LTO DAILY '!AM30</f>
        <v>0</v>
      </c>
      <c r="AI55" s="84">
        <f>'HPS LTO DAILY '!AN30</f>
        <v>0</v>
      </c>
      <c r="AJ55" s="84">
        <f>'HPS LTO DAILY '!AO30</f>
        <v>0</v>
      </c>
      <c r="AK55" s="84">
        <f>'HPS LTO DAILY '!AP30</f>
        <v>0</v>
      </c>
      <c r="AL55" s="84">
        <f>'HPS LTO DAILY '!AQ30</f>
        <v>0</v>
      </c>
    </row>
    <row r="56" spans="4:38" ht="19.5" customHeight="1" x14ac:dyDescent="0.35">
      <c r="D56" s="83">
        <v>30</v>
      </c>
      <c r="E56" s="2690"/>
      <c r="F56" s="2681"/>
      <c r="G56" s="84">
        <v>617.79999999999995</v>
      </c>
      <c r="H56" s="425">
        <v>613.1</v>
      </c>
      <c r="I56" s="84" t="e">
        <f>'HPS LTO DAILY '!#REF!</f>
        <v>#REF!</v>
      </c>
      <c r="J56" s="84" t="e">
        <f>'HPS LTO DAILY '!#REF!</f>
        <v>#REF!</v>
      </c>
      <c r="K56" s="84">
        <f>'HPS LTO DAILY '!H40</f>
        <v>499.9</v>
      </c>
      <c r="L56" s="84">
        <f>'HPS LTO DAILY '!I40</f>
        <v>500.9</v>
      </c>
      <c r="M56" s="84">
        <f>'HPS LTO DAILY '!J40</f>
        <v>512.29999999999995</v>
      </c>
      <c r="N56" s="84">
        <f>'HPS LTO DAILY '!K40</f>
        <v>499.3</v>
      </c>
      <c r="O56" s="84">
        <f>'HPS LTO DAILY '!L40</f>
        <v>377.2</v>
      </c>
      <c r="P56" s="84">
        <f>'HPS LTO DAILY '!M40</f>
        <v>363.5</v>
      </c>
      <c r="Q56" s="84">
        <f>'HPS LTO DAILY '!N40</f>
        <v>366.9</v>
      </c>
      <c r="R56" s="84">
        <f>'HPS LTO DAILY '!O40</f>
        <v>371.7</v>
      </c>
      <c r="S56" s="84">
        <f>'HPS LTO DAILY '!P40</f>
        <v>381.4</v>
      </c>
      <c r="T56" s="84">
        <f>'HPS LTO DAILY '!Q40</f>
        <v>379.5</v>
      </c>
      <c r="U56" s="84">
        <f>'HPS LTO DAILY '!R40</f>
        <v>375.6</v>
      </c>
      <c r="V56" s="84">
        <f>'HPS LTO DAILY '!S40</f>
        <v>376.2</v>
      </c>
      <c r="W56" s="84">
        <f>'HPS LTO DAILY '!T40</f>
        <v>374.9</v>
      </c>
      <c r="X56" s="84">
        <f>'HPS LTO DAILY '!U40</f>
        <v>0</v>
      </c>
      <c r="Y56" s="84">
        <f>'HPS LTO DAILY '!V40</f>
        <v>0</v>
      </c>
      <c r="Z56" s="582">
        <f>'HPS LTO DAILY '!W40</f>
        <v>0</v>
      </c>
      <c r="AA56" s="84">
        <f>'HPS LTO DAILY '!X40</f>
        <v>0</v>
      </c>
      <c r="AB56" s="84">
        <f>'HPS LTO DAILY '!AG40</f>
        <v>0</v>
      </c>
      <c r="AC56" s="84">
        <f>'HPS LTO DAILY '!AH40</f>
        <v>0</v>
      </c>
      <c r="AD56" s="84">
        <f>'HPS LTO DAILY '!AI40</f>
        <v>0</v>
      </c>
      <c r="AE56" s="84">
        <f>'HPS LTO DAILY '!AJ40</f>
        <v>0</v>
      </c>
      <c r="AF56" s="84">
        <f>'HPS LTO DAILY '!AK40</f>
        <v>0</v>
      </c>
      <c r="AG56" s="84">
        <f>'HPS LTO DAILY '!AL40</f>
        <v>0</v>
      </c>
      <c r="AH56" s="84">
        <f>'HPS LTO DAILY '!AM40</f>
        <v>0</v>
      </c>
      <c r="AI56" s="84">
        <f>'HPS LTO DAILY '!AN40</f>
        <v>0</v>
      </c>
      <c r="AJ56" s="84">
        <f>'HPS LTO DAILY '!AO40</f>
        <v>0</v>
      </c>
      <c r="AK56" s="84">
        <f>'HPS LTO DAILY '!AP40</f>
        <v>0</v>
      </c>
      <c r="AL56" s="84">
        <f>'HPS LTO DAILY '!AQ40</f>
        <v>0</v>
      </c>
    </row>
    <row r="57" spans="4:38" ht="19.5" customHeight="1" x14ac:dyDescent="0.35">
      <c r="D57" s="83">
        <v>40</v>
      </c>
      <c r="E57" s="2690"/>
      <c r="F57" s="2681"/>
      <c r="G57" s="84">
        <v>643.9</v>
      </c>
      <c r="H57" s="425">
        <v>644.20000000000005</v>
      </c>
      <c r="I57" s="84" t="e">
        <f>'HPS LTO DAILY '!#REF!</f>
        <v>#REF!</v>
      </c>
      <c r="J57" s="84" t="e">
        <f>'HPS LTO DAILY '!#REF!</f>
        <v>#REF!</v>
      </c>
      <c r="K57" s="84">
        <f>'HPS LTO DAILY '!H50</f>
        <v>545.79999999999995</v>
      </c>
      <c r="L57" s="84">
        <f>'HPS LTO DAILY '!I50</f>
        <v>546.20000000000005</v>
      </c>
      <c r="M57" s="84">
        <f>'HPS LTO DAILY '!J50</f>
        <v>555.4</v>
      </c>
      <c r="N57" s="84">
        <f>'HPS LTO DAILY '!K50</f>
        <v>542.29999999999995</v>
      </c>
      <c r="O57" s="84">
        <f>'HPS LTO DAILY '!L50</f>
        <v>425.8</v>
      </c>
      <c r="P57" s="84">
        <f>'HPS LTO DAILY '!M50</f>
        <v>408.4</v>
      </c>
      <c r="Q57" s="84">
        <f>'HPS LTO DAILY '!N50</f>
        <v>412.7</v>
      </c>
      <c r="R57" s="84">
        <f>'HPS LTO DAILY '!O50</f>
        <v>418.4</v>
      </c>
      <c r="S57" s="84">
        <f>'HPS LTO DAILY '!P50</f>
        <v>427.9</v>
      </c>
      <c r="T57" s="84">
        <f>'HPS LTO DAILY '!Q50</f>
        <v>427.3</v>
      </c>
      <c r="U57" s="84">
        <f>'HPS LTO DAILY '!R50</f>
        <v>422.4</v>
      </c>
      <c r="V57" s="84">
        <f>'HPS LTO DAILY '!S50</f>
        <v>422.4</v>
      </c>
      <c r="W57" s="84">
        <f>'HPS LTO DAILY '!T50</f>
        <v>418.9</v>
      </c>
      <c r="X57" s="84">
        <f>'HPS LTO DAILY '!U50</f>
        <v>0</v>
      </c>
      <c r="Y57" s="84">
        <f>'HPS LTO DAILY '!V50</f>
        <v>0</v>
      </c>
      <c r="Z57" s="582">
        <f>'HPS LTO DAILY '!W50</f>
        <v>0</v>
      </c>
      <c r="AA57" s="84">
        <f>'HPS LTO DAILY '!X50</f>
        <v>0</v>
      </c>
      <c r="AB57" s="84">
        <f>'HPS LTO DAILY '!AG50</f>
        <v>0</v>
      </c>
      <c r="AC57" s="84">
        <f>'HPS LTO DAILY '!AH50</f>
        <v>0</v>
      </c>
      <c r="AD57" s="84">
        <f>'HPS LTO DAILY '!AI50</f>
        <v>0</v>
      </c>
      <c r="AE57" s="84">
        <f>'HPS LTO DAILY '!AJ50</f>
        <v>0</v>
      </c>
      <c r="AF57" s="84">
        <f>'HPS LTO DAILY '!AK50</f>
        <v>0</v>
      </c>
      <c r="AG57" s="84">
        <f>'HPS LTO DAILY '!AL50</f>
        <v>0</v>
      </c>
      <c r="AH57" s="84">
        <f>'HPS LTO DAILY '!AM50</f>
        <v>0</v>
      </c>
      <c r="AI57" s="84">
        <f>'HPS LTO DAILY '!AN50</f>
        <v>0</v>
      </c>
      <c r="AJ57" s="84">
        <f>'HPS LTO DAILY '!AO50</f>
        <v>0</v>
      </c>
      <c r="AK57" s="84">
        <f>'HPS LTO DAILY '!AP50</f>
        <v>0</v>
      </c>
      <c r="AL57" s="84">
        <f>'HPS LTO DAILY '!AQ50</f>
        <v>0</v>
      </c>
    </row>
    <row r="58" spans="4:38" ht="19.5" customHeight="1" x14ac:dyDescent="0.35">
      <c r="D58" s="83">
        <v>50</v>
      </c>
      <c r="E58" s="2690"/>
      <c r="F58" s="2681"/>
      <c r="G58" s="84">
        <v>673</v>
      </c>
      <c r="H58" s="425">
        <v>683.9</v>
      </c>
      <c r="I58" s="84" t="e">
        <f>'HPS LTO DAILY '!#REF!</f>
        <v>#REF!</v>
      </c>
      <c r="J58" s="84" t="e">
        <f>'HPS LTO DAILY '!#REF!</f>
        <v>#REF!</v>
      </c>
      <c r="K58" s="84">
        <f>'HPS LTO DAILY '!H60</f>
        <v>581.4</v>
      </c>
      <c r="L58" s="84">
        <f>'HPS LTO DAILY '!I60</f>
        <v>581</v>
      </c>
      <c r="M58" s="84">
        <f>'HPS LTO DAILY '!J60</f>
        <v>587.4</v>
      </c>
      <c r="N58" s="84">
        <f>'HPS LTO DAILY '!K60</f>
        <v>574.1</v>
      </c>
      <c r="O58" s="84">
        <f>'HPS LTO DAILY '!L60</f>
        <v>474.3</v>
      </c>
      <c r="P58" s="84">
        <f>'HPS LTO DAILY '!M60</f>
        <v>451.5</v>
      </c>
      <c r="Q58" s="84">
        <f>'HPS LTO DAILY '!N60</f>
        <v>456.7</v>
      </c>
      <c r="R58" s="84">
        <f>'HPS LTO DAILY '!O60</f>
        <v>462.9</v>
      </c>
      <c r="S58" s="84">
        <f>'HPS LTO DAILY '!P60</f>
        <v>472.7</v>
      </c>
      <c r="T58" s="84">
        <f>'HPS LTO DAILY '!Q60</f>
        <v>472.8</v>
      </c>
      <c r="U58" s="84">
        <f>'HPS LTO DAILY '!R60</f>
        <v>467.6</v>
      </c>
      <c r="V58" s="84">
        <f>'HPS LTO DAILY '!S60</f>
        <v>467</v>
      </c>
      <c r="W58" s="84">
        <f>'HPS LTO DAILY '!T60</f>
        <v>463.2</v>
      </c>
      <c r="X58" s="84">
        <f>'HPS LTO DAILY '!U60</f>
        <v>0</v>
      </c>
      <c r="Y58" s="84">
        <f>'HPS LTO DAILY '!V60</f>
        <v>0</v>
      </c>
      <c r="Z58" s="582">
        <f>'HPS LTO DAILY '!W60</f>
        <v>0</v>
      </c>
      <c r="AA58" s="84">
        <f>'HPS LTO DAILY '!X60</f>
        <v>0</v>
      </c>
      <c r="AB58" s="84">
        <f>'HPS LTO DAILY '!AG60</f>
        <v>0</v>
      </c>
      <c r="AC58" s="84">
        <f>'HPS LTO DAILY '!AH60</f>
        <v>0</v>
      </c>
      <c r="AD58" s="84">
        <f>'HPS LTO DAILY '!AI60</f>
        <v>0</v>
      </c>
      <c r="AE58" s="84">
        <f>'HPS LTO DAILY '!AJ60</f>
        <v>0</v>
      </c>
      <c r="AF58" s="84">
        <f>'HPS LTO DAILY '!AK60</f>
        <v>0</v>
      </c>
      <c r="AG58" s="84">
        <f>'HPS LTO DAILY '!AL60</f>
        <v>0</v>
      </c>
      <c r="AH58" s="84">
        <f>'HPS LTO DAILY '!AM60</f>
        <v>0</v>
      </c>
      <c r="AI58" s="84">
        <f>'HPS LTO DAILY '!AN60</f>
        <v>0</v>
      </c>
      <c r="AJ58" s="84">
        <f>'HPS LTO DAILY '!AO60</f>
        <v>0</v>
      </c>
      <c r="AK58" s="84">
        <f>'HPS LTO DAILY '!AP60</f>
        <v>0</v>
      </c>
      <c r="AL58" s="84">
        <f>'HPS LTO DAILY '!AQ60</f>
        <v>0</v>
      </c>
    </row>
    <row r="59" spans="4:38" ht="19.5" customHeight="1" x14ac:dyDescent="0.35">
      <c r="D59" s="83">
        <v>60</v>
      </c>
      <c r="E59" s="2690"/>
      <c r="F59" s="2681"/>
      <c r="G59" s="84">
        <v>705.3</v>
      </c>
      <c r="H59" s="425" t="s">
        <v>17</v>
      </c>
      <c r="I59" s="84" t="e">
        <f>'HPS LTO DAILY '!#REF!</f>
        <v>#REF!</v>
      </c>
      <c r="J59" s="84" t="e">
        <f>'HPS LTO DAILY '!#REF!</f>
        <v>#REF!</v>
      </c>
      <c r="K59" s="84">
        <f>'HPS LTO DAILY '!H70</f>
        <v>615.9</v>
      </c>
      <c r="L59" s="84">
        <f>'HPS LTO DAILY '!I70</f>
        <v>613.70000000000005</v>
      </c>
      <c r="M59" s="84">
        <f>'HPS LTO DAILY '!J70</f>
        <v>620.79999999999995</v>
      </c>
      <c r="N59" s="84">
        <f>'HPS LTO DAILY '!K70</f>
        <v>602.70000000000005</v>
      </c>
      <c r="O59" s="84">
        <f>'HPS LTO DAILY '!L70</f>
        <v>522.9</v>
      </c>
      <c r="P59" s="84">
        <f>'HPS LTO DAILY '!M70</f>
        <v>495.5</v>
      </c>
      <c r="Q59" s="84">
        <f>'HPS LTO DAILY '!N70</f>
        <v>500.9</v>
      </c>
      <c r="R59" s="84">
        <f>'HPS LTO DAILY '!O70</f>
        <v>507.4</v>
      </c>
      <c r="S59" s="84">
        <f>'HPS LTO DAILY '!P70</f>
        <v>517</v>
      </c>
      <c r="T59" s="84">
        <f>'HPS LTO DAILY '!Q70</f>
        <v>517.9</v>
      </c>
      <c r="U59" s="84">
        <f>'HPS LTO DAILY '!R70</f>
        <v>512.6</v>
      </c>
      <c r="V59" s="84">
        <f>'HPS LTO DAILY '!S70</f>
        <v>511.3</v>
      </c>
      <c r="W59" s="84">
        <f>'HPS LTO DAILY '!T70</f>
        <v>508</v>
      </c>
      <c r="X59" s="84">
        <f>'HPS LTO DAILY '!U70</f>
        <v>0</v>
      </c>
      <c r="Y59" s="84">
        <f>'HPS LTO DAILY '!V70</f>
        <v>0</v>
      </c>
      <c r="Z59" s="582">
        <f>'HPS LTO DAILY '!W70</f>
        <v>0</v>
      </c>
      <c r="AA59" s="84">
        <f>'HPS LTO DAILY '!X70</f>
        <v>0</v>
      </c>
      <c r="AB59" s="84">
        <f>'HPS LTO DAILY '!AG70</f>
        <v>0</v>
      </c>
      <c r="AC59" s="84">
        <f>'HPS LTO DAILY '!AH70</f>
        <v>0</v>
      </c>
      <c r="AD59" s="84">
        <f>'HPS LTO DAILY '!AI70</f>
        <v>0</v>
      </c>
      <c r="AE59" s="84">
        <f>'HPS LTO DAILY '!AJ70</f>
        <v>0</v>
      </c>
      <c r="AF59" s="84">
        <f>'HPS LTO DAILY '!AK70</f>
        <v>0</v>
      </c>
      <c r="AG59" s="84">
        <f>'HPS LTO DAILY '!AL70</f>
        <v>0</v>
      </c>
      <c r="AH59" s="84">
        <f>'HPS LTO DAILY '!AM70</f>
        <v>0</v>
      </c>
      <c r="AI59" s="84">
        <f>'HPS LTO DAILY '!AN70</f>
        <v>0</v>
      </c>
      <c r="AJ59" s="84">
        <f>'HPS LTO DAILY '!AO70</f>
        <v>0</v>
      </c>
      <c r="AK59" s="84">
        <f>'HPS LTO DAILY '!AP70</f>
        <v>0</v>
      </c>
      <c r="AL59" s="84">
        <f>'HPS LTO DAILY '!AQ70</f>
        <v>0</v>
      </c>
    </row>
    <row r="60" spans="4:38" ht="19.5" customHeight="1" x14ac:dyDescent="0.35">
      <c r="D60" s="83">
        <v>70</v>
      </c>
      <c r="E60" s="2690"/>
      <c r="F60" s="2681"/>
      <c r="G60" s="60" t="s">
        <v>17</v>
      </c>
      <c r="H60" s="425" t="s">
        <v>17</v>
      </c>
      <c r="I60" s="60" t="e">
        <f>'HPS LTO DAILY '!#REF!</f>
        <v>#REF!</v>
      </c>
      <c r="J60" s="60" t="e">
        <f>'HPS LTO DAILY '!#REF!</f>
        <v>#REF!</v>
      </c>
      <c r="K60" s="60">
        <f>'HPS LTO DAILY '!H80</f>
        <v>658.9</v>
      </c>
      <c r="L60" s="60">
        <f>'HPS LTO DAILY '!I80</f>
        <v>653.29999999999995</v>
      </c>
      <c r="M60" s="60">
        <f>'HPS LTO DAILY '!J80</f>
        <v>663.1</v>
      </c>
      <c r="N60" s="60">
        <f>'HPS LTO DAILY '!K80</f>
        <v>635.79999999999995</v>
      </c>
      <c r="O60" s="60">
        <f>'HPS LTO DAILY '!L80</f>
        <v>570.6</v>
      </c>
      <c r="P60" s="60">
        <f>'HPS LTO DAILY '!M80</f>
        <v>538.1</v>
      </c>
      <c r="Q60" s="60">
        <f>'HPS LTO DAILY '!N80</f>
        <v>542.79999999999995</v>
      </c>
      <c r="R60" s="60">
        <f>'HPS LTO DAILY '!O80</f>
        <v>549.9</v>
      </c>
      <c r="S60" s="60">
        <f>'HPS LTO DAILY '!P80</f>
        <v>560.29999999999995</v>
      </c>
      <c r="T60" s="60">
        <f>'HPS LTO DAILY '!Q80</f>
        <v>561.6</v>
      </c>
      <c r="U60" s="60">
        <f>'HPS LTO DAILY '!R80</f>
        <v>556.29999999999995</v>
      </c>
      <c r="V60" s="60">
        <f>'HPS LTO DAILY '!S80</f>
        <v>554.20000000000005</v>
      </c>
      <c r="W60" s="60">
        <f>'HPS LTO DAILY '!T80</f>
        <v>550.20000000000005</v>
      </c>
      <c r="X60" s="60">
        <f>'HPS LTO DAILY '!U80</f>
        <v>0</v>
      </c>
      <c r="Y60" s="60">
        <f>'HPS LTO DAILY '!V80</f>
        <v>0</v>
      </c>
      <c r="Z60" s="583">
        <f>'HPS LTO DAILY '!W80</f>
        <v>0</v>
      </c>
      <c r="AA60" s="60">
        <f>'HPS LTO DAILY '!X80</f>
        <v>0</v>
      </c>
      <c r="AB60" s="60">
        <f>'HPS LTO DAILY '!AG80</f>
        <v>0</v>
      </c>
      <c r="AC60" s="60">
        <f>'HPS LTO DAILY '!AH80</f>
        <v>0</v>
      </c>
      <c r="AD60" s="60">
        <f>'HPS LTO DAILY '!AI80</f>
        <v>0</v>
      </c>
      <c r="AE60" s="60">
        <f>'HPS LTO DAILY '!AJ80</f>
        <v>0</v>
      </c>
      <c r="AF60" s="60">
        <f>'HPS LTO DAILY '!AK80</f>
        <v>0</v>
      </c>
      <c r="AG60" s="60">
        <f>'HPS LTO DAILY '!AL80</f>
        <v>0</v>
      </c>
      <c r="AH60" s="60">
        <f>'HPS LTO DAILY '!AM80</f>
        <v>0</v>
      </c>
      <c r="AI60" s="60">
        <f>'HPS LTO DAILY '!AN80</f>
        <v>0</v>
      </c>
      <c r="AJ60" s="60">
        <f>'HPS LTO DAILY '!AO80</f>
        <v>0</v>
      </c>
      <c r="AK60" s="60">
        <f>'HPS LTO DAILY '!AP80</f>
        <v>0</v>
      </c>
      <c r="AL60" s="60">
        <f>'HPS LTO DAILY '!AQ80</f>
        <v>0</v>
      </c>
    </row>
    <row r="61" spans="4:38" ht="19.5" customHeight="1" x14ac:dyDescent="0.35">
      <c r="D61" s="83">
        <v>80</v>
      </c>
      <c r="E61" s="2690"/>
      <c r="F61" s="2681"/>
      <c r="G61" s="60" t="s">
        <v>17</v>
      </c>
      <c r="H61" s="425" t="s">
        <v>17</v>
      </c>
      <c r="I61" s="60" t="e">
        <f>'HPS LTO DAILY '!#REF!</f>
        <v>#REF!</v>
      </c>
      <c r="J61" s="60" t="e">
        <f>'HPS LTO DAILY '!#REF!</f>
        <v>#REF!</v>
      </c>
      <c r="K61" s="60" t="str">
        <f>'HPS LTO DAILY '!H90</f>
        <v>-</v>
      </c>
      <c r="L61" s="60" t="str">
        <f>'HPS LTO DAILY '!I90</f>
        <v>-</v>
      </c>
      <c r="M61" s="60" t="str">
        <f>'HPS LTO DAILY '!J90</f>
        <v>-</v>
      </c>
      <c r="N61" s="60">
        <f>'HPS LTO DAILY '!K90</f>
        <v>693.6</v>
      </c>
      <c r="O61" s="60">
        <f>'HPS LTO DAILY '!L90</f>
        <v>627.20000000000005</v>
      </c>
      <c r="P61" s="60">
        <f>'HPS LTO DAILY '!M90</f>
        <v>580</v>
      </c>
      <c r="Q61" s="60">
        <f>'HPS LTO DAILY '!N90</f>
        <v>585.1</v>
      </c>
      <c r="R61" s="60">
        <f>'HPS LTO DAILY '!O90</f>
        <v>592.9</v>
      </c>
      <c r="S61" s="60">
        <f>'HPS LTO DAILY '!P90</f>
        <v>603.9</v>
      </c>
      <c r="T61" s="60">
        <f>'HPS LTO DAILY '!Q90</f>
        <v>606.29999999999995</v>
      </c>
      <c r="U61" s="60">
        <f>'HPS LTO DAILY '!R90</f>
        <v>599.9</v>
      </c>
      <c r="V61" s="60">
        <f>'HPS LTO DAILY '!S90</f>
        <v>597.6</v>
      </c>
      <c r="W61" s="60">
        <f>'HPS LTO DAILY '!T90</f>
        <v>593.4</v>
      </c>
      <c r="X61" s="60">
        <f>'HPS LTO DAILY '!U90</f>
        <v>0</v>
      </c>
      <c r="Y61" s="60">
        <f>'HPS LTO DAILY '!V90</f>
        <v>0</v>
      </c>
      <c r="Z61" s="583">
        <f>'HPS LTO DAILY '!W90</f>
        <v>0</v>
      </c>
      <c r="AA61" s="60">
        <f>'HPS LTO DAILY '!X90</f>
        <v>0</v>
      </c>
      <c r="AB61" s="60">
        <f>'HPS LTO DAILY '!AG90</f>
        <v>0</v>
      </c>
      <c r="AC61" s="60">
        <f>'HPS LTO DAILY '!AH90</f>
        <v>0</v>
      </c>
      <c r="AD61" s="60">
        <f>'HPS LTO DAILY '!AI90</f>
        <v>0</v>
      </c>
      <c r="AE61" s="60">
        <f>'HPS LTO DAILY '!AJ90</f>
        <v>0</v>
      </c>
      <c r="AF61" s="60">
        <f>'HPS LTO DAILY '!AK90</f>
        <v>0</v>
      </c>
      <c r="AG61" s="60">
        <f>'HPS LTO DAILY '!AL90</f>
        <v>0</v>
      </c>
      <c r="AH61" s="60">
        <f>'HPS LTO DAILY '!AM90</f>
        <v>0</v>
      </c>
      <c r="AI61" s="60">
        <f>'HPS LTO DAILY '!AN90</f>
        <v>0</v>
      </c>
      <c r="AJ61" s="60">
        <f>'HPS LTO DAILY '!AO90</f>
        <v>0</v>
      </c>
      <c r="AK61" s="60">
        <f>'HPS LTO DAILY '!AP90</f>
        <v>0</v>
      </c>
      <c r="AL61" s="60">
        <f>'HPS LTO DAILY '!AQ90</f>
        <v>0</v>
      </c>
    </row>
    <row r="62" spans="4:38" ht="19.5" customHeight="1" x14ac:dyDescent="0.35">
      <c r="D62" s="83">
        <v>90</v>
      </c>
      <c r="E62" s="2690"/>
      <c r="F62" s="2681"/>
      <c r="G62" s="60" t="s">
        <v>17</v>
      </c>
      <c r="H62" s="425" t="s">
        <v>17</v>
      </c>
      <c r="I62" s="60" t="e">
        <f>'HPS LTO DAILY '!#REF!</f>
        <v>#REF!</v>
      </c>
      <c r="J62" s="60" t="e">
        <f>'HPS LTO DAILY '!#REF!</f>
        <v>#REF!</v>
      </c>
      <c r="K62" s="60" t="str">
        <f>'HPS LTO DAILY '!H100</f>
        <v>-</v>
      </c>
      <c r="L62" s="60" t="str">
        <f>'HPS LTO DAILY '!I100</f>
        <v>-</v>
      </c>
      <c r="M62" s="60" t="str">
        <f>'HPS LTO DAILY '!J100</f>
        <v>-</v>
      </c>
      <c r="N62" s="60" t="str">
        <f>'HPS LTO DAILY '!K100</f>
        <v>-</v>
      </c>
      <c r="O62" s="60" t="str">
        <f>'HPS LTO DAILY '!L100</f>
        <v>-</v>
      </c>
      <c r="P62" s="60">
        <f>'HPS LTO DAILY '!M100</f>
        <v>632.4</v>
      </c>
      <c r="Q62" s="60">
        <f>'HPS LTO DAILY '!N100</f>
        <v>639.4</v>
      </c>
      <c r="R62" s="60">
        <f>'HPS LTO DAILY '!O100</f>
        <v>653.5</v>
      </c>
      <c r="S62" s="60">
        <f>'HPS LTO DAILY '!P100</f>
        <v>674.2</v>
      </c>
      <c r="T62" s="60">
        <f>'HPS LTO DAILY '!Q100</f>
        <v>682.2</v>
      </c>
      <c r="U62" s="60">
        <f>'HPS LTO DAILY '!R100</f>
        <v>669.6</v>
      </c>
      <c r="V62" s="60">
        <f>'HPS LTO DAILY '!S100</f>
        <v>665.6</v>
      </c>
      <c r="W62" s="60">
        <f>'HPS LTO DAILY '!T100</f>
        <v>655.29999999999995</v>
      </c>
      <c r="X62" s="60">
        <f>'HPS LTO DAILY '!U100</f>
        <v>0</v>
      </c>
      <c r="Y62" s="60">
        <f>'HPS LTO DAILY '!V100</f>
        <v>0</v>
      </c>
      <c r="Z62" s="583">
        <f>'HPS LTO DAILY '!W100</f>
        <v>0</v>
      </c>
      <c r="AA62" s="60">
        <f>'HPS LTO DAILY '!X100</f>
        <v>0</v>
      </c>
      <c r="AB62" s="60">
        <f>'HPS LTO DAILY '!AG100</f>
        <v>0</v>
      </c>
      <c r="AC62" s="60">
        <f>'HPS LTO DAILY '!AH100</f>
        <v>0</v>
      </c>
      <c r="AD62" s="60">
        <f>'HPS LTO DAILY '!AI100</f>
        <v>0</v>
      </c>
      <c r="AE62" s="60">
        <f>'HPS LTO DAILY '!AJ100</f>
        <v>0</v>
      </c>
      <c r="AF62" s="60">
        <f>'HPS LTO DAILY '!AK100</f>
        <v>0</v>
      </c>
      <c r="AG62" s="60">
        <f>'HPS LTO DAILY '!AL100</f>
        <v>0</v>
      </c>
      <c r="AH62" s="60">
        <f>'HPS LTO DAILY '!AM100</f>
        <v>0</v>
      </c>
      <c r="AI62" s="60">
        <f>'HPS LTO DAILY '!AN100</f>
        <v>0</v>
      </c>
      <c r="AJ62" s="60">
        <f>'HPS LTO DAILY '!AO100</f>
        <v>0</v>
      </c>
      <c r="AK62" s="60">
        <f>'HPS LTO DAILY '!AP100</f>
        <v>0</v>
      </c>
      <c r="AL62" s="60">
        <f>'HPS LTO DAILY '!AQ100</f>
        <v>0</v>
      </c>
    </row>
    <row r="63" spans="4:38" ht="19.5" customHeight="1" x14ac:dyDescent="0.35">
      <c r="D63" s="83">
        <v>95</v>
      </c>
      <c r="E63" s="2690"/>
      <c r="F63" s="2681"/>
      <c r="G63" s="60" t="s">
        <v>17</v>
      </c>
      <c r="H63" s="425" t="s">
        <v>17</v>
      </c>
      <c r="I63" s="60" t="e">
        <f>'HPS LTO DAILY '!#REF!</f>
        <v>#REF!</v>
      </c>
      <c r="J63" s="60" t="e">
        <f>'HPS LTO DAILY '!#REF!</f>
        <v>#REF!</v>
      </c>
      <c r="K63" s="60" t="str">
        <f>'HPS LTO DAILY '!H105</f>
        <v>-</v>
      </c>
      <c r="L63" s="60" t="str">
        <f>'HPS LTO DAILY '!I105</f>
        <v>-</v>
      </c>
      <c r="M63" s="60" t="str">
        <f>'HPS LTO DAILY '!J105</f>
        <v>-</v>
      </c>
      <c r="N63" s="60" t="str">
        <f>'HPS LTO DAILY '!K105</f>
        <v>-</v>
      </c>
      <c r="O63" s="60" t="str">
        <f>'HPS LTO DAILY '!L105</f>
        <v>-</v>
      </c>
      <c r="P63" s="60">
        <f>'HPS LTO DAILY '!M105</f>
        <v>675.6</v>
      </c>
      <c r="Q63" s="60">
        <f>'HPS LTO DAILY '!N105</f>
        <v>688</v>
      </c>
      <c r="R63" s="60">
        <f>'HPS LTO DAILY '!O105</f>
        <v>715.6</v>
      </c>
      <c r="S63" s="60" t="str">
        <f>'HPS LTO DAILY '!P105</f>
        <v>-</v>
      </c>
      <c r="T63" s="60" t="str">
        <f>'HPS LTO DAILY '!Q105</f>
        <v>-</v>
      </c>
      <c r="U63" s="60" t="str">
        <f>'HPS LTO DAILY '!R105</f>
        <v>-</v>
      </c>
      <c r="V63" s="60">
        <f>'HPS LTO DAILY '!S105</f>
        <v>0</v>
      </c>
      <c r="W63" s="60" t="str">
        <f>'HPS LTO DAILY '!T105</f>
        <v>-</v>
      </c>
      <c r="X63" s="60">
        <f>'HPS LTO DAILY '!U105</f>
        <v>0</v>
      </c>
      <c r="Y63" s="60">
        <f>'HPS LTO DAILY '!V105</f>
        <v>0</v>
      </c>
      <c r="Z63" s="583">
        <f>'HPS LTO DAILY '!W105</f>
        <v>0</v>
      </c>
      <c r="AA63" s="60">
        <f>'HPS LTO DAILY '!X105</f>
        <v>0</v>
      </c>
      <c r="AB63" s="60">
        <f>'HPS LTO DAILY '!AG105</f>
        <v>0</v>
      </c>
      <c r="AC63" s="60">
        <f>'HPS LTO DAILY '!AH105</f>
        <v>0</v>
      </c>
      <c r="AD63" s="60">
        <f>'HPS LTO DAILY '!AI105</f>
        <v>0</v>
      </c>
      <c r="AE63" s="60">
        <f>'HPS LTO DAILY '!AJ105</f>
        <v>0</v>
      </c>
      <c r="AF63" s="60">
        <f>'HPS LTO DAILY '!AK105</f>
        <v>0</v>
      </c>
      <c r="AG63" s="60">
        <f>'HPS LTO DAILY '!AL105</f>
        <v>0</v>
      </c>
      <c r="AH63" s="60">
        <f>'HPS LTO DAILY '!AM105</f>
        <v>0</v>
      </c>
      <c r="AI63" s="60">
        <f>'HPS LTO DAILY '!AN105</f>
        <v>0</v>
      </c>
      <c r="AJ63" s="60">
        <f>'HPS LTO DAILY '!AO105</f>
        <v>0</v>
      </c>
      <c r="AK63" s="60">
        <f>'HPS LTO DAILY '!AP105</f>
        <v>0</v>
      </c>
      <c r="AL63" s="60">
        <f>'HPS LTO DAILY '!AQ105</f>
        <v>0</v>
      </c>
    </row>
    <row r="64" spans="4:38" ht="19.5" customHeight="1" thickBot="1" x14ac:dyDescent="0.4">
      <c r="D64" s="83" t="s">
        <v>61</v>
      </c>
      <c r="E64" s="89" t="s">
        <v>54</v>
      </c>
      <c r="F64" s="2682"/>
      <c r="G64" s="90" t="s">
        <v>437</v>
      </c>
      <c r="H64" s="502" t="s">
        <v>543</v>
      </c>
      <c r="I64" s="91" t="e">
        <f>'HPS LTO DAILY '!#REF!</f>
        <v>#REF!</v>
      </c>
      <c r="J64" s="91" t="e">
        <f>'HPS LTO DAILY '!#REF!</f>
        <v>#REF!</v>
      </c>
      <c r="K64" s="91" t="str">
        <f>'HPS LTO DAILY '!H110</f>
        <v>-</v>
      </c>
      <c r="L64" s="91" t="str">
        <f>'HPS LTO DAILY '!I110</f>
        <v>-</v>
      </c>
      <c r="M64" s="91" t="str">
        <f>'HPS LTO DAILY '!J110</f>
        <v>-</v>
      </c>
      <c r="N64" s="91" t="str">
        <f>'HPS LTO DAILY '!K110</f>
        <v>-</v>
      </c>
      <c r="O64" s="91" t="str">
        <f>'HPS LTO DAILY '!L110</f>
        <v>-</v>
      </c>
      <c r="P64" s="91" t="str">
        <f>'HPS LTO DAILY '!M110</f>
        <v>-</v>
      </c>
      <c r="Q64" s="91" t="str">
        <f>'HPS LTO DAILY '!N110</f>
        <v>-</v>
      </c>
      <c r="R64" s="91" t="str">
        <f>'HPS LTO DAILY '!O110</f>
        <v>-</v>
      </c>
      <c r="S64" s="91" t="str">
        <f>'HPS LTO DAILY '!P110</f>
        <v>-</v>
      </c>
      <c r="T64" s="91" t="str">
        <f>'HPS LTO DAILY '!Q110</f>
        <v>-</v>
      </c>
      <c r="U64" s="91" t="str">
        <f>'HPS LTO DAILY '!R110</f>
        <v>-</v>
      </c>
      <c r="V64" s="91">
        <f>'HPS LTO DAILY '!S110</f>
        <v>0</v>
      </c>
      <c r="W64" s="91" t="str">
        <f>'HPS LTO DAILY '!T110</f>
        <v>-</v>
      </c>
      <c r="X64" s="91">
        <f>'HPS LTO DAILY '!U110</f>
        <v>0</v>
      </c>
      <c r="Y64" s="91">
        <f>'HPS LTO DAILY '!V110</f>
        <v>0</v>
      </c>
      <c r="Z64" s="584">
        <f>'HPS LTO DAILY '!W110</f>
        <v>0</v>
      </c>
      <c r="AA64" s="91">
        <f>'HPS LTO DAILY '!X110</f>
        <v>0</v>
      </c>
      <c r="AB64" s="91">
        <f>'HPS LTO DAILY '!AG110</f>
        <v>0</v>
      </c>
      <c r="AC64" s="91">
        <f>'HPS LTO DAILY '!AH110</f>
        <v>0</v>
      </c>
      <c r="AD64" s="91">
        <f>'HPS LTO DAILY '!AI110</f>
        <v>0</v>
      </c>
      <c r="AE64" s="91">
        <f>'HPS LTO DAILY '!AJ110</f>
        <v>0</v>
      </c>
      <c r="AF64" s="91">
        <f>'HPS LTO DAILY '!AK110</f>
        <v>0</v>
      </c>
      <c r="AG64" s="91">
        <f>'HPS LTO DAILY '!AL110</f>
        <v>0</v>
      </c>
      <c r="AH64" s="91">
        <f>'HPS LTO DAILY '!AM110</f>
        <v>0</v>
      </c>
      <c r="AI64" s="91">
        <f>'HPS LTO DAILY '!AN110</f>
        <v>0</v>
      </c>
      <c r="AJ64" s="91">
        <f>'HPS LTO DAILY '!AO110</f>
        <v>0</v>
      </c>
      <c r="AK64" s="91">
        <f>'HPS LTO DAILY '!AP110</f>
        <v>0</v>
      </c>
      <c r="AL64" s="91">
        <f>'HPS LTO DAILY '!AQ110</f>
        <v>0</v>
      </c>
    </row>
    <row r="65" spans="4:38" ht="19.5" customHeight="1" x14ac:dyDescent="0.35">
      <c r="D65" s="92" t="s">
        <v>159</v>
      </c>
      <c r="E65" s="93"/>
      <c r="F65" s="94"/>
      <c r="G65" s="95"/>
      <c r="H65" s="95"/>
      <c r="I65" s="95"/>
      <c r="J65" s="95"/>
      <c r="K65" s="95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201"/>
      <c r="Z65" s="585"/>
      <c r="AA65" s="201"/>
      <c r="AB65" s="201"/>
      <c r="AC65" s="201"/>
      <c r="AD65" s="201"/>
      <c r="AE65" s="201"/>
      <c r="AF65" s="201"/>
      <c r="AG65" s="201"/>
      <c r="AH65" s="201"/>
      <c r="AI65" s="201"/>
      <c r="AJ65" s="201"/>
      <c r="AK65" s="201"/>
      <c r="AL65" s="201"/>
    </row>
    <row r="66" spans="4:38" ht="19.5" customHeight="1" x14ac:dyDescent="0.35">
      <c r="D66" s="97" t="s">
        <v>101</v>
      </c>
      <c r="E66" s="2692" t="s">
        <v>58</v>
      </c>
      <c r="F66" s="2695" t="s">
        <v>36</v>
      </c>
      <c r="G66" s="1683">
        <v>0</v>
      </c>
      <c r="H66" s="1683">
        <v>0</v>
      </c>
      <c r="I66" s="98"/>
      <c r="J66" s="98"/>
      <c r="K66" s="3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202"/>
      <c r="Z66" s="601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</row>
    <row r="67" spans="4:38" ht="19.5" customHeight="1" x14ac:dyDescent="0.35">
      <c r="D67" s="97" t="s">
        <v>102</v>
      </c>
      <c r="E67" s="2693"/>
      <c r="F67" s="2696"/>
      <c r="G67" s="1683">
        <v>7.0000000000000001E-3</v>
      </c>
      <c r="H67" s="1683">
        <v>0</v>
      </c>
      <c r="I67" s="98"/>
      <c r="J67" s="98"/>
      <c r="K67" s="3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202"/>
      <c r="Z67" s="601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4:38" ht="19.5" customHeight="1" x14ac:dyDescent="0.35">
      <c r="D68" s="97" t="s">
        <v>103</v>
      </c>
      <c r="E68" s="2693"/>
      <c r="F68" s="2696"/>
      <c r="G68" s="1683">
        <v>0.26400000000000001</v>
      </c>
      <c r="H68" s="1683">
        <v>0.03</v>
      </c>
      <c r="I68" s="98"/>
      <c r="J68" s="98"/>
      <c r="K68" s="3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202"/>
      <c r="Z68" s="601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</row>
    <row r="69" spans="4:38" ht="19.5" customHeight="1" x14ac:dyDescent="0.35">
      <c r="D69" s="97" t="s">
        <v>104</v>
      </c>
      <c r="E69" s="2693"/>
      <c r="F69" s="2696"/>
      <c r="G69" s="1683">
        <v>1.0409999999999999</v>
      </c>
      <c r="H69" s="1683">
        <v>0.16500000000000001</v>
      </c>
      <c r="I69" s="98"/>
      <c r="J69" s="98"/>
      <c r="K69" s="3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202"/>
      <c r="Z69" s="601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</row>
    <row r="70" spans="4:38" ht="19.5" customHeight="1" x14ac:dyDescent="0.35">
      <c r="D70" s="97" t="s">
        <v>105</v>
      </c>
      <c r="E70" s="2693"/>
      <c r="F70" s="2696"/>
      <c r="G70" s="1683">
        <v>4.7430000000000003</v>
      </c>
      <c r="H70" s="1683">
        <v>0.47199999999999998</v>
      </c>
      <c r="I70" s="98"/>
      <c r="J70" s="98"/>
      <c r="K70" s="3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202"/>
      <c r="Z70" s="601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</row>
    <row r="71" spans="4:38" ht="19.5" customHeight="1" x14ac:dyDescent="0.35">
      <c r="D71" s="97" t="s">
        <v>100</v>
      </c>
      <c r="E71" s="2693"/>
      <c r="F71" s="2696"/>
      <c r="G71" s="1683">
        <v>5.3239999999999998</v>
      </c>
      <c r="H71" s="1683">
        <v>3.141</v>
      </c>
      <c r="I71" s="98"/>
      <c r="J71" s="98"/>
      <c r="K71" s="3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202"/>
      <c r="Z71" s="601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</row>
    <row r="72" spans="4:38" ht="19.5" customHeight="1" x14ac:dyDescent="0.35">
      <c r="D72" s="97" t="s">
        <v>160</v>
      </c>
      <c r="E72" s="2694"/>
      <c r="F72" s="2697"/>
      <c r="G72" s="1683">
        <f>100-SUM(G66:G71)</f>
        <v>88.620999999999995</v>
      </c>
      <c r="H72" s="1683">
        <f>100-SUM(H66:H71)</f>
        <v>96.192000000000007</v>
      </c>
      <c r="I72" s="98">
        <f t="shared" ref="I72:AL72" si="18">100-SUM(I66:I71)</f>
        <v>100</v>
      </c>
      <c r="J72" s="98">
        <f t="shared" si="18"/>
        <v>100</v>
      </c>
      <c r="K72" s="98">
        <f t="shared" si="18"/>
        <v>100</v>
      </c>
      <c r="L72" s="98">
        <f t="shared" si="18"/>
        <v>100</v>
      </c>
      <c r="M72" s="98">
        <f t="shared" si="18"/>
        <v>100</v>
      </c>
      <c r="N72" s="98">
        <f t="shared" si="18"/>
        <v>100</v>
      </c>
      <c r="O72" s="98">
        <f t="shared" si="18"/>
        <v>100</v>
      </c>
      <c r="P72" s="98">
        <f t="shared" si="18"/>
        <v>100</v>
      </c>
      <c r="Q72" s="98">
        <f t="shared" si="18"/>
        <v>100</v>
      </c>
      <c r="R72" s="98">
        <f t="shared" si="18"/>
        <v>100</v>
      </c>
      <c r="S72" s="98">
        <f t="shared" si="18"/>
        <v>100</v>
      </c>
      <c r="T72" s="98">
        <f t="shared" si="18"/>
        <v>100</v>
      </c>
      <c r="U72" s="98">
        <f t="shared" si="18"/>
        <v>100</v>
      </c>
      <c r="V72" s="98">
        <f t="shared" si="18"/>
        <v>100</v>
      </c>
      <c r="W72" s="98">
        <f t="shared" si="18"/>
        <v>100</v>
      </c>
      <c r="X72" s="98">
        <f t="shared" si="18"/>
        <v>100</v>
      </c>
      <c r="Y72" s="98">
        <f t="shared" si="18"/>
        <v>100</v>
      </c>
      <c r="Z72" s="601">
        <f t="shared" si="18"/>
        <v>100</v>
      </c>
      <c r="AA72" s="3">
        <f t="shared" si="18"/>
        <v>100</v>
      </c>
      <c r="AB72" s="3">
        <f t="shared" si="18"/>
        <v>100</v>
      </c>
      <c r="AC72" s="3">
        <f t="shared" si="18"/>
        <v>100</v>
      </c>
      <c r="AD72" s="3">
        <f t="shared" si="18"/>
        <v>100</v>
      </c>
      <c r="AE72" s="3">
        <f t="shared" si="18"/>
        <v>100</v>
      </c>
      <c r="AF72" s="3">
        <f t="shared" si="18"/>
        <v>100</v>
      </c>
      <c r="AG72" s="3">
        <f t="shared" si="18"/>
        <v>100</v>
      </c>
      <c r="AH72" s="3">
        <f t="shared" si="18"/>
        <v>100</v>
      </c>
      <c r="AI72" s="3">
        <f t="shared" si="18"/>
        <v>100</v>
      </c>
      <c r="AJ72" s="3">
        <f t="shared" si="18"/>
        <v>100</v>
      </c>
      <c r="AK72" s="3">
        <f t="shared" si="18"/>
        <v>100</v>
      </c>
      <c r="AL72" s="3">
        <f t="shared" si="18"/>
        <v>100</v>
      </c>
    </row>
    <row r="73" spans="4:38" ht="19.5" customHeight="1" thickBot="1" x14ac:dyDescent="0.4">
      <c r="D73" s="100" t="s">
        <v>161</v>
      </c>
      <c r="E73" s="93"/>
      <c r="F73" s="94"/>
      <c r="G73" s="101">
        <f>SUM(G66:G72)</f>
        <v>100</v>
      </c>
      <c r="H73" s="101">
        <f t="shared" ref="H73:AL73" si="19">SUM(H66:H72)</f>
        <v>100</v>
      </c>
      <c r="I73" s="101">
        <f t="shared" si="19"/>
        <v>100</v>
      </c>
      <c r="J73" s="101">
        <f t="shared" si="19"/>
        <v>100</v>
      </c>
      <c r="K73" s="101">
        <f t="shared" si="19"/>
        <v>100</v>
      </c>
      <c r="L73" s="101">
        <f t="shared" si="19"/>
        <v>100</v>
      </c>
      <c r="M73" s="101">
        <f t="shared" si="19"/>
        <v>100</v>
      </c>
      <c r="N73" s="101">
        <f t="shared" si="19"/>
        <v>100</v>
      </c>
      <c r="O73" s="101">
        <f t="shared" si="19"/>
        <v>100</v>
      </c>
      <c r="P73" s="101">
        <f t="shared" si="19"/>
        <v>100</v>
      </c>
      <c r="Q73" s="101">
        <f t="shared" si="19"/>
        <v>100</v>
      </c>
      <c r="R73" s="101">
        <f t="shared" si="19"/>
        <v>100</v>
      </c>
      <c r="S73" s="101">
        <f t="shared" si="19"/>
        <v>100</v>
      </c>
      <c r="T73" s="101">
        <f t="shared" si="19"/>
        <v>100</v>
      </c>
      <c r="U73" s="101">
        <f t="shared" si="19"/>
        <v>100</v>
      </c>
      <c r="V73" s="101">
        <f t="shared" si="19"/>
        <v>100</v>
      </c>
      <c r="W73" s="101">
        <f t="shared" si="19"/>
        <v>100</v>
      </c>
      <c r="X73" s="101">
        <f t="shared" si="19"/>
        <v>100</v>
      </c>
      <c r="Y73" s="101">
        <f t="shared" si="19"/>
        <v>100</v>
      </c>
      <c r="Z73" s="586">
        <f t="shared" si="19"/>
        <v>100</v>
      </c>
      <c r="AA73" s="101">
        <f t="shared" si="19"/>
        <v>100</v>
      </c>
      <c r="AB73" s="101">
        <f t="shared" si="19"/>
        <v>100</v>
      </c>
      <c r="AC73" s="101">
        <f t="shared" si="19"/>
        <v>100</v>
      </c>
      <c r="AD73" s="101">
        <f t="shared" si="19"/>
        <v>100</v>
      </c>
      <c r="AE73" s="101">
        <f t="shared" si="19"/>
        <v>100</v>
      </c>
      <c r="AF73" s="101">
        <f t="shared" si="19"/>
        <v>100</v>
      </c>
      <c r="AG73" s="101">
        <f t="shared" si="19"/>
        <v>100</v>
      </c>
      <c r="AH73" s="101">
        <f t="shared" si="19"/>
        <v>100</v>
      </c>
      <c r="AI73" s="101">
        <f t="shared" si="19"/>
        <v>100</v>
      </c>
      <c r="AJ73" s="101">
        <f t="shared" si="19"/>
        <v>100</v>
      </c>
      <c r="AK73" s="101">
        <f t="shared" si="19"/>
        <v>100</v>
      </c>
      <c r="AL73" s="101">
        <f t="shared" si="19"/>
        <v>100</v>
      </c>
    </row>
    <row r="74" spans="4:38" ht="18.75" customHeight="1" x14ac:dyDescent="0.35">
      <c r="D74" s="75" t="s">
        <v>62</v>
      </c>
      <c r="E74" s="2684" t="s">
        <v>63</v>
      </c>
      <c r="F74" s="2698" t="s">
        <v>55</v>
      </c>
      <c r="G74" s="47"/>
      <c r="H74" s="47"/>
      <c r="I74" s="47"/>
      <c r="J74" s="47"/>
      <c r="K74" s="47"/>
      <c r="L74" s="55"/>
      <c r="M74" s="55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195"/>
      <c r="Z74" s="590"/>
      <c r="AA74" s="172"/>
      <c r="AB74" s="172"/>
      <c r="AC74" s="172"/>
      <c r="AD74" s="172"/>
      <c r="AE74" s="172"/>
      <c r="AF74" s="172"/>
      <c r="AG74" s="172"/>
      <c r="AH74" s="172"/>
      <c r="AI74" s="172"/>
      <c r="AJ74" s="172"/>
      <c r="AK74" s="172"/>
      <c r="AL74" s="172"/>
    </row>
    <row r="75" spans="4:38" ht="18.75" customHeight="1" x14ac:dyDescent="0.35">
      <c r="D75" s="44" t="s">
        <v>64</v>
      </c>
      <c r="E75" s="2684"/>
      <c r="F75" s="2698"/>
      <c r="G75" s="60">
        <v>2.8</v>
      </c>
      <c r="H75" s="425">
        <v>2</v>
      </c>
      <c r="I75" s="60"/>
      <c r="J75" s="60"/>
      <c r="K75" s="60"/>
      <c r="L75" s="87"/>
      <c r="M75" s="87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59"/>
      <c r="Z75" s="577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</row>
    <row r="76" spans="4:38" ht="18.75" customHeight="1" x14ac:dyDescent="0.35">
      <c r="D76" s="44" t="s">
        <v>65</v>
      </c>
      <c r="E76" s="2684"/>
      <c r="F76" s="2698"/>
      <c r="G76" s="60">
        <v>34.299999999999997</v>
      </c>
      <c r="H76" s="425">
        <v>27.7</v>
      </c>
      <c r="I76" s="60"/>
      <c r="J76" s="60"/>
      <c r="K76" s="60"/>
      <c r="L76" s="87"/>
      <c r="M76" s="87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59"/>
      <c r="Z76" s="577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</row>
    <row r="77" spans="4:38" ht="18.75" customHeight="1" x14ac:dyDescent="0.35">
      <c r="D77" s="44" t="s">
        <v>66</v>
      </c>
      <c r="E77" s="2684"/>
      <c r="F77" s="2698"/>
      <c r="G77" s="60">
        <v>15.5</v>
      </c>
      <c r="H77" s="425">
        <v>15.6</v>
      </c>
      <c r="I77" s="60"/>
      <c r="J77" s="60"/>
      <c r="K77" s="60"/>
      <c r="L77" s="85"/>
      <c r="M77" s="87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203"/>
      <c r="Z77" s="577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</row>
    <row r="78" spans="4:38" ht="18.75" customHeight="1" x14ac:dyDescent="0.35">
      <c r="D78" s="44" t="s">
        <v>67</v>
      </c>
      <c r="E78" s="2684"/>
      <c r="F78" s="2698"/>
      <c r="G78" s="60">
        <v>47.4</v>
      </c>
      <c r="H78" s="425">
        <v>54.6</v>
      </c>
      <c r="I78" s="60"/>
      <c r="J78" s="60"/>
      <c r="K78" s="60"/>
      <c r="L78" s="87"/>
      <c r="M78" s="87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59"/>
      <c r="Z78" s="577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</row>
    <row r="79" spans="4:38" ht="18.75" customHeight="1" x14ac:dyDescent="0.35">
      <c r="D79" s="475" t="s">
        <v>320</v>
      </c>
      <c r="E79" s="158"/>
      <c r="F79" s="159"/>
      <c r="G79" s="77">
        <f>(G78+G75)/(G76+G77)</f>
        <v>1.0080321285140561</v>
      </c>
      <c r="H79" s="77">
        <f t="shared" ref="H79:AL79" si="20">(H78+H75)/(H76+H77)</f>
        <v>1.30715935334873</v>
      </c>
      <c r="I79" s="77"/>
      <c r="J79" s="77"/>
      <c r="K79" s="77" t="e">
        <f t="shared" si="20"/>
        <v>#DIV/0!</v>
      </c>
      <c r="L79" s="77" t="e">
        <f t="shared" si="20"/>
        <v>#DIV/0!</v>
      </c>
      <c r="M79" s="77" t="e">
        <f t="shared" si="20"/>
        <v>#DIV/0!</v>
      </c>
      <c r="N79" s="77" t="e">
        <f t="shared" si="20"/>
        <v>#DIV/0!</v>
      </c>
      <c r="O79" s="77" t="e">
        <f t="shared" si="20"/>
        <v>#DIV/0!</v>
      </c>
      <c r="P79" s="77" t="e">
        <f t="shared" si="20"/>
        <v>#DIV/0!</v>
      </c>
      <c r="Q79" s="77" t="e">
        <f t="shared" si="20"/>
        <v>#DIV/0!</v>
      </c>
      <c r="R79" s="77" t="e">
        <f t="shared" si="20"/>
        <v>#DIV/0!</v>
      </c>
      <c r="S79" s="77" t="e">
        <f t="shared" si="20"/>
        <v>#DIV/0!</v>
      </c>
      <c r="T79" s="77" t="e">
        <f t="shared" si="20"/>
        <v>#DIV/0!</v>
      </c>
      <c r="U79" s="77" t="e">
        <f t="shared" si="20"/>
        <v>#DIV/0!</v>
      </c>
      <c r="V79" s="77" t="e">
        <f t="shared" si="20"/>
        <v>#DIV/0!</v>
      </c>
      <c r="W79" s="77" t="e">
        <f t="shared" si="20"/>
        <v>#DIV/0!</v>
      </c>
      <c r="X79" s="77" t="e">
        <f t="shared" si="20"/>
        <v>#DIV/0!</v>
      </c>
      <c r="Y79" s="77" t="e">
        <f t="shared" si="20"/>
        <v>#DIV/0!</v>
      </c>
      <c r="Z79" s="77" t="e">
        <f t="shared" si="20"/>
        <v>#DIV/0!</v>
      </c>
      <c r="AA79" s="77" t="e">
        <f t="shared" si="20"/>
        <v>#DIV/0!</v>
      </c>
      <c r="AB79" s="77" t="e">
        <f t="shared" si="20"/>
        <v>#DIV/0!</v>
      </c>
      <c r="AC79" s="77" t="e">
        <f t="shared" si="20"/>
        <v>#DIV/0!</v>
      </c>
      <c r="AD79" s="77" t="e">
        <f t="shared" si="20"/>
        <v>#DIV/0!</v>
      </c>
      <c r="AE79" s="77" t="e">
        <f t="shared" si="20"/>
        <v>#DIV/0!</v>
      </c>
      <c r="AF79" s="77" t="e">
        <f t="shared" si="20"/>
        <v>#DIV/0!</v>
      </c>
      <c r="AG79" s="77" t="e">
        <f t="shared" si="20"/>
        <v>#DIV/0!</v>
      </c>
      <c r="AH79" s="77" t="e">
        <f t="shared" si="20"/>
        <v>#DIV/0!</v>
      </c>
      <c r="AI79" s="77" t="e">
        <f t="shared" si="20"/>
        <v>#DIV/0!</v>
      </c>
      <c r="AJ79" s="77" t="e">
        <f t="shared" si="20"/>
        <v>#DIV/0!</v>
      </c>
      <c r="AK79" s="77" t="e">
        <f t="shared" si="20"/>
        <v>#DIV/0!</v>
      </c>
      <c r="AL79" s="77" t="e">
        <f t="shared" si="20"/>
        <v>#DIV/0!</v>
      </c>
    </row>
    <row r="80" spans="4:38" ht="18.75" customHeight="1" x14ac:dyDescent="0.35">
      <c r="D80" s="75" t="s">
        <v>68</v>
      </c>
      <c r="E80" s="2699" t="s">
        <v>69</v>
      </c>
      <c r="F80" s="2700" t="s">
        <v>17</v>
      </c>
      <c r="G80" s="47"/>
      <c r="H80" s="47"/>
      <c r="I80" s="47"/>
      <c r="J80" s="47"/>
      <c r="K80" s="47"/>
      <c r="L80" s="55"/>
      <c r="M80" s="55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195"/>
      <c r="Z80" s="590"/>
      <c r="AA80" s="172"/>
      <c r="AB80" s="172"/>
      <c r="AC80" s="172"/>
      <c r="AD80" s="172"/>
      <c r="AE80" s="172"/>
      <c r="AF80" s="172"/>
      <c r="AG80" s="172"/>
      <c r="AH80" s="172"/>
      <c r="AI80" s="172"/>
      <c r="AJ80" s="172"/>
      <c r="AK80" s="172"/>
      <c r="AL80" s="172"/>
    </row>
    <row r="81" spans="4:38" ht="18.75" customHeight="1" x14ac:dyDescent="0.35">
      <c r="D81" s="44" t="s">
        <v>70</v>
      </c>
      <c r="E81" s="2678"/>
      <c r="F81" s="2701"/>
      <c r="G81" s="60">
        <v>0.59040000000000004</v>
      </c>
      <c r="H81" s="425">
        <v>0.55030000000000001</v>
      </c>
      <c r="I81" s="60"/>
      <c r="J81" s="60"/>
      <c r="K81" s="47"/>
      <c r="L81" s="55"/>
      <c r="M81" s="55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195"/>
      <c r="Z81" s="591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</row>
    <row r="82" spans="4:38" ht="18.75" customHeight="1" x14ac:dyDescent="0.35">
      <c r="D82" s="44" t="s">
        <v>71</v>
      </c>
      <c r="E82" s="2678"/>
      <c r="F82" s="2701"/>
      <c r="G82" s="60">
        <v>1.5</v>
      </c>
      <c r="H82" s="425">
        <v>1.5483</v>
      </c>
      <c r="I82" s="60"/>
      <c r="J82" s="60"/>
      <c r="K82" s="47"/>
      <c r="L82" s="55"/>
      <c r="M82" s="55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195"/>
      <c r="Z82" s="591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</row>
    <row r="83" spans="4:38" ht="18.75" customHeight="1" x14ac:dyDescent="0.35">
      <c r="D83" s="44" t="s">
        <v>72</v>
      </c>
      <c r="E83" s="2678"/>
      <c r="F83" s="2701"/>
      <c r="G83" s="60">
        <v>3.6623999999999999</v>
      </c>
      <c r="H83" s="425">
        <v>3.44</v>
      </c>
      <c r="I83" s="60"/>
      <c r="J83" s="60"/>
      <c r="K83" s="47"/>
      <c r="L83" s="55"/>
      <c r="M83" s="55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195"/>
      <c r="Z83" s="591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</row>
    <row r="84" spans="4:38" ht="18.75" customHeight="1" x14ac:dyDescent="0.35">
      <c r="D84" s="44" t="s">
        <v>73</v>
      </c>
      <c r="E84" s="2678"/>
      <c r="F84" s="2701"/>
      <c r="G84" s="60">
        <v>0.40960000000000002</v>
      </c>
      <c r="H84" s="425">
        <v>0.44969999999999999</v>
      </c>
      <c r="I84" s="60"/>
      <c r="J84" s="60"/>
      <c r="K84" s="47"/>
      <c r="L84" s="55"/>
      <c r="M84" s="55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195"/>
      <c r="Z84" s="591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</row>
    <row r="85" spans="4:38" ht="18.75" customHeight="1" x14ac:dyDescent="0.35">
      <c r="D85" s="44" t="s">
        <v>74</v>
      </c>
      <c r="E85" s="2678"/>
      <c r="F85" s="2701"/>
      <c r="G85" s="77">
        <v>149.57</v>
      </c>
      <c r="H85" s="425">
        <v>163</v>
      </c>
      <c r="I85" s="77"/>
      <c r="J85" s="77"/>
      <c r="K85" s="47"/>
      <c r="L85" s="55"/>
      <c r="M85" s="55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195"/>
      <c r="Z85" s="591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</row>
    <row r="86" spans="4:38" ht="18.75" customHeight="1" thickBot="1" x14ac:dyDescent="0.4">
      <c r="D86" s="507" t="s">
        <v>75</v>
      </c>
      <c r="E86" s="2678"/>
      <c r="F86" s="2701"/>
      <c r="G86" s="508">
        <v>105.1005</v>
      </c>
      <c r="H86" s="426">
        <v>45</v>
      </c>
      <c r="I86" s="508"/>
      <c r="J86" s="508"/>
      <c r="K86" s="509"/>
      <c r="L86" s="510"/>
      <c r="M86" s="510"/>
      <c r="N86" s="511"/>
      <c r="O86" s="511"/>
      <c r="P86" s="511"/>
      <c r="Q86" s="511"/>
      <c r="R86" s="511"/>
      <c r="S86" s="511"/>
      <c r="T86" s="511"/>
      <c r="U86" s="511"/>
      <c r="V86" s="511"/>
      <c r="W86" s="511"/>
      <c r="X86" s="511"/>
      <c r="Y86" s="565"/>
      <c r="Z86" s="593"/>
      <c r="AA86" s="598"/>
      <c r="AB86" s="598"/>
      <c r="AC86" s="598"/>
      <c r="AD86" s="598"/>
      <c r="AE86" s="598"/>
      <c r="AF86" s="598"/>
      <c r="AG86" s="598"/>
      <c r="AH86" s="598"/>
      <c r="AI86" s="598"/>
      <c r="AJ86" s="598"/>
      <c r="AK86" s="598"/>
      <c r="AL86" s="598"/>
    </row>
    <row r="87" spans="4:38" ht="19.5" customHeight="1" x14ac:dyDescent="0.35">
      <c r="D87" s="513" t="s">
        <v>76</v>
      </c>
      <c r="E87" s="514" t="s">
        <v>77</v>
      </c>
      <c r="F87" s="515" t="s">
        <v>36</v>
      </c>
      <c r="G87" s="516">
        <v>22.94</v>
      </c>
      <c r="H87" s="516">
        <v>33.22</v>
      </c>
      <c r="I87" s="516"/>
      <c r="J87" s="516"/>
      <c r="K87" s="517"/>
      <c r="L87" s="518"/>
      <c r="M87" s="518"/>
      <c r="N87" s="519"/>
      <c r="O87" s="520"/>
      <c r="P87" s="519"/>
      <c r="Q87" s="519"/>
      <c r="R87" s="519"/>
      <c r="S87" s="519"/>
      <c r="T87" s="519"/>
      <c r="U87" s="519"/>
      <c r="V87" s="519"/>
      <c r="W87" s="519"/>
      <c r="X87" s="519"/>
      <c r="Y87" s="521"/>
      <c r="Z87" s="594"/>
      <c r="AA87" s="599"/>
      <c r="AB87" s="599"/>
      <c r="AC87" s="599"/>
      <c r="AD87" s="599"/>
      <c r="AE87" s="599"/>
      <c r="AF87" s="599"/>
      <c r="AG87" s="599"/>
      <c r="AH87" s="599"/>
      <c r="AI87" s="599"/>
      <c r="AJ87" s="599"/>
      <c r="AK87" s="599"/>
      <c r="AL87" s="599"/>
    </row>
    <row r="88" spans="4:38" ht="19.5" customHeight="1" x14ac:dyDescent="0.35">
      <c r="D88" s="44" t="s">
        <v>78</v>
      </c>
      <c r="E88" s="58" t="s">
        <v>79</v>
      </c>
      <c r="F88" s="102" t="s">
        <v>36</v>
      </c>
      <c r="G88" s="48">
        <v>12.22</v>
      </c>
      <c r="H88" s="48">
        <v>20.9</v>
      </c>
      <c r="I88" s="48"/>
      <c r="J88" s="48"/>
      <c r="K88" s="84"/>
      <c r="L88" s="85"/>
      <c r="M88" s="85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203"/>
      <c r="Z88" s="577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</row>
    <row r="89" spans="4:38" ht="19.5" customHeight="1" x14ac:dyDescent="0.35">
      <c r="D89" s="44" t="s">
        <v>80</v>
      </c>
      <c r="E89" s="161" t="s">
        <v>81</v>
      </c>
      <c r="F89" s="59" t="s">
        <v>36</v>
      </c>
      <c r="G89" s="48">
        <v>25.66</v>
      </c>
      <c r="H89" s="48">
        <v>31.59</v>
      </c>
      <c r="I89" s="48"/>
      <c r="J89" s="48"/>
      <c r="K89" s="77">
        <v>9.7379999999999995</v>
      </c>
      <c r="L89" s="62"/>
      <c r="M89" s="62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198"/>
      <c r="Z89" s="577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</row>
    <row r="90" spans="4:38" ht="19.5" customHeight="1" thickBot="1" x14ac:dyDescent="0.4">
      <c r="D90" s="116" t="s">
        <v>82</v>
      </c>
      <c r="E90" s="117" t="s">
        <v>83</v>
      </c>
      <c r="F90" s="118" t="s">
        <v>36</v>
      </c>
      <c r="G90" s="119"/>
      <c r="H90" s="119"/>
      <c r="I90" s="119"/>
      <c r="J90" s="119"/>
      <c r="K90" s="504">
        <v>126.87</v>
      </c>
      <c r="L90" s="505"/>
      <c r="M90" s="505"/>
      <c r="N90" s="506"/>
      <c r="O90" s="506"/>
      <c r="P90" s="506"/>
      <c r="Q90" s="506"/>
      <c r="R90" s="506"/>
      <c r="S90" s="506"/>
      <c r="T90" s="506"/>
      <c r="U90" s="527"/>
      <c r="V90" s="506"/>
      <c r="W90" s="506"/>
      <c r="X90" s="506"/>
      <c r="Y90" s="528"/>
      <c r="Z90" s="595"/>
      <c r="AA90" s="600"/>
      <c r="AB90" s="600"/>
      <c r="AC90" s="600"/>
      <c r="AD90" s="600"/>
      <c r="AE90" s="600"/>
      <c r="AF90" s="600"/>
      <c r="AG90" s="600"/>
      <c r="AH90" s="600"/>
      <c r="AI90" s="600"/>
      <c r="AJ90" s="600"/>
      <c r="AK90" s="600"/>
      <c r="AL90" s="600"/>
    </row>
    <row r="91" spans="4:38" ht="16.5" thickBot="1" x14ac:dyDescent="0.4">
      <c r="Y91" s="18"/>
      <c r="Z91" s="596"/>
    </row>
    <row r="92" spans="4:38" ht="16.5" thickBot="1" x14ac:dyDescent="0.4">
      <c r="D92" s="19" t="s">
        <v>11</v>
      </c>
      <c r="E92" s="20" t="s">
        <v>12</v>
      </c>
      <c r="F92" s="20" t="s">
        <v>13</v>
      </c>
      <c r="G92" s="20" t="s">
        <v>2</v>
      </c>
      <c r="H92" s="20" t="s">
        <v>2</v>
      </c>
      <c r="I92" s="20" t="s">
        <v>2</v>
      </c>
      <c r="J92" s="20"/>
      <c r="K92" s="20" t="s">
        <v>2</v>
      </c>
      <c r="L92" s="20" t="s">
        <v>2</v>
      </c>
      <c r="M92" s="20" t="s">
        <v>2</v>
      </c>
      <c r="N92" s="20" t="s">
        <v>2</v>
      </c>
      <c r="O92" s="20" t="s">
        <v>2</v>
      </c>
      <c r="P92" s="20" t="s">
        <v>2</v>
      </c>
      <c r="Q92" s="20" t="s">
        <v>2</v>
      </c>
      <c r="R92" s="20" t="s">
        <v>2</v>
      </c>
      <c r="S92" s="20" t="s">
        <v>2</v>
      </c>
      <c r="T92" s="20" t="s">
        <v>2</v>
      </c>
      <c r="U92" s="20" t="s">
        <v>2</v>
      </c>
      <c r="V92" s="20" t="s">
        <v>2</v>
      </c>
      <c r="W92" s="20" t="s">
        <v>2</v>
      </c>
      <c r="X92" s="20" t="s">
        <v>2</v>
      </c>
      <c r="Y92" s="20" t="s">
        <v>2</v>
      </c>
      <c r="Z92" s="20" t="s">
        <v>2</v>
      </c>
      <c r="AA92" s="20" t="s">
        <v>2</v>
      </c>
      <c r="AB92" s="20" t="s">
        <v>2</v>
      </c>
      <c r="AC92" s="20" t="s">
        <v>2</v>
      </c>
      <c r="AD92" s="20" t="s">
        <v>2</v>
      </c>
      <c r="AE92" s="20" t="s">
        <v>2</v>
      </c>
      <c r="AF92" s="20" t="s">
        <v>2</v>
      </c>
      <c r="AG92" s="20" t="s">
        <v>2</v>
      </c>
      <c r="AH92" s="20" t="s">
        <v>2</v>
      </c>
      <c r="AI92" s="20" t="s">
        <v>2</v>
      </c>
      <c r="AJ92" s="20" t="s">
        <v>2</v>
      </c>
      <c r="AK92" s="20" t="s">
        <v>2</v>
      </c>
      <c r="AL92" s="20" t="s">
        <v>2</v>
      </c>
    </row>
    <row r="93" spans="4:38" s="18" customFormat="1" x14ac:dyDescent="0.35">
      <c r="D93" s="23" t="s">
        <v>45</v>
      </c>
      <c r="E93" s="2707" t="s">
        <v>84</v>
      </c>
      <c r="F93" s="2710" t="s">
        <v>164</v>
      </c>
      <c r="G93" s="120">
        <v>0</v>
      </c>
      <c r="H93" s="120">
        <v>0</v>
      </c>
      <c r="I93" s="120">
        <v>0</v>
      </c>
      <c r="J93" s="120"/>
      <c r="K93" s="487"/>
      <c r="L93" s="487"/>
      <c r="M93" s="487"/>
      <c r="N93" s="487"/>
      <c r="O93" s="487"/>
      <c r="P93" s="487"/>
      <c r="Q93" s="487"/>
      <c r="R93" s="487"/>
      <c r="S93" s="487"/>
      <c r="T93" s="487"/>
      <c r="U93" s="487"/>
      <c r="V93" s="487"/>
      <c r="W93" s="487"/>
      <c r="X93" s="120"/>
      <c r="Y93" s="204"/>
      <c r="Z93" s="204"/>
      <c r="AA93" s="204"/>
      <c r="AB93" s="204"/>
      <c r="AC93" s="204"/>
      <c r="AD93" s="204"/>
      <c r="AE93" s="204"/>
      <c r="AF93" s="204"/>
      <c r="AG93" s="204"/>
      <c r="AH93" s="204"/>
      <c r="AI93" s="204"/>
      <c r="AJ93" s="204"/>
      <c r="AK93" s="204"/>
      <c r="AL93" s="204"/>
    </row>
    <row r="94" spans="4:38" ht="18" x14ac:dyDescent="0.45">
      <c r="D94" s="30" t="s">
        <v>86</v>
      </c>
      <c r="E94" s="2708"/>
      <c r="F94" s="2711"/>
      <c r="G94" s="121">
        <v>0</v>
      </c>
      <c r="H94" s="121">
        <v>0</v>
      </c>
      <c r="I94" s="121">
        <v>0</v>
      </c>
      <c r="J94" s="121"/>
      <c r="K94" s="488"/>
      <c r="L94" s="488"/>
      <c r="M94" s="488"/>
      <c r="N94" s="488"/>
      <c r="O94" s="488"/>
      <c r="P94" s="488"/>
      <c r="Q94" s="488"/>
      <c r="R94" s="488"/>
      <c r="S94" s="488"/>
      <c r="T94" s="488"/>
      <c r="U94" s="488"/>
      <c r="V94" s="488"/>
      <c r="W94" s="488"/>
      <c r="X94" s="121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</row>
    <row r="95" spans="4:38" ht="18" x14ac:dyDescent="0.35">
      <c r="D95" s="37" t="s">
        <v>87</v>
      </c>
      <c r="E95" s="2708"/>
      <c r="F95" s="2711"/>
      <c r="G95" s="121">
        <v>0</v>
      </c>
      <c r="H95" s="121">
        <v>0</v>
      </c>
      <c r="I95" s="121">
        <v>0</v>
      </c>
      <c r="J95" s="121"/>
      <c r="K95" s="488"/>
      <c r="L95" s="488"/>
      <c r="M95" s="488"/>
      <c r="N95" s="488"/>
      <c r="O95" s="488"/>
      <c r="P95" s="488"/>
      <c r="Q95" s="488"/>
      <c r="R95" s="488"/>
      <c r="S95" s="488"/>
      <c r="T95" s="488"/>
      <c r="U95" s="488"/>
      <c r="V95" s="488"/>
      <c r="W95" s="488"/>
      <c r="X95" s="121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</row>
    <row r="96" spans="4:38" ht="18" x14ac:dyDescent="0.35">
      <c r="D96" s="37" t="s">
        <v>88</v>
      </c>
      <c r="E96" s="2708"/>
      <c r="F96" s="2711"/>
      <c r="G96" s="121">
        <v>0</v>
      </c>
      <c r="H96" s="121">
        <v>0</v>
      </c>
      <c r="I96" s="121">
        <v>0</v>
      </c>
      <c r="J96" s="121"/>
      <c r="K96" s="488"/>
      <c r="L96" s="488"/>
      <c r="M96" s="488"/>
      <c r="N96" s="488"/>
      <c r="O96" s="488"/>
      <c r="P96" s="488"/>
      <c r="Q96" s="488"/>
      <c r="R96" s="488"/>
      <c r="S96" s="488"/>
      <c r="T96" s="488"/>
      <c r="U96" s="488"/>
      <c r="V96" s="488"/>
      <c r="W96" s="488"/>
      <c r="X96" s="121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</row>
    <row r="97" spans="4:38" ht="18" x14ac:dyDescent="0.35">
      <c r="D97" s="37" t="s">
        <v>377</v>
      </c>
      <c r="E97" s="2708"/>
      <c r="F97" s="2711"/>
      <c r="G97" s="121">
        <v>0</v>
      </c>
      <c r="H97" s="121">
        <v>0</v>
      </c>
      <c r="I97" s="121">
        <v>0</v>
      </c>
      <c r="J97" s="121"/>
      <c r="K97" s="488"/>
      <c r="L97" s="488"/>
      <c r="M97" s="488"/>
      <c r="N97" s="488"/>
      <c r="O97" s="488"/>
      <c r="P97" s="488"/>
      <c r="Q97" s="488"/>
      <c r="R97" s="488"/>
      <c r="S97" s="488"/>
      <c r="T97" s="488"/>
      <c r="U97" s="488"/>
      <c r="V97" s="488"/>
      <c r="W97" s="488"/>
      <c r="X97" s="121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</row>
    <row r="98" spans="4:38" ht="18" x14ac:dyDescent="0.45">
      <c r="D98" s="23" t="s">
        <v>89</v>
      </c>
      <c r="E98" s="2708"/>
      <c r="F98" s="2711"/>
      <c r="G98" s="122">
        <v>0</v>
      </c>
      <c r="H98" s="122">
        <v>0</v>
      </c>
      <c r="I98" s="122">
        <v>0</v>
      </c>
      <c r="J98" s="122"/>
      <c r="K98" s="489"/>
      <c r="L98" s="489"/>
      <c r="M98" s="489"/>
      <c r="N98" s="489"/>
      <c r="O98" s="489"/>
      <c r="P98" s="489"/>
      <c r="Q98" s="489"/>
      <c r="R98" s="489"/>
      <c r="S98" s="489"/>
      <c r="T98" s="489"/>
      <c r="U98" s="489"/>
      <c r="V98" s="489"/>
      <c r="W98" s="489"/>
      <c r="X98" s="122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</row>
    <row r="99" spans="4:38" ht="18.5" thickBot="1" x14ac:dyDescent="0.5">
      <c r="D99" s="233" t="s">
        <v>381</v>
      </c>
      <c r="E99" s="2708"/>
      <c r="F99" s="2711"/>
      <c r="G99" s="123">
        <v>0</v>
      </c>
      <c r="H99" s="123">
        <v>0</v>
      </c>
      <c r="I99" s="123">
        <v>0</v>
      </c>
      <c r="J99" s="123"/>
      <c r="K99" s="490"/>
      <c r="L99" s="490"/>
      <c r="M99" s="490"/>
      <c r="N99" s="490"/>
      <c r="O99" s="490"/>
      <c r="P99" s="490"/>
      <c r="Q99" s="490"/>
      <c r="R99" s="490"/>
      <c r="S99" s="490"/>
      <c r="T99" s="490"/>
      <c r="U99" s="490"/>
      <c r="V99" s="490"/>
      <c r="W99" s="490"/>
      <c r="X99" s="123"/>
      <c r="Y99" s="205"/>
      <c r="Z99" s="205"/>
      <c r="AA99" s="205"/>
      <c r="AB99" s="205"/>
      <c r="AC99" s="205"/>
      <c r="AD99" s="205"/>
      <c r="AE99" s="205"/>
      <c r="AF99" s="205"/>
      <c r="AG99" s="205"/>
      <c r="AH99" s="205"/>
      <c r="AI99" s="205"/>
      <c r="AJ99" s="205"/>
      <c r="AK99" s="205"/>
      <c r="AL99" s="205"/>
    </row>
    <row r="100" spans="4:38" s="237" customFormat="1" ht="16.5" thickTop="1" x14ac:dyDescent="0.35">
      <c r="D100" s="234" t="s">
        <v>378</v>
      </c>
      <c r="E100" s="2708"/>
      <c r="F100" s="2711"/>
      <c r="G100" s="235">
        <v>0</v>
      </c>
      <c r="H100" s="235">
        <v>0</v>
      </c>
      <c r="I100" s="235">
        <v>0</v>
      </c>
      <c r="J100" s="235"/>
      <c r="K100" s="447"/>
      <c r="L100" s="447"/>
      <c r="M100" s="447"/>
      <c r="N100" s="447"/>
      <c r="O100" s="447"/>
      <c r="P100" s="447"/>
      <c r="Q100" s="447"/>
      <c r="R100" s="447"/>
      <c r="S100" s="447"/>
      <c r="T100" s="447"/>
      <c r="U100" s="447"/>
      <c r="V100" s="447"/>
      <c r="W100" s="447"/>
      <c r="X100" s="235"/>
      <c r="Y100" s="236"/>
      <c r="Z100" s="236"/>
      <c r="AA100" s="236"/>
      <c r="AB100" s="236"/>
      <c r="AC100" s="236"/>
      <c r="AD100" s="236"/>
      <c r="AE100" s="236"/>
      <c r="AF100" s="236"/>
      <c r="AG100" s="236"/>
      <c r="AH100" s="236"/>
      <c r="AI100" s="236"/>
      <c r="AJ100" s="236"/>
      <c r="AK100" s="236"/>
      <c r="AL100" s="236"/>
    </row>
    <row r="101" spans="4:38" x14ac:dyDescent="0.35">
      <c r="D101" s="37" t="s">
        <v>90</v>
      </c>
      <c r="E101" s="2708"/>
      <c r="F101" s="2711"/>
      <c r="G101" s="121">
        <v>0</v>
      </c>
      <c r="H101" s="121">
        <v>0</v>
      </c>
      <c r="I101" s="121">
        <v>0</v>
      </c>
      <c r="J101" s="121"/>
      <c r="K101" s="488"/>
      <c r="L101" s="488"/>
      <c r="M101" s="488"/>
      <c r="N101" s="488"/>
      <c r="O101" s="488"/>
      <c r="P101" s="488"/>
      <c r="Q101" s="488"/>
      <c r="R101" s="488"/>
      <c r="S101" s="488"/>
      <c r="T101" s="488"/>
      <c r="U101" s="488"/>
      <c r="V101" s="488"/>
      <c r="W101" s="488"/>
      <c r="X101" s="121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</row>
    <row r="102" spans="4:38" ht="18" x14ac:dyDescent="0.35">
      <c r="D102" s="37" t="s">
        <v>91</v>
      </c>
      <c r="E102" s="2708"/>
      <c r="F102" s="2711"/>
      <c r="G102" s="121">
        <v>0</v>
      </c>
      <c r="H102" s="121">
        <v>0</v>
      </c>
      <c r="I102" s="121">
        <v>0</v>
      </c>
      <c r="J102" s="121"/>
      <c r="K102" s="488"/>
      <c r="L102" s="488"/>
      <c r="M102" s="488"/>
      <c r="N102" s="488"/>
      <c r="O102" s="488"/>
      <c r="P102" s="488"/>
      <c r="Q102" s="488"/>
      <c r="R102" s="488"/>
      <c r="S102" s="488"/>
      <c r="T102" s="488"/>
      <c r="U102" s="488"/>
      <c r="V102" s="488"/>
      <c r="W102" s="488"/>
      <c r="X102" s="121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</row>
    <row r="103" spans="4:38" ht="18" x14ac:dyDescent="0.45">
      <c r="D103" s="30" t="s">
        <v>85</v>
      </c>
      <c r="E103" s="2708"/>
      <c r="F103" s="2711"/>
      <c r="G103" s="123">
        <v>0</v>
      </c>
      <c r="H103" s="123">
        <v>0</v>
      </c>
      <c r="I103" s="123">
        <v>0</v>
      </c>
      <c r="J103" s="123"/>
      <c r="K103" s="490"/>
      <c r="L103" s="490"/>
      <c r="M103" s="490"/>
      <c r="N103" s="490"/>
      <c r="O103" s="490"/>
      <c r="P103" s="490"/>
      <c r="Q103" s="490"/>
      <c r="R103" s="490"/>
      <c r="S103" s="490"/>
      <c r="T103" s="490"/>
      <c r="U103" s="490"/>
      <c r="V103" s="490"/>
      <c r="W103" s="490"/>
      <c r="X103" s="123"/>
      <c r="Y103" s="205"/>
      <c r="Z103" s="205"/>
      <c r="AA103" s="205"/>
      <c r="AB103" s="205"/>
      <c r="AC103" s="205"/>
      <c r="AD103" s="205"/>
      <c r="AE103" s="205"/>
      <c r="AF103" s="205"/>
      <c r="AG103" s="205"/>
      <c r="AH103" s="205"/>
      <c r="AI103" s="205"/>
      <c r="AJ103" s="205"/>
      <c r="AK103" s="205"/>
      <c r="AL103" s="205"/>
    </row>
    <row r="104" spans="4:38" ht="18.5" thickBot="1" x14ac:dyDescent="0.4">
      <c r="D104" s="124" t="s">
        <v>165</v>
      </c>
      <c r="E104" s="2709"/>
      <c r="F104" s="2712"/>
      <c r="G104" s="125">
        <v>0</v>
      </c>
      <c r="H104" s="125">
        <v>0</v>
      </c>
      <c r="I104" s="125">
        <v>0</v>
      </c>
      <c r="J104" s="125"/>
      <c r="K104" s="491"/>
      <c r="L104" s="491"/>
      <c r="M104" s="491"/>
      <c r="N104" s="491"/>
      <c r="O104" s="491"/>
      <c r="P104" s="491"/>
      <c r="Q104" s="491"/>
      <c r="R104" s="491"/>
      <c r="S104" s="491"/>
      <c r="T104" s="491"/>
      <c r="U104" s="491"/>
      <c r="V104" s="491"/>
      <c r="W104" s="491"/>
      <c r="X104" s="125"/>
      <c r="Y104" s="206"/>
      <c r="Z104" s="206"/>
      <c r="AA104" s="206"/>
      <c r="AB104" s="206"/>
      <c r="AC104" s="206"/>
      <c r="AD104" s="206"/>
      <c r="AE104" s="206"/>
      <c r="AF104" s="206"/>
      <c r="AG104" s="206"/>
      <c r="AH104" s="206"/>
      <c r="AI104" s="206"/>
      <c r="AJ104" s="206"/>
      <c r="AK104" s="206"/>
      <c r="AL104" s="206"/>
    </row>
    <row r="105" spans="4:38" ht="16.5" thickBot="1" x14ac:dyDescent="0.4">
      <c r="D105" s="19" t="s">
        <v>11</v>
      </c>
      <c r="E105" s="20" t="s">
        <v>12</v>
      </c>
      <c r="F105" s="20" t="s">
        <v>13</v>
      </c>
      <c r="G105" s="20" t="s">
        <v>1</v>
      </c>
      <c r="H105" s="20" t="s">
        <v>1</v>
      </c>
      <c r="I105" s="20" t="s">
        <v>1</v>
      </c>
      <c r="J105" s="20"/>
      <c r="K105" s="20" t="s">
        <v>1</v>
      </c>
      <c r="L105" s="20" t="s">
        <v>1</v>
      </c>
      <c r="M105" s="20" t="s">
        <v>1</v>
      </c>
      <c r="N105" s="20" t="s">
        <v>1</v>
      </c>
      <c r="O105" s="20" t="s">
        <v>1</v>
      </c>
      <c r="P105" s="20" t="s">
        <v>1</v>
      </c>
      <c r="Q105" s="20" t="s">
        <v>1</v>
      </c>
      <c r="R105" s="20" t="s">
        <v>1</v>
      </c>
      <c r="S105" s="20" t="s">
        <v>1</v>
      </c>
      <c r="T105" s="20" t="s">
        <v>1</v>
      </c>
      <c r="U105" s="20" t="s">
        <v>1</v>
      </c>
      <c r="V105" s="20" t="s">
        <v>1</v>
      </c>
      <c r="W105" s="20" t="s">
        <v>1</v>
      </c>
      <c r="X105" s="20" t="s">
        <v>1</v>
      </c>
      <c r="Y105" s="20" t="s">
        <v>1</v>
      </c>
      <c r="Z105" s="20" t="s">
        <v>1</v>
      </c>
      <c r="AA105" s="20" t="s">
        <v>1</v>
      </c>
      <c r="AB105" s="20" t="s">
        <v>1</v>
      </c>
      <c r="AC105" s="20" t="s">
        <v>1</v>
      </c>
      <c r="AD105" s="20" t="s">
        <v>1</v>
      </c>
      <c r="AE105" s="20" t="s">
        <v>1</v>
      </c>
      <c r="AF105" s="20" t="s">
        <v>1</v>
      </c>
      <c r="AG105" s="20" t="s">
        <v>1</v>
      </c>
      <c r="AH105" s="20" t="s">
        <v>1</v>
      </c>
      <c r="AI105" s="20" t="s">
        <v>1</v>
      </c>
      <c r="AJ105" s="20" t="s">
        <v>1</v>
      </c>
      <c r="AK105" s="20" t="s">
        <v>1</v>
      </c>
      <c r="AL105" s="20" t="s">
        <v>1</v>
      </c>
    </row>
    <row r="106" spans="4:38" x14ac:dyDescent="0.35">
      <c r="D106" s="23" t="s">
        <v>45</v>
      </c>
      <c r="E106" s="2707" t="s">
        <v>84</v>
      </c>
      <c r="F106" s="2710" t="s">
        <v>18</v>
      </c>
      <c r="G106" s="120">
        <v>0</v>
      </c>
      <c r="H106" s="120">
        <v>0</v>
      </c>
      <c r="I106" s="120">
        <v>0</v>
      </c>
      <c r="J106" s="120"/>
      <c r="K106" s="120"/>
      <c r="L106" s="120"/>
      <c r="M106" s="120"/>
      <c r="N106" s="487"/>
      <c r="O106" s="487"/>
      <c r="P106" s="487"/>
      <c r="Q106" s="487"/>
      <c r="R106" s="487"/>
      <c r="S106" s="487"/>
      <c r="T106" s="487"/>
      <c r="U106" s="487"/>
      <c r="V106" s="487"/>
      <c r="W106" s="487"/>
      <c r="X106" s="487"/>
      <c r="Y106" s="567"/>
      <c r="Z106" s="567"/>
      <c r="AA106" s="567"/>
      <c r="AB106" s="567"/>
      <c r="AC106" s="567"/>
      <c r="AD106" s="567"/>
      <c r="AE106" s="567"/>
      <c r="AF106" s="567"/>
      <c r="AG106" s="567"/>
      <c r="AH106" s="567"/>
      <c r="AI106" s="567"/>
      <c r="AJ106" s="567"/>
      <c r="AK106" s="567"/>
      <c r="AL106" s="567"/>
    </row>
    <row r="107" spans="4:38" ht="18" x14ac:dyDescent="0.45">
      <c r="D107" s="30" t="s">
        <v>86</v>
      </c>
      <c r="E107" s="2708"/>
      <c r="F107" s="2711"/>
      <c r="G107" s="121">
        <v>0</v>
      </c>
      <c r="H107" s="121">
        <v>0</v>
      </c>
      <c r="I107" s="121">
        <v>0</v>
      </c>
      <c r="J107" s="121"/>
      <c r="K107" s="121"/>
      <c r="L107" s="121"/>
      <c r="M107" s="121"/>
      <c r="N107" s="488"/>
      <c r="O107" s="488"/>
      <c r="P107" s="488"/>
      <c r="Q107" s="488"/>
      <c r="R107" s="488"/>
      <c r="S107" s="488"/>
      <c r="T107" s="488"/>
      <c r="U107" s="488"/>
      <c r="V107" s="488"/>
      <c r="W107" s="488"/>
      <c r="X107" s="488"/>
      <c r="Y107" s="568"/>
      <c r="Z107" s="568"/>
      <c r="AA107" s="568"/>
      <c r="AB107" s="568"/>
      <c r="AC107" s="568"/>
      <c r="AD107" s="568"/>
      <c r="AE107" s="568"/>
      <c r="AF107" s="568"/>
      <c r="AG107" s="568"/>
      <c r="AH107" s="568"/>
      <c r="AI107" s="568"/>
      <c r="AJ107" s="568"/>
      <c r="AK107" s="568"/>
      <c r="AL107" s="568"/>
    </row>
    <row r="108" spans="4:38" ht="18" x14ac:dyDescent="0.35">
      <c r="D108" s="37" t="s">
        <v>87</v>
      </c>
      <c r="E108" s="2708"/>
      <c r="F108" s="2711"/>
      <c r="G108" s="121">
        <v>0</v>
      </c>
      <c r="H108" s="121">
        <v>0</v>
      </c>
      <c r="I108" s="121">
        <v>0</v>
      </c>
      <c r="J108" s="121"/>
      <c r="K108" s="121"/>
      <c r="L108" s="121"/>
      <c r="M108" s="121"/>
      <c r="N108" s="488"/>
      <c r="O108" s="488"/>
      <c r="P108" s="488"/>
      <c r="Q108" s="488"/>
      <c r="R108" s="488"/>
      <c r="S108" s="488"/>
      <c r="T108" s="488"/>
      <c r="U108" s="488"/>
      <c r="V108" s="488"/>
      <c r="W108" s="488"/>
      <c r="X108" s="488"/>
      <c r="Y108" s="568"/>
      <c r="Z108" s="568"/>
      <c r="AA108" s="568"/>
      <c r="AB108" s="568"/>
      <c r="AC108" s="568"/>
      <c r="AD108" s="568"/>
      <c r="AE108" s="568"/>
      <c r="AF108" s="568"/>
      <c r="AG108" s="568"/>
      <c r="AH108" s="568"/>
      <c r="AI108" s="568"/>
      <c r="AJ108" s="568"/>
      <c r="AK108" s="568"/>
      <c r="AL108" s="568"/>
    </row>
    <row r="109" spans="4:38" ht="18" x14ac:dyDescent="0.35">
      <c r="D109" s="37" t="s">
        <v>88</v>
      </c>
      <c r="E109" s="2708"/>
      <c r="F109" s="2711"/>
      <c r="G109" s="121">
        <v>0</v>
      </c>
      <c r="H109" s="121">
        <v>0</v>
      </c>
      <c r="I109" s="121">
        <v>0</v>
      </c>
      <c r="J109" s="121"/>
      <c r="K109" s="121"/>
      <c r="L109" s="121"/>
      <c r="M109" s="121"/>
      <c r="N109" s="488"/>
      <c r="O109" s="488"/>
      <c r="P109" s="488"/>
      <c r="Q109" s="488"/>
      <c r="R109" s="488"/>
      <c r="S109" s="488"/>
      <c r="T109" s="488"/>
      <c r="U109" s="488"/>
      <c r="V109" s="488"/>
      <c r="W109" s="488"/>
      <c r="X109" s="488"/>
      <c r="Y109" s="568"/>
      <c r="Z109" s="568"/>
      <c r="AA109" s="568"/>
      <c r="AB109" s="568"/>
      <c r="AC109" s="568"/>
      <c r="AD109" s="568"/>
      <c r="AE109" s="568"/>
      <c r="AF109" s="568"/>
      <c r="AG109" s="568"/>
      <c r="AH109" s="568"/>
      <c r="AI109" s="568"/>
      <c r="AJ109" s="568"/>
      <c r="AK109" s="568"/>
      <c r="AL109" s="568"/>
    </row>
    <row r="110" spans="4:38" x14ac:dyDescent="0.35">
      <c r="D110" s="37" t="s">
        <v>379</v>
      </c>
      <c r="E110" s="2708"/>
      <c r="F110" s="2711"/>
      <c r="G110" s="121">
        <v>0</v>
      </c>
      <c r="H110" s="121">
        <v>0</v>
      </c>
      <c r="I110" s="121">
        <v>0</v>
      </c>
      <c r="J110" s="121"/>
      <c r="K110" s="121"/>
      <c r="L110" s="121"/>
      <c r="M110" s="121"/>
      <c r="N110" s="488"/>
      <c r="O110" s="488"/>
      <c r="P110" s="488"/>
      <c r="Q110" s="488"/>
      <c r="R110" s="488"/>
      <c r="S110" s="488"/>
      <c r="T110" s="488"/>
      <c r="U110" s="488"/>
      <c r="V110" s="488"/>
      <c r="W110" s="488"/>
      <c r="X110" s="488"/>
      <c r="Y110" s="568"/>
      <c r="Z110" s="568"/>
      <c r="AA110" s="568"/>
      <c r="AB110" s="568"/>
      <c r="AC110" s="568"/>
      <c r="AD110" s="568"/>
      <c r="AE110" s="568"/>
      <c r="AF110" s="568"/>
      <c r="AG110" s="568"/>
      <c r="AH110" s="568"/>
      <c r="AI110" s="568"/>
      <c r="AJ110" s="568"/>
      <c r="AK110" s="568"/>
      <c r="AL110" s="568"/>
    </row>
    <row r="111" spans="4:38" ht="18" x14ac:dyDescent="0.45">
      <c r="D111" s="23" t="s">
        <v>89</v>
      </c>
      <c r="E111" s="2708"/>
      <c r="F111" s="2711"/>
      <c r="G111" s="122">
        <v>0</v>
      </c>
      <c r="H111" s="122">
        <v>0</v>
      </c>
      <c r="I111" s="122">
        <v>0</v>
      </c>
      <c r="J111" s="122"/>
      <c r="K111" s="122"/>
      <c r="L111" s="122"/>
      <c r="M111" s="122"/>
      <c r="N111" s="489"/>
      <c r="O111" s="489"/>
      <c r="P111" s="489"/>
      <c r="Q111" s="489"/>
      <c r="R111" s="489"/>
      <c r="S111" s="489"/>
      <c r="T111" s="489"/>
      <c r="U111" s="489"/>
      <c r="V111" s="489"/>
      <c r="W111" s="489"/>
      <c r="X111" s="489"/>
      <c r="Y111" s="569"/>
      <c r="Z111" s="569"/>
      <c r="AA111" s="569"/>
      <c r="AB111" s="569"/>
      <c r="AC111" s="569"/>
      <c r="AD111" s="569"/>
      <c r="AE111" s="569"/>
      <c r="AF111" s="569"/>
      <c r="AG111" s="569"/>
      <c r="AH111" s="569"/>
      <c r="AI111" s="569"/>
      <c r="AJ111" s="569"/>
      <c r="AK111" s="569"/>
      <c r="AL111" s="569"/>
    </row>
    <row r="112" spans="4:38" ht="18.5" thickBot="1" x14ac:dyDescent="0.5">
      <c r="D112" s="233" t="s">
        <v>380</v>
      </c>
      <c r="E112" s="2708"/>
      <c r="F112" s="2711"/>
      <c r="G112" s="123">
        <v>0</v>
      </c>
      <c r="H112" s="123">
        <v>0</v>
      </c>
      <c r="I112" s="123">
        <v>0</v>
      </c>
      <c r="J112" s="123"/>
      <c r="K112" s="123"/>
      <c r="L112" s="123"/>
      <c r="M112" s="123"/>
      <c r="N112" s="490"/>
      <c r="O112" s="490"/>
      <c r="P112" s="490"/>
      <c r="Q112" s="490"/>
      <c r="R112" s="490"/>
      <c r="S112" s="490"/>
      <c r="T112" s="490"/>
      <c r="U112" s="490"/>
      <c r="V112" s="490"/>
      <c r="W112" s="490"/>
      <c r="X112" s="490"/>
      <c r="Y112" s="570"/>
      <c r="Z112" s="570"/>
      <c r="AA112" s="570"/>
      <c r="AB112" s="570"/>
      <c r="AC112" s="570"/>
      <c r="AD112" s="570"/>
      <c r="AE112" s="570"/>
      <c r="AF112" s="570"/>
      <c r="AG112" s="570"/>
      <c r="AH112" s="570"/>
      <c r="AI112" s="570"/>
      <c r="AJ112" s="570"/>
      <c r="AK112" s="570"/>
      <c r="AL112" s="570"/>
    </row>
    <row r="113" spans="4:38" s="237" customFormat="1" ht="16.5" thickTop="1" x14ac:dyDescent="0.35">
      <c r="D113" s="234" t="s">
        <v>378</v>
      </c>
      <c r="E113" s="2708"/>
      <c r="F113" s="2711"/>
      <c r="G113" s="235">
        <v>0</v>
      </c>
      <c r="H113" s="235">
        <v>0</v>
      </c>
      <c r="I113" s="235">
        <v>0</v>
      </c>
      <c r="J113" s="235"/>
      <c r="K113" s="447"/>
      <c r="L113" s="447"/>
      <c r="M113" s="447"/>
      <c r="N113" s="447"/>
      <c r="O113" s="447"/>
      <c r="P113" s="447"/>
      <c r="Q113" s="447"/>
      <c r="R113" s="447"/>
      <c r="S113" s="447"/>
      <c r="T113" s="447"/>
      <c r="U113" s="447"/>
      <c r="V113" s="447"/>
      <c r="W113" s="447"/>
      <c r="X113" s="447"/>
      <c r="Y113" s="571"/>
      <c r="Z113" s="571"/>
      <c r="AA113" s="571"/>
      <c r="AB113" s="571"/>
      <c r="AC113" s="571"/>
      <c r="AD113" s="571"/>
      <c r="AE113" s="571"/>
      <c r="AF113" s="571"/>
      <c r="AG113" s="571"/>
      <c r="AH113" s="571"/>
      <c r="AI113" s="571"/>
      <c r="AJ113" s="571"/>
      <c r="AK113" s="571"/>
      <c r="AL113" s="571"/>
    </row>
    <row r="114" spans="4:38" x14ac:dyDescent="0.35">
      <c r="D114" s="37" t="s">
        <v>90</v>
      </c>
      <c r="E114" s="2708"/>
      <c r="F114" s="2711"/>
      <c r="G114" s="121">
        <v>0</v>
      </c>
      <c r="H114" s="121">
        <v>0</v>
      </c>
      <c r="I114" s="121">
        <v>0</v>
      </c>
      <c r="J114" s="121"/>
      <c r="K114" s="488"/>
      <c r="L114" s="488"/>
      <c r="M114" s="488"/>
      <c r="N114" s="488"/>
      <c r="O114" s="488"/>
      <c r="P114" s="488"/>
      <c r="Q114" s="488"/>
      <c r="R114" s="488"/>
      <c r="S114" s="488"/>
      <c r="T114" s="488"/>
      <c r="U114" s="488"/>
      <c r="V114" s="488"/>
      <c r="W114" s="488"/>
      <c r="X114" s="488"/>
      <c r="Y114" s="568"/>
      <c r="Z114" s="568"/>
      <c r="AA114" s="568"/>
      <c r="AB114" s="568"/>
      <c r="AC114" s="568"/>
      <c r="AD114" s="568"/>
      <c r="AE114" s="568"/>
      <c r="AF114" s="568"/>
      <c r="AG114" s="568"/>
      <c r="AH114" s="568"/>
      <c r="AI114" s="568"/>
      <c r="AJ114" s="568"/>
      <c r="AK114" s="568"/>
      <c r="AL114" s="568"/>
    </row>
    <row r="115" spans="4:38" ht="18" x14ac:dyDescent="0.35">
      <c r="D115" s="37" t="s">
        <v>91</v>
      </c>
      <c r="E115" s="2708"/>
      <c r="F115" s="2711"/>
      <c r="G115" s="121">
        <v>0</v>
      </c>
      <c r="H115" s="121">
        <v>0</v>
      </c>
      <c r="I115" s="121">
        <v>0</v>
      </c>
      <c r="J115" s="121"/>
      <c r="K115" s="488"/>
      <c r="L115" s="488"/>
      <c r="M115" s="488"/>
      <c r="N115" s="488"/>
      <c r="O115" s="488"/>
      <c r="P115" s="488"/>
      <c r="Q115" s="488"/>
      <c r="R115" s="488"/>
      <c r="S115" s="488"/>
      <c r="T115" s="488"/>
      <c r="U115" s="488"/>
      <c r="V115" s="488"/>
      <c r="W115" s="488"/>
      <c r="X115" s="488"/>
      <c r="Y115" s="568"/>
      <c r="Z115" s="568"/>
      <c r="AA115" s="568"/>
      <c r="AB115" s="568"/>
      <c r="AC115" s="568"/>
      <c r="AD115" s="568"/>
      <c r="AE115" s="568"/>
      <c r="AF115" s="568"/>
      <c r="AG115" s="568"/>
      <c r="AH115" s="568"/>
      <c r="AI115" s="568"/>
      <c r="AJ115" s="568"/>
      <c r="AK115" s="568"/>
      <c r="AL115" s="568"/>
    </row>
    <row r="116" spans="4:38" ht="18" x14ac:dyDescent="0.45">
      <c r="D116" s="30" t="s">
        <v>85</v>
      </c>
      <c r="E116" s="2708"/>
      <c r="F116" s="2711"/>
      <c r="G116" s="123">
        <v>0</v>
      </c>
      <c r="H116" s="123">
        <v>0</v>
      </c>
      <c r="I116" s="123">
        <v>0</v>
      </c>
      <c r="J116" s="123"/>
      <c r="K116" s="490"/>
      <c r="L116" s="490"/>
      <c r="M116" s="490"/>
      <c r="N116" s="490"/>
      <c r="O116" s="490"/>
      <c r="P116" s="490"/>
      <c r="Q116" s="490"/>
      <c r="R116" s="490"/>
      <c r="S116" s="490"/>
      <c r="T116" s="490"/>
      <c r="U116" s="490"/>
      <c r="V116" s="490"/>
      <c r="W116" s="490"/>
      <c r="X116" s="490"/>
      <c r="Y116" s="570"/>
      <c r="Z116" s="570"/>
      <c r="AA116" s="570"/>
      <c r="AB116" s="570"/>
      <c r="AC116" s="570"/>
      <c r="AD116" s="570"/>
      <c r="AE116" s="570"/>
      <c r="AF116" s="570"/>
      <c r="AG116" s="570"/>
      <c r="AH116" s="570"/>
      <c r="AI116" s="570"/>
      <c r="AJ116" s="570"/>
      <c r="AK116" s="570"/>
      <c r="AL116" s="570"/>
    </row>
    <row r="117" spans="4:38" ht="18.5" thickBot="1" x14ac:dyDescent="0.4">
      <c r="D117" s="124" t="s">
        <v>165</v>
      </c>
      <c r="E117" s="2709"/>
      <c r="F117" s="2712"/>
      <c r="G117" s="125">
        <v>0</v>
      </c>
      <c r="H117" s="125">
        <v>0</v>
      </c>
      <c r="I117" s="125">
        <v>0</v>
      </c>
      <c r="J117" s="125"/>
      <c r="K117" s="491"/>
      <c r="L117" s="491"/>
      <c r="M117" s="491"/>
      <c r="N117" s="491"/>
      <c r="O117" s="491"/>
      <c r="P117" s="491"/>
      <c r="Q117" s="491"/>
      <c r="R117" s="491"/>
      <c r="S117" s="491"/>
      <c r="T117" s="491"/>
      <c r="U117" s="491"/>
      <c r="V117" s="491"/>
      <c r="W117" s="491"/>
      <c r="X117" s="491"/>
      <c r="Y117" s="572"/>
      <c r="Z117" s="572"/>
      <c r="AA117" s="572"/>
      <c r="AB117" s="572"/>
      <c r="AC117" s="572"/>
      <c r="AD117" s="572"/>
      <c r="AE117" s="572"/>
      <c r="AF117" s="572"/>
      <c r="AG117" s="572"/>
      <c r="AH117" s="572"/>
      <c r="AI117" s="572"/>
      <c r="AJ117" s="572"/>
      <c r="AK117" s="572"/>
      <c r="AL117" s="572"/>
    </row>
    <row r="118" spans="4:38" x14ac:dyDescent="0.35">
      <c r="U118" s="147"/>
    </row>
    <row r="119" spans="4:38" x14ac:dyDescent="0.35">
      <c r="N119" s="18" t="s">
        <v>644</v>
      </c>
    </row>
    <row r="120" spans="4:38" x14ac:dyDescent="0.35">
      <c r="M120" s="2706"/>
      <c r="O120" s="44" t="s">
        <v>64</v>
      </c>
      <c r="P120" s="88">
        <v>18.8</v>
      </c>
      <c r="Q120" s="88">
        <v>18.399999999999999</v>
      </c>
      <c r="R120" s="88">
        <v>19.399999999999999</v>
      </c>
      <c r="S120" s="88">
        <v>17.399999999999999</v>
      </c>
      <c r="T120" s="88">
        <v>15.7</v>
      </c>
      <c r="U120" s="88">
        <v>13.8</v>
      </c>
      <c r="V120" s="88">
        <v>13.5</v>
      </c>
      <c r="Y120" s="18"/>
    </row>
    <row r="121" spans="4:38" x14ac:dyDescent="0.35">
      <c r="M121" s="2706"/>
      <c r="O121" s="44" t="s">
        <v>65</v>
      </c>
      <c r="P121" s="88">
        <v>76.599999999999994</v>
      </c>
      <c r="Q121" s="88">
        <v>72.3</v>
      </c>
      <c r="R121" s="88">
        <v>68.400000000000006</v>
      </c>
      <c r="S121" s="88">
        <v>68.2</v>
      </c>
      <c r="T121" s="88">
        <v>66.599999999999994</v>
      </c>
      <c r="U121" s="88">
        <v>68.7</v>
      </c>
      <c r="V121" s="88">
        <v>69.7</v>
      </c>
      <c r="Y121" s="18"/>
    </row>
    <row r="122" spans="4:38" x14ac:dyDescent="0.35">
      <c r="M122" s="2706"/>
      <c r="O122" s="44" t="s">
        <v>66</v>
      </c>
      <c r="P122" s="86">
        <v>0</v>
      </c>
      <c r="Q122" s="86">
        <v>4.7</v>
      </c>
      <c r="R122" s="86">
        <v>5.6</v>
      </c>
      <c r="S122" s="86">
        <v>7.5</v>
      </c>
      <c r="T122" s="86">
        <v>7.4</v>
      </c>
      <c r="U122" s="86">
        <v>9.1999999999999993</v>
      </c>
      <c r="V122" s="86">
        <v>8.6999999999999993</v>
      </c>
      <c r="Y122" s="18"/>
    </row>
    <row r="123" spans="4:38" x14ac:dyDescent="0.35">
      <c r="M123" s="2706"/>
      <c r="O123" s="44" t="s">
        <v>67</v>
      </c>
      <c r="P123" s="88">
        <v>4.7</v>
      </c>
      <c r="Q123" s="88">
        <v>4.5999999999999996</v>
      </c>
      <c r="R123" s="88">
        <v>6.7</v>
      </c>
      <c r="S123" s="88">
        <v>7</v>
      </c>
      <c r="T123" s="88">
        <v>10.3</v>
      </c>
      <c r="U123" s="88">
        <v>8.3000000000000007</v>
      </c>
      <c r="V123" s="88">
        <v>8.1</v>
      </c>
      <c r="Y123" s="18"/>
    </row>
    <row r="124" spans="4:38" x14ac:dyDescent="0.35">
      <c r="M124" s="2706"/>
      <c r="O124" s="44" t="s">
        <v>320</v>
      </c>
      <c r="P124" s="63">
        <f>(P$75+P$72)/(P$74+P$73)</f>
        <v>1</v>
      </c>
      <c r="Q124" s="63">
        <f t="shared" ref="Q124:V124" si="21">(Q$75+Q$72)/(Q$74+Q$73)</f>
        <v>1</v>
      </c>
      <c r="R124" s="63">
        <f t="shared" si="21"/>
        <v>1</v>
      </c>
      <c r="S124" s="63">
        <f t="shared" si="21"/>
        <v>1</v>
      </c>
      <c r="T124" s="63">
        <f t="shared" si="21"/>
        <v>1</v>
      </c>
      <c r="U124" s="63">
        <f t="shared" si="21"/>
        <v>1</v>
      </c>
      <c r="V124" s="63">
        <f t="shared" si="21"/>
        <v>1</v>
      </c>
      <c r="Y124" s="18"/>
    </row>
    <row r="127" spans="4:38" x14ac:dyDescent="0.35">
      <c r="P127" s="713"/>
      <c r="Q127" s="713"/>
      <c r="R127" s="713"/>
      <c r="S127" s="713"/>
      <c r="T127" s="713"/>
      <c r="U127" s="713"/>
    </row>
    <row r="128" spans="4:38" x14ac:dyDescent="0.35">
      <c r="P128" s="713"/>
      <c r="Q128" s="713"/>
      <c r="R128" s="713"/>
      <c r="S128" s="713"/>
      <c r="T128" s="713"/>
      <c r="U128" s="713"/>
    </row>
  </sheetData>
  <mergeCells count="26">
    <mergeCell ref="M120:M124"/>
    <mergeCell ref="E80:E86"/>
    <mergeCell ref="F80:F86"/>
    <mergeCell ref="E93:E104"/>
    <mergeCell ref="F93:F104"/>
    <mergeCell ref="E106:E117"/>
    <mergeCell ref="F106:F117"/>
    <mergeCell ref="E50:E63"/>
    <mergeCell ref="F50:F64"/>
    <mergeCell ref="E66:E72"/>
    <mergeCell ref="F66:F72"/>
    <mergeCell ref="E74:E78"/>
    <mergeCell ref="F74:F78"/>
    <mergeCell ref="D23:D25"/>
    <mergeCell ref="E24:E25"/>
    <mergeCell ref="E26:E29"/>
    <mergeCell ref="F26:F29"/>
    <mergeCell ref="E41:E46"/>
    <mergeCell ref="F41:F46"/>
    <mergeCell ref="D20:D22"/>
    <mergeCell ref="E21:E22"/>
    <mergeCell ref="D1:K1"/>
    <mergeCell ref="K4:N4"/>
    <mergeCell ref="O4:AI4"/>
    <mergeCell ref="E13:E19"/>
    <mergeCell ref="F13:F19"/>
  </mergeCells>
  <printOptions horizontalCentered="1"/>
  <pageMargins left="0.24" right="0.17" top="0.52" bottom="0.38" header="0.31496062992126" footer="0.16"/>
  <pageSetup paperSize="9" scale="47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E6E8A-AD18-4962-BD34-54FC934407A3}">
  <sheetPr codeName="Sheet10"/>
  <dimension ref="H51:AM57"/>
  <sheetViews>
    <sheetView topLeftCell="A10" zoomScaleNormal="100" workbookViewId="0">
      <selection activeCell="M51" sqref="M51"/>
    </sheetView>
  </sheetViews>
  <sheetFormatPr defaultRowHeight="14.5" x14ac:dyDescent="0.35"/>
  <sheetData>
    <row r="51" spans="8:39" x14ac:dyDescent="0.35">
      <c r="AL51">
        <v>4.5</v>
      </c>
      <c r="AM51">
        <v>250</v>
      </c>
    </row>
    <row r="52" spans="8:39" x14ac:dyDescent="0.35">
      <c r="V52">
        <v>10.5</v>
      </c>
      <c r="W52">
        <v>0</v>
      </c>
      <c r="AL52">
        <v>4.5</v>
      </c>
      <c r="AM52">
        <v>20</v>
      </c>
    </row>
    <row r="53" spans="8:39" x14ac:dyDescent="0.35">
      <c r="H53" t="s">
        <v>542</v>
      </c>
      <c r="I53">
        <v>4.5</v>
      </c>
      <c r="J53">
        <v>0</v>
      </c>
      <c r="V53">
        <v>10.5</v>
      </c>
      <c r="W53">
        <v>1000</v>
      </c>
    </row>
    <row r="54" spans="8:39" x14ac:dyDescent="0.35">
      <c r="I54">
        <v>4.5</v>
      </c>
      <c r="J54">
        <v>1</v>
      </c>
      <c r="AL54">
        <v>10.5</v>
      </c>
      <c r="AM54">
        <v>250</v>
      </c>
    </row>
    <row r="55" spans="8:39" x14ac:dyDescent="0.35">
      <c r="AL55">
        <v>10.5</v>
      </c>
      <c r="AM55">
        <v>20</v>
      </c>
    </row>
    <row r="56" spans="8:39" x14ac:dyDescent="0.35">
      <c r="I56">
        <v>10.5</v>
      </c>
      <c r="J56">
        <v>0</v>
      </c>
    </row>
    <row r="57" spans="8:39" x14ac:dyDescent="0.35">
      <c r="I57">
        <v>10.5</v>
      </c>
      <c r="J57">
        <v>1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CB195-85C9-49EC-919C-52E54D890252}">
  <dimension ref="B1:Q121"/>
  <sheetViews>
    <sheetView topLeftCell="A7" zoomScaleNormal="100" workbookViewId="0">
      <selection activeCell="H15" sqref="H15"/>
    </sheetView>
  </sheetViews>
  <sheetFormatPr defaultRowHeight="14.5" x14ac:dyDescent="0.35"/>
  <cols>
    <col min="3" max="3" width="16.1796875" customWidth="1"/>
    <col min="4" max="4" width="12.453125" customWidth="1"/>
    <col min="5" max="5" width="15.1796875" customWidth="1"/>
  </cols>
  <sheetData>
    <row r="1" spans="3:5" x14ac:dyDescent="0.35">
      <c r="D1" s="2288" t="s">
        <v>608</v>
      </c>
      <c r="E1" s="2288" t="s">
        <v>1043</v>
      </c>
    </row>
    <row r="2" spans="3:5" ht="22.5" customHeight="1" thickBot="1" x14ac:dyDescent="0.4">
      <c r="C2" s="2590" t="s">
        <v>1028</v>
      </c>
      <c r="D2" s="2591">
        <v>4099</v>
      </c>
      <c r="E2">
        <v>4042</v>
      </c>
    </row>
    <row r="3" spans="3:5" ht="22.5" customHeight="1" thickBot="1" x14ac:dyDescent="0.4">
      <c r="C3" s="2592" t="s">
        <v>1029</v>
      </c>
      <c r="D3" s="2593">
        <v>6.35</v>
      </c>
      <c r="E3">
        <v>5.9749999999999996</v>
      </c>
    </row>
    <row r="4" spans="3:5" ht="22.5" customHeight="1" thickBot="1" x14ac:dyDescent="0.4">
      <c r="C4" s="2590" t="s">
        <v>1030</v>
      </c>
      <c r="D4" s="2591">
        <v>25.44</v>
      </c>
      <c r="E4">
        <v>25.49</v>
      </c>
    </row>
    <row r="5" spans="3:5" ht="22.5" customHeight="1" thickBot="1" x14ac:dyDescent="0.4">
      <c r="C5" s="2592" t="s">
        <v>1031</v>
      </c>
      <c r="D5" s="2593">
        <v>17.91</v>
      </c>
      <c r="E5">
        <v>13.27</v>
      </c>
    </row>
    <row r="6" spans="3:5" ht="22.5" customHeight="1" thickBot="1" x14ac:dyDescent="0.4">
      <c r="C6" s="2590" t="s">
        <v>1032</v>
      </c>
      <c r="D6" s="2591">
        <v>0.9</v>
      </c>
    </row>
    <row r="7" spans="3:5" ht="22.5" customHeight="1" thickBot="1" x14ac:dyDescent="0.4">
      <c r="C7" s="2592" t="s">
        <v>1033</v>
      </c>
      <c r="D7" s="2593">
        <v>10.4</v>
      </c>
    </row>
    <row r="8" spans="3:5" ht="22.5" customHeight="1" thickBot="1" x14ac:dyDescent="0.4">
      <c r="C8" s="2590" t="s">
        <v>1034</v>
      </c>
      <c r="D8" s="2591">
        <v>13.9</v>
      </c>
    </row>
    <row r="9" spans="3:5" ht="22.5" customHeight="1" thickBot="1" x14ac:dyDescent="0.4">
      <c r="C9" s="2592" t="s">
        <v>1035</v>
      </c>
      <c r="D9" s="2593">
        <v>59.4</v>
      </c>
      <c r="E9">
        <v>61.59</v>
      </c>
    </row>
    <row r="10" spans="3:5" ht="22.5" customHeight="1" thickBot="1" x14ac:dyDescent="0.4">
      <c r="C10" s="2590" t="s">
        <v>1036</v>
      </c>
      <c r="D10" s="2591">
        <v>198</v>
      </c>
      <c r="E10">
        <v>200.01</v>
      </c>
    </row>
    <row r="11" spans="3:5" ht="22.5" customHeight="1" thickBot="1" x14ac:dyDescent="0.4">
      <c r="C11" s="2592" t="s">
        <v>1037</v>
      </c>
      <c r="D11" s="2593">
        <v>257.39999999999998</v>
      </c>
      <c r="E11">
        <f>E9+E10</f>
        <v>261.60000000000002</v>
      </c>
    </row>
    <row r="12" spans="3:5" ht="22.5" customHeight="1" thickBot="1" x14ac:dyDescent="0.4">
      <c r="C12" s="2590" t="s">
        <v>1038</v>
      </c>
      <c r="D12" s="2591">
        <v>88.04</v>
      </c>
      <c r="E12">
        <v>83.9</v>
      </c>
    </row>
    <row r="13" spans="3:5" ht="22.5" customHeight="1" thickBot="1" x14ac:dyDescent="0.4">
      <c r="C13" s="2592" t="s">
        <v>1039</v>
      </c>
      <c r="D13" s="2593">
        <v>10.09</v>
      </c>
      <c r="E13">
        <v>9.7479999999999993</v>
      </c>
    </row>
    <row r="14" spans="3:5" ht="22.5" customHeight="1" thickBot="1" x14ac:dyDescent="0.4">
      <c r="C14" s="2590" t="s">
        <v>1040</v>
      </c>
      <c r="D14" s="2591">
        <v>0.115</v>
      </c>
      <c r="E14" s="890">
        <f>E13/E12</f>
        <v>0.11618593563766387</v>
      </c>
    </row>
    <row r="15" spans="3:5" ht="22.5" customHeight="1" thickBot="1" x14ac:dyDescent="0.4">
      <c r="C15" s="2592" t="s">
        <v>1041</v>
      </c>
      <c r="D15" s="2593">
        <v>357</v>
      </c>
      <c r="E15" s="524"/>
    </row>
    <row r="16" spans="3:5" ht="22.5" customHeight="1" thickBot="1" x14ac:dyDescent="0.4">
      <c r="C16" s="2590" t="s">
        <v>1042</v>
      </c>
      <c r="D16" s="2594">
        <v>0.87039999999999995</v>
      </c>
      <c r="E16">
        <v>85.09</v>
      </c>
    </row>
    <row r="17" spans="2:17" ht="15" thickBot="1" x14ac:dyDescent="0.4">
      <c r="G17" t="s">
        <v>1047</v>
      </c>
    </row>
    <row r="18" spans="2:17" ht="15" thickBot="1" x14ac:dyDescent="0.4">
      <c r="C18" s="2595" t="s">
        <v>94</v>
      </c>
      <c r="D18" s="2597" t="s">
        <v>1046</v>
      </c>
      <c r="E18" t="s">
        <v>1045</v>
      </c>
      <c r="G18" s="2600" t="s">
        <v>1062</v>
      </c>
      <c r="H18" t="s">
        <v>1063</v>
      </c>
      <c r="I18" t="s">
        <v>1064</v>
      </c>
      <c r="J18" t="s">
        <v>1065</v>
      </c>
      <c r="K18" t="s">
        <v>1066</v>
      </c>
      <c r="L18" t="s">
        <v>1067</v>
      </c>
      <c r="M18" t="s">
        <v>1068</v>
      </c>
      <c r="N18" t="s">
        <v>1069</v>
      </c>
      <c r="O18" t="s">
        <v>1070</v>
      </c>
      <c r="P18" t="s">
        <v>1071</v>
      </c>
      <c r="Q18" t="s">
        <v>1072</v>
      </c>
    </row>
    <row r="19" spans="2:17" ht="15" thickBot="1" x14ac:dyDescent="0.4">
      <c r="B19">
        <v>0</v>
      </c>
      <c r="C19" s="2596" t="s">
        <v>60</v>
      </c>
      <c r="D19" s="2598">
        <v>361</v>
      </c>
      <c r="E19">
        <v>312.8</v>
      </c>
      <c r="G19" s="2600">
        <v>150.61000000000001</v>
      </c>
      <c r="H19">
        <v>150.33000000000001</v>
      </c>
      <c r="I19">
        <v>149.94</v>
      </c>
      <c r="J19">
        <v>153.88999999999999</v>
      </c>
      <c r="K19">
        <v>103.56</v>
      </c>
      <c r="L19">
        <v>108.67</v>
      </c>
      <c r="M19">
        <v>113.56</v>
      </c>
      <c r="N19">
        <v>112.17</v>
      </c>
      <c r="O19">
        <v>100.06</v>
      </c>
      <c r="P19">
        <v>99.94</v>
      </c>
      <c r="Q19">
        <v>113.11</v>
      </c>
    </row>
    <row r="20" spans="2:17" ht="15" thickBot="1" x14ac:dyDescent="0.4">
      <c r="B20">
        <v>1</v>
      </c>
      <c r="C20" s="2596" t="s">
        <v>442</v>
      </c>
      <c r="D20" s="2598">
        <v>389</v>
      </c>
      <c r="E20">
        <v>351.4</v>
      </c>
      <c r="G20" s="2600">
        <v>186.21</v>
      </c>
      <c r="H20">
        <v>184.44</v>
      </c>
      <c r="I20">
        <v>185.33</v>
      </c>
      <c r="J20">
        <v>190.5</v>
      </c>
      <c r="K20">
        <v>128.66999999999999</v>
      </c>
      <c r="L20">
        <v>131.38999999999999</v>
      </c>
      <c r="M20">
        <v>136.61000000000001</v>
      </c>
      <c r="N20">
        <v>135.22</v>
      </c>
      <c r="O20">
        <v>133.5</v>
      </c>
      <c r="P20">
        <v>134.78</v>
      </c>
      <c r="Q20">
        <v>139.5</v>
      </c>
    </row>
    <row r="21" spans="2:17" ht="15" thickBot="1" x14ac:dyDescent="0.4">
      <c r="B21">
        <v>2</v>
      </c>
      <c r="C21" s="2596" t="s">
        <v>443</v>
      </c>
      <c r="D21" s="2598">
        <v>425</v>
      </c>
      <c r="E21">
        <v>389.4</v>
      </c>
      <c r="G21" s="2600">
        <v>226.88</v>
      </c>
      <c r="H21">
        <v>224.17</v>
      </c>
      <c r="I21">
        <v>227</v>
      </c>
      <c r="J21">
        <v>232.17</v>
      </c>
      <c r="K21">
        <v>157.88999999999999</v>
      </c>
      <c r="L21">
        <v>159.06</v>
      </c>
      <c r="M21">
        <v>164</v>
      </c>
      <c r="N21">
        <v>164</v>
      </c>
      <c r="O21">
        <v>161.56</v>
      </c>
      <c r="P21">
        <v>163.72</v>
      </c>
      <c r="Q21">
        <v>165.28</v>
      </c>
    </row>
    <row r="22" spans="2:17" ht="15" thickBot="1" x14ac:dyDescent="0.4">
      <c r="B22">
        <v>3</v>
      </c>
      <c r="C22" s="2596" t="s">
        <v>444</v>
      </c>
      <c r="D22" s="2598">
        <v>463</v>
      </c>
      <c r="E22">
        <v>417.2</v>
      </c>
      <c r="G22" s="2600">
        <v>253.73</v>
      </c>
      <c r="H22">
        <v>251.94</v>
      </c>
      <c r="I22">
        <v>253.94</v>
      </c>
      <c r="J22">
        <v>259.22000000000003</v>
      </c>
      <c r="K22">
        <v>175.89</v>
      </c>
      <c r="L22">
        <v>178.83</v>
      </c>
      <c r="M22">
        <v>183</v>
      </c>
      <c r="N22">
        <v>183.39</v>
      </c>
      <c r="O22">
        <v>180.83</v>
      </c>
      <c r="P22">
        <v>182.67</v>
      </c>
      <c r="Q22">
        <v>185.39</v>
      </c>
    </row>
    <row r="23" spans="2:17" ht="15" thickBot="1" x14ac:dyDescent="0.4">
      <c r="B23">
        <v>4</v>
      </c>
      <c r="C23" s="2596" t="s">
        <v>445</v>
      </c>
      <c r="D23" s="2598">
        <v>493</v>
      </c>
      <c r="E23">
        <v>443.3</v>
      </c>
      <c r="G23" s="2600">
        <v>275.66000000000003</v>
      </c>
      <c r="H23">
        <v>272.83</v>
      </c>
      <c r="I23">
        <v>275.77999999999997</v>
      </c>
      <c r="J23">
        <v>281</v>
      </c>
      <c r="K23">
        <v>192.83</v>
      </c>
      <c r="L23">
        <v>195.72</v>
      </c>
      <c r="M23">
        <v>197.83</v>
      </c>
      <c r="N23">
        <v>198.72</v>
      </c>
      <c r="O23">
        <v>196.83</v>
      </c>
      <c r="P23">
        <v>197.72</v>
      </c>
      <c r="Q23">
        <v>200.56</v>
      </c>
    </row>
    <row r="24" spans="2:17" ht="15" thickBot="1" x14ac:dyDescent="0.4">
      <c r="B24">
        <v>5</v>
      </c>
      <c r="C24" s="2596" t="s">
        <v>446</v>
      </c>
      <c r="D24" s="2598">
        <v>511</v>
      </c>
      <c r="E24">
        <v>468.2</v>
      </c>
      <c r="G24" s="2600">
        <v>294.52999999999997</v>
      </c>
      <c r="H24">
        <v>292</v>
      </c>
      <c r="I24">
        <v>294.44</v>
      </c>
      <c r="J24">
        <v>299.22000000000003</v>
      </c>
      <c r="K24">
        <v>204.83</v>
      </c>
      <c r="L24">
        <v>208.33</v>
      </c>
      <c r="M24">
        <v>211.94</v>
      </c>
      <c r="N24">
        <v>213.5</v>
      </c>
      <c r="O24">
        <v>210.22</v>
      </c>
      <c r="P24">
        <v>212.39</v>
      </c>
      <c r="Q24">
        <v>215.17</v>
      </c>
    </row>
    <row r="25" spans="2:17" ht="15" thickBot="1" x14ac:dyDescent="0.4">
      <c r="B25">
        <v>6</v>
      </c>
      <c r="C25" s="2596" t="s">
        <v>447</v>
      </c>
      <c r="D25" s="2598">
        <v>523</v>
      </c>
      <c r="E25">
        <v>490.8</v>
      </c>
      <c r="G25" s="2600">
        <v>310.26</v>
      </c>
      <c r="H25">
        <v>307.72000000000003</v>
      </c>
      <c r="I25">
        <v>310.06</v>
      </c>
      <c r="J25">
        <v>314.33</v>
      </c>
      <c r="K25">
        <v>216.39</v>
      </c>
      <c r="L25">
        <v>219.11</v>
      </c>
      <c r="M25">
        <v>221.94</v>
      </c>
      <c r="N25">
        <v>223.67</v>
      </c>
      <c r="O25">
        <v>221.17</v>
      </c>
      <c r="P25">
        <v>222.67</v>
      </c>
      <c r="Q25">
        <v>225.67</v>
      </c>
    </row>
    <row r="26" spans="2:17" ht="15" thickBot="1" x14ac:dyDescent="0.4">
      <c r="B26">
        <v>7</v>
      </c>
      <c r="C26" s="2596" t="s">
        <v>448</v>
      </c>
      <c r="D26" s="2598">
        <v>532</v>
      </c>
      <c r="E26">
        <v>507.6</v>
      </c>
      <c r="G26" s="2600">
        <v>324.27999999999997</v>
      </c>
      <c r="H26">
        <v>321.61</v>
      </c>
      <c r="I26">
        <v>324</v>
      </c>
      <c r="J26">
        <v>327.83</v>
      </c>
      <c r="K26">
        <v>226.44</v>
      </c>
      <c r="L26">
        <v>229.72</v>
      </c>
      <c r="M26">
        <v>233.22</v>
      </c>
      <c r="N26">
        <v>234.28</v>
      </c>
      <c r="O26">
        <v>232.39</v>
      </c>
      <c r="P26">
        <v>234.22</v>
      </c>
      <c r="Q26">
        <v>235.11</v>
      </c>
    </row>
    <row r="27" spans="2:17" ht="15" thickBot="1" x14ac:dyDescent="0.4">
      <c r="B27">
        <v>8</v>
      </c>
      <c r="C27" s="2596" t="s">
        <v>449</v>
      </c>
      <c r="D27" s="2598">
        <v>538</v>
      </c>
      <c r="E27">
        <v>519.5</v>
      </c>
      <c r="G27" s="2600">
        <v>336.96</v>
      </c>
      <c r="H27">
        <v>334.39</v>
      </c>
      <c r="I27">
        <v>336.5</v>
      </c>
      <c r="J27">
        <v>340.33</v>
      </c>
      <c r="K27">
        <v>234.94</v>
      </c>
      <c r="L27">
        <v>239.28</v>
      </c>
      <c r="M27">
        <v>242.44</v>
      </c>
      <c r="N27">
        <v>244.39</v>
      </c>
      <c r="O27">
        <v>241.78</v>
      </c>
      <c r="P27">
        <v>244.11</v>
      </c>
      <c r="Q27">
        <v>245.89</v>
      </c>
    </row>
    <row r="28" spans="2:17" ht="15" thickBot="1" x14ac:dyDescent="0.4">
      <c r="B28">
        <v>9</v>
      </c>
      <c r="C28" s="2596" t="s">
        <v>450</v>
      </c>
      <c r="D28" s="2598">
        <v>543</v>
      </c>
      <c r="E28">
        <v>528.6</v>
      </c>
      <c r="G28" s="2600">
        <v>349.01</v>
      </c>
      <c r="H28">
        <v>346.39</v>
      </c>
      <c r="I28">
        <v>348.5</v>
      </c>
      <c r="J28">
        <v>351.67</v>
      </c>
      <c r="K28">
        <v>244.72</v>
      </c>
      <c r="L28">
        <v>249</v>
      </c>
      <c r="M28">
        <v>252.28</v>
      </c>
      <c r="N28">
        <v>253.5</v>
      </c>
      <c r="O28">
        <v>252.56</v>
      </c>
      <c r="P28">
        <v>253.61</v>
      </c>
      <c r="Q28">
        <v>254.78</v>
      </c>
    </row>
    <row r="29" spans="2:17" ht="15" thickBot="1" x14ac:dyDescent="0.4">
      <c r="B29">
        <v>10</v>
      </c>
      <c r="C29" s="2596" t="s">
        <v>451</v>
      </c>
      <c r="D29" s="2598">
        <v>548</v>
      </c>
      <c r="E29">
        <v>535.79999999999995</v>
      </c>
      <c r="G29" s="2600">
        <v>359.83</v>
      </c>
      <c r="H29">
        <v>357.11</v>
      </c>
      <c r="I29">
        <v>359.28</v>
      </c>
      <c r="J29">
        <v>362.22</v>
      </c>
      <c r="K29">
        <v>253.33</v>
      </c>
      <c r="L29">
        <v>256.94</v>
      </c>
      <c r="M29">
        <v>259.77999999999997</v>
      </c>
      <c r="N29">
        <v>262.06</v>
      </c>
      <c r="O29">
        <v>260.33</v>
      </c>
      <c r="P29">
        <v>262.22000000000003</v>
      </c>
      <c r="Q29">
        <v>263.89</v>
      </c>
    </row>
    <row r="30" spans="2:17" ht="15" thickBot="1" x14ac:dyDescent="0.4">
      <c r="B30">
        <v>11</v>
      </c>
      <c r="C30" s="2596" t="s">
        <v>452</v>
      </c>
      <c r="D30" s="2598">
        <v>553</v>
      </c>
      <c r="E30">
        <v>541.1</v>
      </c>
      <c r="G30" s="2600">
        <v>370.02</v>
      </c>
      <c r="H30">
        <v>367.56</v>
      </c>
      <c r="I30">
        <v>369.22</v>
      </c>
      <c r="J30">
        <v>372.06</v>
      </c>
      <c r="K30">
        <v>260.56</v>
      </c>
      <c r="L30">
        <v>265.44</v>
      </c>
      <c r="M30">
        <v>268.33</v>
      </c>
      <c r="N30">
        <v>270.22000000000003</v>
      </c>
      <c r="O30">
        <v>269.5</v>
      </c>
      <c r="P30">
        <v>270.56</v>
      </c>
      <c r="Q30">
        <v>271.33</v>
      </c>
    </row>
    <row r="31" spans="2:17" ht="15" thickBot="1" x14ac:dyDescent="0.4">
      <c r="B31">
        <v>12</v>
      </c>
      <c r="C31" s="2596" t="s">
        <v>453</v>
      </c>
      <c r="D31" s="2598">
        <v>557</v>
      </c>
      <c r="E31">
        <v>546</v>
      </c>
      <c r="G31" s="2600">
        <v>379.82</v>
      </c>
      <c r="H31">
        <v>377.33</v>
      </c>
      <c r="I31">
        <v>378.94</v>
      </c>
      <c r="J31">
        <v>381.39</v>
      </c>
      <c r="K31">
        <v>268.5</v>
      </c>
      <c r="L31">
        <v>272.44</v>
      </c>
      <c r="M31">
        <v>275.22000000000003</v>
      </c>
      <c r="N31">
        <v>277.72000000000003</v>
      </c>
      <c r="O31">
        <v>276.61</v>
      </c>
      <c r="P31">
        <v>278.44</v>
      </c>
      <c r="Q31">
        <v>279.61</v>
      </c>
    </row>
    <row r="32" spans="2:17" ht="15" thickBot="1" x14ac:dyDescent="0.4">
      <c r="B32">
        <v>13</v>
      </c>
      <c r="C32" s="2596" t="s">
        <v>454</v>
      </c>
      <c r="D32" s="2598">
        <v>560</v>
      </c>
      <c r="E32">
        <v>551.1</v>
      </c>
      <c r="G32" s="2600">
        <v>389.24</v>
      </c>
      <c r="H32">
        <v>386.44</v>
      </c>
      <c r="I32">
        <v>388.11</v>
      </c>
      <c r="J32">
        <v>390.44</v>
      </c>
      <c r="K32">
        <v>274.89</v>
      </c>
      <c r="L32">
        <v>280.17</v>
      </c>
      <c r="M32">
        <v>283.11</v>
      </c>
      <c r="N32">
        <v>285.83</v>
      </c>
      <c r="O32">
        <v>285.33</v>
      </c>
      <c r="P32">
        <v>286.5</v>
      </c>
      <c r="Q32">
        <v>286.89</v>
      </c>
    </row>
    <row r="33" spans="2:17" ht="15" thickBot="1" x14ac:dyDescent="0.4">
      <c r="B33">
        <v>14</v>
      </c>
      <c r="C33" s="2596" t="s">
        <v>455</v>
      </c>
      <c r="D33" s="2598">
        <v>564</v>
      </c>
      <c r="E33">
        <v>555.70000000000005</v>
      </c>
      <c r="G33" s="2600">
        <v>397.95</v>
      </c>
      <c r="H33">
        <v>395.17</v>
      </c>
      <c r="I33">
        <v>396.83</v>
      </c>
      <c r="J33">
        <v>399</v>
      </c>
      <c r="K33">
        <v>282.11</v>
      </c>
      <c r="L33">
        <v>287.17</v>
      </c>
      <c r="M33">
        <v>289.39</v>
      </c>
      <c r="N33">
        <v>292</v>
      </c>
      <c r="O33">
        <v>291.61</v>
      </c>
      <c r="P33">
        <v>293.27999999999997</v>
      </c>
      <c r="Q33">
        <v>293.94</v>
      </c>
    </row>
    <row r="34" spans="2:17" ht="15" thickBot="1" x14ac:dyDescent="0.4">
      <c r="B34">
        <v>15</v>
      </c>
      <c r="C34" s="2596" t="s">
        <v>456</v>
      </c>
      <c r="D34" s="2598">
        <v>567</v>
      </c>
      <c r="E34">
        <v>559.6</v>
      </c>
      <c r="G34" s="2600">
        <v>406.38</v>
      </c>
      <c r="H34">
        <v>403.5</v>
      </c>
      <c r="I34">
        <v>405.06</v>
      </c>
      <c r="J34">
        <v>407.06</v>
      </c>
      <c r="K34">
        <v>288.27999999999997</v>
      </c>
      <c r="L34">
        <v>293.67</v>
      </c>
      <c r="M34">
        <v>296</v>
      </c>
      <c r="N34">
        <v>298.94</v>
      </c>
      <c r="O34">
        <v>298.72000000000003</v>
      </c>
      <c r="P34">
        <v>300.5</v>
      </c>
      <c r="Q34">
        <v>300.89</v>
      </c>
    </row>
    <row r="35" spans="2:17" ht="15" thickBot="1" x14ac:dyDescent="0.4">
      <c r="B35">
        <v>16</v>
      </c>
      <c r="C35" s="2596" t="s">
        <v>457</v>
      </c>
      <c r="D35" s="2598">
        <v>570</v>
      </c>
      <c r="E35">
        <v>563.20000000000005</v>
      </c>
      <c r="G35" s="2600">
        <v>414.61</v>
      </c>
      <c r="H35">
        <v>411.61</v>
      </c>
      <c r="I35">
        <v>413.11</v>
      </c>
      <c r="J35">
        <v>415.11</v>
      </c>
      <c r="K35">
        <v>294.56</v>
      </c>
      <c r="L35">
        <v>300.27999999999997</v>
      </c>
      <c r="M35">
        <v>302.11</v>
      </c>
      <c r="N35">
        <v>304.61</v>
      </c>
      <c r="O35">
        <v>304.61</v>
      </c>
      <c r="P35">
        <v>306.33</v>
      </c>
      <c r="Q35">
        <v>306.77999999999997</v>
      </c>
    </row>
    <row r="36" spans="2:17" ht="15" thickBot="1" x14ac:dyDescent="0.4">
      <c r="B36">
        <v>17</v>
      </c>
      <c r="C36" s="2596" t="s">
        <v>458</v>
      </c>
      <c r="D36" s="2598">
        <v>573</v>
      </c>
      <c r="E36">
        <v>566.6</v>
      </c>
      <c r="G36" s="2600">
        <v>422.42</v>
      </c>
      <c r="H36">
        <v>419.56</v>
      </c>
      <c r="I36">
        <v>420.83</v>
      </c>
      <c r="J36">
        <v>422.67</v>
      </c>
      <c r="K36">
        <v>300.89</v>
      </c>
      <c r="L36">
        <v>305.61</v>
      </c>
      <c r="M36">
        <v>308.17</v>
      </c>
      <c r="N36">
        <v>310.83</v>
      </c>
      <c r="O36">
        <v>311</v>
      </c>
      <c r="P36">
        <v>312.72000000000003</v>
      </c>
      <c r="Q36">
        <v>313.06</v>
      </c>
    </row>
    <row r="37" spans="2:17" ht="15" thickBot="1" x14ac:dyDescent="0.4">
      <c r="B37">
        <v>18</v>
      </c>
      <c r="C37" s="2596" t="s">
        <v>459</v>
      </c>
      <c r="D37" s="2598">
        <v>575</v>
      </c>
      <c r="E37">
        <v>569.70000000000005</v>
      </c>
      <c r="G37" s="2600">
        <v>430.25</v>
      </c>
      <c r="H37">
        <v>427.17</v>
      </c>
      <c r="I37">
        <v>428.61</v>
      </c>
      <c r="J37">
        <v>430.28</v>
      </c>
      <c r="K37">
        <v>305.94</v>
      </c>
      <c r="L37">
        <v>311.5</v>
      </c>
      <c r="M37">
        <v>314.27999999999997</v>
      </c>
      <c r="N37">
        <v>316.44</v>
      </c>
      <c r="O37">
        <v>316.89</v>
      </c>
      <c r="P37">
        <v>318.27999999999997</v>
      </c>
      <c r="Q37">
        <v>318.39</v>
      </c>
    </row>
    <row r="38" spans="2:17" ht="15" thickBot="1" x14ac:dyDescent="0.4">
      <c r="B38">
        <v>19</v>
      </c>
      <c r="C38" s="2596" t="s">
        <v>460</v>
      </c>
      <c r="D38" s="2598">
        <v>578</v>
      </c>
      <c r="E38">
        <v>572.70000000000005</v>
      </c>
      <c r="G38" s="2600">
        <v>437.91</v>
      </c>
      <c r="H38">
        <v>434.67</v>
      </c>
      <c r="I38">
        <v>436.06</v>
      </c>
      <c r="J38">
        <v>437.67</v>
      </c>
      <c r="K38">
        <v>311.56</v>
      </c>
      <c r="L38">
        <v>316.94</v>
      </c>
      <c r="M38">
        <v>319.33</v>
      </c>
      <c r="N38">
        <v>322.33</v>
      </c>
      <c r="O38">
        <v>322.94</v>
      </c>
      <c r="P38">
        <v>324.61</v>
      </c>
      <c r="Q38">
        <v>324.56</v>
      </c>
    </row>
    <row r="39" spans="2:17" ht="15" thickBot="1" x14ac:dyDescent="0.4">
      <c r="B39">
        <v>20</v>
      </c>
      <c r="C39" s="2596" t="s">
        <v>461</v>
      </c>
      <c r="D39" s="2598">
        <v>581</v>
      </c>
      <c r="E39">
        <v>575.6</v>
      </c>
      <c r="G39" s="2600">
        <v>445.44</v>
      </c>
      <c r="H39">
        <v>442.11</v>
      </c>
      <c r="I39">
        <v>443.5</v>
      </c>
      <c r="J39">
        <v>445</v>
      </c>
      <c r="K39">
        <v>316.72000000000003</v>
      </c>
      <c r="L39">
        <v>322.67</v>
      </c>
      <c r="M39">
        <v>325.17</v>
      </c>
      <c r="N39">
        <v>328.33</v>
      </c>
      <c r="O39">
        <v>329.17</v>
      </c>
      <c r="P39">
        <v>330.28</v>
      </c>
      <c r="Q39">
        <v>330</v>
      </c>
    </row>
    <row r="40" spans="2:17" ht="15" thickBot="1" x14ac:dyDescent="0.4">
      <c r="B40">
        <v>21</v>
      </c>
      <c r="C40" s="2596" t="s">
        <v>462</v>
      </c>
      <c r="D40" s="2598">
        <v>584</v>
      </c>
      <c r="E40">
        <v>578.6</v>
      </c>
      <c r="G40" s="2600">
        <v>452.77</v>
      </c>
      <c r="H40">
        <v>449.5</v>
      </c>
      <c r="I40">
        <v>450.83</v>
      </c>
      <c r="J40">
        <v>452.17</v>
      </c>
      <c r="K40">
        <v>322.17</v>
      </c>
      <c r="L40">
        <v>328.5</v>
      </c>
      <c r="M40">
        <v>330.33</v>
      </c>
      <c r="N40">
        <v>333.44</v>
      </c>
      <c r="O40">
        <v>334.33</v>
      </c>
      <c r="P40">
        <v>335.72</v>
      </c>
      <c r="Q40">
        <v>335.44</v>
      </c>
    </row>
    <row r="41" spans="2:17" ht="15" thickBot="1" x14ac:dyDescent="0.4">
      <c r="B41">
        <v>22</v>
      </c>
      <c r="C41" s="2596" t="s">
        <v>463</v>
      </c>
      <c r="D41" s="2598">
        <v>587</v>
      </c>
      <c r="E41">
        <v>581.5</v>
      </c>
      <c r="G41" s="2600">
        <v>459.97</v>
      </c>
      <c r="H41">
        <v>456.67</v>
      </c>
      <c r="I41">
        <v>457.94</v>
      </c>
      <c r="J41">
        <v>459.17</v>
      </c>
      <c r="K41">
        <v>327.78</v>
      </c>
      <c r="L41">
        <v>333.39</v>
      </c>
      <c r="M41">
        <v>335.56</v>
      </c>
      <c r="N41">
        <v>338.78</v>
      </c>
      <c r="O41">
        <v>340</v>
      </c>
      <c r="P41">
        <v>341.83</v>
      </c>
      <c r="Q41">
        <v>341.39</v>
      </c>
    </row>
    <row r="42" spans="2:17" ht="15" thickBot="1" x14ac:dyDescent="0.4">
      <c r="B42">
        <v>23</v>
      </c>
      <c r="C42" s="2596" t="s">
        <v>464</v>
      </c>
      <c r="D42" s="2598">
        <v>589</v>
      </c>
      <c r="E42">
        <v>584.4</v>
      </c>
      <c r="G42" s="2600">
        <v>466.96</v>
      </c>
      <c r="H42">
        <v>463.72</v>
      </c>
      <c r="I42">
        <v>465</v>
      </c>
      <c r="J42">
        <v>466.06</v>
      </c>
      <c r="K42">
        <v>332.22</v>
      </c>
      <c r="L42">
        <v>338.61</v>
      </c>
      <c r="M42">
        <v>341.28</v>
      </c>
      <c r="N42">
        <v>344</v>
      </c>
      <c r="O42">
        <v>345.11</v>
      </c>
      <c r="P42">
        <v>346.78</v>
      </c>
      <c r="Q42">
        <v>346.28</v>
      </c>
    </row>
    <row r="43" spans="2:17" ht="15" thickBot="1" x14ac:dyDescent="0.4">
      <c r="B43">
        <v>24</v>
      </c>
      <c r="C43" s="2596" t="s">
        <v>465</v>
      </c>
      <c r="D43" s="2598">
        <v>592</v>
      </c>
      <c r="E43">
        <v>587.29999999999995</v>
      </c>
      <c r="G43" s="2600">
        <v>473.37</v>
      </c>
      <c r="H43">
        <v>470.22</v>
      </c>
      <c r="I43">
        <v>471.39</v>
      </c>
      <c r="J43">
        <v>472.33</v>
      </c>
      <c r="K43">
        <v>337.28</v>
      </c>
      <c r="L43">
        <v>343.89</v>
      </c>
      <c r="M43">
        <v>345.94</v>
      </c>
      <c r="N43">
        <v>349.28</v>
      </c>
      <c r="O43">
        <v>350.5</v>
      </c>
      <c r="P43">
        <v>352</v>
      </c>
      <c r="Q43">
        <v>351.44</v>
      </c>
    </row>
    <row r="44" spans="2:17" ht="15" thickBot="1" x14ac:dyDescent="0.4">
      <c r="B44">
        <v>25</v>
      </c>
      <c r="C44" s="2596" t="s">
        <v>466</v>
      </c>
      <c r="D44" s="2598">
        <v>595</v>
      </c>
      <c r="E44">
        <v>590.1</v>
      </c>
      <c r="G44" s="2600">
        <v>479.59</v>
      </c>
      <c r="H44">
        <v>476.39</v>
      </c>
      <c r="I44">
        <v>477.5</v>
      </c>
      <c r="J44">
        <v>478.39</v>
      </c>
      <c r="K44">
        <v>342.83</v>
      </c>
      <c r="L44">
        <v>348.94</v>
      </c>
      <c r="M44">
        <v>350.94</v>
      </c>
      <c r="N44">
        <v>354.17</v>
      </c>
      <c r="O44">
        <v>355.78</v>
      </c>
      <c r="P44">
        <v>356.78</v>
      </c>
      <c r="Q44">
        <v>356.22</v>
      </c>
    </row>
    <row r="45" spans="2:17" ht="15" thickBot="1" x14ac:dyDescent="0.4">
      <c r="B45">
        <v>26</v>
      </c>
      <c r="C45" s="2596" t="s">
        <v>467</v>
      </c>
      <c r="D45" s="2598">
        <v>598</v>
      </c>
      <c r="E45">
        <v>592.9</v>
      </c>
      <c r="G45" s="2600">
        <v>485.58</v>
      </c>
      <c r="H45">
        <v>482.33</v>
      </c>
      <c r="I45">
        <v>483.39</v>
      </c>
      <c r="J45">
        <v>484.22</v>
      </c>
      <c r="K45">
        <v>347.22</v>
      </c>
      <c r="L45">
        <v>353.72</v>
      </c>
      <c r="M45">
        <v>355.78</v>
      </c>
      <c r="N45">
        <v>358.83</v>
      </c>
      <c r="O45">
        <v>360.72</v>
      </c>
      <c r="P45">
        <v>362.11</v>
      </c>
      <c r="Q45">
        <v>361.44</v>
      </c>
    </row>
    <row r="46" spans="2:17" ht="15" thickBot="1" x14ac:dyDescent="0.4">
      <c r="B46">
        <v>27</v>
      </c>
      <c r="C46" s="2596" t="s">
        <v>468</v>
      </c>
      <c r="D46" s="2598">
        <v>600</v>
      </c>
      <c r="E46">
        <v>595.70000000000005</v>
      </c>
      <c r="G46" s="2600">
        <v>491.38</v>
      </c>
      <c r="H46">
        <v>488.11</v>
      </c>
      <c r="I46">
        <v>489.11</v>
      </c>
      <c r="J46">
        <v>489.89</v>
      </c>
      <c r="K46">
        <v>351.89</v>
      </c>
      <c r="L46">
        <v>358.22</v>
      </c>
      <c r="M46">
        <v>360.56</v>
      </c>
      <c r="N46">
        <v>363.83</v>
      </c>
      <c r="O46">
        <v>365.78</v>
      </c>
      <c r="P46">
        <v>367.28</v>
      </c>
      <c r="Q46">
        <v>366.44</v>
      </c>
    </row>
    <row r="47" spans="2:17" ht="15" thickBot="1" x14ac:dyDescent="0.4">
      <c r="B47">
        <v>28</v>
      </c>
      <c r="C47" s="2596" t="s">
        <v>469</v>
      </c>
      <c r="D47" s="2598">
        <v>603</v>
      </c>
      <c r="E47">
        <v>598.4</v>
      </c>
      <c r="G47" s="2600">
        <v>496.98</v>
      </c>
      <c r="H47">
        <v>493.67</v>
      </c>
      <c r="I47">
        <v>494.67</v>
      </c>
      <c r="J47">
        <v>495.39</v>
      </c>
      <c r="K47">
        <v>356.39</v>
      </c>
      <c r="L47">
        <v>363.28</v>
      </c>
      <c r="M47">
        <v>365.39</v>
      </c>
      <c r="N47">
        <v>368.44</v>
      </c>
      <c r="O47">
        <v>370.39</v>
      </c>
      <c r="P47">
        <v>371.94</v>
      </c>
      <c r="Q47">
        <v>371</v>
      </c>
    </row>
    <row r="48" spans="2:17" ht="15" thickBot="1" x14ac:dyDescent="0.4">
      <c r="B48">
        <v>29</v>
      </c>
      <c r="C48" s="2596" t="s">
        <v>470</v>
      </c>
      <c r="D48" s="2598">
        <v>606</v>
      </c>
      <c r="E48">
        <v>601.20000000000005</v>
      </c>
      <c r="G48" s="2600">
        <v>502.19</v>
      </c>
      <c r="H48">
        <v>498.94</v>
      </c>
      <c r="I48">
        <v>499.89</v>
      </c>
      <c r="J48">
        <v>500.56</v>
      </c>
      <c r="K48">
        <v>361.11</v>
      </c>
      <c r="L48">
        <v>368</v>
      </c>
      <c r="M48">
        <v>369.72</v>
      </c>
      <c r="N48">
        <v>373.28</v>
      </c>
      <c r="O48">
        <v>375.44</v>
      </c>
      <c r="P48">
        <v>376.89</v>
      </c>
      <c r="Q48">
        <v>375.89</v>
      </c>
    </row>
    <row r="49" spans="2:17" ht="15" thickBot="1" x14ac:dyDescent="0.4">
      <c r="B49">
        <v>30</v>
      </c>
      <c r="C49" s="2596" t="s">
        <v>471</v>
      </c>
      <c r="D49" s="2598">
        <v>609</v>
      </c>
      <c r="E49">
        <v>604.1</v>
      </c>
      <c r="G49" s="2600">
        <v>507.23</v>
      </c>
      <c r="H49">
        <v>503.94</v>
      </c>
      <c r="I49">
        <v>504.83</v>
      </c>
      <c r="J49">
        <v>505.44</v>
      </c>
      <c r="K49">
        <v>365.72</v>
      </c>
      <c r="L49">
        <v>372.61</v>
      </c>
      <c r="M49">
        <v>374.56</v>
      </c>
      <c r="N49">
        <v>378.11</v>
      </c>
      <c r="O49">
        <v>380.22</v>
      </c>
      <c r="P49">
        <v>381.5</v>
      </c>
      <c r="Q49">
        <v>380.44</v>
      </c>
    </row>
    <row r="50" spans="2:17" ht="15" thickBot="1" x14ac:dyDescent="0.4">
      <c r="B50">
        <v>31</v>
      </c>
      <c r="C50" s="2596" t="s">
        <v>472</v>
      </c>
      <c r="D50" s="2598">
        <v>612</v>
      </c>
      <c r="E50">
        <v>607</v>
      </c>
      <c r="G50" s="2600">
        <v>512.08000000000004</v>
      </c>
      <c r="H50">
        <v>508.83</v>
      </c>
      <c r="I50">
        <v>509.67</v>
      </c>
      <c r="J50">
        <v>510.22</v>
      </c>
      <c r="K50">
        <v>369.89</v>
      </c>
      <c r="L50">
        <v>377.28</v>
      </c>
      <c r="M50">
        <v>379.28</v>
      </c>
      <c r="N50">
        <v>382.5</v>
      </c>
      <c r="O50">
        <v>385.17</v>
      </c>
      <c r="P50">
        <v>386.56</v>
      </c>
      <c r="Q50">
        <v>385.44</v>
      </c>
    </row>
    <row r="51" spans="2:17" ht="15" thickBot="1" x14ac:dyDescent="0.4">
      <c r="B51">
        <v>32</v>
      </c>
      <c r="C51" s="2596" t="s">
        <v>473</v>
      </c>
      <c r="D51" s="2598">
        <v>615</v>
      </c>
      <c r="E51">
        <v>609.79999999999995</v>
      </c>
      <c r="G51" s="2600">
        <v>516.76</v>
      </c>
      <c r="H51">
        <v>513.5</v>
      </c>
      <c r="I51">
        <v>514.28</v>
      </c>
      <c r="J51">
        <v>514.83000000000004</v>
      </c>
      <c r="K51">
        <v>374.56</v>
      </c>
      <c r="L51">
        <v>381.67</v>
      </c>
      <c r="M51">
        <v>383.72</v>
      </c>
      <c r="N51">
        <v>387.22</v>
      </c>
      <c r="O51">
        <v>389.89</v>
      </c>
      <c r="P51">
        <v>391.11</v>
      </c>
      <c r="Q51">
        <v>390.06</v>
      </c>
    </row>
    <row r="52" spans="2:17" ht="15" thickBot="1" x14ac:dyDescent="0.4">
      <c r="B52">
        <v>33</v>
      </c>
      <c r="C52" s="2596" t="s">
        <v>474</v>
      </c>
      <c r="D52" s="2598">
        <v>618</v>
      </c>
      <c r="E52">
        <v>612.70000000000005</v>
      </c>
      <c r="G52" s="2600">
        <v>521.29</v>
      </c>
      <c r="H52">
        <v>518</v>
      </c>
      <c r="I52">
        <v>518.78</v>
      </c>
      <c r="J52">
        <v>519.28</v>
      </c>
      <c r="K52">
        <v>379.17</v>
      </c>
      <c r="L52">
        <v>386.5</v>
      </c>
      <c r="M52">
        <v>388.28</v>
      </c>
      <c r="N52">
        <v>391.5</v>
      </c>
      <c r="O52">
        <v>394.33</v>
      </c>
      <c r="P52">
        <v>395.78</v>
      </c>
      <c r="Q52">
        <v>394.44</v>
      </c>
    </row>
    <row r="53" spans="2:17" ht="15" thickBot="1" x14ac:dyDescent="0.4">
      <c r="B53">
        <v>34</v>
      </c>
      <c r="C53" s="2596" t="s">
        <v>475</v>
      </c>
      <c r="D53" s="2598">
        <v>621</v>
      </c>
      <c r="E53">
        <v>615.5</v>
      </c>
      <c r="G53" s="2600">
        <v>525.59</v>
      </c>
      <c r="H53">
        <v>522.39</v>
      </c>
      <c r="I53">
        <v>523.11</v>
      </c>
      <c r="J53">
        <v>523.55999999999995</v>
      </c>
      <c r="K53">
        <v>383.39</v>
      </c>
      <c r="L53">
        <v>390.89</v>
      </c>
      <c r="M53">
        <v>392.5</v>
      </c>
      <c r="N53">
        <v>396.11</v>
      </c>
      <c r="O53">
        <v>399.17</v>
      </c>
      <c r="P53">
        <v>400.56</v>
      </c>
      <c r="Q53">
        <v>399.17</v>
      </c>
    </row>
    <row r="54" spans="2:17" ht="15" thickBot="1" x14ac:dyDescent="0.4">
      <c r="B54">
        <v>35</v>
      </c>
      <c r="C54" s="2596" t="s">
        <v>476</v>
      </c>
      <c r="D54" s="2598">
        <v>624</v>
      </c>
      <c r="E54">
        <v>618.6</v>
      </c>
      <c r="G54" s="2600">
        <v>529.73</v>
      </c>
      <c r="H54">
        <v>526.55999999999995</v>
      </c>
      <c r="I54">
        <v>527.22</v>
      </c>
      <c r="J54">
        <v>527.72</v>
      </c>
      <c r="K54">
        <v>387.83</v>
      </c>
      <c r="L54">
        <v>395.22</v>
      </c>
      <c r="M54">
        <v>397.06</v>
      </c>
      <c r="N54">
        <v>400.72</v>
      </c>
      <c r="O54">
        <v>403.44</v>
      </c>
      <c r="P54">
        <v>404.94</v>
      </c>
      <c r="Q54">
        <v>403.44</v>
      </c>
    </row>
    <row r="55" spans="2:17" ht="15" thickBot="1" x14ac:dyDescent="0.4">
      <c r="B55">
        <v>36</v>
      </c>
      <c r="C55" s="2596" t="s">
        <v>477</v>
      </c>
      <c r="D55" s="2598">
        <v>627</v>
      </c>
      <c r="E55">
        <v>621.70000000000005</v>
      </c>
      <c r="G55" s="2600">
        <v>533.72</v>
      </c>
      <c r="H55">
        <v>530.61</v>
      </c>
      <c r="I55">
        <v>531.22</v>
      </c>
      <c r="J55">
        <v>531.72</v>
      </c>
      <c r="K55">
        <v>391.89</v>
      </c>
      <c r="L55">
        <v>399.83</v>
      </c>
      <c r="M55">
        <v>401.39</v>
      </c>
      <c r="N55">
        <v>404.89</v>
      </c>
      <c r="O55">
        <v>408.11</v>
      </c>
      <c r="P55">
        <v>409.61</v>
      </c>
      <c r="Q55">
        <v>408</v>
      </c>
    </row>
    <row r="56" spans="2:17" ht="15" thickBot="1" x14ac:dyDescent="0.4">
      <c r="B56">
        <v>37</v>
      </c>
      <c r="C56" s="2596" t="s">
        <v>478</v>
      </c>
      <c r="D56" s="2598">
        <v>630</v>
      </c>
      <c r="E56">
        <v>624.70000000000005</v>
      </c>
      <c r="G56" s="2600">
        <v>537.46</v>
      </c>
      <c r="H56">
        <v>534.5</v>
      </c>
      <c r="I56">
        <v>535.05999999999995</v>
      </c>
      <c r="J56">
        <v>535.55999999999995</v>
      </c>
      <c r="K56">
        <v>396.28</v>
      </c>
      <c r="L56">
        <v>403.94</v>
      </c>
      <c r="M56">
        <v>405.67</v>
      </c>
      <c r="N56">
        <v>409.33</v>
      </c>
      <c r="O56">
        <v>412.61</v>
      </c>
      <c r="P56">
        <v>414.06</v>
      </c>
      <c r="Q56">
        <v>412.39</v>
      </c>
    </row>
    <row r="57" spans="2:17" ht="15" thickBot="1" x14ac:dyDescent="0.4">
      <c r="B57">
        <v>38</v>
      </c>
      <c r="C57" s="2596" t="s">
        <v>479</v>
      </c>
      <c r="D57" s="2598">
        <v>633</v>
      </c>
      <c r="E57">
        <v>627.6</v>
      </c>
      <c r="G57" s="2600">
        <v>541.05999999999995</v>
      </c>
      <c r="H57">
        <v>538.16999999999996</v>
      </c>
      <c r="I57">
        <v>538.66999999999996</v>
      </c>
      <c r="J57">
        <v>539.11</v>
      </c>
      <c r="K57">
        <v>400.72</v>
      </c>
      <c r="L57">
        <v>408.33</v>
      </c>
      <c r="M57">
        <v>410.11</v>
      </c>
      <c r="N57">
        <v>413.61</v>
      </c>
      <c r="O57">
        <v>417.28</v>
      </c>
      <c r="P57">
        <v>418.67</v>
      </c>
      <c r="Q57">
        <v>416.94</v>
      </c>
    </row>
    <row r="58" spans="2:17" ht="15" thickBot="1" x14ac:dyDescent="0.4">
      <c r="B58">
        <v>39</v>
      </c>
      <c r="C58" s="2596" t="s">
        <v>480</v>
      </c>
      <c r="D58" s="2598">
        <v>637</v>
      </c>
      <c r="E58">
        <v>630.5</v>
      </c>
      <c r="G58" s="2600">
        <v>544.55999999999995</v>
      </c>
      <c r="H58">
        <v>541.66999999999996</v>
      </c>
      <c r="I58">
        <v>542.16999999999996</v>
      </c>
      <c r="J58">
        <v>542.61</v>
      </c>
      <c r="K58">
        <v>404.67</v>
      </c>
      <c r="L58">
        <v>412.61</v>
      </c>
      <c r="M58">
        <v>414.28</v>
      </c>
      <c r="N58">
        <v>418</v>
      </c>
      <c r="O58">
        <v>421.72</v>
      </c>
      <c r="P58">
        <v>423.06</v>
      </c>
      <c r="Q58">
        <v>421.28</v>
      </c>
    </row>
    <row r="59" spans="2:17" ht="15" thickBot="1" x14ac:dyDescent="0.4">
      <c r="B59">
        <v>40</v>
      </c>
      <c r="C59" s="2596" t="s">
        <v>481</v>
      </c>
      <c r="D59" s="2598">
        <v>640</v>
      </c>
      <c r="E59">
        <v>633.5</v>
      </c>
      <c r="G59" s="2600">
        <v>548.09</v>
      </c>
      <c r="H59">
        <v>545.11</v>
      </c>
      <c r="I59">
        <v>545.61</v>
      </c>
      <c r="J59">
        <v>546.05999999999995</v>
      </c>
      <c r="K59">
        <v>408.89</v>
      </c>
      <c r="L59">
        <v>417.06</v>
      </c>
      <c r="M59">
        <v>418.61</v>
      </c>
      <c r="N59">
        <v>422.22</v>
      </c>
      <c r="O59">
        <v>426.28</v>
      </c>
      <c r="P59">
        <v>427.72</v>
      </c>
      <c r="Q59">
        <v>425.78</v>
      </c>
    </row>
    <row r="60" spans="2:17" ht="15" thickBot="1" x14ac:dyDescent="0.4">
      <c r="B60">
        <v>41</v>
      </c>
      <c r="C60" s="2596" t="s">
        <v>482</v>
      </c>
      <c r="D60" s="2598">
        <v>643</v>
      </c>
      <c r="E60">
        <v>636.5</v>
      </c>
      <c r="G60" s="2600">
        <v>551.55999999999995</v>
      </c>
      <c r="H60">
        <v>548.61</v>
      </c>
      <c r="I60">
        <v>549.11</v>
      </c>
      <c r="J60">
        <v>549.5</v>
      </c>
      <c r="K60">
        <v>413</v>
      </c>
      <c r="L60">
        <v>421.33</v>
      </c>
      <c r="M60">
        <v>422.78</v>
      </c>
      <c r="N60">
        <v>426.67</v>
      </c>
      <c r="O60">
        <v>430.89</v>
      </c>
      <c r="P60">
        <v>432.22</v>
      </c>
      <c r="Q60">
        <v>430.28</v>
      </c>
    </row>
    <row r="61" spans="2:17" ht="15" thickBot="1" x14ac:dyDescent="0.4">
      <c r="B61">
        <v>42</v>
      </c>
      <c r="C61" s="2596" t="s">
        <v>483</v>
      </c>
      <c r="D61" s="2598">
        <v>647</v>
      </c>
      <c r="E61">
        <v>639.5</v>
      </c>
      <c r="G61" s="2600">
        <v>554.96</v>
      </c>
      <c r="H61">
        <v>552.05999999999995</v>
      </c>
      <c r="I61">
        <v>552.5</v>
      </c>
      <c r="J61">
        <v>552.89</v>
      </c>
      <c r="K61">
        <v>417.28</v>
      </c>
      <c r="L61">
        <v>425.61</v>
      </c>
      <c r="M61">
        <v>427.17</v>
      </c>
      <c r="N61">
        <v>431</v>
      </c>
      <c r="O61">
        <v>435.39</v>
      </c>
      <c r="P61">
        <v>436.83</v>
      </c>
      <c r="Q61">
        <v>434.72</v>
      </c>
    </row>
    <row r="62" spans="2:17" ht="15" thickBot="1" x14ac:dyDescent="0.4">
      <c r="B62">
        <v>43</v>
      </c>
      <c r="C62" s="2596" t="s">
        <v>484</v>
      </c>
      <c r="D62" s="2598">
        <v>651</v>
      </c>
      <c r="E62">
        <v>642.70000000000005</v>
      </c>
      <c r="G62" s="2600">
        <v>558.17999999999995</v>
      </c>
      <c r="H62">
        <v>555.44000000000005</v>
      </c>
      <c r="I62">
        <v>555.83000000000004</v>
      </c>
      <c r="J62">
        <v>556.22</v>
      </c>
      <c r="K62">
        <v>421.39</v>
      </c>
      <c r="L62">
        <v>430.06</v>
      </c>
      <c r="M62">
        <v>431.44</v>
      </c>
      <c r="N62">
        <v>435.39</v>
      </c>
      <c r="O62">
        <v>440</v>
      </c>
      <c r="P62">
        <v>441.33</v>
      </c>
      <c r="Q62">
        <v>439.28</v>
      </c>
    </row>
    <row r="63" spans="2:17" ht="15" thickBot="1" x14ac:dyDescent="0.4">
      <c r="B63">
        <v>44</v>
      </c>
      <c r="C63" s="2596" t="s">
        <v>485</v>
      </c>
      <c r="D63" s="2598">
        <v>655</v>
      </c>
      <c r="E63">
        <v>646.1</v>
      </c>
      <c r="G63" s="2600">
        <v>561.30999999999995</v>
      </c>
      <c r="H63">
        <v>558.61</v>
      </c>
      <c r="I63">
        <v>558.94000000000005</v>
      </c>
      <c r="J63">
        <v>559.33000000000004</v>
      </c>
      <c r="K63">
        <v>425.56</v>
      </c>
      <c r="L63">
        <v>434.33</v>
      </c>
      <c r="M63">
        <v>435.83</v>
      </c>
      <c r="N63">
        <v>439.83</v>
      </c>
      <c r="O63">
        <v>444.56</v>
      </c>
      <c r="P63">
        <v>446.11</v>
      </c>
      <c r="Q63">
        <v>443.72</v>
      </c>
    </row>
    <row r="64" spans="2:17" ht="15" thickBot="1" x14ac:dyDescent="0.4">
      <c r="B64">
        <v>45</v>
      </c>
      <c r="C64" s="2596" t="s">
        <v>486</v>
      </c>
      <c r="D64" s="2598">
        <v>659</v>
      </c>
      <c r="E64">
        <v>649.29999999999995</v>
      </c>
      <c r="G64" s="2600">
        <v>564.41</v>
      </c>
      <c r="H64">
        <v>561.66999999999996</v>
      </c>
      <c r="I64">
        <v>562</v>
      </c>
      <c r="J64">
        <v>562.39</v>
      </c>
      <c r="K64">
        <v>429.83</v>
      </c>
      <c r="L64">
        <v>438.78</v>
      </c>
      <c r="M64">
        <v>440.17</v>
      </c>
      <c r="N64">
        <v>444.17</v>
      </c>
      <c r="O64">
        <v>449.28</v>
      </c>
      <c r="P64">
        <v>450.67</v>
      </c>
      <c r="Q64">
        <v>448.33</v>
      </c>
    </row>
    <row r="65" spans="2:17" ht="15" thickBot="1" x14ac:dyDescent="0.4">
      <c r="B65">
        <v>46</v>
      </c>
      <c r="C65" s="2596" t="s">
        <v>487</v>
      </c>
      <c r="D65" s="2598">
        <v>664</v>
      </c>
      <c r="E65">
        <v>652.5</v>
      </c>
      <c r="G65" s="2600">
        <v>567.38</v>
      </c>
      <c r="H65">
        <v>564.72</v>
      </c>
      <c r="I65">
        <v>565.05999999999995</v>
      </c>
      <c r="J65">
        <v>565.39</v>
      </c>
      <c r="K65">
        <v>433.94</v>
      </c>
      <c r="L65">
        <v>443.06</v>
      </c>
      <c r="M65">
        <v>444.5</v>
      </c>
      <c r="N65">
        <v>448.72</v>
      </c>
      <c r="O65">
        <v>453.83</v>
      </c>
      <c r="P65">
        <v>455.39</v>
      </c>
      <c r="Q65">
        <v>452.83</v>
      </c>
    </row>
    <row r="66" spans="2:17" ht="15" thickBot="1" x14ac:dyDescent="0.4">
      <c r="B66">
        <v>47</v>
      </c>
      <c r="C66" s="2596" t="s">
        <v>488</v>
      </c>
      <c r="D66" s="2598">
        <v>669</v>
      </c>
      <c r="E66">
        <v>655.5</v>
      </c>
      <c r="G66" s="2600">
        <v>570.25</v>
      </c>
      <c r="H66">
        <v>567.61</v>
      </c>
      <c r="I66">
        <v>567.94000000000005</v>
      </c>
      <c r="J66">
        <v>568.28</v>
      </c>
      <c r="K66">
        <v>438.22</v>
      </c>
      <c r="L66">
        <v>447.61</v>
      </c>
      <c r="M66">
        <v>448.94</v>
      </c>
      <c r="N66">
        <v>453.17</v>
      </c>
      <c r="O66">
        <v>458.5</v>
      </c>
      <c r="P66">
        <v>460.06</v>
      </c>
      <c r="Q66">
        <v>457.39</v>
      </c>
    </row>
    <row r="67" spans="2:17" ht="15" thickBot="1" x14ac:dyDescent="0.4">
      <c r="B67">
        <v>48</v>
      </c>
      <c r="C67" s="2596" t="s">
        <v>489</v>
      </c>
      <c r="D67" s="2598">
        <v>674</v>
      </c>
      <c r="E67">
        <v>658.9</v>
      </c>
      <c r="G67" s="2600">
        <v>573.13</v>
      </c>
      <c r="H67">
        <v>570.5</v>
      </c>
      <c r="I67">
        <v>570.78</v>
      </c>
      <c r="J67">
        <v>571.05999999999995</v>
      </c>
      <c r="K67">
        <v>442.39</v>
      </c>
      <c r="L67">
        <v>452</v>
      </c>
      <c r="M67">
        <v>453.39</v>
      </c>
      <c r="N67">
        <v>457.61</v>
      </c>
      <c r="O67">
        <v>463.22</v>
      </c>
      <c r="P67">
        <v>464.78</v>
      </c>
      <c r="Q67">
        <v>462</v>
      </c>
    </row>
    <row r="68" spans="2:17" ht="15" thickBot="1" x14ac:dyDescent="0.4">
      <c r="B68">
        <v>49</v>
      </c>
      <c r="C68" s="2596" t="s">
        <v>490</v>
      </c>
      <c r="D68" s="2598">
        <v>681</v>
      </c>
      <c r="E68">
        <v>663</v>
      </c>
      <c r="G68" s="2600">
        <v>576.02</v>
      </c>
      <c r="H68">
        <v>573.33000000000004</v>
      </c>
      <c r="I68">
        <v>573.61</v>
      </c>
      <c r="J68">
        <v>573.89</v>
      </c>
      <c r="K68">
        <v>446.78</v>
      </c>
      <c r="L68">
        <v>456.5</v>
      </c>
      <c r="M68">
        <v>457.78</v>
      </c>
      <c r="N68">
        <v>462.11</v>
      </c>
      <c r="O68">
        <v>467.78</v>
      </c>
      <c r="P68">
        <v>469.22</v>
      </c>
      <c r="Q68">
        <v>466.56</v>
      </c>
    </row>
    <row r="69" spans="2:17" ht="15" thickBot="1" x14ac:dyDescent="0.4">
      <c r="B69">
        <v>50</v>
      </c>
      <c r="C69" s="2596" t="s">
        <v>491</v>
      </c>
      <c r="D69" s="2598">
        <v>688</v>
      </c>
      <c r="E69">
        <v>667.3</v>
      </c>
      <c r="G69" s="2600">
        <v>579.03</v>
      </c>
      <c r="H69">
        <v>576.16999999999996</v>
      </c>
      <c r="I69">
        <v>576.44000000000005</v>
      </c>
      <c r="J69">
        <v>576.78</v>
      </c>
      <c r="K69">
        <v>451.06</v>
      </c>
      <c r="L69">
        <v>460.94</v>
      </c>
      <c r="M69">
        <v>462.22</v>
      </c>
      <c r="N69">
        <v>466.56</v>
      </c>
      <c r="O69">
        <v>472.22</v>
      </c>
      <c r="P69">
        <v>473.67</v>
      </c>
      <c r="Q69">
        <v>470.89</v>
      </c>
    </row>
    <row r="70" spans="2:17" ht="15" thickBot="1" x14ac:dyDescent="0.4">
      <c r="B70">
        <v>51</v>
      </c>
      <c r="C70" s="2596" t="s">
        <v>492</v>
      </c>
      <c r="D70" s="2598">
        <v>695</v>
      </c>
      <c r="E70">
        <v>671.7</v>
      </c>
      <c r="G70" s="2600">
        <v>582.04999999999995</v>
      </c>
      <c r="H70">
        <v>579.16999999999996</v>
      </c>
      <c r="I70">
        <v>579.39</v>
      </c>
      <c r="J70">
        <v>579.72</v>
      </c>
      <c r="K70">
        <v>455.39</v>
      </c>
      <c r="L70">
        <v>465.5</v>
      </c>
      <c r="M70">
        <v>466.61</v>
      </c>
      <c r="N70">
        <v>470.78</v>
      </c>
      <c r="O70">
        <v>476.61</v>
      </c>
      <c r="P70">
        <v>478.06</v>
      </c>
      <c r="Q70">
        <v>475.17</v>
      </c>
    </row>
    <row r="71" spans="2:17" ht="15" thickBot="1" x14ac:dyDescent="0.4">
      <c r="B71">
        <v>52</v>
      </c>
      <c r="C71" s="2596" t="s">
        <v>493</v>
      </c>
      <c r="D71" s="2598">
        <v>705</v>
      </c>
      <c r="E71">
        <v>676.2</v>
      </c>
      <c r="G71" s="2600">
        <v>585.01</v>
      </c>
      <c r="H71">
        <v>582.11</v>
      </c>
      <c r="I71">
        <v>582.39</v>
      </c>
      <c r="J71">
        <v>582.66999999999996</v>
      </c>
      <c r="K71">
        <v>459.67</v>
      </c>
      <c r="L71">
        <v>469.72</v>
      </c>
      <c r="M71">
        <v>470.78</v>
      </c>
      <c r="N71">
        <v>474.94</v>
      </c>
      <c r="O71">
        <v>481.06</v>
      </c>
      <c r="P71">
        <v>482.44</v>
      </c>
      <c r="Q71">
        <v>479.56</v>
      </c>
    </row>
    <row r="72" spans="2:17" ht="15" thickBot="1" x14ac:dyDescent="0.4">
      <c r="B72">
        <v>53</v>
      </c>
      <c r="C72" s="2596" t="s">
        <v>494</v>
      </c>
      <c r="D72" s="2598">
        <v>718</v>
      </c>
      <c r="E72">
        <v>681.9</v>
      </c>
      <c r="G72" s="2600">
        <v>587.85</v>
      </c>
      <c r="H72">
        <v>585</v>
      </c>
      <c r="I72">
        <v>585.28</v>
      </c>
      <c r="J72">
        <v>585.5</v>
      </c>
      <c r="K72">
        <v>464.11</v>
      </c>
      <c r="L72">
        <v>473.94</v>
      </c>
      <c r="M72">
        <v>474.94</v>
      </c>
      <c r="N72">
        <v>479.17</v>
      </c>
      <c r="O72">
        <v>485.44</v>
      </c>
      <c r="P72">
        <v>486.94</v>
      </c>
      <c r="Q72">
        <v>483.83</v>
      </c>
    </row>
    <row r="73" spans="2:17" ht="15" thickBot="1" x14ac:dyDescent="0.4">
      <c r="B73">
        <v>54</v>
      </c>
      <c r="C73" s="2596" t="s">
        <v>495</v>
      </c>
      <c r="D73" s="2598">
        <v>732</v>
      </c>
      <c r="E73">
        <v>687.6</v>
      </c>
      <c r="G73" s="2600">
        <v>590.73</v>
      </c>
      <c r="H73">
        <v>587.78</v>
      </c>
      <c r="I73">
        <v>588.05999999999995</v>
      </c>
      <c r="J73">
        <v>588.22</v>
      </c>
      <c r="K73">
        <v>468.28</v>
      </c>
      <c r="L73">
        <v>478.11</v>
      </c>
      <c r="M73">
        <v>479.11</v>
      </c>
      <c r="N73">
        <v>483.39</v>
      </c>
      <c r="O73">
        <v>489.89</v>
      </c>
      <c r="P73">
        <v>491.28</v>
      </c>
      <c r="Q73">
        <v>488.22</v>
      </c>
    </row>
    <row r="74" spans="2:17" ht="15" thickBot="1" x14ac:dyDescent="0.4">
      <c r="B74">
        <v>55</v>
      </c>
      <c r="C74" s="2596" t="s">
        <v>496</v>
      </c>
      <c r="D74" s="2598" t="s">
        <v>1044</v>
      </c>
      <c r="E74">
        <v>694</v>
      </c>
      <c r="G74" s="2600">
        <v>593.72</v>
      </c>
      <c r="H74">
        <v>590.61</v>
      </c>
      <c r="I74">
        <v>590.89</v>
      </c>
      <c r="J74">
        <v>591.05999999999995</v>
      </c>
      <c r="K74">
        <v>472.39</v>
      </c>
      <c r="L74">
        <v>482.39</v>
      </c>
      <c r="M74">
        <v>483.28</v>
      </c>
      <c r="N74">
        <v>487.61</v>
      </c>
      <c r="O74">
        <v>494.33</v>
      </c>
      <c r="P74">
        <v>495.78</v>
      </c>
      <c r="Q74">
        <v>492.5</v>
      </c>
    </row>
    <row r="75" spans="2:17" ht="15" thickBot="1" x14ac:dyDescent="0.4">
      <c r="B75">
        <v>56</v>
      </c>
      <c r="C75" s="2596" t="s">
        <v>497</v>
      </c>
      <c r="D75" s="2598" t="s">
        <v>1044</v>
      </c>
      <c r="E75">
        <v>702.4</v>
      </c>
      <c r="G75" s="2600">
        <v>596.83000000000004</v>
      </c>
      <c r="H75">
        <v>593.55999999999995</v>
      </c>
      <c r="I75">
        <v>593.78</v>
      </c>
      <c r="J75">
        <v>593.94000000000005</v>
      </c>
      <c r="K75">
        <v>476.44</v>
      </c>
      <c r="L75">
        <v>486.61</v>
      </c>
      <c r="M75">
        <v>487.5</v>
      </c>
      <c r="N75">
        <v>491.78</v>
      </c>
      <c r="O75">
        <v>498.61</v>
      </c>
      <c r="P75">
        <v>500</v>
      </c>
      <c r="Q75">
        <v>496.78</v>
      </c>
    </row>
    <row r="76" spans="2:17" ht="15" thickBot="1" x14ac:dyDescent="0.4">
      <c r="B76">
        <v>57</v>
      </c>
      <c r="C76" s="2596" t="s">
        <v>498</v>
      </c>
      <c r="D76" s="2598" t="s">
        <v>1044</v>
      </c>
      <c r="E76">
        <v>712.9</v>
      </c>
      <c r="G76" s="2600">
        <v>599.98</v>
      </c>
      <c r="H76">
        <v>596.55999999999995</v>
      </c>
      <c r="I76">
        <v>596.78</v>
      </c>
      <c r="J76">
        <v>596.89</v>
      </c>
      <c r="K76">
        <v>480.61</v>
      </c>
      <c r="L76">
        <v>490.83</v>
      </c>
      <c r="M76">
        <v>491.67</v>
      </c>
      <c r="N76">
        <v>496.06</v>
      </c>
      <c r="O76">
        <v>502.89</v>
      </c>
      <c r="P76">
        <v>504.28</v>
      </c>
      <c r="Q76">
        <v>501</v>
      </c>
    </row>
    <row r="77" spans="2:17" ht="15" thickBot="1" x14ac:dyDescent="0.4">
      <c r="B77">
        <v>58</v>
      </c>
      <c r="C77" s="2596" t="s">
        <v>499</v>
      </c>
      <c r="D77" s="2598" t="s">
        <v>1044</v>
      </c>
      <c r="G77" s="2600">
        <v>603.27</v>
      </c>
      <c r="H77">
        <v>599.61</v>
      </c>
      <c r="I77">
        <v>599.83000000000004</v>
      </c>
      <c r="J77">
        <v>599.89</v>
      </c>
      <c r="K77">
        <v>484.72</v>
      </c>
      <c r="L77">
        <v>495.11</v>
      </c>
      <c r="M77">
        <v>495.83</v>
      </c>
      <c r="N77">
        <v>500.11</v>
      </c>
      <c r="O77">
        <v>507.17</v>
      </c>
      <c r="P77">
        <v>508.56</v>
      </c>
      <c r="Q77">
        <v>505.11</v>
      </c>
    </row>
    <row r="78" spans="2:17" ht="15" thickBot="1" x14ac:dyDescent="0.4">
      <c r="B78">
        <v>59</v>
      </c>
      <c r="C78" s="2596" t="s">
        <v>500</v>
      </c>
      <c r="D78" s="2598" t="s">
        <v>1044</v>
      </c>
      <c r="G78" s="2600">
        <v>606.64</v>
      </c>
      <c r="H78">
        <v>602.78</v>
      </c>
      <c r="I78">
        <v>603.05999999999995</v>
      </c>
      <c r="J78">
        <v>603.11</v>
      </c>
      <c r="K78">
        <v>488.83</v>
      </c>
      <c r="L78">
        <v>499.17</v>
      </c>
      <c r="M78">
        <v>499.89</v>
      </c>
      <c r="N78">
        <v>504.11</v>
      </c>
      <c r="O78">
        <v>511.39</v>
      </c>
      <c r="P78">
        <v>512.78</v>
      </c>
      <c r="Q78">
        <v>509.28</v>
      </c>
    </row>
    <row r="79" spans="2:17" ht="15" thickBot="1" x14ac:dyDescent="0.4">
      <c r="B79">
        <v>60</v>
      </c>
      <c r="C79" s="2596" t="s">
        <v>501</v>
      </c>
      <c r="D79" s="2598" t="s">
        <v>1044</v>
      </c>
      <c r="G79" s="2600">
        <v>609.88</v>
      </c>
      <c r="H79">
        <v>606.11</v>
      </c>
      <c r="I79">
        <v>606.33000000000004</v>
      </c>
      <c r="J79">
        <v>606.33000000000004</v>
      </c>
      <c r="K79">
        <v>492.94</v>
      </c>
      <c r="L79">
        <v>503.22</v>
      </c>
      <c r="M79">
        <v>503.89</v>
      </c>
      <c r="N79">
        <v>508.22</v>
      </c>
      <c r="O79">
        <v>515.66999999999996</v>
      </c>
      <c r="P79">
        <v>517.05999999999995</v>
      </c>
      <c r="Q79">
        <v>513.44000000000005</v>
      </c>
    </row>
    <row r="80" spans="2:17" ht="15" thickBot="1" x14ac:dyDescent="0.4">
      <c r="B80">
        <v>61</v>
      </c>
      <c r="C80" s="2596" t="s">
        <v>502</v>
      </c>
      <c r="D80" s="2598" t="s">
        <v>1044</v>
      </c>
      <c r="G80" s="2600">
        <v>613.08000000000004</v>
      </c>
      <c r="H80">
        <v>609.33000000000004</v>
      </c>
      <c r="I80">
        <v>609.55999999999995</v>
      </c>
      <c r="J80">
        <v>609.5</v>
      </c>
      <c r="K80">
        <v>497.06</v>
      </c>
      <c r="L80">
        <v>507.33</v>
      </c>
      <c r="M80">
        <v>507.94</v>
      </c>
      <c r="N80">
        <v>512.22</v>
      </c>
      <c r="O80">
        <v>519.94000000000005</v>
      </c>
      <c r="P80">
        <v>521.33000000000004</v>
      </c>
      <c r="Q80">
        <v>517.61</v>
      </c>
    </row>
    <row r="81" spans="2:17" ht="15" thickBot="1" x14ac:dyDescent="0.4">
      <c r="B81">
        <v>62</v>
      </c>
      <c r="C81" s="2596" t="s">
        <v>503</v>
      </c>
      <c r="D81" s="2598" t="s">
        <v>1044</v>
      </c>
      <c r="G81" s="2600">
        <v>616.39</v>
      </c>
      <c r="H81">
        <v>612.44000000000005</v>
      </c>
      <c r="I81">
        <v>612.66999999999996</v>
      </c>
      <c r="J81">
        <v>612.61</v>
      </c>
      <c r="K81">
        <v>501.06</v>
      </c>
      <c r="L81">
        <v>511.39</v>
      </c>
      <c r="M81">
        <v>511.94</v>
      </c>
      <c r="N81">
        <v>516.28</v>
      </c>
      <c r="O81">
        <v>524.16999999999996</v>
      </c>
      <c r="P81">
        <v>525.55999999999995</v>
      </c>
      <c r="Q81">
        <v>521.78</v>
      </c>
    </row>
    <row r="82" spans="2:17" ht="15" thickBot="1" x14ac:dyDescent="0.4">
      <c r="B82">
        <v>63</v>
      </c>
      <c r="C82" s="2596" t="s">
        <v>504</v>
      </c>
      <c r="D82" s="2598" t="s">
        <v>1044</v>
      </c>
      <c r="G82" s="2600">
        <v>619.88</v>
      </c>
      <c r="H82">
        <v>615.61</v>
      </c>
      <c r="I82">
        <v>615.89</v>
      </c>
      <c r="J82">
        <v>615.78</v>
      </c>
      <c r="K82">
        <v>505</v>
      </c>
      <c r="L82">
        <v>515.5</v>
      </c>
      <c r="M82">
        <v>516</v>
      </c>
      <c r="N82">
        <v>520.39</v>
      </c>
      <c r="O82">
        <v>528.39</v>
      </c>
      <c r="P82">
        <v>529.72</v>
      </c>
      <c r="Q82">
        <v>525.94000000000005</v>
      </c>
    </row>
    <row r="83" spans="2:17" ht="15" thickBot="1" x14ac:dyDescent="0.4">
      <c r="B83">
        <v>64</v>
      </c>
      <c r="C83" s="2596" t="s">
        <v>505</v>
      </c>
      <c r="D83" s="2598" t="s">
        <v>1044</v>
      </c>
      <c r="G83" s="2600">
        <v>623.51</v>
      </c>
      <c r="H83">
        <v>619</v>
      </c>
      <c r="I83">
        <v>619.28</v>
      </c>
      <c r="J83">
        <v>619.05999999999995</v>
      </c>
      <c r="K83">
        <v>509.06</v>
      </c>
      <c r="L83">
        <v>519.61</v>
      </c>
      <c r="M83">
        <v>520.05999999999995</v>
      </c>
      <c r="N83">
        <v>524.39</v>
      </c>
      <c r="O83">
        <v>532.61</v>
      </c>
      <c r="P83">
        <v>533.94000000000005</v>
      </c>
      <c r="Q83">
        <v>530.11</v>
      </c>
    </row>
    <row r="84" spans="2:17" ht="15" thickBot="1" x14ac:dyDescent="0.4">
      <c r="B84">
        <v>65</v>
      </c>
      <c r="C84" s="2596" t="s">
        <v>506</v>
      </c>
      <c r="D84" s="2598" t="s">
        <v>1044</v>
      </c>
      <c r="G84" s="2600">
        <v>627.32000000000005</v>
      </c>
      <c r="H84">
        <v>622.44000000000005</v>
      </c>
      <c r="I84">
        <v>622.72</v>
      </c>
      <c r="J84">
        <v>622.44000000000005</v>
      </c>
      <c r="K84">
        <v>513</v>
      </c>
      <c r="L84">
        <v>523.66999999999996</v>
      </c>
      <c r="M84">
        <v>524.05999999999995</v>
      </c>
      <c r="N84">
        <v>528.44000000000005</v>
      </c>
      <c r="O84">
        <v>536.72</v>
      </c>
      <c r="P84">
        <v>538</v>
      </c>
      <c r="Q84">
        <v>534.22</v>
      </c>
    </row>
    <row r="85" spans="2:17" ht="15" thickBot="1" x14ac:dyDescent="0.4">
      <c r="B85">
        <v>66</v>
      </c>
      <c r="C85" s="2596" t="s">
        <v>507</v>
      </c>
      <c r="D85" s="2598" t="s">
        <v>1044</v>
      </c>
      <c r="G85" s="2600">
        <v>631.01</v>
      </c>
      <c r="H85">
        <v>626.05999999999995</v>
      </c>
      <c r="I85">
        <v>626.33000000000004</v>
      </c>
      <c r="J85">
        <v>626.05999999999995</v>
      </c>
      <c r="K85">
        <v>517</v>
      </c>
      <c r="L85">
        <v>527.78</v>
      </c>
      <c r="M85">
        <v>528.05999999999995</v>
      </c>
      <c r="N85">
        <v>532.5</v>
      </c>
      <c r="O85">
        <v>540.72</v>
      </c>
      <c r="P85">
        <v>542</v>
      </c>
      <c r="Q85">
        <v>538.22</v>
      </c>
    </row>
    <row r="86" spans="2:17" ht="15" thickBot="1" x14ac:dyDescent="0.4">
      <c r="B86">
        <v>67</v>
      </c>
      <c r="C86" s="2596" t="s">
        <v>508</v>
      </c>
      <c r="D86" s="2598" t="s">
        <v>1044</v>
      </c>
      <c r="G86" s="2600">
        <v>634.64</v>
      </c>
      <c r="H86">
        <v>629.66999999999996</v>
      </c>
      <c r="I86">
        <v>629.94000000000005</v>
      </c>
      <c r="J86">
        <v>629.61</v>
      </c>
      <c r="K86">
        <v>521.05999999999995</v>
      </c>
      <c r="L86">
        <v>531.83000000000004</v>
      </c>
      <c r="M86">
        <v>532.11</v>
      </c>
      <c r="N86">
        <v>536.39</v>
      </c>
      <c r="O86">
        <v>544.83000000000004</v>
      </c>
      <c r="P86">
        <v>546.11</v>
      </c>
      <c r="Q86">
        <v>542.16999999999996</v>
      </c>
    </row>
    <row r="87" spans="2:17" ht="15" thickBot="1" x14ac:dyDescent="0.4">
      <c r="B87">
        <v>68</v>
      </c>
      <c r="C87" s="2596" t="s">
        <v>509</v>
      </c>
      <c r="D87" s="2598" t="s">
        <v>1044</v>
      </c>
      <c r="G87" s="2600">
        <v>638.52</v>
      </c>
      <c r="H87">
        <v>633.05999999999995</v>
      </c>
      <c r="I87">
        <v>633.39</v>
      </c>
      <c r="J87">
        <v>632.94000000000005</v>
      </c>
      <c r="K87">
        <v>525.05999999999995</v>
      </c>
      <c r="L87">
        <v>535.83000000000004</v>
      </c>
      <c r="M87">
        <v>536</v>
      </c>
      <c r="N87">
        <v>540.28</v>
      </c>
      <c r="O87">
        <v>549.11</v>
      </c>
      <c r="P87">
        <v>550.39</v>
      </c>
      <c r="Q87">
        <v>546.16999999999996</v>
      </c>
    </row>
    <row r="88" spans="2:17" ht="15" thickBot="1" x14ac:dyDescent="0.4">
      <c r="B88">
        <v>69</v>
      </c>
      <c r="C88" s="2596" t="s">
        <v>510</v>
      </c>
      <c r="D88" s="2598" t="s">
        <v>1044</v>
      </c>
      <c r="G88" s="2600">
        <v>642.62</v>
      </c>
      <c r="H88">
        <v>636.55999999999995</v>
      </c>
      <c r="I88">
        <v>636.94000000000005</v>
      </c>
      <c r="J88">
        <v>636.44000000000005</v>
      </c>
      <c r="K88">
        <v>529.05999999999995</v>
      </c>
      <c r="L88">
        <v>539.72</v>
      </c>
      <c r="M88">
        <v>539.83000000000004</v>
      </c>
      <c r="N88">
        <v>544.11</v>
      </c>
      <c r="O88">
        <v>553.39</v>
      </c>
      <c r="P88">
        <v>554.66999999999996</v>
      </c>
      <c r="Q88">
        <v>550.33000000000004</v>
      </c>
    </row>
    <row r="89" spans="2:17" ht="15" thickBot="1" x14ac:dyDescent="0.4">
      <c r="B89">
        <v>70</v>
      </c>
      <c r="C89" s="2596" t="s">
        <v>511</v>
      </c>
      <c r="D89" s="2598" t="s">
        <v>1044</v>
      </c>
      <c r="G89" s="2600">
        <v>647.03</v>
      </c>
      <c r="H89">
        <v>640.22</v>
      </c>
      <c r="I89">
        <v>640.61</v>
      </c>
      <c r="J89">
        <v>640.11</v>
      </c>
      <c r="K89">
        <v>533.05999999999995</v>
      </c>
      <c r="L89">
        <v>543.66999999999996</v>
      </c>
      <c r="M89">
        <v>543.72</v>
      </c>
      <c r="N89">
        <v>548.11</v>
      </c>
      <c r="O89">
        <v>557.61</v>
      </c>
      <c r="P89">
        <v>558.83000000000004</v>
      </c>
      <c r="Q89">
        <v>554.5</v>
      </c>
    </row>
    <row r="90" spans="2:17" ht="15" thickBot="1" x14ac:dyDescent="0.4">
      <c r="B90">
        <v>71</v>
      </c>
      <c r="C90" s="2596" t="s">
        <v>512</v>
      </c>
      <c r="D90" s="2598" t="s">
        <v>1044</v>
      </c>
      <c r="G90" s="2600">
        <v>651.82000000000005</v>
      </c>
      <c r="H90">
        <v>644.11</v>
      </c>
      <c r="I90">
        <v>644.55999999999995</v>
      </c>
      <c r="J90">
        <v>643.94000000000005</v>
      </c>
      <c r="K90">
        <v>536.94000000000005</v>
      </c>
      <c r="L90">
        <v>547.66999999999996</v>
      </c>
      <c r="M90">
        <v>547.66999999999996</v>
      </c>
      <c r="N90">
        <v>552.16999999999996</v>
      </c>
      <c r="O90">
        <v>561.72</v>
      </c>
      <c r="P90">
        <v>563</v>
      </c>
      <c r="Q90">
        <v>558.61</v>
      </c>
    </row>
    <row r="91" spans="2:17" ht="15" thickBot="1" x14ac:dyDescent="0.4">
      <c r="B91">
        <v>72</v>
      </c>
      <c r="C91" s="2596" t="s">
        <v>513</v>
      </c>
      <c r="D91" s="2598" t="s">
        <v>1044</v>
      </c>
      <c r="G91" s="2600">
        <v>656.47</v>
      </c>
      <c r="H91">
        <v>648.16999999999996</v>
      </c>
      <c r="I91">
        <v>648.66999999999996</v>
      </c>
      <c r="J91">
        <v>648</v>
      </c>
      <c r="K91">
        <v>540.78</v>
      </c>
      <c r="L91">
        <v>551.78</v>
      </c>
      <c r="M91">
        <v>551.72</v>
      </c>
      <c r="N91">
        <v>556.22</v>
      </c>
      <c r="O91">
        <v>565.94000000000005</v>
      </c>
      <c r="P91">
        <v>567.11</v>
      </c>
      <c r="Q91">
        <v>562.61</v>
      </c>
    </row>
    <row r="92" spans="2:17" ht="15" thickBot="1" x14ac:dyDescent="0.4">
      <c r="B92">
        <v>73</v>
      </c>
      <c r="C92" s="2596" t="s">
        <v>514</v>
      </c>
      <c r="D92" s="2598" t="s">
        <v>1044</v>
      </c>
      <c r="G92" s="2600">
        <v>662.18</v>
      </c>
      <c r="H92">
        <v>652.44000000000005</v>
      </c>
      <c r="I92">
        <v>653</v>
      </c>
      <c r="J92">
        <v>652.28</v>
      </c>
      <c r="K92">
        <v>544.61</v>
      </c>
      <c r="L92">
        <v>555.94000000000005</v>
      </c>
      <c r="M92">
        <v>555.78</v>
      </c>
      <c r="N92">
        <v>560.16999999999996</v>
      </c>
      <c r="O92">
        <v>569.94000000000005</v>
      </c>
      <c r="P92">
        <v>571.11</v>
      </c>
      <c r="Q92">
        <v>566.66999999999996</v>
      </c>
    </row>
    <row r="93" spans="2:17" ht="15" thickBot="1" x14ac:dyDescent="0.4">
      <c r="B93">
        <v>74</v>
      </c>
      <c r="C93" s="2596" t="s">
        <v>515</v>
      </c>
      <c r="D93" s="2598" t="s">
        <v>1044</v>
      </c>
      <c r="G93" s="2600">
        <v>669.16</v>
      </c>
      <c r="H93">
        <v>656.33</v>
      </c>
      <c r="I93">
        <v>656.83</v>
      </c>
      <c r="J93">
        <v>656.22</v>
      </c>
      <c r="K93">
        <v>548.66999999999996</v>
      </c>
      <c r="L93">
        <v>559.94000000000005</v>
      </c>
      <c r="M93">
        <v>559.72</v>
      </c>
      <c r="N93">
        <v>564.11</v>
      </c>
      <c r="O93">
        <v>574</v>
      </c>
      <c r="P93">
        <v>575.16999999999996</v>
      </c>
      <c r="Q93">
        <v>570.61</v>
      </c>
    </row>
    <row r="94" spans="2:17" ht="15" thickBot="1" x14ac:dyDescent="0.4">
      <c r="B94">
        <v>75</v>
      </c>
      <c r="C94" s="2596" t="s">
        <v>516</v>
      </c>
      <c r="D94" s="2598" t="s">
        <v>1044</v>
      </c>
      <c r="G94" s="2600">
        <v>676.48</v>
      </c>
      <c r="H94">
        <v>660.78</v>
      </c>
      <c r="I94">
        <v>661.56</v>
      </c>
      <c r="J94">
        <v>660.78</v>
      </c>
      <c r="K94">
        <v>552.72</v>
      </c>
      <c r="L94">
        <v>563.94000000000005</v>
      </c>
      <c r="M94">
        <v>563.61</v>
      </c>
      <c r="N94">
        <v>568</v>
      </c>
      <c r="O94">
        <v>578.28</v>
      </c>
      <c r="P94">
        <v>579.5</v>
      </c>
      <c r="Q94">
        <v>574.61</v>
      </c>
    </row>
    <row r="95" spans="2:17" ht="15" thickBot="1" x14ac:dyDescent="0.4">
      <c r="B95">
        <v>76</v>
      </c>
      <c r="C95" s="2596" t="s">
        <v>517</v>
      </c>
      <c r="D95" s="2598" t="s">
        <v>1044</v>
      </c>
      <c r="G95" s="2600">
        <v>686.07</v>
      </c>
      <c r="H95">
        <v>665.89</v>
      </c>
      <c r="I95">
        <v>666.78</v>
      </c>
      <c r="J95">
        <v>666.06</v>
      </c>
      <c r="K95">
        <v>556.78</v>
      </c>
      <c r="L95">
        <v>567.89</v>
      </c>
      <c r="M95">
        <v>567.5</v>
      </c>
      <c r="N95">
        <v>571.83000000000004</v>
      </c>
      <c r="O95">
        <v>582.72</v>
      </c>
      <c r="P95">
        <v>583.94000000000005</v>
      </c>
      <c r="Q95">
        <v>578.83000000000004</v>
      </c>
    </row>
    <row r="96" spans="2:17" ht="15" thickBot="1" x14ac:dyDescent="0.4">
      <c r="B96">
        <v>77</v>
      </c>
      <c r="C96" s="2596" t="s">
        <v>518</v>
      </c>
      <c r="D96" s="2598" t="s">
        <v>1044</v>
      </c>
      <c r="G96" s="2600">
        <v>697.46</v>
      </c>
      <c r="H96">
        <v>671.11</v>
      </c>
      <c r="I96">
        <v>672.06</v>
      </c>
      <c r="J96">
        <v>671.56</v>
      </c>
      <c r="K96">
        <v>560.72</v>
      </c>
      <c r="L96">
        <v>571.78</v>
      </c>
      <c r="M96">
        <v>571.33000000000004</v>
      </c>
      <c r="N96">
        <v>575.78</v>
      </c>
      <c r="O96">
        <v>587.05999999999995</v>
      </c>
      <c r="P96">
        <v>588.22</v>
      </c>
      <c r="Q96">
        <v>583.16999999999996</v>
      </c>
    </row>
    <row r="97" spans="2:17" ht="15" thickBot="1" x14ac:dyDescent="0.4">
      <c r="B97">
        <v>78</v>
      </c>
      <c r="C97" s="2596" t="s">
        <v>519</v>
      </c>
      <c r="D97" s="2598" t="s">
        <v>1044</v>
      </c>
      <c r="G97">
        <v>714.51</v>
      </c>
      <c r="H97">
        <v>676.22</v>
      </c>
      <c r="I97">
        <v>677.61</v>
      </c>
      <c r="J97">
        <v>677.28</v>
      </c>
      <c r="K97">
        <v>564.72</v>
      </c>
      <c r="L97">
        <v>575.83000000000004</v>
      </c>
      <c r="M97">
        <v>575.28</v>
      </c>
      <c r="N97">
        <v>579.94000000000005</v>
      </c>
      <c r="O97">
        <v>591.5</v>
      </c>
      <c r="P97">
        <v>592.66999999999996</v>
      </c>
      <c r="Q97">
        <v>587.39</v>
      </c>
    </row>
    <row r="98" spans="2:17" ht="15" thickBot="1" x14ac:dyDescent="0.4">
      <c r="B98">
        <v>79</v>
      </c>
      <c r="C98" s="2596" t="s">
        <v>520</v>
      </c>
      <c r="D98" s="2598" t="s">
        <v>1044</v>
      </c>
      <c r="H98">
        <v>682.39</v>
      </c>
      <c r="I98">
        <v>683.83</v>
      </c>
      <c r="J98">
        <v>684</v>
      </c>
      <c r="K98">
        <v>568.55999999999995</v>
      </c>
      <c r="L98">
        <v>580.11</v>
      </c>
      <c r="M98">
        <v>579.44000000000005</v>
      </c>
      <c r="N98">
        <v>584.22</v>
      </c>
      <c r="O98">
        <v>596.22</v>
      </c>
      <c r="P98">
        <v>597.44000000000005</v>
      </c>
      <c r="Q98">
        <v>591.72</v>
      </c>
    </row>
    <row r="99" spans="2:17" ht="15" thickBot="1" x14ac:dyDescent="0.4">
      <c r="B99">
        <v>80</v>
      </c>
      <c r="C99" s="2596" t="s">
        <v>521</v>
      </c>
      <c r="D99" s="2598" t="s">
        <v>1044</v>
      </c>
      <c r="H99">
        <v>688.33</v>
      </c>
      <c r="I99">
        <v>690.33</v>
      </c>
      <c r="J99">
        <v>691.17</v>
      </c>
      <c r="K99">
        <v>572.44000000000005</v>
      </c>
      <c r="L99">
        <v>584.44000000000005</v>
      </c>
      <c r="M99">
        <v>583.72</v>
      </c>
      <c r="N99">
        <v>588.33000000000004</v>
      </c>
      <c r="O99">
        <v>601.28</v>
      </c>
      <c r="P99">
        <v>602.55999999999995</v>
      </c>
      <c r="Q99">
        <v>596.44000000000005</v>
      </c>
    </row>
    <row r="100" spans="2:17" ht="15" thickBot="1" x14ac:dyDescent="0.4">
      <c r="B100">
        <v>81</v>
      </c>
      <c r="C100" s="2596" t="s">
        <v>522</v>
      </c>
      <c r="D100" s="2598" t="s">
        <v>1044</v>
      </c>
      <c r="H100">
        <v>694.28</v>
      </c>
      <c r="I100">
        <v>697.06</v>
      </c>
      <c r="J100">
        <v>699</v>
      </c>
      <c r="K100">
        <v>576.5</v>
      </c>
      <c r="L100">
        <v>588.61</v>
      </c>
      <c r="M100">
        <v>587.78</v>
      </c>
      <c r="N100">
        <v>592.55999999999995</v>
      </c>
      <c r="O100">
        <v>606.66999999999996</v>
      </c>
      <c r="P100">
        <v>607.94000000000005</v>
      </c>
      <c r="Q100">
        <v>601.39</v>
      </c>
    </row>
    <row r="101" spans="2:17" ht="15" thickBot="1" x14ac:dyDescent="0.4">
      <c r="B101">
        <v>82</v>
      </c>
      <c r="C101" s="2596" t="s">
        <v>523</v>
      </c>
      <c r="D101" s="2598" t="s">
        <v>1044</v>
      </c>
      <c r="H101">
        <v>701.89</v>
      </c>
      <c r="I101">
        <v>705.67</v>
      </c>
      <c r="J101">
        <v>709.22</v>
      </c>
      <c r="K101">
        <v>580.72</v>
      </c>
      <c r="L101">
        <v>593</v>
      </c>
      <c r="M101">
        <v>592</v>
      </c>
      <c r="N101">
        <v>597.16999999999996</v>
      </c>
      <c r="O101">
        <v>611.94000000000005</v>
      </c>
      <c r="P101">
        <v>613.11</v>
      </c>
      <c r="Q101">
        <v>606.78</v>
      </c>
    </row>
    <row r="102" spans="2:17" ht="15" thickBot="1" x14ac:dyDescent="0.4">
      <c r="B102">
        <v>83</v>
      </c>
      <c r="C102" s="2596" t="s">
        <v>524</v>
      </c>
      <c r="D102" s="2598" t="s">
        <v>1044</v>
      </c>
      <c r="H102">
        <v>710.67</v>
      </c>
      <c r="I102">
        <v>718</v>
      </c>
      <c r="J102">
        <v>724.33</v>
      </c>
      <c r="K102">
        <v>585</v>
      </c>
      <c r="L102">
        <v>597.72</v>
      </c>
      <c r="M102">
        <v>596.61</v>
      </c>
      <c r="N102">
        <v>602.05999999999995</v>
      </c>
      <c r="O102">
        <v>617.44000000000005</v>
      </c>
      <c r="P102">
        <v>618.66999999999996</v>
      </c>
      <c r="Q102">
        <v>611.94000000000005</v>
      </c>
    </row>
    <row r="103" spans="2:17" ht="15" thickBot="1" x14ac:dyDescent="0.4">
      <c r="B103">
        <v>84</v>
      </c>
      <c r="C103" s="2596" t="s">
        <v>525</v>
      </c>
      <c r="D103" s="2598" t="s">
        <v>1044</v>
      </c>
      <c r="H103">
        <v>722.89</v>
      </c>
      <c r="K103">
        <v>589.16999999999996</v>
      </c>
      <c r="L103">
        <v>602.72</v>
      </c>
      <c r="M103">
        <v>601.39</v>
      </c>
      <c r="N103">
        <v>607.22</v>
      </c>
      <c r="O103">
        <v>623.44000000000005</v>
      </c>
      <c r="P103">
        <v>624.78</v>
      </c>
      <c r="Q103">
        <v>617.33000000000004</v>
      </c>
    </row>
    <row r="104" spans="2:17" ht="15" thickBot="1" x14ac:dyDescent="0.4">
      <c r="B104">
        <v>85</v>
      </c>
      <c r="C104" s="2596" t="s">
        <v>526</v>
      </c>
      <c r="D104" s="2598" t="s">
        <v>1044</v>
      </c>
      <c r="K104">
        <v>593.55999999999995</v>
      </c>
      <c r="L104">
        <v>608.11</v>
      </c>
      <c r="M104">
        <v>606.61</v>
      </c>
      <c r="N104">
        <v>612.28</v>
      </c>
      <c r="O104">
        <v>630</v>
      </c>
      <c r="P104">
        <v>631.11</v>
      </c>
      <c r="Q104">
        <v>623.28</v>
      </c>
    </row>
    <row r="105" spans="2:17" ht="15" thickBot="1" x14ac:dyDescent="0.4">
      <c r="B105">
        <v>86</v>
      </c>
      <c r="C105" s="2596" t="s">
        <v>527</v>
      </c>
      <c r="D105" s="2598" t="s">
        <v>1044</v>
      </c>
      <c r="K105">
        <v>598.28</v>
      </c>
      <c r="L105">
        <v>613.22</v>
      </c>
      <c r="M105">
        <v>611.66999999999996</v>
      </c>
      <c r="N105">
        <v>617.55999999999995</v>
      </c>
      <c r="O105">
        <v>636.22</v>
      </c>
      <c r="P105">
        <v>637.39</v>
      </c>
      <c r="Q105">
        <v>629.72</v>
      </c>
    </row>
    <row r="106" spans="2:17" ht="15" thickBot="1" x14ac:dyDescent="0.4">
      <c r="B106">
        <v>87</v>
      </c>
      <c r="C106" s="2596" t="s">
        <v>528</v>
      </c>
      <c r="D106" s="2598" t="s">
        <v>1044</v>
      </c>
      <c r="K106">
        <v>603.33000000000004</v>
      </c>
      <c r="L106">
        <v>618.78</v>
      </c>
      <c r="M106">
        <v>616.94000000000005</v>
      </c>
      <c r="N106">
        <v>623.28</v>
      </c>
      <c r="O106">
        <v>643.33000000000004</v>
      </c>
      <c r="P106">
        <v>644.5</v>
      </c>
      <c r="Q106">
        <v>635.89</v>
      </c>
    </row>
    <row r="107" spans="2:17" ht="15" thickBot="1" x14ac:dyDescent="0.4">
      <c r="B107">
        <v>88</v>
      </c>
      <c r="C107" s="2596" t="s">
        <v>529</v>
      </c>
      <c r="D107" s="2598" t="s">
        <v>1044</v>
      </c>
      <c r="K107">
        <v>608.61</v>
      </c>
      <c r="L107">
        <v>624.78</v>
      </c>
      <c r="M107">
        <v>622.61</v>
      </c>
      <c r="N107">
        <v>629.44000000000005</v>
      </c>
      <c r="O107">
        <v>651.28</v>
      </c>
      <c r="P107">
        <v>652.39</v>
      </c>
      <c r="Q107">
        <v>642.89</v>
      </c>
    </row>
    <row r="108" spans="2:17" ht="15" thickBot="1" x14ac:dyDescent="0.4">
      <c r="B108">
        <v>89</v>
      </c>
      <c r="C108" s="2596" t="s">
        <v>530</v>
      </c>
      <c r="D108" s="2598" t="s">
        <v>1044</v>
      </c>
      <c r="K108">
        <v>613.78</v>
      </c>
      <c r="L108">
        <v>631.05999999999995</v>
      </c>
      <c r="M108">
        <v>628.89</v>
      </c>
      <c r="N108">
        <v>635.33000000000004</v>
      </c>
      <c r="O108">
        <v>659.39</v>
      </c>
      <c r="P108">
        <v>660.56</v>
      </c>
      <c r="Q108">
        <v>650.83000000000004</v>
      </c>
    </row>
    <row r="109" spans="2:17" ht="15" thickBot="1" x14ac:dyDescent="0.4">
      <c r="B109">
        <v>90</v>
      </c>
      <c r="C109" s="2596" t="s">
        <v>531</v>
      </c>
      <c r="D109" s="2598" t="s">
        <v>1044</v>
      </c>
      <c r="K109">
        <v>619.33000000000004</v>
      </c>
      <c r="L109">
        <v>637.33000000000004</v>
      </c>
      <c r="M109">
        <v>634.78</v>
      </c>
      <c r="N109">
        <v>641.89</v>
      </c>
      <c r="O109">
        <v>670.28</v>
      </c>
      <c r="P109">
        <v>671.11</v>
      </c>
      <c r="Q109">
        <v>659.22</v>
      </c>
    </row>
    <row r="110" spans="2:17" ht="15" thickBot="1" x14ac:dyDescent="0.4">
      <c r="B110">
        <v>91</v>
      </c>
      <c r="C110" s="2596" t="s">
        <v>532</v>
      </c>
      <c r="D110" s="2598" t="s">
        <v>1044</v>
      </c>
      <c r="K110">
        <v>625.39</v>
      </c>
      <c r="L110">
        <v>644.44000000000005</v>
      </c>
      <c r="M110">
        <v>641.33000000000004</v>
      </c>
      <c r="N110">
        <v>649.28</v>
      </c>
      <c r="O110">
        <v>682.61</v>
      </c>
      <c r="P110">
        <v>683.33</v>
      </c>
      <c r="Q110">
        <v>670.72</v>
      </c>
    </row>
    <row r="111" spans="2:17" ht="15" thickBot="1" x14ac:dyDescent="0.4">
      <c r="B111">
        <v>92</v>
      </c>
      <c r="C111" s="2596" t="s">
        <v>533</v>
      </c>
      <c r="D111" s="2598" t="s">
        <v>1044</v>
      </c>
      <c r="K111">
        <v>631.66999999999996</v>
      </c>
      <c r="L111">
        <v>652.5</v>
      </c>
      <c r="M111">
        <v>648.72</v>
      </c>
      <c r="N111">
        <v>656.83</v>
      </c>
      <c r="O111">
        <v>697.56</v>
      </c>
      <c r="P111">
        <v>697.89</v>
      </c>
      <c r="Q111">
        <v>685.17</v>
      </c>
    </row>
    <row r="112" spans="2:17" ht="15" thickBot="1" x14ac:dyDescent="0.4">
      <c r="B112">
        <v>93</v>
      </c>
      <c r="C112" s="2596" t="s">
        <v>534</v>
      </c>
      <c r="D112" s="2598" t="s">
        <v>1044</v>
      </c>
      <c r="K112">
        <v>638</v>
      </c>
      <c r="L112">
        <v>660.94</v>
      </c>
      <c r="M112">
        <v>656.39</v>
      </c>
      <c r="N112">
        <v>666.39</v>
      </c>
      <c r="O112">
        <v>723.78</v>
      </c>
      <c r="P112">
        <v>722.11</v>
      </c>
      <c r="Q112">
        <v>706.39</v>
      </c>
    </row>
    <row r="113" spans="2:17" ht="15" thickBot="1" x14ac:dyDescent="0.4">
      <c r="B113">
        <v>94</v>
      </c>
      <c r="C113" s="2596" t="s">
        <v>535</v>
      </c>
      <c r="D113" s="2598" t="s">
        <v>1044</v>
      </c>
      <c r="K113">
        <v>645.16999999999996</v>
      </c>
      <c r="L113">
        <v>672.06</v>
      </c>
      <c r="M113">
        <v>665.89</v>
      </c>
      <c r="N113">
        <v>677.17</v>
      </c>
    </row>
    <row r="114" spans="2:17" ht="15" thickBot="1" x14ac:dyDescent="0.4">
      <c r="B114">
        <v>95</v>
      </c>
      <c r="C114" s="2596" t="s">
        <v>536</v>
      </c>
      <c r="D114" s="2598" t="s">
        <v>1044</v>
      </c>
      <c r="K114">
        <v>653.22</v>
      </c>
      <c r="L114">
        <v>685.83</v>
      </c>
      <c r="M114">
        <v>676.89</v>
      </c>
      <c r="N114">
        <v>690.72</v>
      </c>
    </row>
    <row r="115" spans="2:17" ht="15" thickBot="1" x14ac:dyDescent="0.4">
      <c r="B115">
        <v>96</v>
      </c>
      <c r="C115" s="2596" t="s">
        <v>537</v>
      </c>
      <c r="D115" s="2598" t="s">
        <v>1044</v>
      </c>
      <c r="K115">
        <v>661.78</v>
      </c>
      <c r="L115">
        <v>704.28</v>
      </c>
      <c r="M115">
        <v>690.83</v>
      </c>
      <c r="N115">
        <v>707.94</v>
      </c>
    </row>
    <row r="116" spans="2:17" ht="15" thickBot="1" x14ac:dyDescent="0.4">
      <c r="B116">
        <v>97</v>
      </c>
      <c r="C116" s="2596" t="s">
        <v>538</v>
      </c>
      <c r="D116" s="2598" t="s">
        <v>1044</v>
      </c>
      <c r="K116">
        <v>672.67</v>
      </c>
      <c r="M116">
        <v>709.11</v>
      </c>
    </row>
    <row r="117" spans="2:17" ht="15" thickBot="1" x14ac:dyDescent="0.4">
      <c r="B117">
        <v>98</v>
      </c>
      <c r="C117" s="2596" t="s">
        <v>539</v>
      </c>
      <c r="D117" s="2598" t="s">
        <v>1044</v>
      </c>
      <c r="K117">
        <v>685.89</v>
      </c>
    </row>
    <row r="118" spans="2:17" ht="15" thickBot="1" x14ac:dyDescent="0.4">
      <c r="B118">
        <v>99</v>
      </c>
      <c r="C118" s="2596" t="s">
        <v>540</v>
      </c>
      <c r="D118" s="2598" t="s">
        <v>1044</v>
      </c>
      <c r="K118">
        <v>702.33</v>
      </c>
    </row>
    <row r="119" spans="2:17" ht="15" thickBot="1" x14ac:dyDescent="0.4">
      <c r="B119">
        <v>100</v>
      </c>
      <c r="C119" s="2596" t="s">
        <v>61</v>
      </c>
      <c r="D119" s="2598" t="s">
        <v>1044</v>
      </c>
      <c r="K119">
        <v>714.72</v>
      </c>
    </row>
    <row r="120" spans="2:17" x14ac:dyDescent="0.35">
      <c r="G120">
        <v>43.581469648562319</v>
      </c>
      <c r="H120">
        <v>44.454248366013076</v>
      </c>
      <c r="I120">
        <v>44.346405228758158</v>
      </c>
      <c r="J120">
        <v>44.218954248366003</v>
      </c>
      <c r="K120">
        <v>76.817258883248712</v>
      </c>
      <c r="L120">
        <v>74.014999999999986</v>
      </c>
      <c r="M120">
        <v>74.071979434447314</v>
      </c>
      <c r="N120">
        <v>72.956962025316471</v>
      </c>
      <c r="O120">
        <v>70.581508515815102</v>
      </c>
      <c r="P120">
        <v>70.28057553956836</v>
      </c>
      <c r="Q120">
        <v>71.347499999999997</v>
      </c>
    </row>
    <row r="121" spans="2:17" x14ac:dyDescent="0.35">
      <c r="G121">
        <v>56.418530351437681</v>
      </c>
      <c r="H121">
        <v>55.545751633986924</v>
      </c>
      <c r="I121">
        <v>55.653594771241842</v>
      </c>
      <c r="J121">
        <v>55.781045751633997</v>
      </c>
      <c r="K121">
        <v>23.182741116751288</v>
      </c>
      <c r="L121">
        <v>25.985000000000014</v>
      </c>
      <c r="M121">
        <v>25.928020565552686</v>
      </c>
      <c r="N121">
        <v>27.043037974683529</v>
      </c>
      <c r="O121">
        <v>29.418491484184898</v>
      </c>
      <c r="P121">
        <v>29.71942446043164</v>
      </c>
      <c r="Q121">
        <v>28.652500000000003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4D047-443D-46F5-A354-141FA50864AA}">
  <sheetPr codeName="Sheet4">
    <tabColor rgb="FF3333FF"/>
    <pageSetUpPr fitToPage="1"/>
  </sheetPr>
  <dimension ref="A1:CL175"/>
  <sheetViews>
    <sheetView showGridLines="0" zoomScale="70" zoomScaleNormal="70" zoomScaleSheetLayoutView="55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L35" sqref="L35"/>
    </sheetView>
  </sheetViews>
  <sheetFormatPr defaultColWidth="8.81640625" defaultRowHeight="16" x14ac:dyDescent="0.4"/>
  <cols>
    <col min="1" max="1" width="28.1796875" style="718" bestFit="1" customWidth="1"/>
    <col min="2" max="2" width="26.81640625" style="718" customWidth="1"/>
    <col min="3" max="3" width="14.7265625" style="718" customWidth="1"/>
    <col min="4" max="10" width="13.7265625" style="718" customWidth="1"/>
    <col min="11" max="11" width="13.7265625" style="841" customWidth="1"/>
    <col min="12" max="12" width="23.81640625" style="719" customWidth="1"/>
    <col min="13" max="13" width="24.81640625" style="719" bestFit="1" customWidth="1"/>
    <col min="14" max="14" width="10.26953125" style="719" customWidth="1"/>
    <col min="15" max="15" width="2.7265625" style="716" hidden="1" customWidth="1"/>
    <col min="16" max="16" width="0" style="717" hidden="1" customWidth="1"/>
    <col min="17" max="17" width="2.7265625" style="717" hidden="1" customWidth="1"/>
    <col min="18" max="21" width="0" style="717" hidden="1" customWidth="1"/>
    <col min="22" max="23" width="8.81640625" style="717"/>
    <col min="24" max="24" width="11.7265625" style="717" customWidth="1"/>
    <col min="25" max="25" width="18.7265625" style="717" customWidth="1"/>
    <col min="26" max="26" width="17.7265625" style="717" customWidth="1"/>
    <col min="27" max="27" width="15.26953125" style="717" bestFit="1" customWidth="1"/>
    <col min="28" max="28" width="14.81640625" style="717" bestFit="1" customWidth="1"/>
    <col min="29" max="29" width="15.453125" style="717" bestFit="1" customWidth="1"/>
    <col min="30" max="30" width="15.1796875" style="717" bestFit="1" customWidth="1"/>
    <col min="31" max="16384" width="8.81640625" style="717"/>
  </cols>
  <sheetData>
    <row r="1" spans="1:17" ht="28.5" x14ac:dyDescent="0.65">
      <c r="A1" s="2773" t="s">
        <v>647</v>
      </c>
      <c r="B1" s="2773"/>
      <c r="C1" s="2773"/>
      <c r="D1" s="2773"/>
      <c r="E1" s="2773"/>
      <c r="F1" s="2773"/>
      <c r="G1" s="2773"/>
      <c r="H1" s="2773"/>
      <c r="I1" s="2773"/>
      <c r="J1" s="2773"/>
      <c r="K1" s="2773"/>
      <c r="L1" s="2773"/>
      <c r="M1" s="2773"/>
      <c r="N1" s="838"/>
    </row>
    <row r="2" spans="1:17" x14ac:dyDescent="0.4">
      <c r="A2" s="839"/>
      <c r="B2" s="840"/>
      <c r="C2" s="719"/>
      <c r="D2" s="719"/>
      <c r="E2" s="839"/>
      <c r="F2" s="839"/>
      <c r="G2" s="839"/>
      <c r="H2" s="719"/>
      <c r="I2" s="719"/>
      <c r="J2" s="719"/>
      <c r="L2" s="842" t="s">
        <v>648</v>
      </c>
      <c r="M2" s="843" t="s">
        <v>649</v>
      </c>
      <c r="N2" s="843"/>
    </row>
    <row r="3" spans="1:17" x14ac:dyDescent="0.4">
      <c r="A3" s="839"/>
      <c r="B3" s="844"/>
      <c r="C3" s="719"/>
      <c r="D3" s="719"/>
      <c r="E3" s="839"/>
      <c r="F3" s="839"/>
      <c r="G3" s="839"/>
      <c r="H3" s="719"/>
      <c r="I3" s="719"/>
      <c r="J3" s="719"/>
      <c r="L3" s="842" t="s">
        <v>650</v>
      </c>
      <c r="M3" s="845">
        <v>45684</v>
      </c>
      <c r="N3" s="845"/>
    </row>
    <row r="4" spans="1:17" ht="16.5" thickBot="1" x14ac:dyDescent="0.45">
      <c r="A4" s="839"/>
      <c r="B4" s="844"/>
      <c r="C4" s="719"/>
      <c r="D4" s="719"/>
      <c r="E4" s="839"/>
      <c r="F4" s="839"/>
      <c r="G4" s="839"/>
      <c r="H4" s="719"/>
      <c r="I4" s="719"/>
      <c r="J4" s="719"/>
      <c r="L4" s="842"/>
      <c r="M4" s="846"/>
      <c r="N4" s="846"/>
    </row>
    <row r="5" spans="1:17" ht="18" x14ac:dyDescent="0.4">
      <c r="A5" s="746" t="s">
        <v>11</v>
      </c>
      <c r="B5" s="747" t="s">
        <v>12</v>
      </c>
      <c r="C5" s="747" t="s">
        <v>13</v>
      </c>
      <c r="D5" s="747" t="s">
        <v>820</v>
      </c>
      <c r="E5" s="747" t="s">
        <v>821</v>
      </c>
      <c r="F5" s="747" t="s">
        <v>825</v>
      </c>
      <c r="G5" s="747" t="s">
        <v>655</v>
      </c>
      <c r="H5" s="747" t="s">
        <v>657</v>
      </c>
      <c r="I5" s="747" t="s">
        <v>658</v>
      </c>
      <c r="J5" s="747" t="s">
        <v>823</v>
      </c>
      <c r="K5" s="748" t="s">
        <v>827</v>
      </c>
      <c r="M5" s="2774" t="s">
        <v>662</v>
      </c>
      <c r="N5" s="2775"/>
      <c r="O5" s="849"/>
      <c r="P5" s="716"/>
    </row>
    <row r="6" spans="1:17" ht="16.5" thickBot="1" x14ac:dyDescent="0.45">
      <c r="A6" s="749" t="s">
        <v>663</v>
      </c>
      <c r="B6" s="750"/>
      <c r="C6" s="750"/>
      <c r="D6" s="750"/>
      <c r="E6" s="750" t="s">
        <v>822</v>
      </c>
      <c r="F6" s="750" t="s">
        <v>826</v>
      </c>
      <c r="G6" s="750" t="s">
        <v>103</v>
      </c>
      <c r="H6" s="750" t="s">
        <v>104</v>
      </c>
      <c r="I6" s="750" t="s">
        <v>671</v>
      </c>
      <c r="J6" s="750" t="s">
        <v>237</v>
      </c>
      <c r="K6" s="875" t="s">
        <v>160</v>
      </c>
      <c r="L6" s="841"/>
      <c r="M6" s="2776" t="s">
        <v>675</v>
      </c>
      <c r="N6" s="2777"/>
      <c r="O6" s="722"/>
      <c r="P6" s="716"/>
      <c r="Q6" s="720" t="s">
        <v>676</v>
      </c>
    </row>
    <row r="7" spans="1:17" x14ac:dyDescent="0.4">
      <c r="A7" s="796" t="s">
        <v>677</v>
      </c>
      <c r="B7" s="804" t="s">
        <v>678</v>
      </c>
      <c r="C7" s="804" t="s">
        <v>18</v>
      </c>
      <c r="D7" s="787"/>
      <c r="E7" s="823"/>
      <c r="F7" s="854"/>
      <c r="G7" s="823"/>
      <c r="H7" s="823"/>
      <c r="I7" s="787"/>
      <c r="J7" s="823"/>
      <c r="K7" s="824"/>
      <c r="L7" s="722"/>
      <c r="M7" s="723" t="s">
        <v>680</v>
      </c>
      <c r="N7" s="832" t="s">
        <v>679</v>
      </c>
      <c r="O7" s="722"/>
      <c r="P7" s="716"/>
      <c r="Q7" s="724">
        <v>98.4</v>
      </c>
    </row>
    <row r="8" spans="1:17" ht="16.5" thickBot="1" x14ac:dyDescent="0.45">
      <c r="A8" s="797" t="s">
        <v>681</v>
      </c>
      <c r="B8" s="805" t="s">
        <v>682</v>
      </c>
      <c r="C8" s="805" t="s">
        <v>18</v>
      </c>
      <c r="D8" s="741"/>
      <c r="E8" s="820"/>
      <c r="F8" s="855"/>
      <c r="G8" s="820"/>
      <c r="H8" s="820"/>
      <c r="I8" s="741"/>
      <c r="J8" s="820"/>
      <c r="K8" s="826"/>
      <c r="L8" s="722"/>
      <c r="M8" s="725" t="s">
        <v>683</v>
      </c>
      <c r="N8" s="833" t="s">
        <v>679</v>
      </c>
      <c r="O8" s="722"/>
      <c r="P8" s="716"/>
      <c r="Q8" s="724">
        <v>125.1</v>
      </c>
    </row>
    <row r="9" spans="1:17" x14ac:dyDescent="0.4">
      <c r="A9" s="2778" t="s">
        <v>21</v>
      </c>
      <c r="B9" s="804" t="s">
        <v>684</v>
      </c>
      <c r="C9" s="804" t="s">
        <v>685</v>
      </c>
      <c r="D9" s="756"/>
      <c r="E9" s="883"/>
      <c r="F9" s="856"/>
      <c r="G9" s="882"/>
      <c r="H9" s="882"/>
      <c r="I9" s="856"/>
      <c r="J9" s="822"/>
      <c r="K9" s="744"/>
      <c r="M9" s="725" t="s">
        <v>686</v>
      </c>
      <c r="N9" s="833" t="s">
        <v>679</v>
      </c>
      <c r="O9" s="722"/>
      <c r="P9" s="716"/>
      <c r="Q9" s="724">
        <v>150.80000000000001</v>
      </c>
    </row>
    <row r="10" spans="1:17" x14ac:dyDescent="0.4">
      <c r="A10" s="2779"/>
      <c r="B10" s="806" t="s">
        <v>831</v>
      </c>
      <c r="C10" s="806" t="s">
        <v>433</v>
      </c>
      <c r="D10" s="742"/>
      <c r="E10" s="814"/>
      <c r="F10" s="743"/>
      <c r="G10" s="814"/>
      <c r="H10" s="814"/>
      <c r="I10" s="743"/>
      <c r="J10" s="813"/>
      <c r="K10" s="745"/>
      <c r="M10" s="725" t="s">
        <v>688</v>
      </c>
      <c r="N10" s="833" t="s">
        <v>679</v>
      </c>
      <c r="O10" s="722"/>
      <c r="P10" s="716"/>
      <c r="Q10" s="724">
        <v>174.1</v>
      </c>
    </row>
    <row r="11" spans="1:17" ht="18.5" thickBot="1" x14ac:dyDescent="0.45">
      <c r="A11" s="798" t="s">
        <v>689</v>
      </c>
      <c r="B11" s="768" t="s">
        <v>690</v>
      </c>
      <c r="C11" s="805"/>
      <c r="D11" s="741"/>
      <c r="E11" s="741"/>
      <c r="F11" s="741"/>
      <c r="G11" s="741"/>
      <c r="H11" s="741"/>
      <c r="I11" s="741"/>
      <c r="J11" s="741"/>
      <c r="K11" s="784"/>
      <c r="M11" s="726" t="s">
        <v>691</v>
      </c>
      <c r="N11" s="833" t="s">
        <v>679</v>
      </c>
      <c r="O11" s="722"/>
      <c r="P11" s="716"/>
      <c r="Q11" s="724">
        <v>195.9</v>
      </c>
    </row>
    <row r="12" spans="1:17" ht="16.5" thickBot="1" x14ac:dyDescent="0.45">
      <c r="A12" s="799" t="s">
        <v>692</v>
      </c>
      <c r="B12" s="772" t="s">
        <v>693</v>
      </c>
      <c r="C12" s="807" t="s">
        <v>694</v>
      </c>
      <c r="D12" s="776"/>
      <c r="E12" s="754"/>
      <c r="F12" s="754"/>
      <c r="G12" s="754"/>
      <c r="H12" s="754"/>
      <c r="I12" s="754"/>
      <c r="J12" s="754"/>
      <c r="K12" s="755"/>
      <c r="L12" s="727"/>
      <c r="M12" s="726" t="s">
        <v>695</v>
      </c>
      <c r="N12" s="833" t="s">
        <v>679</v>
      </c>
      <c r="O12" s="722"/>
      <c r="P12" s="716"/>
      <c r="Q12" s="724">
        <v>216.3</v>
      </c>
    </row>
    <row r="13" spans="1:17" ht="18" x14ac:dyDescent="0.4">
      <c r="A13" s="796" t="s">
        <v>696</v>
      </c>
      <c r="B13" s="2780" t="s">
        <v>697</v>
      </c>
      <c r="C13" s="2780" t="s">
        <v>28</v>
      </c>
      <c r="D13" s="756"/>
      <c r="E13" s="756"/>
      <c r="F13" s="756"/>
      <c r="G13" s="777"/>
      <c r="H13" s="756"/>
      <c r="I13" s="756"/>
      <c r="J13" s="756"/>
      <c r="K13" s="744"/>
      <c r="L13" s="727"/>
      <c r="M13" s="726" t="s">
        <v>698</v>
      </c>
      <c r="N13" s="833" t="s">
        <v>679</v>
      </c>
      <c r="O13" s="722"/>
      <c r="P13" s="716"/>
      <c r="Q13" s="724">
        <v>234.8</v>
      </c>
    </row>
    <row r="14" spans="1:17" ht="18" x14ac:dyDescent="0.4">
      <c r="A14" s="800" t="s">
        <v>699</v>
      </c>
      <c r="B14" s="2781"/>
      <c r="C14" s="2781"/>
      <c r="D14" s="813"/>
      <c r="E14" s="743"/>
      <c r="F14" s="743"/>
      <c r="G14" s="743"/>
      <c r="H14" s="813"/>
      <c r="I14" s="743"/>
      <c r="J14" s="743"/>
      <c r="K14" s="745"/>
      <c r="L14" s="727"/>
      <c r="M14" s="728" t="s">
        <v>700</v>
      </c>
      <c r="N14" s="833" t="s">
        <v>679</v>
      </c>
      <c r="O14" s="722"/>
      <c r="P14" s="716"/>
      <c r="Q14" s="724">
        <v>252</v>
      </c>
    </row>
    <row r="15" spans="1:17" ht="18" x14ac:dyDescent="0.4">
      <c r="A15" s="800" t="s">
        <v>701</v>
      </c>
      <c r="B15" s="2781"/>
      <c r="C15" s="2781"/>
      <c r="D15" s="743"/>
      <c r="E15" s="743"/>
      <c r="F15" s="743"/>
      <c r="G15" s="743"/>
      <c r="H15" s="743"/>
      <c r="I15" s="743"/>
      <c r="J15" s="743"/>
      <c r="K15" s="745"/>
      <c r="L15" s="729"/>
      <c r="M15" s="726" t="s">
        <v>702</v>
      </c>
      <c r="N15" s="833" t="s">
        <v>679</v>
      </c>
      <c r="O15" s="722"/>
      <c r="P15" s="716"/>
      <c r="Q15" s="724">
        <v>267</v>
      </c>
    </row>
    <row r="16" spans="1:17" ht="18" x14ac:dyDescent="0.4">
      <c r="A16" s="800" t="s">
        <v>703</v>
      </c>
      <c r="B16" s="2781"/>
      <c r="C16" s="2781"/>
      <c r="D16" s="743"/>
      <c r="E16" s="743"/>
      <c r="F16" s="743"/>
      <c r="G16" s="743"/>
      <c r="H16" s="743"/>
      <c r="I16" s="743"/>
      <c r="J16" s="813"/>
      <c r="K16" s="865"/>
      <c r="L16" s="729"/>
      <c r="M16" s="730" t="s">
        <v>704</v>
      </c>
      <c r="N16" s="833" t="s">
        <v>679</v>
      </c>
      <c r="O16" s="722"/>
      <c r="P16" s="716"/>
      <c r="Q16" s="724">
        <v>287</v>
      </c>
    </row>
    <row r="17" spans="1:30" ht="18.5" thickBot="1" x14ac:dyDescent="0.45">
      <c r="A17" s="800" t="s">
        <v>828</v>
      </c>
      <c r="B17" s="2781"/>
      <c r="C17" s="2781"/>
      <c r="D17" s="743"/>
      <c r="E17" s="743"/>
      <c r="F17" s="743"/>
      <c r="G17" s="743"/>
      <c r="H17" s="743"/>
      <c r="I17" s="743"/>
      <c r="J17" s="743"/>
      <c r="K17" s="877"/>
      <c r="L17" s="727"/>
      <c r="M17" s="726" t="s">
        <v>706</v>
      </c>
      <c r="N17" s="833" t="s">
        <v>679</v>
      </c>
      <c r="O17" s="722"/>
      <c r="P17" s="716"/>
    </row>
    <row r="18" spans="1:30" ht="16.5" thickBot="1" x14ac:dyDescent="0.45">
      <c r="A18" s="2778" t="s">
        <v>34</v>
      </c>
      <c r="B18" s="2788" t="s">
        <v>707</v>
      </c>
      <c r="C18" s="804" t="s">
        <v>36</v>
      </c>
      <c r="D18" s="818"/>
      <c r="E18" s="756"/>
      <c r="F18" s="756"/>
      <c r="G18" s="756"/>
      <c r="H18" s="756"/>
      <c r="I18" s="756"/>
      <c r="J18" s="882"/>
      <c r="K18" s="829"/>
      <c r="L18" s="727"/>
      <c r="M18" s="731" t="s">
        <v>708</v>
      </c>
      <c r="N18" s="834" t="s">
        <v>679</v>
      </c>
      <c r="O18" s="727"/>
      <c r="P18" s="716"/>
    </row>
    <row r="19" spans="1:30" x14ac:dyDescent="0.4">
      <c r="A19" s="2779"/>
      <c r="B19" s="2789"/>
      <c r="C19" s="806" t="s">
        <v>710</v>
      </c>
      <c r="D19" s="814"/>
      <c r="E19" s="813"/>
      <c r="F19" s="743"/>
      <c r="G19" s="813"/>
      <c r="H19" s="813"/>
      <c r="I19" s="743"/>
      <c r="J19" s="814"/>
      <c r="K19" s="814"/>
      <c r="L19" s="727"/>
      <c r="M19" s="732"/>
      <c r="N19" s="727"/>
      <c r="O19" s="850"/>
      <c r="P19" s="716"/>
    </row>
    <row r="20" spans="1:30" ht="16.5" thickBot="1" x14ac:dyDescent="0.45">
      <c r="A20" s="2782"/>
      <c r="B20" s="878" t="s">
        <v>709</v>
      </c>
      <c r="C20" s="805" t="s">
        <v>710</v>
      </c>
      <c r="D20" s="741"/>
      <c r="E20" s="741"/>
      <c r="F20" s="741"/>
      <c r="G20" s="741"/>
      <c r="H20" s="741"/>
      <c r="I20" s="741"/>
      <c r="J20" s="741"/>
      <c r="K20" s="757"/>
      <c r="L20" s="727"/>
      <c r="M20" s="732"/>
      <c r="N20" s="727"/>
      <c r="O20" s="850"/>
      <c r="P20" s="716"/>
    </row>
    <row r="21" spans="1:30" ht="16.5" thickBot="1" x14ac:dyDescent="0.45">
      <c r="A21" s="799" t="s">
        <v>711</v>
      </c>
      <c r="B21" s="781" t="s">
        <v>712</v>
      </c>
      <c r="C21" s="807" t="s">
        <v>710</v>
      </c>
      <c r="D21" s="782"/>
      <c r="E21" s="754"/>
      <c r="F21" s="754"/>
      <c r="G21" s="782"/>
      <c r="H21" s="782"/>
      <c r="I21" s="754"/>
      <c r="J21" s="754"/>
      <c r="K21" s="755"/>
      <c r="L21" s="727"/>
      <c r="M21" s="2783" t="s">
        <v>713</v>
      </c>
      <c r="N21" s="2784"/>
      <c r="O21" s="727"/>
      <c r="P21" s="716"/>
    </row>
    <row r="22" spans="1:30" ht="16.5" thickBot="1" x14ac:dyDescent="0.45">
      <c r="A22" s="799" t="s">
        <v>714</v>
      </c>
      <c r="B22" s="772" t="s">
        <v>715</v>
      </c>
      <c r="C22" s="808" t="s">
        <v>716</v>
      </c>
      <c r="D22" s="754"/>
      <c r="E22" s="754"/>
      <c r="F22" s="754"/>
      <c r="G22" s="776"/>
      <c r="H22" s="776"/>
      <c r="I22" s="754"/>
      <c r="J22" s="754"/>
      <c r="K22" s="755"/>
      <c r="L22" s="727"/>
      <c r="M22" s="785" t="s">
        <v>819</v>
      </c>
      <c r="N22" s="795" t="s">
        <v>717</v>
      </c>
      <c r="O22" s="727"/>
      <c r="P22" s="716"/>
      <c r="Q22" s="733" t="s">
        <v>718</v>
      </c>
    </row>
    <row r="23" spans="1:30" x14ac:dyDescent="0.4">
      <c r="A23" s="2785" t="s">
        <v>719</v>
      </c>
      <c r="B23" s="775" t="s">
        <v>720</v>
      </c>
      <c r="C23" s="809" t="s">
        <v>716</v>
      </c>
      <c r="D23" s="756"/>
      <c r="E23" s="756"/>
      <c r="F23" s="756"/>
      <c r="G23" s="756"/>
      <c r="H23" s="756"/>
      <c r="I23" s="756"/>
      <c r="J23" s="756"/>
      <c r="K23" s="744"/>
      <c r="L23" s="727"/>
      <c r="M23" s="830" t="s">
        <v>721</v>
      </c>
      <c r="N23" s="835" t="s">
        <v>679</v>
      </c>
      <c r="O23" s="727"/>
      <c r="P23" s="716"/>
      <c r="Q23" s="733" t="s">
        <v>722</v>
      </c>
    </row>
    <row r="24" spans="1:30" ht="16.5" thickBot="1" x14ac:dyDescent="0.45">
      <c r="A24" s="2786"/>
      <c r="B24" s="768" t="s">
        <v>723</v>
      </c>
      <c r="C24" s="810" t="s">
        <v>716</v>
      </c>
      <c r="D24" s="741"/>
      <c r="E24" s="741"/>
      <c r="F24" s="741"/>
      <c r="G24" s="778"/>
      <c r="H24" s="778"/>
      <c r="I24" s="741"/>
      <c r="J24" s="741"/>
      <c r="K24" s="757"/>
      <c r="L24" s="727"/>
      <c r="M24" s="734" t="s">
        <v>724</v>
      </c>
      <c r="N24" s="836" t="s">
        <v>679</v>
      </c>
      <c r="O24" s="727"/>
      <c r="P24" s="716"/>
      <c r="Q24" s="733" t="s">
        <v>725</v>
      </c>
    </row>
    <row r="25" spans="1:30" x14ac:dyDescent="0.4">
      <c r="A25" s="2778" t="s">
        <v>726</v>
      </c>
      <c r="B25" s="773" t="s">
        <v>727</v>
      </c>
      <c r="C25" s="2780" t="s">
        <v>728</v>
      </c>
      <c r="D25" s="756"/>
      <c r="E25" s="756"/>
      <c r="F25" s="756"/>
      <c r="G25" s="762"/>
      <c r="H25" s="762"/>
      <c r="I25" s="756"/>
      <c r="J25" s="756"/>
      <c r="K25" s="744"/>
      <c r="L25" s="735"/>
      <c r="M25" s="734" t="s">
        <v>729</v>
      </c>
      <c r="N25" s="836" t="s">
        <v>679</v>
      </c>
      <c r="O25" s="727"/>
      <c r="P25" s="716"/>
      <c r="Q25" s="733" t="s">
        <v>730</v>
      </c>
    </row>
    <row r="26" spans="1:30" ht="16.5" thickBot="1" x14ac:dyDescent="0.45">
      <c r="A26" s="2782"/>
      <c r="B26" s="774" t="s">
        <v>731</v>
      </c>
      <c r="C26" s="2787"/>
      <c r="D26" s="779"/>
      <c r="E26" s="758"/>
      <c r="F26" s="758"/>
      <c r="G26" s="758"/>
      <c r="H26" s="758"/>
      <c r="I26" s="779"/>
      <c r="J26" s="779"/>
      <c r="K26" s="780"/>
      <c r="L26" s="727"/>
      <c r="M26" s="734" t="s">
        <v>732</v>
      </c>
      <c r="N26" s="836" t="s">
        <v>679</v>
      </c>
      <c r="O26" s="727"/>
      <c r="P26" s="716"/>
      <c r="Q26" s="733" t="s">
        <v>733</v>
      </c>
    </row>
    <row r="27" spans="1:30" x14ac:dyDescent="0.4">
      <c r="A27" s="796" t="s">
        <v>39</v>
      </c>
      <c r="B27" s="804" t="s">
        <v>41</v>
      </c>
      <c r="C27" s="804" t="s">
        <v>710</v>
      </c>
      <c r="D27" s="818"/>
      <c r="E27" s="818"/>
      <c r="F27" s="856"/>
      <c r="G27" s="818"/>
      <c r="H27" s="822"/>
      <c r="I27" s="756"/>
      <c r="J27" s="818"/>
      <c r="K27" s="884"/>
      <c r="L27" s="727"/>
      <c r="M27" s="734" t="s">
        <v>735</v>
      </c>
      <c r="N27" s="836" t="s">
        <v>679</v>
      </c>
      <c r="O27" s="727"/>
      <c r="P27" s="716"/>
      <c r="Q27" s="733" t="s">
        <v>736</v>
      </c>
    </row>
    <row r="28" spans="1:30" ht="16.5" thickBot="1" x14ac:dyDescent="0.45">
      <c r="A28" s="797" t="s">
        <v>737</v>
      </c>
      <c r="B28" s="774" t="s">
        <v>738</v>
      </c>
      <c r="C28" s="805" t="s">
        <v>710</v>
      </c>
      <c r="D28" s="779"/>
      <c r="E28" s="759"/>
      <c r="F28" s="759"/>
      <c r="G28" s="759"/>
      <c r="H28" s="759"/>
      <c r="I28" s="759"/>
      <c r="J28" s="779"/>
      <c r="K28" s="757"/>
      <c r="L28" s="727"/>
      <c r="M28" s="734" t="s">
        <v>739</v>
      </c>
      <c r="N28" s="836" t="s">
        <v>679</v>
      </c>
      <c r="O28" s="727"/>
      <c r="P28" s="716"/>
      <c r="Q28" s="733" t="s">
        <v>740</v>
      </c>
    </row>
    <row r="29" spans="1:30" x14ac:dyDescent="0.4">
      <c r="A29" s="866" t="s">
        <v>106</v>
      </c>
      <c r="B29" s="2792" t="s">
        <v>43</v>
      </c>
      <c r="C29" s="867" t="s">
        <v>36</v>
      </c>
      <c r="D29" s="868"/>
      <c r="E29" s="863"/>
      <c r="F29" s="863"/>
      <c r="G29" s="863"/>
      <c r="H29" s="863"/>
      <c r="I29" s="863"/>
      <c r="J29" s="929"/>
      <c r="K29" s="928"/>
      <c r="L29" s="727"/>
      <c r="M29" s="734" t="s">
        <v>743</v>
      </c>
      <c r="N29" s="836" t="s">
        <v>679</v>
      </c>
      <c r="O29" s="727"/>
      <c r="P29" s="716"/>
      <c r="Q29" s="733" t="s">
        <v>744</v>
      </c>
    </row>
    <row r="30" spans="1:30" x14ac:dyDescent="0.4">
      <c r="A30" s="860" t="s">
        <v>107</v>
      </c>
      <c r="B30" s="2793"/>
      <c r="C30" s="861" t="s">
        <v>36</v>
      </c>
      <c r="D30" s="869"/>
      <c r="E30" s="864"/>
      <c r="F30" s="864"/>
      <c r="G30" s="864"/>
      <c r="H30" s="864"/>
      <c r="I30" s="864"/>
      <c r="J30" s="813"/>
      <c r="K30" s="877"/>
      <c r="L30" s="727"/>
      <c r="M30" s="734" t="s">
        <v>747</v>
      </c>
      <c r="N30" s="836" t="s">
        <v>679</v>
      </c>
      <c r="O30" s="727"/>
      <c r="P30" s="716"/>
      <c r="Q30" s="733"/>
    </row>
    <row r="31" spans="1:30" ht="16.5" thickBot="1" x14ac:dyDescent="0.45">
      <c r="A31" s="870" t="s">
        <v>156</v>
      </c>
      <c r="B31" s="2794"/>
      <c r="C31" s="871" t="s">
        <v>36</v>
      </c>
      <c r="D31" s="872"/>
      <c r="E31" s="862"/>
      <c r="F31" s="862"/>
      <c r="G31" s="862"/>
      <c r="H31" s="862"/>
      <c r="I31" s="862"/>
      <c r="J31" s="931"/>
      <c r="K31" s="933"/>
      <c r="L31" s="932"/>
      <c r="M31" s="734" t="s">
        <v>749</v>
      </c>
      <c r="N31" s="836" t="s">
        <v>679</v>
      </c>
      <c r="O31" s="727"/>
      <c r="P31" s="716"/>
      <c r="Q31" s="733"/>
    </row>
    <row r="32" spans="1:30" ht="16.5" thickBot="1" x14ac:dyDescent="0.45">
      <c r="A32" s="799" t="s">
        <v>741</v>
      </c>
      <c r="B32" s="772" t="s">
        <v>742</v>
      </c>
      <c r="C32" s="808" t="s">
        <v>716</v>
      </c>
      <c r="D32" s="776"/>
      <c r="E32" s="754"/>
      <c r="F32" s="754"/>
      <c r="G32" s="754"/>
      <c r="H32" s="754"/>
      <c r="I32" s="754"/>
      <c r="J32" s="754"/>
      <c r="K32" s="755"/>
      <c r="L32" s="727"/>
      <c r="M32" s="734" t="s">
        <v>751</v>
      </c>
      <c r="N32" s="836" t="s">
        <v>679</v>
      </c>
      <c r="O32" s="727"/>
      <c r="P32" s="716"/>
      <c r="Q32" s="733"/>
      <c r="Y32" s="717" t="s">
        <v>860</v>
      </c>
      <c r="Z32" s="717" t="s">
        <v>861</v>
      </c>
      <c r="AA32" s="717" t="s">
        <v>848</v>
      </c>
      <c r="AB32" s="717" t="s">
        <v>849</v>
      </c>
      <c r="AC32" s="717" t="s">
        <v>850</v>
      </c>
      <c r="AD32" s="717" t="s">
        <v>851</v>
      </c>
    </row>
    <row r="33" spans="1:30" x14ac:dyDescent="0.4">
      <c r="A33" s="796" t="s">
        <v>745</v>
      </c>
      <c r="B33" s="2780" t="s">
        <v>752</v>
      </c>
      <c r="C33" s="2780" t="s">
        <v>710</v>
      </c>
      <c r="D33" s="756"/>
      <c r="E33" s="756"/>
      <c r="F33" s="756"/>
      <c r="G33" s="756"/>
      <c r="H33" s="822"/>
      <c r="I33" s="756"/>
      <c r="J33" s="818"/>
      <c r="K33" s="884"/>
      <c r="L33" s="727"/>
      <c r="M33" s="734" t="s">
        <v>753</v>
      </c>
      <c r="N33" s="836" t="s">
        <v>679</v>
      </c>
      <c r="O33" s="727"/>
      <c r="P33" s="716"/>
      <c r="Q33" s="733" t="s">
        <v>754</v>
      </c>
      <c r="X33" s="717" t="s">
        <v>3</v>
      </c>
      <c r="Y33" s="919">
        <v>0.15</v>
      </c>
      <c r="Z33" s="884">
        <v>29.65</v>
      </c>
      <c r="AA33" s="818">
        <v>0.13</v>
      </c>
      <c r="AB33" s="884">
        <v>50.7</v>
      </c>
      <c r="AC33" s="818">
        <v>0.2</v>
      </c>
      <c r="AD33" s="884">
        <v>52.5</v>
      </c>
    </row>
    <row r="34" spans="1:30" x14ac:dyDescent="0.4">
      <c r="A34" s="800" t="s">
        <v>748</v>
      </c>
      <c r="B34" s="2781"/>
      <c r="C34" s="2781"/>
      <c r="D34" s="743"/>
      <c r="E34" s="743"/>
      <c r="F34" s="743"/>
      <c r="G34" s="743"/>
      <c r="H34" s="814"/>
      <c r="I34" s="743"/>
      <c r="J34" s="813"/>
      <c r="K34" s="877"/>
      <c r="L34" s="727"/>
      <c r="M34" s="734" t="s">
        <v>755</v>
      </c>
      <c r="N34" s="836" t="s">
        <v>679</v>
      </c>
      <c r="O34" s="727"/>
      <c r="P34" s="716"/>
      <c r="Q34" s="733" t="s">
        <v>756</v>
      </c>
      <c r="X34" s="717" t="s">
        <v>4</v>
      </c>
      <c r="Y34" s="920">
        <v>0.48</v>
      </c>
      <c r="Z34" s="877">
        <v>10.28</v>
      </c>
      <c r="AA34" s="813">
        <v>0</v>
      </c>
      <c r="AB34" s="877">
        <v>47.5</v>
      </c>
      <c r="AC34" s="813">
        <v>0</v>
      </c>
      <c r="AD34" s="877">
        <v>48.6</v>
      </c>
    </row>
    <row r="35" spans="1:30" x14ac:dyDescent="0.4">
      <c r="A35" s="801" t="s">
        <v>750</v>
      </c>
      <c r="B35" s="2800"/>
      <c r="C35" s="2800"/>
      <c r="D35" s="760"/>
      <c r="E35" s="760"/>
      <c r="F35" s="760"/>
      <c r="G35" s="760"/>
      <c r="H35" s="760"/>
      <c r="I35" s="760"/>
      <c r="J35" s="819"/>
      <c r="K35" s="917"/>
      <c r="L35" s="727"/>
      <c r="M35" s="734" t="s">
        <v>757</v>
      </c>
      <c r="N35" s="836" t="s">
        <v>679</v>
      </c>
      <c r="O35" s="727"/>
      <c r="P35" s="716"/>
      <c r="Q35" s="733" t="s">
        <v>758</v>
      </c>
      <c r="X35" s="717" t="s">
        <v>853</v>
      </c>
      <c r="Y35" s="921">
        <v>28.04</v>
      </c>
      <c r="Z35" s="917">
        <v>33.25</v>
      </c>
      <c r="AA35" s="819">
        <v>37.15</v>
      </c>
      <c r="AB35" s="917">
        <v>22.9</v>
      </c>
      <c r="AC35" s="819">
        <v>42.2</v>
      </c>
      <c r="AD35" s="917">
        <v>24</v>
      </c>
    </row>
    <row r="36" spans="1:30" x14ac:dyDescent="0.4">
      <c r="A36" s="801" t="s">
        <v>846</v>
      </c>
      <c r="B36" s="811"/>
      <c r="C36" s="811"/>
      <c r="D36" s="760"/>
      <c r="E36" s="760"/>
      <c r="F36" s="760"/>
      <c r="G36" s="760"/>
      <c r="H36" s="760"/>
      <c r="I36" s="760"/>
      <c r="J36" s="819"/>
      <c r="K36" s="917"/>
      <c r="L36" s="727"/>
      <c r="M36" s="734"/>
      <c r="N36" s="836"/>
      <c r="O36" s="727"/>
      <c r="P36" s="716"/>
      <c r="Q36" s="733"/>
      <c r="X36" s="717" t="s">
        <v>854</v>
      </c>
      <c r="Y36" s="921">
        <v>2.16</v>
      </c>
      <c r="Z36" s="917">
        <v>11.7</v>
      </c>
      <c r="AA36" s="819">
        <v>15.25</v>
      </c>
      <c r="AB36" s="917">
        <v>1.2</v>
      </c>
      <c r="AC36" s="819">
        <v>13.8</v>
      </c>
      <c r="AD36" s="917">
        <v>3.5</v>
      </c>
    </row>
    <row r="37" spans="1:30" ht="16.5" thickBot="1" x14ac:dyDescent="0.45">
      <c r="A37" s="801" t="s">
        <v>847</v>
      </c>
      <c r="B37" s="811"/>
      <c r="C37" s="811"/>
      <c r="D37" s="760"/>
      <c r="E37" s="760"/>
      <c r="F37" s="760"/>
      <c r="G37" s="760"/>
      <c r="H37" s="760"/>
      <c r="I37" s="760"/>
      <c r="J37" s="819"/>
      <c r="K37" s="917"/>
      <c r="L37" s="727"/>
      <c r="M37" s="734" t="s">
        <v>762</v>
      </c>
      <c r="N37" s="836" t="s">
        <v>679</v>
      </c>
      <c r="O37" s="727"/>
      <c r="P37" s="716"/>
      <c r="Q37" s="733"/>
      <c r="X37" s="717" t="s">
        <v>855</v>
      </c>
      <c r="Y37" s="922">
        <v>22.62</v>
      </c>
      <c r="Z37" s="923">
        <v>11.05</v>
      </c>
      <c r="AA37" s="820">
        <v>2.12</v>
      </c>
      <c r="AB37" s="923">
        <v>6.6</v>
      </c>
      <c r="AC37" s="820">
        <v>10.9</v>
      </c>
      <c r="AD37" s="923">
        <v>6.5</v>
      </c>
    </row>
    <row r="38" spans="1:30" ht="16.5" thickBot="1" x14ac:dyDescent="0.45">
      <c r="A38" s="801" t="s">
        <v>759</v>
      </c>
      <c r="B38" s="811"/>
      <c r="C38" s="811"/>
      <c r="D38" s="760"/>
      <c r="E38" s="760"/>
      <c r="F38" s="760"/>
      <c r="G38" s="760"/>
      <c r="H38" s="821"/>
      <c r="I38" s="760"/>
      <c r="J38" s="763"/>
      <c r="K38" s="765"/>
      <c r="L38" s="727"/>
      <c r="M38" s="734" t="s">
        <v>765</v>
      </c>
      <c r="N38" s="836" t="s">
        <v>679</v>
      </c>
      <c r="O38" s="727"/>
      <c r="P38" s="716"/>
      <c r="Q38" s="733" t="s">
        <v>763</v>
      </c>
    </row>
    <row r="39" spans="1:30" ht="16.5" thickBot="1" x14ac:dyDescent="0.45">
      <c r="A39" s="796" t="s">
        <v>760</v>
      </c>
      <c r="B39" s="2801" t="s">
        <v>761</v>
      </c>
      <c r="C39" s="2788" t="s">
        <v>36</v>
      </c>
      <c r="D39" s="756"/>
      <c r="E39" s="851"/>
      <c r="F39" s="857"/>
      <c r="G39" s="756"/>
      <c r="H39" s="756"/>
      <c r="I39" s="756"/>
      <c r="J39" s="756"/>
      <c r="K39" s="744"/>
      <c r="L39" s="727"/>
      <c r="M39" s="734" t="s">
        <v>768</v>
      </c>
      <c r="N39" s="836" t="s">
        <v>679</v>
      </c>
      <c r="O39" s="727"/>
      <c r="P39" s="716"/>
      <c r="Q39" s="733" t="s">
        <v>766</v>
      </c>
      <c r="Y39" s="717" t="s">
        <v>860</v>
      </c>
      <c r="Z39" s="717" t="s">
        <v>861</v>
      </c>
      <c r="AA39" s="717" t="s">
        <v>848</v>
      </c>
      <c r="AB39" s="717" t="s">
        <v>849</v>
      </c>
      <c r="AC39" s="717" t="s">
        <v>850</v>
      </c>
      <c r="AD39" s="717" t="s">
        <v>851</v>
      </c>
    </row>
    <row r="40" spans="1:30" x14ac:dyDescent="0.4">
      <c r="A40" s="800" t="s">
        <v>764</v>
      </c>
      <c r="B40" s="2802"/>
      <c r="C40" s="2795"/>
      <c r="D40" s="743"/>
      <c r="E40" s="852"/>
      <c r="F40" s="858"/>
      <c r="G40" s="743"/>
      <c r="H40" s="743"/>
      <c r="I40" s="743"/>
      <c r="J40" s="743"/>
      <c r="K40" s="745"/>
      <c r="L40" s="727"/>
      <c r="M40" s="734" t="s">
        <v>771</v>
      </c>
      <c r="N40" s="836" t="s">
        <v>679</v>
      </c>
      <c r="O40" s="727"/>
      <c r="P40" s="716"/>
      <c r="Q40" s="733" t="s">
        <v>769</v>
      </c>
      <c r="X40" s="717" t="s">
        <v>157</v>
      </c>
      <c r="Y40" s="920">
        <v>25.5</v>
      </c>
      <c r="Z40" s="829">
        <v>0</v>
      </c>
      <c r="AA40" s="813">
        <v>32.4</v>
      </c>
      <c r="AB40" s="829">
        <v>0</v>
      </c>
      <c r="AC40" s="813">
        <v>34</v>
      </c>
      <c r="AD40" s="829">
        <v>4.5999999999999996</v>
      </c>
    </row>
    <row r="41" spans="1:30" x14ac:dyDescent="0.4">
      <c r="A41" s="800" t="s">
        <v>767</v>
      </c>
      <c r="B41" s="2802"/>
      <c r="C41" s="2795"/>
      <c r="D41" s="743"/>
      <c r="E41" s="852"/>
      <c r="F41" s="858"/>
      <c r="G41" s="743"/>
      <c r="H41" s="743"/>
      <c r="I41" s="743"/>
      <c r="J41" s="743"/>
      <c r="K41" s="745"/>
      <c r="L41" s="727"/>
      <c r="M41" s="734" t="s">
        <v>774</v>
      </c>
      <c r="N41" s="836" t="s">
        <v>679</v>
      </c>
      <c r="O41" s="727"/>
      <c r="P41" s="716"/>
      <c r="Q41" s="733" t="s">
        <v>772</v>
      </c>
      <c r="X41" s="717" t="s">
        <v>852</v>
      </c>
      <c r="Y41" s="940">
        <v>73.900000000000006</v>
      </c>
      <c r="Z41" s="934">
        <v>68.8</v>
      </c>
      <c r="AA41" s="939">
        <v>66.900000000000006</v>
      </c>
      <c r="AB41" s="934">
        <v>53.6</v>
      </c>
      <c r="AC41" s="939">
        <v>64.900000000000006</v>
      </c>
      <c r="AD41" s="934">
        <v>43.1</v>
      </c>
    </row>
    <row r="42" spans="1:30" ht="16.5" thickBot="1" x14ac:dyDescent="0.45">
      <c r="A42" s="800" t="s">
        <v>770</v>
      </c>
      <c r="B42" s="2802"/>
      <c r="C42" s="2795"/>
      <c r="D42" s="743"/>
      <c r="E42" s="852"/>
      <c r="F42" s="858"/>
      <c r="G42" s="743"/>
      <c r="H42" s="743"/>
      <c r="I42" s="743"/>
      <c r="J42" s="743"/>
      <c r="K42" s="745"/>
      <c r="L42" s="727"/>
      <c r="M42" s="736" t="s">
        <v>778</v>
      </c>
      <c r="N42" s="836" t="s">
        <v>679</v>
      </c>
      <c r="O42" s="727"/>
      <c r="P42" s="716"/>
      <c r="Q42" s="733" t="s">
        <v>775</v>
      </c>
      <c r="X42" s="717" t="s">
        <v>337</v>
      </c>
      <c r="Y42" s="922">
        <v>0.6</v>
      </c>
      <c r="Z42" s="815">
        <v>12.9</v>
      </c>
      <c r="AA42" s="820">
        <v>0.7</v>
      </c>
      <c r="AB42" s="815">
        <v>14.6</v>
      </c>
      <c r="AC42" s="820">
        <v>1.1000000000000001</v>
      </c>
      <c r="AD42" s="815">
        <v>12.3</v>
      </c>
    </row>
    <row r="43" spans="1:30" ht="16.5" thickBot="1" x14ac:dyDescent="0.45">
      <c r="A43" s="797" t="s">
        <v>773</v>
      </c>
      <c r="B43" s="2803"/>
      <c r="C43" s="2796"/>
      <c r="D43" s="741"/>
      <c r="E43" s="853"/>
      <c r="F43" s="859"/>
      <c r="G43" s="741"/>
      <c r="H43" s="741"/>
      <c r="I43" s="741"/>
      <c r="J43" s="741"/>
      <c r="K43" s="757"/>
      <c r="L43" s="727"/>
      <c r="M43" s="737" t="s">
        <v>780</v>
      </c>
      <c r="N43" s="836" t="s">
        <v>679</v>
      </c>
      <c r="O43" s="727"/>
      <c r="P43" s="716"/>
      <c r="Q43" s="733" t="s">
        <v>766</v>
      </c>
      <c r="X43" s="717" t="s">
        <v>856</v>
      </c>
      <c r="Y43" s="922">
        <v>0</v>
      </c>
      <c r="Z43" s="935">
        <v>18.3</v>
      </c>
      <c r="AA43" s="820">
        <v>0</v>
      </c>
      <c r="AB43" s="935">
        <v>31.8</v>
      </c>
      <c r="AC43" s="820">
        <v>0</v>
      </c>
      <c r="AD43" s="935">
        <v>40.1</v>
      </c>
    </row>
    <row r="44" spans="1:30" x14ac:dyDescent="0.4">
      <c r="A44" s="802" t="s">
        <v>776</v>
      </c>
      <c r="B44" s="2797" t="s">
        <v>777</v>
      </c>
      <c r="C44" s="2789" t="s">
        <v>36</v>
      </c>
      <c r="D44" s="761"/>
      <c r="E44" s="761"/>
      <c r="F44" s="761"/>
      <c r="G44" s="786"/>
      <c r="H44" s="786"/>
      <c r="I44" s="761"/>
      <c r="J44" s="761"/>
      <c r="K44" s="764"/>
      <c r="L44" s="727"/>
      <c r="M44" s="737" t="s">
        <v>784</v>
      </c>
      <c r="N44" s="836" t="s">
        <v>679</v>
      </c>
      <c r="O44" s="727"/>
      <c r="P44" s="716"/>
      <c r="Q44" s="733" t="s">
        <v>781</v>
      </c>
      <c r="X44" s="717" t="s">
        <v>320</v>
      </c>
      <c r="Y44" s="924">
        <f>(Y40+Y43)/(Y41+Y42)</f>
        <v>0.34228187919463088</v>
      </c>
      <c r="Z44" s="924">
        <f t="shared" ref="Z44:AD44" si="0">(Z40+Z43)/(Z41+Z42)</f>
        <v>0.22399020807833536</v>
      </c>
      <c r="AA44" s="924">
        <f>(AA40+AA43)/(AA41+AA42)</f>
        <v>0.47928994082840226</v>
      </c>
      <c r="AB44" s="924">
        <f t="shared" si="0"/>
        <v>0.4662756598240469</v>
      </c>
      <c r="AC44" s="924">
        <f t="shared" si="0"/>
        <v>0.51515151515151514</v>
      </c>
      <c r="AD44" s="924">
        <f t="shared" si="0"/>
        <v>0.80685920577617321</v>
      </c>
    </row>
    <row r="45" spans="1:30" ht="16.5" thickBot="1" x14ac:dyDescent="0.45">
      <c r="A45" s="800" t="s">
        <v>779</v>
      </c>
      <c r="B45" s="2798"/>
      <c r="C45" s="2781"/>
      <c r="D45" s="743"/>
      <c r="E45" s="743"/>
      <c r="F45" s="743"/>
      <c r="G45" s="770"/>
      <c r="H45" s="770"/>
      <c r="I45" s="743"/>
      <c r="J45" s="743"/>
      <c r="K45" s="745"/>
      <c r="L45" s="727"/>
      <c r="M45" s="831" t="s">
        <v>788</v>
      </c>
      <c r="N45" s="768" t="s">
        <v>679</v>
      </c>
      <c r="O45" s="727"/>
      <c r="P45" s="716"/>
      <c r="Q45" s="733"/>
    </row>
    <row r="46" spans="1:30" ht="16.5" thickBot="1" x14ac:dyDescent="0.45">
      <c r="A46" s="801" t="s">
        <v>782</v>
      </c>
      <c r="B46" s="2799"/>
      <c r="C46" s="2800"/>
      <c r="D46" s="760"/>
      <c r="E46" s="760"/>
      <c r="F46" s="760"/>
      <c r="G46" s="760"/>
      <c r="H46" s="770"/>
      <c r="I46" s="760"/>
      <c r="J46" s="760"/>
      <c r="K46" s="765"/>
      <c r="L46" s="727"/>
      <c r="M46" s="732"/>
      <c r="N46" s="727"/>
      <c r="O46" s="727"/>
      <c r="P46" s="716"/>
      <c r="Q46" s="733" t="s">
        <v>785</v>
      </c>
      <c r="X46" s="717" t="s">
        <v>156</v>
      </c>
      <c r="Y46" s="925">
        <v>3192</v>
      </c>
      <c r="Z46" s="926">
        <v>3613</v>
      </c>
      <c r="AA46" s="926">
        <v>4325</v>
      </c>
      <c r="AB46" s="926">
        <v>7675</v>
      </c>
      <c r="AC46" s="926">
        <v>5243</v>
      </c>
      <c r="AD46" s="927">
        <v>9436</v>
      </c>
    </row>
    <row r="47" spans="1:30" ht="16.5" thickBot="1" x14ac:dyDescent="0.45">
      <c r="A47" s="797" t="s">
        <v>783</v>
      </c>
      <c r="B47" s="2791"/>
      <c r="C47" s="2787"/>
      <c r="D47" s="741"/>
      <c r="E47" s="741"/>
      <c r="F47" s="741"/>
      <c r="G47" s="771"/>
      <c r="H47" s="771"/>
      <c r="I47" s="741"/>
      <c r="J47" s="741"/>
      <c r="K47" s="757"/>
      <c r="M47" s="732"/>
      <c r="N47" s="727"/>
      <c r="O47" s="719"/>
      <c r="P47" s="716"/>
      <c r="Q47" s="733" t="s">
        <v>785</v>
      </c>
    </row>
    <row r="48" spans="1:30" x14ac:dyDescent="0.4">
      <c r="A48" s="796" t="s">
        <v>786</v>
      </c>
      <c r="B48" s="2790" t="s">
        <v>787</v>
      </c>
      <c r="C48" s="2780" t="s">
        <v>710</v>
      </c>
      <c r="D48" s="777"/>
      <c r="E48" s="777"/>
      <c r="F48" s="856"/>
      <c r="G48" s="756"/>
      <c r="H48" s="756"/>
      <c r="I48" s="756"/>
      <c r="J48" s="756"/>
      <c r="K48" s="744"/>
      <c r="M48" s="732"/>
      <c r="N48" s="727"/>
      <c r="O48" s="719"/>
      <c r="P48" s="716"/>
      <c r="Q48" s="733" t="s">
        <v>790</v>
      </c>
      <c r="X48" s="717" t="s">
        <v>857</v>
      </c>
      <c r="Z48" s="718">
        <v>2100</v>
      </c>
      <c r="AA48" s="718"/>
      <c r="AB48" s="718">
        <v>4329</v>
      </c>
      <c r="AC48" s="718"/>
      <c r="AD48" s="718">
        <v>18485</v>
      </c>
    </row>
    <row r="49" spans="1:90" ht="16.5" thickBot="1" x14ac:dyDescent="0.45">
      <c r="A49" s="797" t="s">
        <v>789</v>
      </c>
      <c r="B49" s="2791"/>
      <c r="C49" s="2787"/>
      <c r="D49" s="741"/>
      <c r="E49" s="741"/>
      <c r="F49" s="741"/>
      <c r="G49" s="741"/>
      <c r="H49" s="741"/>
      <c r="I49" s="741"/>
      <c r="J49" s="741"/>
      <c r="K49" s="757"/>
      <c r="M49" s="732"/>
      <c r="N49" s="727"/>
      <c r="O49" s="719"/>
      <c r="P49" s="716"/>
    </row>
    <row r="50" spans="1:90" x14ac:dyDescent="0.4">
      <c r="A50" s="802" t="s">
        <v>791</v>
      </c>
      <c r="B50" s="766" t="s">
        <v>792</v>
      </c>
      <c r="C50" s="812" t="s">
        <v>36</v>
      </c>
      <c r="D50" s="761"/>
      <c r="E50" s="761"/>
      <c r="F50" s="761"/>
      <c r="G50" s="761"/>
      <c r="H50" s="761"/>
      <c r="I50" s="761"/>
      <c r="J50" s="874"/>
      <c r="K50" s="918"/>
      <c r="M50" s="732"/>
      <c r="N50" s="727"/>
      <c r="O50" s="719"/>
      <c r="P50" s="716"/>
    </row>
    <row r="51" spans="1:90" x14ac:dyDescent="0.4">
      <c r="A51" s="800" t="s">
        <v>793</v>
      </c>
      <c r="B51" s="806" t="s">
        <v>77</v>
      </c>
      <c r="C51" s="812" t="s">
        <v>36</v>
      </c>
      <c r="D51" s="743"/>
      <c r="E51" s="743"/>
      <c r="F51" s="743"/>
      <c r="G51" s="743"/>
      <c r="H51" s="743"/>
      <c r="I51" s="743"/>
      <c r="J51" s="930"/>
      <c r="K51" s="815"/>
      <c r="M51" s="732"/>
      <c r="N51" s="727"/>
      <c r="O51" s="719"/>
      <c r="P51" s="716"/>
      <c r="V51" s="841"/>
      <c r="W51" s="841"/>
      <c r="X51" s="841" t="s">
        <v>858</v>
      </c>
      <c r="Y51" s="938" t="s">
        <v>827</v>
      </c>
      <c r="Z51" s="937">
        <f>Z43/Z41</f>
        <v>0.26598837209302328</v>
      </c>
      <c r="AA51" s="841"/>
      <c r="AB51" s="936">
        <f>AB43/AB41</f>
        <v>0.59328358208955223</v>
      </c>
      <c r="AC51" s="841"/>
      <c r="AD51" s="841">
        <f>AD43/AD41</f>
        <v>0.93039443155452439</v>
      </c>
      <c r="AE51" s="841"/>
      <c r="AF51" s="841"/>
      <c r="AG51" s="841"/>
      <c r="AH51" s="841"/>
      <c r="AI51" s="841"/>
      <c r="AJ51" s="841"/>
      <c r="AK51" s="841"/>
      <c r="AL51" s="841"/>
      <c r="AM51" s="841"/>
      <c r="AN51" s="841"/>
      <c r="AO51" s="841"/>
      <c r="AP51" s="841"/>
      <c r="AQ51" s="841"/>
      <c r="AR51" s="841"/>
      <c r="AS51" s="841"/>
      <c r="AT51" s="841"/>
      <c r="AU51" s="841"/>
      <c r="AV51" s="841"/>
      <c r="AW51" s="841"/>
      <c r="AX51" s="841"/>
      <c r="AY51" s="841"/>
      <c r="AZ51" s="841"/>
      <c r="BA51" s="841"/>
      <c r="BB51" s="841"/>
      <c r="BC51" s="841"/>
      <c r="BD51" s="841"/>
      <c r="BE51" s="841"/>
      <c r="BF51" s="841"/>
      <c r="BG51" s="841"/>
      <c r="BH51" s="841"/>
      <c r="BI51" s="841"/>
      <c r="BJ51" s="841"/>
      <c r="BK51" s="841"/>
      <c r="BL51" s="841"/>
      <c r="BM51" s="841"/>
      <c r="BN51" s="841"/>
      <c r="BO51" s="841"/>
      <c r="BP51" s="841"/>
      <c r="BQ51" s="841"/>
      <c r="BR51" s="841"/>
      <c r="BS51" s="841"/>
      <c r="BT51" s="841"/>
      <c r="BU51" s="841"/>
      <c r="BV51" s="841"/>
      <c r="BW51" s="841"/>
      <c r="BX51" s="841"/>
      <c r="BY51" s="841"/>
      <c r="BZ51" s="841"/>
      <c r="CA51" s="841"/>
      <c r="CB51" s="841"/>
      <c r="CC51" s="841"/>
      <c r="CD51" s="841"/>
      <c r="CE51" s="841"/>
      <c r="CF51" s="841"/>
      <c r="CG51" s="841"/>
      <c r="CH51" s="841"/>
      <c r="CI51" s="841"/>
      <c r="CJ51" s="841"/>
      <c r="CK51" s="841"/>
      <c r="CL51" s="841"/>
    </row>
    <row r="52" spans="1:90" s="716" customFormat="1" x14ac:dyDescent="0.4">
      <c r="A52" s="803" t="s">
        <v>794</v>
      </c>
      <c r="B52" s="806" t="s">
        <v>795</v>
      </c>
      <c r="C52" s="806" t="s">
        <v>36</v>
      </c>
      <c r="D52" s="814"/>
      <c r="E52" s="743"/>
      <c r="F52" s="743"/>
      <c r="G52" s="743"/>
      <c r="H52" s="743"/>
      <c r="I52" s="743"/>
      <c r="J52" s="930"/>
      <c r="K52" s="815"/>
      <c r="L52" s="719"/>
      <c r="M52" s="719"/>
      <c r="N52" s="719"/>
      <c r="O52" s="719"/>
      <c r="Q52" s="717"/>
      <c r="R52" s="717"/>
      <c r="S52" s="717"/>
      <c r="T52" s="717"/>
      <c r="U52" s="717"/>
      <c r="V52" s="841"/>
      <c r="W52" s="841"/>
      <c r="X52" s="841" t="s">
        <v>859</v>
      </c>
      <c r="Y52" s="938" t="s">
        <v>827</v>
      </c>
      <c r="Z52" s="841"/>
      <c r="AA52" s="841"/>
      <c r="AB52" s="936">
        <f>19.4/17.6</f>
        <v>1.1022727272727271</v>
      </c>
      <c r="AC52" s="841"/>
      <c r="AD52" s="841">
        <f>25/10.7</f>
        <v>2.3364485981308412</v>
      </c>
      <c r="AE52" s="841"/>
      <c r="AF52" s="841"/>
      <c r="AG52" s="841"/>
      <c r="AH52" s="841"/>
      <c r="AI52" s="841"/>
      <c r="AJ52" s="841"/>
      <c r="AK52" s="841"/>
      <c r="AL52" s="841"/>
      <c r="AM52" s="841"/>
      <c r="AN52" s="841"/>
      <c r="AO52" s="841"/>
      <c r="AP52" s="841"/>
      <c r="AQ52" s="841"/>
      <c r="AR52" s="841"/>
      <c r="AS52" s="841"/>
      <c r="AT52" s="841"/>
      <c r="AU52" s="841"/>
      <c r="AV52" s="841"/>
      <c r="AW52" s="841"/>
      <c r="AX52" s="841"/>
      <c r="AY52" s="841"/>
      <c r="AZ52" s="841"/>
      <c r="BA52" s="841"/>
      <c r="BB52" s="841"/>
      <c r="BC52" s="841"/>
      <c r="BD52" s="841"/>
      <c r="BE52" s="841"/>
      <c r="BF52" s="841"/>
      <c r="BG52" s="841"/>
      <c r="BH52" s="841"/>
      <c r="BI52" s="841"/>
      <c r="BJ52" s="841"/>
      <c r="BK52" s="841"/>
      <c r="BL52" s="841"/>
      <c r="BM52" s="841"/>
      <c r="BN52" s="841"/>
      <c r="BO52" s="841"/>
      <c r="BP52" s="841"/>
      <c r="BQ52" s="841"/>
      <c r="BR52" s="841"/>
      <c r="BS52" s="841"/>
      <c r="BT52" s="841"/>
      <c r="BU52" s="841"/>
      <c r="BV52" s="841"/>
      <c r="BW52" s="841"/>
      <c r="BX52" s="841"/>
      <c r="BY52" s="841"/>
      <c r="BZ52" s="841"/>
      <c r="CA52" s="841"/>
      <c r="CB52" s="841"/>
      <c r="CC52" s="841"/>
      <c r="CD52" s="841"/>
      <c r="CE52" s="841"/>
      <c r="CF52" s="841"/>
      <c r="CG52" s="841"/>
      <c r="CH52" s="841"/>
      <c r="CI52" s="841"/>
      <c r="CJ52" s="841"/>
      <c r="CK52" s="841"/>
      <c r="CL52" s="841"/>
    </row>
    <row r="53" spans="1:90" s="716" customFormat="1" x14ac:dyDescent="0.4">
      <c r="A53" s="800" t="s">
        <v>80</v>
      </c>
      <c r="B53" s="806" t="s">
        <v>797</v>
      </c>
      <c r="C53" s="806" t="s">
        <v>36</v>
      </c>
      <c r="D53" s="814"/>
      <c r="E53" s="743"/>
      <c r="F53" s="743"/>
      <c r="G53" s="743"/>
      <c r="H53" s="743"/>
      <c r="I53" s="743"/>
      <c r="J53" s="813"/>
      <c r="K53" s="815"/>
      <c r="L53" s="719"/>
      <c r="M53" s="719"/>
      <c r="N53" s="719"/>
      <c r="O53" s="719"/>
      <c r="Q53" s="717"/>
      <c r="R53" s="717"/>
      <c r="S53" s="717"/>
      <c r="T53" s="717"/>
      <c r="U53" s="717"/>
      <c r="V53" s="841"/>
      <c r="W53" s="841"/>
      <c r="X53" s="841"/>
      <c r="Y53" s="841"/>
      <c r="Z53" s="841"/>
      <c r="AA53" s="841"/>
      <c r="AB53" s="841"/>
      <c r="AC53" s="841"/>
      <c r="AD53" s="841"/>
      <c r="AE53" s="841"/>
      <c r="AF53" s="841"/>
      <c r="AG53" s="841"/>
      <c r="AH53" s="841"/>
      <c r="AI53" s="841"/>
      <c r="AJ53" s="841"/>
      <c r="AK53" s="841"/>
      <c r="AL53" s="841"/>
      <c r="AM53" s="841"/>
      <c r="AN53" s="841"/>
      <c r="AO53" s="841"/>
      <c r="AP53" s="841"/>
      <c r="AQ53" s="841"/>
      <c r="AR53" s="841"/>
      <c r="AS53" s="841"/>
      <c r="AT53" s="841"/>
      <c r="AU53" s="841"/>
      <c r="AV53" s="841"/>
      <c r="AW53" s="841"/>
      <c r="AX53" s="841"/>
      <c r="AY53" s="841"/>
      <c r="AZ53" s="841"/>
      <c r="BA53" s="841"/>
      <c r="BB53" s="841"/>
      <c r="BC53" s="841"/>
      <c r="BD53" s="841"/>
      <c r="BE53" s="841"/>
      <c r="BF53" s="841"/>
      <c r="BG53" s="841"/>
      <c r="BH53" s="841"/>
      <c r="BI53" s="841"/>
      <c r="BJ53" s="841"/>
      <c r="BK53" s="841"/>
      <c r="BL53" s="841"/>
      <c r="BM53" s="841"/>
      <c r="BN53" s="841"/>
      <c r="BO53" s="841"/>
      <c r="BP53" s="841"/>
      <c r="BQ53" s="841"/>
      <c r="BR53" s="841"/>
      <c r="BS53" s="841"/>
      <c r="BT53" s="841"/>
      <c r="BU53" s="841"/>
      <c r="BV53" s="841"/>
      <c r="BW53" s="841"/>
      <c r="BX53" s="841"/>
      <c r="BY53" s="841"/>
      <c r="BZ53" s="841"/>
      <c r="CA53" s="841"/>
      <c r="CB53" s="841"/>
      <c r="CC53" s="841"/>
      <c r="CD53" s="841"/>
      <c r="CE53" s="841"/>
      <c r="CF53" s="841"/>
      <c r="CG53" s="841"/>
      <c r="CH53" s="841"/>
      <c r="CI53" s="841"/>
      <c r="CJ53" s="841"/>
      <c r="CK53" s="841"/>
      <c r="CL53" s="841"/>
    </row>
    <row r="54" spans="1:90" s="716" customFormat="1" ht="16.5" thickBot="1" x14ac:dyDescent="0.45">
      <c r="A54" s="801" t="s">
        <v>824</v>
      </c>
      <c r="B54" s="881" t="s">
        <v>83</v>
      </c>
      <c r="C54" s="881" t="s">
        <v>710</v>
      </c>
      <c r="D54" s="821"/>
      <c r="E54" s="760"/>
      <c r="F54" s="821"/>
      <c r="G54" s="760"/>
      <c r="H54" s="760"/>
      <c r="I54" s="821"/>
      <c r="J54" s="763"/>
      <c r="K54" s="873"/>
      <c r="L54" s="719"/>
      <c r="M54" s="719"/>
      <c r="N54" s="719"/>
      <c r="O54" s="719"/>
      <c r="Q54" s="717"/>
      <c r="R54" s="717"/>
      <c r="S54" s="717"/>
      <c r="T54" s="717"/>
      <c r="U54" s="717"/>
      <c r="V54" s="841"/>
      <c r="W54" s="841"/>
      <c r="X54" s="717" t="s">
        <v>863</v>
      </c>
      <c r="Y54" s="717"/>
      <c r="Z54" s="717"/>
      <c r="AA54" s="717"/>
      <c r="AB54" s="717">
        <v>3942</v>
      </c>
      <c r="AC54" s="717"/>
      <c r="AD54" s="717">
        <v>4733</v>
      </c>
      <c r="AE54" s="841"/>
      <c r="AF54" s="841"/>
      <c r="AG54" s="841"/>
      <c r="AH54" s="841"/>
      <c r="AI54" s="841"/>
      <c r="AJ54" s="841"/>
      <c r="AK54" s="841"/>
      <c r="AL54" s="841"/>
      <c r="AM54" s="841"/>
      <c r="AN54" s="841"/>
      <c r="AO54" s="841"/>
      <c r="AP54" s="841"/>
      <c r="AQ54" s="841"/>
      <c r="AR54" s="841"/>
      <c r="AS54" s="841"/>
      <c r="AT54" s="841"/>
      <c r="AU54" s="841"/>
      <c r="AV54" s="841"/>
      <c r="AW54" s="841"/>
      <c r="AX54" s="841"/>
      <c r="AY54" s="841"/>
      <c r="AZ54" s="841"/>
      <c r="BA54" s="841"/>
      <c r="BB54" s="841"/>
      <c r="BC54" s="841"/>
      <c r="BD54" s="841"/>
      <c r="BE54" s="841"/>
      <c r="BF54" s="841"/>
      <c r="BG54" s="841"/>
      <c r="BH54" s="841"/>
      <c r="BI54" s="841"/>
      <c r="BJ54" s="841"/>
      <c r="BK54" s="841"/>
      <c r="BL54" s="841"/>
      <c r="BM54" s="841"/>
      <c r="BN54" s="841"/>
      <c r="BO54" s="841"/>
      <c r="BP54" s="841"/>
      <c r="BQ54" s="841"/>
      <c r="BR54" s="841"/>
      <c r="BS54" s="841"/>
      <c r="BT54" s="841"/>
      <c r="BU54" s="841"/>
      <c r="BV54" s="841"/>
      <c r="BW54" s="841"/>
      <c r="BX54" s="841"/>
      <c r="BY54" s="841"/>
      <c r="BZ54" s="841"/>
      <c r="CA54" s="841"/>
      <c r="CB54" s="841"/>
      <c r="CC54" s="841"/>
      <c r="CD54" s="841"/>
      <c r="CE54" s="841"/>
      <c r="CF54" s="841"/>
      <c r="CG54" s="841"/>
      <c r="CH54" s="841"/>
      <c r="CI54" s="841"/>
      <c r="CJ54" s="841"/>
      <c r="CK54" s="841"/>
      <c r="CL54" s="841"/>
    </row>
    <row r="55" spans="1:90" s="716" customFormat="1" x14ac:dyDescent="0.4">
      <c r="A55" s="796" t="s">
        <v>64</v>
      </c>
      <c r="B55" s="2788" t="s">
        <v>63</v>
      </c>
      <c r="C55" s="804" t="s">
        <v>55</v>
      </c>
      <c r="D55" s="822"/>
      <c r="E55" s="756"/>
      <c r="F55" s="822"/>
      <c r="G55" s="756"/>
      <c r="H55" s="756"/>
      <c r="I55" s="822"/>
      <c r="J55" s="818"/>
      <c r="K55" s="829"/>
      <c r="L55" s="719"/>
      <c r="M55" s="719"/>
      <c r="N55" s="719"/>
      <c r="O55" s="719"/>
      <c r="Q55" s="717"/>
      <c r="R55" s="717"/>
      <c r="S55" s="717"/>
      <c r="T55" s="717"/>
      <c r="U55" s="717"/>
      <c r="V55" s="841"/>
      <c r="W55" s="841"/>
      <c r="X55" s="941" t="s">
        <v>864</v>
      </c>
      <c r="Y55" s="941"/>
      <c r="Z55" s="941"/>
      <c r="AA55" s="941"/>
      <c r="AB55" s="941">
        <v>4325</v>
      </c>
      <c r="AC55" s="941"/>
      <c r="AD55" s="941">
        <v>5243</v>
      </c>
      <c r="AE55" s="841"/>
      <c r="AF55" s="841"/>
      <c r="AG55" s="841"/>
      <c r="AH55" s="841"/>
      <c r="AI55" s="841"/>
      <c r="AJ55" s="841"/>
      <c r="AK55" s="841"/>
      <c r="AL55" s="841"/>
      <c r="AM55" s="841"/>
      <c r="AN55" s="841"/>
      <c r="AO55" s="841"/>
      <c r="AP55" s="841"/>
      <c r="AQ55" s="841"/>
      <c r="AR55" s="841"/>
      <c r="AS55" s="841"/>
      <c r="AT55" s="841"/>
      <c r="AU55" s="841"/>
      <c r="AV55" s="841"/>
      <c r="AW55" s="841"/>
      <c r="AX55" s="841"/>
      <c r="AY55" s="841"/>
      <c r="AZ55" s="841"/>
      <c r="BA55" s="841"/>
      <c r="BB55" s="841"/>
      <c r="BC55" s="841"/>
      <c r="BD55" s="841"/>
      <c r="BE55" s="841"/>
      <c r="BF55" s="841"/>
      <c r="BG55" s="841"/>
      <c r="BH55" s="841"/>
      <c r="BI55" s="841"/>
      <c r="BJ55" s="841"/>
      <c r="BK55" s="841"/>
      <c r="BL55" s="841"/>
      <c r="BM55" s="841"/>
      <c r="BN55" s="841"/>
      <c r="BO55" s="841"/>
      <c r="BP55" s="841"/>
      <c r="BQ55" s="841"/>
      <c r="BR55" s="841"/>
      <c r="BS55" s="841"/>
      <c r="BT55" s="841"/>
      <c r="BU55" s="841"/>
      <c r="BV55" s="841"/>
      <c r="BW55" s="841"/>
      <c r="BX55" s="841"/>
      <c r="BY55" s="841"/>
      <c r="BZ55" s="841"/>
      <c r="CA55" s="841"/>
      <c r="CB55" s="841"/>
      <c r="CC55" s="841"/>
      <c r="CD55" s="841"/>
      <c r="CE55" s="841"/>
      <c r="CF55" s="841"/>
      <c r="CG55" s="841"/>
      <c r="CH55" s="841"/>
      <c r="CI55" s="841"/>
      <c r="CJ55" s="841"/>
      <c r="CK55" s="841"/>
      <c r="CL55" s="841"/>
    </row>
    <row r="56" spans="1:90" s="716" customFormat="1" x14ac:dyDescent="0.4">
      <c r="A56" s="800" t="s">
        <v>65</v>
      </c>
      <c r="B56" s="2795"/>
      <c r="C56" s="806" t="s">
        <v>55</v>
      </c>
      <c r="D56" s="814"/>
      <c r="E56" s="743"/>
      <c r="F56" s="814"/>
      <c r="G56" s="743"/>
      <c r="H56" s="743"/>
      <c r="I56" s="814"/>
      <c r="J56" s="813"/>
      <c r="K56" s="815"/>
      <c r="L56" s="719"/>
      <c r="M56" s="719"/>
      <c r="N56" s="719"/>
      <c r="O56" s="719"/>
      <c r="Q56" s="717"/>
      <c r="R56" s="717"/>
      <c r="S56" s="717"/>
      <c r="T56" s="717"/>
      <c r="U56" s="717"/>
      <c r="V56" s="841"/>
      <c r="W56" s="841"/>
      <c r="X56" s="841" t="s">
        <v>862</v>
      </c>
      <c r="Y56" s="841"/>
      <c r="Z56" s="841"/>
      <c r="AA56" s="841"/>
      <c r="AB56" s="841">
        <v>6308</v>
      </c>
      <c r="AC56" s="841"/>
      <c r="AD56" s="841">
        <v>8611</v>
      </c>
      <c r="AE56" s="841"/>
      <c r="AF56" s="841"/>
      <c r="AG56" s="841"/>
      <c r="AH56" s="841"/>
      <c r="AI56" s="841"/>
      <c r="AJ56" s="841"/>
      <c r="AK56" s="841"/>
      <c r="AL56" s="841"/>
      <c r="AM56" s="841"/>
      <c r="AN56" s="841"/>
      <c r="AO56" s="841"/>
      <c r="AP56" s="841"/>
      <c r="AQ56" s="841"/>
      <c r="AR56" s="841"/>
      <c r="AS56" s="841"/>
      <c r="AT56" s="841"/>
      <c r="AU56" s="841"/>
      <c r="AV56" s="841"/>
      <c r="AW56" s="841"/>
      <c r="AX56" s="841"/>
      <c r="AY56" s="841"/>
      <c r="AZ56" s="841"/>
      <c r="BA56" s="841"/>
      <c r="BB56" s="841"/>
      <c r="BC56" s="841"/>
      <c r="BD56" s="841"/>
      <c r="BE56" s="841"/>
      <c r="BF56" s="841"/>
      <c r="BG56" s="841"/>
      <c r="BH56" s="841"/>
      <c r="BI56" s="841"/>
      <c r="BJ56" s="841"/>
      <c r="BK56" s="841"/>
      <c r="BL56" s="841"/>
      <c r="BM56" s="841"/>
      <c r="BN56" s="841"/>
      <c r="BO56" s="841"/>
      <c r="BP56" s="841"/>
      <c r="BQ56" s="841"/>
      <c r="BR56" s="841"/>
      <c r="BS56" s="841"/>
      <c r="BT56" s="841"/>
      <c r="BU56" s="841"/>
      <c r="BV56" s="841"/>
      <c r="BW56" s="841"/>
      <c r="BX56" s="841"/>
      <c r="BY56" s="841"/>
      <c r="BZ56" s="841"/>
      <c r="CA56" s="841"/>
      <c r="CB56" s="841"/>
      <c r="CC56" s="841"/>
      <c r="CD56" s="841"/>
      <c r="CE56" s="841"/>
      <c r="CF56" s="841"/>
      <c r="CG56" s="841"/>
      <c r="CH56" s="841"/>
      <c r="CI56" s="841"/>
      <c r="CJ56" s="841"/>
      <c r="CK56" s="841"/>
      <c r="CL56" s="841"/>
    </row>
    <row r="57" spans="1:90" s="716" customFormat="1" x14ac:dyDescent="0.4">
      <c r="A57" s="800" t="s">
        <v>66</v>
      </c>
      <c r="B57" s="2795"/>
      <c r="C57" s="806" t="s">
        <v>55</v>
      </c>
      <c r="D57" s="814"/>
      <c r="E57" s="743"/>
      <c r="F57" s="814"/>
      <c r="G57" s="743"/>
      <c r="H57" s="743"/>
      <c r="I57" s="814"/>
      <c r="J57" s="813"/>
      <c r="K57" s="815"/>
      <c r="L57" s="719"/>
      <c r="M57" s="719"/>
      <c r="N57" s="719"/>
      <c r="O57" s="719"/>
      <c r="Q57" s="717"/>
      <c r="R57" s="717"/>
      <c r="S57" s="717"/>
      <c r="T57" s="717"/>
      <c r="U57" s="717"/>
      <c r="V57" s="841"/>
      <c r="W57" s="841"/>
      <c r="X57" s="941" t="s">
        <v>865</v>
      </c>
      <c r="Y57" s="941"/>
      <c r="Z57" s="941"/>
      <c r="AA57" s="941"/>
      <c r="AB57" s="941">
        <f>AB46</f>
        <v>7675</v>
      </c>
      <c r="AC57" s="941"/>
      <c r="AD57" s="941">
        <f>AD46</f>
        <v>9436</v>
      </c>
      <c r="AE57" s="841"/>
      <c r="AF57" s="841"/>
      <c r="AG57" s="841"/>
      <c r="AH57" s="841"/>
      <c r="AI57" s="841"/>
      <c r="AJ57" s="841"/>
      <c r="AK57" s="841"/>
      <c r="AL57" s="841"/>
      <c r="AM57" s="841"/>
      <c r="AN57" s="841"/>
      <c r="AO57" s="841"/>
      <c r="AP57" s="841"/>
      <c r="AQ57" s="841"/>
      <c r="AR57" s="841"/>
      <c r="AS57" s="841"/>
      <c r="AT57" s="841"/>
      <c r="AU57" s="841"/>
      <c r="AV57" s="841"/>
      <c r="AW57" s="841"/>
      <c r="AX57" s="841"/>
      <c r="AY57" s="841"/>
      <c r="AZ57" s="841"/>
      <c r="BA57" s="841"/>
      <c r="BB57" s="841"/>
      <c r="BC57" s="841"/>
      <c r="BD57" s="841"/>
      <c r="BE57" s="841"/>
      <c r="BF57" s="841"/>
      <c r="BG57" s="841"/>
      <c r="BH57" s="841"/>
      <c r="BI57" s="841"/>
      <c r="BJ57" s="841"/>
      <c r="BK57" s="841"/>
      <c r="BL57" s="841"/>
      <c r="BM57" s="841"/>
      <c r="BN57" s="841"/>
      <c r="BO57" s="841"/>
      <c r="BP57" s="841"/>
      <c r="BQ57" s="841"/>
      <c r="BR57" s="841"/>
      <c r="BS57" s="841"/>
      <c r="BT57" s="841"/>
      <c r="BU57" s="841"/>
      <c r="BV57" s="841"/>
      <c r="BW57" s="841"/>
      <c r="BX57" s="841"/>
      <c r="BY57" s="841"/>
      <c r="BZ57" s="841"/>
      <c r="CA57" s="841"/>
      <c r="CB57" s="841"/>
      <c r="CC57" s="841"/>
      <c r="CD57" s="841"/>
      <c r="CE57" s="841"/>
      <c r="CF57" s="841"/>
      <c r="CG57" s="841"/>
      <c r="CH57" s="841"/>
      <c r="CI57" s="841"/>
      <c r="CJ57" s="841"/>
      <c r="CK57" s="841"/>
      <c r="CL57" s="841"/>
    </row>
    <row r="58" spans="1:90" s="716" customFormat="1" ht="16.5" thickBot="1" x14ac:dyDescent="0.45">
      <c r="A58" s="797" t="s">
        <v>67</v>
      </c>
      <c r="B58" s="2796"/>
      <c r="C58" s="805" t="s">
        <v>55</v>
      </c>
      <c r="D58" s="825"/>
      <c r="E58" s="741"/>
      <c r="F58" s="825"/>
      <c r="G58" s="741"/>
      <c r="H58" s="741"/>
      <c r="I58" s="825"/>
      <c r="J58" s="820"/>
      <c r="K58" s="826"/>
      <c r="L58" s="719"/>
      <c r="M58" s="719"/>
      <c r="N58" s="719"/>
      <c r="O58" s="719"/>
      <c r="Q58" s="717"/>
      <c r="R58" s="717"/>
      <c r="S58" s="717"/>
      <c r="T58" s="717"/>
      <c r="U58" s="717"/>
      <c r="V58" s="841"/>
      <c r="W58" s="841"/>
      <c r="X58" s="841" t="s">
        <v>867</v>
      </c>
      <c r="Y58" s="841"/>
      <c r="Z58" s="841"/>
      <c r="AA58" s="841"/>
      <c r="AB58" s="841">
        <v>19.399999999999999</v>
      </c>
      <c r="AC58" s="841"/>
      <c r="AD58" s="841">
        <v>25</v>
      </c>
      <c r="AE58" s="841"/>
      <c r="AF58" s="841"/>
      <c r="AG58" s="841"/>
      <c r="AH58" s="841"/>
      <c r="AI58" s="841"/>
      <c r="AJ58" s="841"/>
      <c r="AK58" s="841"/>
      <c r="AL58" s="841"/>
      <c r="AM58" s="841"/>
      <c r="AN58" s="841"/>
      <c r="AO58" s="841"/>
      <c r="AP58" s="841"/>
      <c r="AQ58" s="841"/>
      <c r="AR58" s="841"/>
      <c r="AS58" s="841"/>
      <c r="AT58" s="841"/>
      <c r="AU58" s="841"/>
      <c r="AV58" s="841"/>
      <c r="AW58" s="841"/>
      <c r="AX58" s="841"/>
      <c r="AY58" s="841"/>
      <c r="AZ58" s="841"/>
      <c r="BA58" s="841"/>
      <c r="BB58" s="841"/>
      <c r="BC58" s="841"/>
      <c r="BD58" s="841"/>
      <c r="BE58" s="841"/>
      <c r="BF58" s="841"/>
      <c r="BG58" s="841"/>
      <c r="BH58" s="841"/>
      <c r="BI58" s="841"/>
      <c r="BJ58" s="841"/>
      <c r="BK58" s="841"/>
      <c r="BL58" s="841"/>
      <c r="BM58" s="841"/>
      <c r="BN58" s="841"/>
      <c r="BO58" s="841"/>
      <c r="BP58" s="841"/>
      <c r="BQ58" s="841"/>
      <c r="BR58" s="841"/>
      <c r="BS58" s="841"/>
      <c r="BT58" s="841"/>
      <c r="BU58" s="841"/>
      <c r="BV58" s="841"/>
      <c r="BW58" s="841"/>
      <c r="BX58" s="841"/>
      <c r="BY58" s="841"/>
      <c r="BZ58" s="841"/>
      <c r="CA58" s="841"/>
      <c r="CB58" s="841"/>
      <c r="CC58" s="841"/>
      <c r="CD58" s="841"/>
      <c r="CE58" s="841"/>
      <c r="CF58" s="841"/>
      <c r="CG58" s="841"/>
      <c r="CH58" s="841"/>
      <c r="CI58" s="841"/>
      <c r="CJ58" s="841"/>
      <c r="CK58" s="841"/>
      <c r="CL58" s="841"/>
    </row>
    <row r="59" spans="1:90" s="716" customFormat="1" x14ac:dyDescent="0.4">
      <c r="A59" s="802" t="s">
        <v>798</v>
      </c>
      <c r="B59" s="766" t="s">
        <v>799</v>
      </c>
      <c r="C59" s="812" t="s">
        <v>36</v>
      </c>
      <c r="D59" s="761"/>
      <c r="E59" s="761"/>
      <c r="F59" s="761"/>
      <c r="G59" s="761"/>
      <c r="H59" s="874"/>
      <c r="I59" s="761"/>
      <c r="J59" s="761"/>
      <c r="K59" s="764"/>
      <c r="L59" s="719"/>
      <c r="M59" s="719"/>
      <c r="N59" s="719"/>
      <c r="O59" s="719"/>
      <c r="Q59" s="717"/>
      <c r="R59" s="717"/>
      <c r="S59" s="717"/>
      <c r="T59" s="717"/>
      <c r="U59" s="717"/>
      <c r="V59" s="841"/>
      <c r="W59" s="841"/>
      <c r="X59" s="941" t="s">
        <v>866</v>
      </c>
      <c r="Y59" s="941"/>
      <c r="Z59" s="941"/>
      <c r="AA59" s="941"/>
      <c r="AB59" s="941">
        <v>31.8</v>
      </c>
      <c r="AC59" s="941"/>
      <c r="AD59" s="941">
        <v>40.1</v>
      </c>
      <c r="AE59" s="841"/>
      <c r="AF59" s="841"/>
      <c r="AG59" s="841"/>
      <c r="AH59" s="841"/>
      <c r="AI59" s="841"/>
      <c r="AJ59" s="841"/>
      <c r="AK59" s="841"/>
      <c r="AL59" s="841"/>
      <c r="AM59" s="841"/>
      <c r="AN59" s="841"/>
      <c r="AO59" s="841"/>
      <c r="AP59" s="841"/>
      <c r="AQ59" s="841"/>
      <c r="AR59" s="841"/>
      <c r="AS59" s="841"/>
      <c r="AT59" s="841"/>
      <c r="AU59" s="841"/>
      <c r="AV59" s="841"/>
      <c r="AW59" s="841"/>
      <c r="AX59" s="841"/>
      <c r="AY59" s="841"/>
      <c r="AZ59" s="841"/>
      <c r="BA59" s="841"/>
      <c r="BB59" s="841"/>
      <c r="BC59" s="841"/>
      <c r="BD59" s="841"/>
      <c r="BE59" s="841"/>
      <c r="BF59" s="841"/>
      <c r="BG59" s="841"/>
      <c r="BH59" s="841"/>
      <c r="BI59" s="841"/>
      <c r="BJ59" s="841"/>
      <c r="BK59" s="841"/>
      <c r="BL59" s="841"/>
      <c r="BM59" s="841"/>
      <c r="BN59" s="841"/>
      <c r="BO59" s="841"/>
      <c r="BP59" s="841"/>
      <c r="BQ59" s="841"/>
      <c r="BR59" s="841"/>
      <c r="BS59" s="841"/>
      <c r="BT59" s="841"/>
      <c r="BU59" s="841"/>
      <c r="BV59" s="841"/>
      <c r="BW59" s="841"/>
      <c r="BX59" s="841"/>
      <c r="BY59" s="841"/>
      <c r="BZ59" s="841"/>
      <c r="CA59" s="841"/>
      <c r="CB59" s="841"/>
      <c r="CC59" s="841"/>
      <c r="CD59" s="841"/>
      <c r="CE59" s="841"/>
      <c r="CF59" s="841"/>
      <c r="CG59" s="841"/>
      <c r="CH59" s="841"/>
      <c r="CI59" s="841"/>
      <c r="CJ59" s="841"/>
      <c r="CK59" s="841"/>
      <c r="CL59" s="841"/>
    </row>
    <row r="60" spans="1:90" s="716" customFormat="1" x14ac:dyDescent="0.4">
      <c r="A60" s="800" t="s">
        <v>800</v>
      </c>
      <c r="B60" s="767" t="s">
        <v>801</v>
      </c>
      <c r="C60" s="806" t="s">
        <v>802</v>
      </c>
      <c r="D60" s="769"/>
      <c r="E60" s="743"/>
      <c r="F60" s="743"/>
      <c r="G60" s="769"/>
      <c r="H60" s="769"/>
      <c r="I60" s="769"/>
      <c r="J60" s="769"/>
      <c r="K60" s="783"/>
      <c r="L60" s="719"/>
      <c r="M60" s="719"/>
      <c r="N60" s="719"/>
      <c r="O60" s="719"/>
      <c r="Q60" s="717"/>
      <c r="R60" s="717"/>
      <c r="S60" s="717"/>
      <c r="T60" s="717"/>
      <c r="U60" s="717"/>
      <c r="V60" s="841"/>
      <c r="W60" s="841"/>
      <c r="X60" s="841" t="s">
        <v>868</v>
      </c>
      <c r="Y60" s="841"/>
      <c r="Z60" s="841"/>
      <c r="AA60" s="841"/>
      <c r="AB60" s="841">
        <v>37.200000000000003</v>
      </c>
      <c r="AC60" s="841"/>
      <c r="AD60" s="841">
        <v>43.1</v>
      </c>
      <c r="AE60" s="841"/>
      <c r="AF60" s="841"/>
      <c r="AG60" s="841"/>
      <c r="AH60" s="841"/>
      <c r="AI60" s="841"/>
      <c r="AJ60" s="841"/>
      <c r="AK60" s="841"/>
      <c r="AL60" s="841"/>
      <c r="AM60" s="841"/>
      <c r="AN60" s="841"/>
      <c r="AO60" s="841"/>
      <c r="AP60" s="841"/>
      <c r="AQ60" s="841"/>
      <c r="AR60" s="841"/>
      <c r="AS60" s="841"/>
      <c r="AT60" s="841"/>
      <c r="AU60" s="841"/>
      <c r="AV60" s="841"/>
      <c r="AW60" s="841"/>
      <c r="AX60" s="841"/>
      <c r="AY60" s="841"/>
      <c r="AZ60" s="841"/>
      <c r="BA60" s="841"/>
      <c r="BB60" s="841"/>
      <c r="BC60" s="841"/>
      <c r="BD60" s="841"/>
      <c r="BE60" s="841"/>
      <c r="BF60" s="841"/>
      <c r="BG60" s="841"/>
      <c r="BH60" s="841"/>
      <c r="BI60" s="841"/>
      <c r="BJ60" s="841"/>
      <c r="BK60" s="841"/>
      <c r="BL60" s="841"/>
      <c r="BM60" s="841"/>
      <c r="BN60" s="841"/>
      <c r="BO60" s="841"/>
      <c r="BP60" s="841"/>
      <c r="BQ60" s="841"/>
      <c r="BR60" s="841"/>
      <c r="BS60" s="841"/>
      <c r="BT60" s="841"/>
      <c r="BU60" s="841"/>
      <c r="BV60" s="841"/>
      <c r="BW60" s="841"/>
      <c r="BX60" s="841"/>
      <c r="BY60" s="841"/>
      <c r="BZ60" s="841"/>
      <c r="CA60" s="841"/>
      <c r="CB60" s="841"/>
      <c r="CC60" s="841"/>
      <c r="CD60" s="841"/>
      <c r="CE60" s="841"/>
      <c r="CF60" s="841"/>
      <c r="CG60" s="841"/>
      <c r="CH60" s="841"/>
      <c r="CI60" s="841"/>
      <c r="CJ60" s="841"/>
      <c r="CK60" s="841"/>
      <c r="CL60" s="841"/>
    </row>
    <row r="61" spans="1:90" s="716" customFormat="1" x14ac:dyDescent="0.4">
      <c r="A61" s="800" t="s">
        <v>803</v>
      </c>
      <c r="B61" s="767" t="s">
        <v>804</v>
      </c>
      <c r="C61" s="806" t="s">
        <v>802</v>
      </c>
      <c r="D61" s="769"/>
      <c r="E61" s="743"/>
      <c r="F61" s="743"/>
      <c r="G61" s="743"/>
      <c r="H61" s="743"/>
      <c r="I61" s="743"/>
      <c r="J61" s="743"/>
      <c r="K61" s="745"/>
      <c r="L61" s="719"/>
      <c r="M61" s="719"/>
      <c r="N61" s="719"/>
      <c r="O61" s="719"/>
      <c r="Q61" s="717"/>
      <c r="R61" s="717"/>
      <c r="S61" s="717"/>
      <c r="T61" s="717"/>
      <c r="U61" s="717"/>
      <c r="V61" s="841"/>
      <c r="W61" s="841"/>
      <c r="X61" s="841"/>
      <c r="Y61" s="841"/>
      <c r="Z61" s="841"/>
      <c r="AA61" s="841"/>
      <c r="AB61" s="841"/>
      <c r="AC61" s="841"/>
      <c r="AD61" s="841"/>
      <c r="AE61" s="841"/>
      <c r="AF61" s="841"/>
      <c r="AG61" s="841"/>
      <c r="AH61" s="841"/>
      <c r="AI61" s="841"/>
      <c r="AJ61" s="841"/>
      <c r="AK61" s="841"/>
      <c r="AL61" s="841"/>
      <c r="AM61" s="841"/>
      <c r="AN61" s="841"/>
      <c r="AO61" s="841"/>
      <c r="AP61" s="841"/>
      <c r="AQ61" s="841"/>
      <c r="AR61" s="841"/>
      <c r="AS61" s="841"/>
      <c r="AT61" s="841"/>
      <c r="AU61" s="841"/>
      <c r="AV61" s="841"/>
      <c r="AW61" s="841"/>
      <c r="AX61" s="841"/>
      <c r="AY61" s="841"/>
      <c r="AZ61" s="841"/>
      <c r="BA61" s="841"/>
      <c r="BB61" s="841"/>
      <c r="BC61" s="841"/>
      <c r="BD61" s="841"/>
      <c r="BE61" s="841"/>
      <c r="BF61" s="841"/>
      <c r="BG61" s="841"/>
      <c r="BH61" s="841"/>
      <c r="BI61" s="841"/>
      <c r="BJ61" s="841"/>
      <c r="BK61" s="841"/>
      <c r="BL61" s="841"/>
      <c r="BM61" s="841"/>
      <c r="BN61" s="841"/>
      <c r="BO61" s="841"/>
      <c r="BP61" s="841"/>
      <c r="BQ61" s="841"/>
      <c r="BR61" s="841"/>
      <c r="BS61" s="841"/>
      <c r="BT61" s="841"/>
      <c r="BU61" s="841"/>
      <c r="BV61" s="841"/>
      <c r="BW61" s="841"/>
      <c r="BX61" s="841"/>
      <c r="BY61" s="841"/>
      <c r="BZ61" s="841"/>
      <c r="CA61" s="841"/>
      <c r="CB61" s="841"/>
      <c r="CC61" s="841"/>
      <c r="CD61" s="841"/>
      <c r="CE61" s="841"/>
      <c r="CF61" s="841"/>
      <c r="CG61" s="841"/>
      <c r="CH61" s="841"/>
      <c r="CI61" s="841"/>
      <c r="CJ61" s="841"/>
      <c r="CK61" s="841"/>
      <c r="CL61" s="841"/>
    </row>
    <row r="62" spans="1:90" s="716" customFormat="1" x14ac:dyDescent="0.4">
      <c r="A62" s="800" t="s">
        <v>805</v>
      </c>
      <c r="B62" s="767" t="s">
        <v>806</v>
      </c>
      <c r="C62" s="806" t="s">
        <v>807</v>
      </c>
      <c r="D62" s="743"/>
      <c r="E62" s="769"/>
      <c r="F62" s="742"/>
      <c r="G62" s="743"/>
      <c r="H62" s="770"/>
      <c r="I62" s="743"/>
      <c r="J62" s="743"/>
      <c r="K62" s="745"/>
      <c r="L62" s="719"/>
      <c r="M62" s="719"/>
      <c r="N62" s="719"/>
      <c r="O62" s="719"/>
      <c r="Q62" s="717"/>
      <c r="R62" s="717"/>
      <c r="S62" s="717"/>
      <c r="T62" s="717"/>
      <c r="U62" s="717"/>
      <c r="V62" s="841"/>
      <c r="W62" s="841"/>
      <c r="X62" s="841"/>
      <c r="Y62" s="841"/>
      <c r="Z62" s="841"/>
      <c r="AA62" s="841"/>
      <c r="AB62" s="841"/>
      <c r="AC62" s="841"/>
      <c r="AD62" s="841"/>
      <c r="AE62" s="841"/>
      <c r="AF62" s="841"/>
      <c r="AG62" s="841"/>
      <c r="AH62" s="841"/>
      <c r="AI62" s="841"/>
      <c r="AJ62" s="841"/>
      <c r="AK62" s="841"/>
      <c r="AL62" s="841"/>
      <c r="AM62" s="841"/>
      <c r="AN62" s="841"/>
      <c r="AO62" s="841"/>
      <c r="AP62" s="841"/>
      <c r="AQ62" s="841"/>
      <c r="AR62" s="841"/>
      <c r="AS62" s="841"/>
      <c r="AT62" s="841"/>
      <c r="AU62" s="841"/>
      <c r="AV62" s="841"/>
      <c r="AW62" s="841"/>
      <c r="AX62" s="841"/>
      <c r="AY62" s="841"/>
      <c r="AZ62" s="841"/>
      <c r="BA62" s="841"/>
      <c r="BB62" s="841"/>
      <c r="BC62" s="841"/>
      <c r="BD62" s="841"/>
      <c r="BE62" s="841"/>
      <c r="BF62" s="841"/>
      <c r="BG62" s="841"/>
      <c r="BH62" s="841"/>
      <c r="BI62" s="841"/>
      <c r="BJ62" s="841"/>
      <c r="BK62" s="841"/>
      <c r="BL62" s="841"/>
      <c r="BM62" s="841"/>
      <c r="BN62" s="841"/>
      <c r="BO62" s="841"/>
      <c r="BP62" s="841"/>
      <c r="BQ62" s="841"/>
      <c r="BR62" s="841"/>
      <c r="BS62" s="841"/>
      <c r="BT62" s="841"/>
      <c r="BU62" s="841"/>
      <c r="BV62" s="841"/>
      <c r="BW62" s="841"/>
      <c r="BX62" s="841"/>
      <c r="BY62" s="841"/>
      <c r="BZ62" s="841"/>
      <c r="CA62" s="841"/>
      <c r="CB62" s="841"/>
      <c r="CC62" s="841"/>
      <c r="CD62" s="841"/>
      <c r="CE62" s="841"/>
      <c r="CF62" s="841"/>
      <c r="CG62" s="841"/>
      <c r="CH62" s="841"/>
      <c r="CI62" s="841"/>
      <c r="CJ62" s="841"/>
      <c r="CK62" s="841"/>
      <c r="CL62" s="841"/>
    </row>
    <row r="63" spans="1:90" s="716" customFormat="1" ht="16.5" thickBot="1" x14ac:dyDescent="0.45">
      <c r="A63" s="797" t="s">
        <v>808</v>
      </c>
      <c r="B63" s="768" t="s">
        <v>809</v>
      </c>
      <c r="C63" s="805" t="s">
        <v>807</v>
      </c>
      <c r="D63" s="741"/>
      <c r="E63" s="741"/>
      <c r="F63" s="741"/>
      <c r="G63" s="741"/>
      <c r="H63" s="741"/>
      <c r="I63" s="876"/>
      <c r="J63" s="741"/>
      <c r="K63" s="757"/>
      <c r="L63" s="719"/>
      <c r="M63" s="719"/>
      <c r="N63" s="719"/>
      <c r="O63" s="719"/>
      <c r="Q63" s="717"/>
      <c r="R63" s="717"/>
      <c r="S63" s="717"/>
      <c r="T63" s="717"/>
      <c r="U63" s="717"/>
      <c r="V63" s="841"/>
      <c r="W63" s="841"/>
      <c r="X63" s="841"/>
      <c r="Y63" s="841"/>
      <c r="Z63" s="841"/>
      <c r="AA63" s="841"/>
      <c r="AB63" s="841"/>
      <c r="AC63" s="841"/>
      <c r="AD63" s="841"/>
      <c r="AE63" s="841"/>
      <c r="AF63" s="841"/>
      <c r="AG63" s="841"/>
      <c r="AH63" s="841"/>
      <c r="AI63" s="841"/>
      <c r="AJ63" s="841"/>
      <c r="AK63" s="841"/>
      <c r="AL63" s="841"/>
      <c r="AM63" s="841"/>
      <c r="AN63" s="841"/>
      <c r="AO63" s="841"/>
      <c r="AP63" s="841"/>
      <c r="AQ63" s="841"/>
      <c r="AR63" s="841"/>
      <c r="AS63" s="841"/>
      <c r="AT63" s="841"/>
      <c r="AU63" s="841"/>
      <c r="AV63" s="841"/>
      <c r="AW63" s="841"/>
      <c r="AX63" s="841"/>
      <c r="AY63" s="841"/>
      <c r="AZ63" s="841"/>
      <c r="BA63" s="841"/>
      <c r="BB63" s="841"/>
      <c r="BC63" s="841"/>
      <c r="BD63" s="841"/>
      <c r="BE63" s="841"/>
      <c r="BF63" s="841"/>
      <c r="BG63" s="841"/>
      <c r="BH63" s="841"/>
      <c r="BI63" s="841"/>
      <c r="BJ63" s="841"/>
      <c r="BK63" s="841"/>
      <c r="BL63" s="841"/>
      <c r="BM63" s="841"/>
      <c r="BN63" s="841"/>
      <c r="BO63" s="841"/>
      <c r="BP63" s="841"/>
      <c r="BQ63" s="841"/>
      <c r="BR63" s="841"/>
      <c r="BS63" s="841"/>
      <c r="BT63" s="841"/>
      <c r="BU63" s="841"/>
      <c r="BV63" s="841"/>
      <c r="BW63" s="841"/>
      <c r="BX63" s="841"/>
      <c r="BY63" s="841"/>
      <c r="BZ63" s="841"/>
      <c r="CA63" s="841"/>
      <c r="CB63" s="841"/>
      <c r="CC63" s="841"/>
      <c r="CD63" s="841"/>
      <c r="CE63" s="841"/>
      <c r="CF63" s="841"/>
      <c r="CG63" s="841"/>
      <c r="CH63" s="841"/>
      <c r="CI63" s="841"/>
      <c r="CJ63" s="841"/>
      <c r="CK63" s="841"/>
      <c r="CL63" s="841"/>
    </row>
    <row r="64" spans="1:90" ht="16.5" thickBot="1" x14ac:dyDescent="0.45">
      <c r="A64" s="797" t="s">
        <v>811</v>
      </c>
      <c r="B64" s="768" t="s">
        <v>812</v>
      </c>
      <c r="C64" s="805" t="s">
        <v>813</v>
      </c>
      <c r="D64" s="741"/>
      <c r="E64" s="741"/>
      <c r="F64" s="741"/>
      <c r="G64" s="741"/>
      <c r="H64" s="771"/>
      <c r="I64" s="741"/>
      <c r="J64" s="741"/>
      <c r="K64" s="757"/>
      <c r="O64" s="719"/>
      <c r="V64" s="841"/>
      <c r="W64" s="841"/>
      <c r="X64" s="841"/>
      <c r="Y64" s="841"/>
      <c r="Z64" s="841"/>
      <c r="AA64" s="841"/>
      <c r="AB64" s="841"/>
      <c r="AC64" s="841"/>
      <c r="AD64" s="841"/>
      <c r="AE64" s="841"/>
      <c r="AF64" s="841"/>
      <c r="AG64" s="841"/>
      <c r="AH64" s="841"/>
      <c r="AI64" s="841"/>
      <c r="AJ64" s="841"/>
      <c r="AK64" s="841"/>
      <c r="AL64" s="841"/>
      <c r="AM64" s="841"/>
      <c r="AN64" s="841"/>
      <c r="AO64" s="841"/>
      <c r="AP64" s="841"/>
      <c r="AQ64" s="841"/>
      <c r="AR64" s="841"/>
      <c r="AS64" s="841"/>
      <c r="AT64" s="841"/>
      <c r="AU64" s="841"/>
      <c r="AV64" s="841"/>
      <c r="AW64" s="841"/>
      <c r="AX64" s="841"/>
      <c r="AY64" s="841"/>
      <c r="AZ64" s="841"/>
      <c r="BA64" s="841"/>
      <c r="BB64" s="841"/>
      <c r="BC64" s="841"/>
      <c r="BD64" s="841"/>
      <c r="BE64" s="841"/>
      <c r="BF64" s="841"/>
      <c r="BG64" s="841"/>
      <c r="BH64" s="841"/>
      <c r="BI64" s="841"/>
      <c r="BJ64" s="841"/>
      <c r="BK64" s="841"/>
      <c r="BL64" s="841"/>
      <c r="BM64" s="841"/>
      <c r="BN64" s="841"/>
      <c r="BO64" s="841"/>
      <c r="BP64" s="841"/>
      <c r="BQ64" s="841"/>
      <c r="BR64" s="841"/>
      <c r="BS64" s="841"/>
      <c r="BT64" s="841"/>
      <c r="BU64" s="841"/>
      <c r="BV64" s="841"/>
      <c r="BW64" s="841"/>
      <c r="BX64" s="841"/>
      <c r="BY64" s="841"/>
      <c r="BZ64" s="841"/>
      <c r="CA64" s="841"/>
      <c r="CB64" s="841"/>
      <c r="CC64" s="841"/>
      <c r="CD64" s="841"/>
      <c r="CE64" s="841"/>
      <c r="CF64" s="841"/>
      <c r="CG64" s="841"/>
      <c r="CH64" s="841"/>
      <c r="CI64" s="841"/>
      <c r="CJ64" s="841"/>
      <c r="CK64" s="841"/>
      <c r="CL64" s="841"/>
    </row>
    <row r="65" spans="1:90" ht="16.5" thickBot="1" x14ac:dyDescent="0.45">
      <c r="A65" s="797" t="s">
        <v>814</v>
      </c>
      <c r="B65" s="805"/>
      <c r="C65" s="805"/>
      <c r="D65" s="813"/>
      <c r="E65" s="741"/>
      <c r="F65" s="741"/>
      <c r="G65" s="741"/>
      <c r="H65" s="741"/>
      <c r="I65" s="741"/>
      <c r="J65" s="741"/>
      <c r="K65" s="757"/>
      <c r="O65" s="719"/>
      <c r="V65" s="841"/>
      <c r="W65" s="841"/>
      <c r="X65" s="841"/>
      <c r="Y65" s="841"/>
      <c r="Z65" s="841"/>
      <c r="AA65" s="841"/>
      <c r="AB65" s="841"/>
      <c r="AC65" s="841"/>
      <c r="AD65" s="841"/>
      <c r="AE65" s="841"/>
      <c r="AF65" s="841"/>
      <c r="AG65" s="841"/>
      <c r="AH65" s="841"/>
      <c r="AI65" s="841"/>
      <c r="AJ65" s="841"/>
      <c r="AK65" s="841"/>
      <c r="AL65" s="841"/>
      <c r="AM65" s="841"/>
      <c r="AN65" s="841"/>
      <c r="AO65" s="841"/>
      <c r="AP65" s="841"/>
      <c r="AQ65" s="841"/>
      <c r="AR65" s="841"/>
      <c r="AS65" s="841"/>
      <c r="AT65" s="841"/>
      <c r="AU65" s="841"/>
      <c r="AV65" s="841"/>
      <c r="AW65" s="841"/>
      <c r="AX65" s="841"/>
      <c r="AY65" s="841"/>
      <c r="AZ65" s="841"/>
      <c r="BA65" s="841"/>
      <c r="BB65" s="841"/>
      <c r="BC65" s="841"/>
      <c r="BD65" s="841"/>
      <c r="BE65" s="841"/>
      <c r="BF65" s="841"/>
      <c r="BG65" s="841"/>
      <c r="BH65" s="841"/>
      <c r="BI65" s="841"/>
      <c r="BJ65" s="841"/>
      <c r="BK65" s="841"/>
      <c r="BL65" s="841"/>
      <c r="BM65" s="841"/>
      <c r="BN65" s="841"/>
      <c r="BO65" s="841"/>
      <c r="BP65" s="841"/>
      <c r="BQ65" s="841"/>
      <c r="BR65" s="841"/>
      <c r="BS65" s="841"/>
      <c r="BT65" s="841"/>
      <c r="BU65" s="841"/>
      <c r="BV65" s="841"/>
      <c r="BW65" s="841"/>
      <c r="BX65" s="841"/>
      <c r="BY65" s="841"/>
      <c r="BZ65" s="841"/>
      <c r="CA65" s="841"/>
      <c r="CB65" s="841"/>
      <c r="CC65" s="841"/>
      <c r="CD65" s="841"/>
      <c r="CE65" s="841"/>
      <c r="CF65" s="841"/>
      <c r="CG65" s="841"/>
      <c r="CH65" s="841"/>
      <c r="CI65" s="841"/>
      <c r="CJ65" s="841"/>
      <c r="CK65" s="841"/>
      <c r="CL65" s="841"/>
    </row>
    <row r="66" spans="1:90" s="716" customFormat="1" ht="25.15" customHeight="1" thickBot="1" x14ac:dyDescent="0.45">
      <c r="A66" s="797" t="s">
        <v>815</v>
      </c>
      <c r="B66" s="805"/>
      <c r="C66" s="805"/>
      <c r="D66" s="820"/>
      <c r="E66" s="741"/>
      <c r="F66" s="741"/>
      <c r="G66" s="741"/>
      <c r="H66" s="741"/>
      <c r="I66" s="741"/>
      <c r="J66" s="741"/>
      <c r="K66" s="757"/>
      <c r="L66" s="719"/>
      <c r="M66" s="719"/>
      <c r="N66" s="719"/>
      <c r="P66" s="717"/>
      <c r="Q66" s="717"/>
      <c r="R66" s="717"/>
      <c r="S66" s="717"/>
      <c r="T66" s="717"/>
      <c r="U66" s="717"/>
      <c r="V66" s="841"/>
      <c r="W66" s="841"/>
      <c r="X66" s="841"/>
      <c r="Y66" s="841"/>
      <c r="Z66" s="841"/>
      <c r="AA66" s="841"/>
      <c r="AB66" s="841"/>
      <c r="AC66" s="841"/>
      <c r="AD66" s="841"/>
      <c r="AE66" s="841"/>
      <c r="AF66" s="841"/>
      <c r="AG66" s="841"/>
      <c r="AH66" s="841"/>
      <c r="AI66" s="841"/>
      <c r="AJ66" s="841"/>
      <c r="AK66" s="841"/>
      <c r="AL66" s="841"/>
      <c r="AM66" s="841"/>
      <c r="AN66" s="841"/>
      <c r="AO66" s="841"/>
      <c r="AP66" s="841"/>
      <c r="AQ66" s="841"/>
      <c r="AR66" s="841"/>
      <c r="AS66" s="841"/>
      <c r="AT66" s="841"/>
      <c r="AU66" s="841"/>
      <c r="AV66" s="841"/>
      <c r="AW66" s="841"/>
      <c r="AX66" s="841"/>
      <c r="AY66" s="841"/>
      <c r="AZ66" s="841"/>
      <c r="BA66" s="841"/>
      <c r="BB66" s="841"/>
      <c r="BC66" s="841"/>
      <c r="BD66" s="841"/>
      <c r="BE66" s="841"/>
      <c r="BF66" s="841"/>
      <c r="BG66" s="841"/>
      <c r="BH66" s="841"/>
      <c r="BI66" s="841"/>
      <c r="BJ66" s="841"/>
      <c r="BK66" s="841"/>
      <c r="BL66" s="841"/>
      <c r="BM66" s="841"/>
      <c r="BN66" s="841"/>
      <c r="BO66" s="841"/>
      <c r="BP66" s="841"/>
      <c r="BQ66" s="841"/>
      <c r="BR66" s="841"/>
      <c r="BS66" s="841"/>
      <c r="BT66" s="841"/>
      <c r="BU66" s="841"/>
      <c r="BV66" s="841"/>
      <c r="BW66" s="841"/>
      <c r="BX66" s="841"/>
      <c r="BY66" s="841"/>
      <c r="BZ66" s="841"/>
      <c r="CA66" s="841"/>
      <c r="CB66" s="841"/>
      <c r="CC66" s="841"/>
      <c r="CD66" s="841"/>
      <c r="CE66" s="841"/>
      <c r="CF66" s="841"/>
      <c r="CG66" s="841"/>
      <c r="CH66" s="841"/>
      <c r="CI66" s="841"/>
      <c r="CJ66" s="841"/>
      <c r="CK66" s="841"/>
      <c r="CL66" s="841"/>
    </row>
    <row r="67" spans="1:90" s="716" customFormat="1" ht="16.899999999999999" customHeight="1" thickBot="1" x14ac:dyDescent="0.45">
      <c r="A67" s="718"/>
      <c r="B67" s="718"/>
      <c r="C67" s="718"/>
      <c r="D67" s="718"/>
      <c r="E67" s="718"/>
      <c r="F67" s="718"/>
      <c r="G67" s="718"/>
      <c r="H67" s="718"/>
      <c r="I67" s="718"/>
      <c r="J67" s="718"/>
      <c r="K67" s="841"/>
      <c r="L67" s="719"/>
      <c r="M67" s="719"/>
      <c r="N67" s="719"/>
      <c r="P67" s="717"/>
      <c r="Q67" s="717"/>
      <c r="R67" s="717"/>
      <c r="S67" s="717"/>
      <c r="T67" s="717"/>
      <c r="U67" s="717"/>
      <c r="V67" s="841"/>
      <c r="W67" s="841"/>
      <c r="X67" s="841"/>
      <c r="Y67" s="841"/>
      <c r="Z67" s="841"/>
      <c r="AA67" s="841"/>
      <c r="AB67" s="841"/>
      <c r="AC67" s="841"/>
      <c r="AD67" s="841"/>
      <c r="AE67" s="841"/>
      <c r="AF67" s="841"/>
      <c r="AG67" s="841"/>
      <c r="AH67" s="841"/>
      <c r="AI67" s="841"/>
      <c r="AJ67" s="841"/>
      <c r="AK67" s="841"/>
      <c r="AL67" s="841"/>
      <c r="AM67" s="841"/>
      <c r="AN67" s="841"/>
      <c r="AO67" s="841"/>
      <c r="AP67" s="841"/>
      <c r="AQ67" s="841"/>
      <c r="AR67" s="841"/>
      <c r="AS67" s="841"/>
      <c r="AT67" s="841"/>
      <c r="AU67" s="841"/>
      <c r="AV67" s="841"/>
      <c r="AW67" s="841"/>
      <c r="AX67" s="841"/>
      <c r="AY67" s="841"/>
      <c r="AZ67" s="841"/>
      <c r="BA67" s="841"/>
      <c r="BB67" s="841"/>
      <c r="BC67" s="841"/>
      <c r="BD67" s="841"/>
      <c r="BE67" s="841"/>
      <c r="BF67" s="841"/>
      <c r="BG67" s="841"/>
      <c r="BH67" s="841"/>
      <c r="BI67" s="841"/>
      <c r="BJ67" s="841"/>
      <c r="BK67" s="841"/>
      <c r="BL67" s="841"/>
      <c r="BM67" s="841"/>
      <c r="BN67" s="841"/>
      <c r="BO67" s="841"/>
      <c r="BP67" s="841"/>
      <c r="BQ67" s="841"/>
      <c r="BR67" s="841"/>
      <c r="BS67" s="841"/>
      <c r="BT67" s="841"/>
      <c r="BU67" s="841"/>
      <c r="BV67" s="841"/>
      <c r="BW67" s="841"/>
      <c r="BX67" s="841"/>
      <c r="BY67" s="841"/>
      <c r="BZ67" s="841"/>
      <c r="CA67" s="841"/>
      <c r="CB67" s="841"/>
      <c r="CC67" s="841"/>
      <c r="CD67" s="841"/>
      <c r="CE67" s="841"/>
      <c r="CF67" s="841"/>
      <c r="CG67" s="841"/>
      <c r="CH67" s="841"/>
      <c r="CI67" s="841"/>
      <c r="CJ67" s="841"/>
      <c r="CK67" s="841"/>
      <c r="CL67" s="841"/>
    </row>
    <row r="68" spans="1:90" s="716" customFormat="1" ht="16.5" thickBot="1" x14ac:dyDescent="0.45">
      <c r="A68" s="738" t="s">
        <v>679</v>
      </c>
      <c r="B68" s="717" t="s">
        <v>816</v>
      </c>
      <c r="C68" s="718"/>
      <c r="D68" s="718"/>
      <c r="E68" s="717"/>
      <c r="F68" s="717"/>
      <c r="G68" s="718"/>
      <c r="H68" s="718"/>
      <c r="I68" s="718"/>
      <c r="J68" s="718"/>
      <c r="K68" s="841"/>
      <c r="L68" s="719"/>
      <c r="M68" s="719"/>
      <c r="N68" s="719"/>
      <c r="P68" s="717"/>
      <c r="Q68" s="717"/>
      <c r="R68" s="717"/>
      <c r="S68" s="717"/>
      <c r="T68" s="717"/>
      <c r="U68" s="717"/>
      <c r="V68" s="841"/>
      <c r="W68" s="841"/>
      <c r="X68" s="841"/>
      <c r="Y68" s="841"/>
      <c r="Z68" s="841"/>
      <c r="AA68" s="841"/>
      <c r="AB68" s="841"/>
      <c r="AC68" s="841"/>
      <c r="AD68" s="841"/>
      <c r="AE68" s="841"/>
      <c r="AF68" s="841"/>
      <c r="AG68" s="841"/>
      <c r="AH68" s="841"/>
      <c r="AI68" s="841"/>
      <c r="AJ68" s="841"/>
      <c r="AK68" s="841"/>
      <c r="AL68" s="841"/>
      <c r="AM68" s="841"/>
      <c r="AN68" s="841"/>
      <c r="AO68" s="841"/>
      <c r="AP68" s="841"/>
      <c r="AQ68" s="841"/>
      <c r="AR68" s="841"/>
      <c r="AS68" s="841"/>
      <c r="AT68" s="841"/>
      <c r="AU68" s="841"/>
      <c r="AV68" s="841"/>
      <c r="AW68" s="841"/>
      <c r="AX68" s="841"/>
      <c r="AY68" s="841"/>
      <c r="AZ68" s="841"/>
      <c r="BA68" s="841"/>
      <c r="BB68" s="841"/>
      <c r="BC68" s="841"/>
      <c r="BD68" s="841"/>
      <c r="BE68" s="841"/>
      <c r="BF68" s="841"/>
      <c r="BG68" s="841"/>
      <c r="BH68" s="841"/>
      <c r="BI68" s="841"/>
      <c r="BJ68" s="841"/>
      <c r="BK68" s="841"/>
      <c r="BL68" s="841"/>
      <c r="BM68" s="841"/>
      <c r="BN68" s="841"/>
      <c r="BO68" s="841"/>
      <c r="BP68" s="841"/>
      <c r="BQ68" s="841"/>
      <c r="BR68" s="841"/>
      <c r="BS68" s="841"/>
      <c r="BT68" s="841"/>
      <c r="BU68" s="841"/>
      <c r="BV68" s="841"/>
      <c r="BW68" s="841"/>
      <c r="BX68" s="841"/>
      <c r="BY68" s="841"/>
      <c r="BZ68" s="841"/>
      <c r="CA68" s="841"/>
      <c r="CB68" s="841"/>
      <c r="CC68" s="841"/>
      <c r="CD68" s="841"/>
      <c r="CE68" s="841"/>
      <c r="CF68" s="841"/>
      <c r="CG68" s="841"/>
      <c r="CH68" s="841"/>
      <c r="CI68" s="841"/>
      <c r="CJ68" s="841"/>
      <c r="CK68" s="841"/>
      <c r="CL68" s="841"/>
    </row>
    <row r="69" spans="1:90" s="716" customFormat="1" x14ac:dyDescent="0.4">
      <c r="A69" s="721" t="s">
        <v>679</v>
      </c>
      <c r="B69" s="717" t="s">
        <v>817</v>
      </c>
      <c r="C69" s="718"/>
      <c r="D69" s="718"/>
      <c r="E69" s="717"/>
      <c r="F69" s="717"/>
      <c r="G69" s="718"/>
      <c r="H69" s="718"/>
      <c r="I69" s="718"/>
      <c r="J69" s="718"/>
      <c r="K69" s="841"/>
      <c r="L69" s="719"/>
      <c r="M69" s="719"/>
      <c r="N69" s="719"/>
      <c r="P69" s="717"/>
      <c r="Q69" s="717"/>
      <c r="R69" s="717"/>
      <c r="S69" s="717"/>
      <c r="T69" s="717"/>
      <c r="U69" s="717"/>
      <c r="V69" s="841"/>
      <c r="W69" s="841"/>
      <c r="X69" s="841"/>
      <c r="Y69" s="841"/>
      <c r="Z69" s="841"/>
      <c r="AA69" s="841"/>
      <c r="AB69" s="841"/>
      <c r="AC69" s="841"/>
      <c r="AD69" s="841"/>
      <c r="AE69" s="841"/>
      <c r="AF69" s="841"/>
      <c r="AG69" s="841"/>
      <c r="AH69" s="841"/>
      <c r="AI69" s="841"/>
      <c r="AJ69" s="841"/>
      <c r="AK69" s="841"/>
      <c r="AL69" s="841"/>
      <c r="AM69" s="841"/>
      <c r="AN69" s="841"/>
      <c r="AO69" s="841"/>
      <c r="AP69" s="841"/>
      <c r="AQ69" s="841"/>
      <c r="AR69" s="841"/>
      <c r="AS69" s="841"/>
      <c r="AT69" s="841"/>
      <c r="AU69" s="841"/>
      <c r="AV69" s="841"/>
      <c r="AW69" s="841"/>
      <c r="AX69" s="841"/>
      <c r="AY69" s="841"/>
      <c r="AZ69" s="841"/>
      <c r="BA69" s="841"/>
      <c r="BB69" s="841"/>
      <c r="BC69" s="841"/>
      <c r="BD69" s="841"/>
      <c r="BE69" s="841"/>
      <c r="BF69" s="841"/>
      <c r="BG69" s="841"/>
      <c r="BH69" s="841"/>
      <c r="BI69" s="841"/>
      <c r="BJ69" s="841"/>
      <c r="BK69" s="841"/>
      <c r="BL69" s="841"/>
      <c r="BM69" s="841"/>
      <c r="BN69" s="841"/>
      <c r="BO69" s="841"/>
      <c r="BP69" s="841"/>
      <c r="BQ69" s="841"/>
      <c r="BR69" s="841"/>
      <c r="BS69" s="841"/>
      <c r="BT69" s="841"/>
      <c r="BU69" s="841"/>
      <c r="BV69" s="841"/>
      <c r="BW69" s="841"/>
      <c r="BX69" s="841"/>
      <c r="BY69" s="841"/>
      <c r="BZ69" s="841"/>
      <c r="CA69" s="841"/>
      <c r="CB69" s="841"/>
      <c r="CC69" s="841"/>
      <c r="CD69" s="841"/>
      <c r="CE69" s="841"/>
      <c r="CF69" s="841"/>
      <c r="CG69" s="841"/>
      <c r="CH69" s="841"/>
      <c r="CI69" s="841"/>
      <c r="CJ69" s="841"/>
      <c r="CK69" s="841"/>
      <c r="CL69" s="841"/>
    </row>
    <row r="70" spans="1:90" x14ac:dyDescent="0.4">
      <c r="A70" s="739"/>
      <c r="B70" s="717" t="s">
        <v>818</v>
      </c>
      <c r="V70" s="841"/>
      <c r="W70" s="841"/>
      <c r="X70" s="841"/>
      <c r="Y70" s="841"/>
      <c r="Z70" s="841"/>
      <c r="AA70" s="841"/>
      <c r="AB70" s="841"/>
      <c r="AC70" s="841"/>
      <c r="AD70" s="841"/>
      <c r="AE70" s="841"/>
      <c r="AF70" s="841"/>
      <c r="AG70" s="841"/>
      <c r="AH70" s="841"/>
      <c r="AI70" s="841"/>
      <c r="AJ70" s="841"/>
      <c r="AK70" s="841"/>
      <c r="AL70" s="841"/>
      <c r="AM70" s="841"/>
      <c r="AN70" s="841"/>
      <c r="AO70" s="841"/>
      <c r="AP70" s="841"/>
      <c r="AQ70" s="841"/>
      <c r="AR70" s="841"/>
      <c r="AS70" s="841"/>
      <c r="AT70" s="841"/>
      <c r="AU70" s="841"/>
      <c r="AV70" s="841"/>
      <c r="AW70" s="841"/>
      <c r="AX70" s="841"/>
      <c r="AY70" s="841"/>
      <c r="AZ70" s="841"/>
      <c r="BA70" s="841"/>
      <c r="BB70" s="841"/>
      <c r="BC70" s="841"/>
      <c r="BD70" s="841"/>
      <c r="BE70" s="841"/>
      <c r="BF70" s="841"/>
      <c r="BG70" s="841"/>
      <c r="BH70" s="841"/>
      <c r="BI70" s="841"/>
      <c r="BJ70" s="841"/>
      <c r="BK70" s="841"/>
      <c r="BL70" s="841"/>
      <c r="BM70" s="841"/>
      <c r="BN70" s="841"/>
      <c r="BO70" s="841"/>
      <c r="BP70" s="841"/>
      <c r="BQ70" s="841"/>
      <c r="BR70" s="841"/>
      <c r="BS70" s="841"/>
      <c r="BT70" s="841"/>
      <c r="BU70" s="841"/>
      <c r="BV70" s="841"/>
      <c r="BW70" s="841"/>
      <c r="BX70" s="841"/>
      <c r="BY70" s="841"/>
      <c r="BZ70" s="841"/>
      <c r="CA70" s="841"/>
      <c r="CB70" s="841"/>
      <c r="CC70" s="841"/>
      <c r="CD70" s="841"/>
      <c r="CE70" s="841"/>
      <c r="CF70" s="841"/>
      <c r="CG70" s="841"/>
      <c r="CH70" s="841"/>
      <c r="CI70" s="841"/>
      <c r="CJ70" s="841"/>
      <c r="CK70" s="841"/>
      <c r="CL70" s="841"/>
    </row>
    <row r="71" spans="1:90" ht="16.5" thickBot="1" x14ac:dyDescent="0.45">
      <c r="D71" s="740" t="s">
        <v>830</v>
      </c>
      <c r="E71" s="740" t="s">
        <v>829</v>
      </c>
      <c r="F71" s="740" t="s">
        <v>830</v>
      </c>
      <c r="G71" s="740" t="s">
        <v>829</v>
      </c>
      <c r="H71" s="740" t="s">
        <v>829</v>
      </c>
      <c r="I71" s="740" t="s">
        <v>830</v>
      </c>
      <c r="J71" s="740" t="s">
        <v>830</v>
      </c>
      <c r="K71" s="740" t="s">
        <v>830</v>
      </c>
      <c r="V71" s="841"/>
      <c r="W71" s="841"/>
      <c r="X71" s="841"/>
      <c r="Y71" s="841"/>
      <c r="Z71" s="841"/>
      <c r="AA71" s="841"/>
      <c r="AB71" s="841"/>
      <c r="AC71" s="841"/>
      <c r="AD71" s="841"/>
      <c r="AE71" s="841"/>
      <c r="AF71" s="841"/>
      <c r="AG71" s="841"/>
      <c r="AH71" s="841"/>
      <c r="AI71" s="841"/>
      <c r="AJ71" s="841"/>
      <c r="AK71" s="841"/>
      <c r="AL71" s="841"/>
      <c r="AM71" s="841"/>
      <c r="AN71" s="841"/>
      <c r="AO71" s="841"/>
      <c r="AP71" s="841"/>
      <c r="AQ71" s="841"/>
      <c r="AR71" s="841"/>
      <c r="AS71" s="841"/>
      <c r="AT71" s="841"/>
      <c r="AU71" s="841"/>
      <c r="AV71" s="841"/>
      <c r="AW71" s="841"/>
      <c r="AX71" s="841"/>
      <c r="AY71" s="841"/>
      <c r="AZ71" s="841"/>
      <c r="BA71" s="841"/>
      <c r="BB71" s="841"/>
      <c r="BC71" s="841"/>
      <c r="BD71" s="841"/>
      <c r="BE71" s="841"/>
      <c r="BF71" s="841"/>
      <c r="BG71" s="841"/>
      <c r="BH71" s="841"/>
      <c r="BI71" s="841"/>
      <c r="BJ71" s="841"/>
      <c r="BK71" s="841"/>
      <c r="BL71" s="841"/>
      <c r="BM71" s="841"/>
      <c r="BN71" s="841"/>
      <c r="BO71" s="841"/>
      <c r="BP71" s="841"/>
      <c r="BQ71" s="841"/>
      <c r="BR71" s="841"/>
      <c r="BS71" s="841"/>
      <c r="BT71" s="841"/>
      <c r="BU71" s="841"/>
      <c r="BV71" s="841"/>
      <c r="BW71" s="841"/>
      <c r="BX71" s="841"/>
      <c r="BY71" s="841"/>
      <c r="BZ71" s="841"/>
      <c r="CA71" s="841"/>
      <c r="CB71" s="841"/>
      <c r="CC71" s="841"/>
      <c r="CD71" s="841"/>
      <c r="CE71" s="841"/>
      <c r="CF71" s="841"/>
      <c r="CG71" s="841"/>
      <c r="CH71" s="841"/>
      <c r="CI71" s="841"/>
      <c r="CJ71" s="841"/>
      <c r="CK71" s="841"/>
      <c r="CL71" s="841"/>
    </row>
    <row r="72" spans="1:90" x14ac:dyDescent="0.4">
      <c r="C72" s="134" t="s">
        <v>92</v>
      </c>
      <c r="D72" s="747" t="s">
        <v>820</v>
      </c>
      <c r="E72" s="135" t="s">
        <v>822</v>
      </c>
      <c r="F72" s="135" t="s">
        <v>826</v>
      </c>
      <c r="G72" s="135" t="s">
        <v>103</v>
      </c>
      <c r="H72" s="135" t="s">
        <v>104</v>
      </c>
      <c r="I72" s="429" t="s">
        <v>671</v>
      </c>
      <c r="J72" s="429" t="s">
        <v>237</v>
      </c>
      <c r="K72" s="429" t="s">
        <v>160</v>
      </c>
      <c r="V72" s="841"/>
      <c r="W72" s="841"/>
      <c r="X72" s="841"/>
      <c r="Y72" s="841"/>
      <c r="Z72" s="841"/>
      <c r="AA72" s="841"/>
      <c r="AB72" s="841"/>
      <c r="AC72" s="841"/>
      <c r="AD72" s="841"/>
      <c r="AE72" s="841"/>
      <c r="AF72" s="841"/>
      <c r="AG72" s="841"/>
      <c r="AH72" s="841"/>
      <c r="AI72" s="841"/>
      <c r="AJ72" s="841"/>
      <c r="AK72" s="841"/>
      <c r="AL72" s="841"/>
      <c r="AM72" s="841"/>
      <c r="AN72" s="841"/>
      <c r="AO72" s="841"/>
      <c r="AP72" s="841"/>
      <c r="AQ72" s="841"/>
      <c r="AR72" s="841"/>
      <c r="AS72" s="841"/>
      <c r="AT72" s="841"/>
      <c r="AU72" s="841"/>
      <c r="AV72" s="841"/>
      <c r="AW72" s="841"/>
      <c r="AX72" s="841"/>
      <c r="AY72" s="841"/>
      <c r="AZ72" s="841"/>
      <c r="BA72" s="841"/>
      <c r="BB72" s="841"/>
      <c r="BC72" s="841"/>
      <c r="BD72" s="841"/>
      <c r="BE72" s="841"/>
      <c r="BF72" s="841"/>
      <c r="BG72" s="841"/>
      <c r="BH72" s="841"/>
      <c r="BI72" s="841"/>
      <c r="BJ72" s="841"/>
      <c r="BK72" s="841"/>
      <c r="BL72" s="841"/>
      <c r="BM72" s="841"/>
      <c r="BN72" s="841"/>
      <c r="BO72" s="841"/>
      <c r="BP72" s="841"/>
      <c r="BQ72" s="841"/>
      <c r="BR72" s="841"/>
      <c r="BS72" s="841"/>
      <c r="BT72" s="841"/>
      <c r="BU72" s="841"/>
      <c r="BV72" s="841"/>
      <c r="BW72" s="841"/>
      <c r="BX72" s="841"/>
      <c r="BY72" s="841"/>
      <c r="BZ72" s="841"/>
      <c r="CA72" s="841"/>
      <c r="CB72" s="841"/>
      <c r="CC72" s="841"/>
      <c r="CD72" s="841"/>
      <c r="CE72" s="841"/>
      <c r="CF72" s="841"/>
      <c r="CG72" s="841"/>
      <c r="CH72" s="841"/>
      <c r="CI72" s="841"/>
      <c r="CJ72" s="841"/>
      <c r="CK72" s="841"/>
      <c r="CL72" s="841"/>
    </row>
    <row r="73" spans="1:90" x14ac:dyDescent="0.4">
      <c r="C73" s="136">
        <v>0</v>
      </c>
      <c r="D73" s="136"/>
      <c r="E73" s="136"/>
      <c r="F73" s="137"/>
      <c r="G73" s="137"/>
      <c r="H73" s="137"/>
      <c r="I73" s="138"/>
      <c r="J73" s="138"/>
      <c r="K73" s="138"/>
    </row>
    <row r="74" spans="1:90" x14ac:dyDescent="0.4">
      <c r="C74" s="136">
        <v>1</v>
      </c>
      <c r="D74" s="136"/>
      <c r="E74" s="136"/>
      <c r="F74" s="137"/>
      <c r="G74" s="137"/>
      <c r="H74" s="137"/>
      <c r="I74" s="138"/>
      <c r="J74" s="138"/>
      <c r="K74" s="138"/>
      <c r="M74" s="717"/>
      <c r="N74" s="717"/>
      <c r="O74" s="717"/>
    </row>
    <row r="75" spans="1:90" x14ac:dyDescent="0.4">
      <c r="C75" s="136">
        <v>2</v>
      </c>
      <c r="D75" s="136"/>
      <c r="E75" s="136"/>
      <c r="F75" s="137"/>
      <c r="G75" s="137"/>
      <c r="H75" s="137"/>
      <c r="I75" s="138"/>
      <c r="J75" s="138"/>
      <c r="K75" s="138"/>
      <c r="M75" s="717"/>
      <c r="N75" s="717"/>
      <c r="O75" s="717"/>
      <c r="X75" s="717">
        <v>5</v>
      </c>
      <c r="Y75" s="717">
        <v>900</v>
      </c>
    </row>
    <row r="76" spans="1:90" x14ac:dyDescent="0.4">
      <c r="C76" s="136">
        <v>3</v>
      </c>
      <c r="D76" s="136"/>
      <c r="E76" s="136"/>
      <c r="F76" s="137"/>
      <c r="G76" s="137"/>
      <c r="H76" s="137"/>
      <c r="I76" s="138"/>
      <c r="J76" s="138"/>
      <c r="K76" s="138"/>
      <c r="M76" s="717"/>
      <c r="N76" s="717"/>
      <c r="O76" s="717"/>
      <c r="X76" s="717">
        <v>5</v>
      </c>
      <c r="Y76" s="717">
        <v>0</v>
      </c>
    </row>
    <row r="77" spans="1:90" x14ac:dyDescent="0.4">
      <c r="C77" s="136">
        <v>4</v>
      </c>
      <c r="D77" s="136"/>
      <c r="E77" s="136"/>
      <c r="F77" s="137"/>
      <c r="G77" s="137"/>
      <c r="H77" s="137"/>
      <c r="I77" s="138"/>
      <c r="J77" s="138"/>
      <c r="K77" s="138"/>
      <c r="M77" s="717"/>
      <c r="N77" s="717"/>
      <c r="O77" s="717"/>
    </row>
    <row r="78" spans="1:90" x14ac:dyDescent="0.4">
      <c r="C78" s="943">
        <v>5</v>
      </c>
      <c r="D78" s="430"/>
      <c r="E78" s="430"/>
      <c r="F78" s="942"/>
      <c r="G78" s="431"/>
      <c r="H78" s="431"/>
      <c r="I78" s="944"/>
      <c r="J78" s="432"/>
      <c r="K78" s="944"/>
      <c r="M78" s="717"/>
      <c r="N78" s="717"/>
      <c r="O78" s="717"/>
      <c r="X78" s="717">
        <v>95</v>
      </c>
      <c r="Y78" s="717">
        <v>900</v>
      </c>
    </row>
    <row r="79" spans="1:90" x14ac:dyDescent="0.4">
      <c r="C79" s="136">
        <v>6</v>
      </c>
      <c r="D79" s="136"/>
      <c r="E79" s="136"/>
      <c r="F79" s="137"/>
      <c r="G79" s="137"/>
      <c r="H79" s="137"/>
      <c r="I79" s="138"/>
      <c r="J79" s="138"/>
      <c r="K79" s="138"/>
      <c r="M79" s="717"/>
      <c r="N79" s="717"/>
      <c r="O79" s="717"/>
      <c r="X79" s="717">
        <v>95</v>
      </c>
      <c r="Y79" s="717">
        <v>0</v>
      </c>
    </row>
    <row r="80" spans="1:90" x14ac:dyDescent="0.4">
      <c r="C80" s="136">
        <v>7</v>
      </c>
      <c r="D80" s="136"/>
      <c r="E80" s="136"/>
      <c r="F80" s="137"/>
      <c r="G80" s="137"/>
      <c r="H80" s="137"/>
      <c r="I80" s="138"/>
      <c r="J80" s="138"/>
      <c r="K80" s="138"/>
      <c r="M80" s="717"/>
      <c r="N80" s="717"/>
      <c r="O80" s="717"/>
    </row>
    <row r="81" spans="3:15" x14ac:dyDescent="0.4">
      <c r="C81" s="136">
        <v>8</v>
      </c>
      <c r="D81" s="136"/>
      <c r="E81" s="136"/>
      <c r="F81" s="137"/>
      <c r="G81" s="137"/>
      <c r="H81" s="137"/>
      <c r="I81" s="138"/>
      <c r="J81" s="138"/>
      <c r="K81" s="138"/>
      <c r="M81" s="717"/>
      <c r="N81" s="717"/>
      <c r="O81" s="717"/>
    </row>
    <row r="82" spans="3:15" x14ac:dyDescent="0.4">
      <c r="C82" s="136">
        <v>9</v>
      </c>
      <c r="D82" s="136"/>
      <c r="E82" s="136"/>
      <c r="F82" s="137"/>
      <c r="G82" s="137"/>
      <c r="H82" s="137"/>
      <c r="I82" s="138"/>
      <c r="J82" s="138"/>
      <c r="K82" s="138"/>
      <c r="M82" s="717"/>
      <c r="N82" s="717"/>
      <c r="O82" s="717"/>
    </row>
    <row r="83" spans="3:15" x14ac:dyDescent="0.4">
      <c r="C83" s="430">
        <v>10</v>
      </c>
      <c r="D83" s="430"/>
      <c r="E83" s="430"/>
      <c r="F83" s="431"/>
      <c r="G83" s="431"/>
      <c r="H83" s="431"/>
      <c r="I83" s="432"/>
      <c r="J83" s="432"/>
      <c r="K83" s="432"/>
      <c r="M83" s="717"/>
      <c r="N83" s="717"/>
      <c r="O83" s="717"/>
    </row>
    <row r="84" spans="3:15" x14ac:dyDescent="0.4">
      <c r="C84" s="136">
        <v>11</v>
      </c>
      <c r="D84" s="136"/>
      <c r="E84" s="136"/>
      <c r="F84" s="137"/>
      <c r="G84" s="137"/>
      <c r="H84" s="137"/>
      <c r="I84" s="138"/>
      <c r="J84" s="138"/>
      <c r="K84" s="138"/>
      <c r="M84" s="717"/>
      <c r="N84" s="717"/>
      <c r="O84" s="717"/>
    </row>
    <row r="85" spans="3:15" x14ac:dyDescent="0.4">
      <c r="C85" s="136">
        <v>12</v>
      </c>
      <c r="D85" s="136"/>
      <c r="E85" s="136"/>
      <c r="F85" s="137"/>
      <c r="G85" s="137"/>
      <c r="H85" s="137"/>
      <c r="I85" s="138"/>
      <c r="J85" s="138"/>
      <c r="K85" s="138"/>
      <c r="M85" s="717"/>
      <c r="N85" s="717"/>
      <c r="O85" s="717"/>
    </row>
    <row r="86" spans="3:15" x14ac:dyDescent="0.4">
      <c r="C86" s="136">
        <v>13</v>
      </c>
      <c r="D86" s="136"/>
      <c r="E86" s="136"/>
      <c r="F86" s="137"/>
      <c r="G86" s="137"/>
      <c r="H86" s="137"/>
      <c r="I86" s="138"/>
      <c r="J86" s="138"/>
      <c r="K86" s="138"/>
      <c r="M86" s="717"/>
      <c r="N86" s="717"/>
      <c r="O86" s="717"/>
    </row>
    <row r="87" spans="3:15" x14ac:dyDescent="0.4">
      <c r="C87" s="136">
        <v>14</v>
      </c>
      <c r="D87" s="136"/>
      <c r="E87" s="136"/>
      <c r="F87" s="137"/>
      <c r="G87" s="137"/>
      <c r="H87" s="137"/>
      <c r="I87" s="138"/>
      <c r="J87" s="138"/>
      <c r="K87" s="138"/>
      <c r="M87" s="717"/>
      <c r="N87" s="717"/>
      <c r="O87" s="717"/>
    </row>
    <row r="88" spans="3:15" x14ac:dyDescent="0.4">
      <c r="C88" s="430">
        <v>15</v>
      </c>
      <c r="D88" s="430"/>
      <c r="E88" s="430"/>
      <c r="F88" s="431"/>
      <c r="G88" s="431"/>
      <c r="H88" s="431"/>
      <c r="I88" s="432"/>
      <c r="J88" s="432"/>
      <c r="K88" s="432"/>
      <c r="M88" s="717"/>
      <c r="N88" s="717"/>
      <c r="O88" s="717"/>
    </row>
    <row r="89" spans="3:15" x14ac:dyDescent="0.4">
      <c r="C89" s="136">
        <v>16</v>
      </c>
      <c r="D89" s="136"/>
      <c r="E89" s="136"/>
      <c r="F89" s="137"/>
      <c r="G89" s="137"/>
      <c r="H89" s="137"/>
      <c r="I89" s="138"/>
      <c r="J89" s="138"/>
      <c r="K89" s="138"/>
      <c r="M89" s="717"/>
      <c r="N89" s="717"/>
      <c r="O89" s="717"/>
    </row>
    <row r="90" spans="3:15" x14ac:dyDescent="0.4">
      <c r="C90" s="136">
        <v>17</v>
      </c>
      <c r="D90" s="136"/>
      <c r="E90" s="136"/>
      <c r="F90" s="137"/>
      <c r="G90" s="137"/>
      <c r="H90" s="137"/>
      <c r="I90" s="138"/>
      <c r="J90" s="138"/>
      <c r="K90" s="138"/>
      <c r="M90" s="717"/>
      <c r="N90" s="717"/>
      <c r="O90" s="717"/>
    </row>
    <row r="91" spans="3:15" x14ac:dyDescent="0.4">
      <c r="C91" s="136">
        <v>18</v>
      </c>
      <c r="D91" s="136"/>
      <c r="E91" s="136"/>
      <c r="F91" s="137"/>
      <c r="G91" s="137"/>
      <c r="H91" s="137"/>
      <c r="I91" s="138"/>
      <c r="J91" s="138"/>
      <c r="K91" s="138"/>
      <c r="M91" s="717"/>
      <c r="N91" s="717"/>
      <c r="O91" s="717"/>
    </row>
    <row r="92" spans="3:15" x14ac:dyDescent="0.4">
      <c r="C92" s="136">
        <v>19</v>
      </c>
      <c r="D92" s="136"/>
      <c r="E92" s="136"/>
      <c r="F92" s="137"/>
      <c r="G92" s="137"/>
      <c r="H92" s="137"/>
      <c r="I92" s="138"/>
      <c r="J92" s="138"/>
      <c r="K92" s="138"/>
      <c r="M92" s="717"/>
      <c r="N92" s="717"/>
      <c r="O92" s="717"/>
    </row>
    <row r="93" spans="3:15" x14ac:dyDescent="0.4">
      <c r="C93" s="430">
        <v>20</v>
      </c>
      <c r="D93" s="430"/>
      <c r="E93" s="430"/>
      <c r="F93" s="431"/>
      <c r="G93" s="431"/>
      <c r="H93" s="431"/>
      <c r="I93" s="432"/>
      <c r="J93" s="432"/>
      <c r="K93" s="432"/>
      <c r="M93" s="717"/>
      <c r="N93" s="717"/>
      <c r="O93" s="717"/>
    </row>
    <row r="94" spans="3:15" x14ac:dyDescent="0.4">
      <c r="C94" s="136">
        <v>21</v>
      </c>
      <c r="D94" s="136"/>
      <c r="E94" s="136"/>
      <c r="F94" s="137"/>
      <c r="G94" s="137"/>
      <c r="H94" s="137"/>
      <c r="I94" s="138"/>
      <c r="J94" s="138"/>
      <c r="K94" s="138"/>
      <c r="M94" s="717"/>
      <c r="N94" s="717"/>
      <c r="O94" s="717"/>
    </row>
    <row r="95" spans="3:15" x14ac:dyDescent="0.4">
      <c r="C95" s="136">
        <v>22</v>
      </c>
      <c r="D95" s="136"/>
      <c r="E95" s="136"/>
      <c r="F95" s="137"/>
      <c r="G95" s="137"/>
      <c r="H95" s="137"/>
      <c r="I95" s="138"/>
      <c r="J95" s="138"/>
      <c r="K95" s="138"/>
      <c r="M95" s="717"/>
      <c r="N95" s="717"/>
      <c r="O95" s="717"/>
    </row>
    <row r="96" spans="3:15" x14ac:dyDescent="0.4">
      <c r="C96" s="136">
        <v>23</v>
      </c>
      <c r="D96" s="136"/>
      <c r="E96" s="136"/>
      <c r="F96" s="137"/>
      <c r="G96" s="137"/>
      <c r="H96" s="137"/>
      <c r="I96" s="138"/>
      <c r="J96" s="138"/>
      <c r="K96" s="138"/>
      <c r="M96" s="717"/>
      <c r="N96" s="717"/>
      <c r="O96" s="717"/>
    </row>
    <row r="97" spans="3:15" x14ac:dyDescent="0.4">
      <c r="C97" s="136">
        <v>24</v>
      </c>
      <c r="D97" s="136"/>
      <c r="E97" s="136"/>
      <c r="F97" s="137"/>
      <c r="G97" s="137"/>
      <c r="H97" s="137"/>
      <c r="I97" s="138"/>
      <c r="J97" s="138"/>
      <c r="K97" s="138"/>
      <c r="M97" s="717"/>
      <c r="N97" s="717"/>
      <c r="O97" s="717"/>
    </row>
    <row r="98" spans="3:15" x14ac:dyDescent="0.4">
      <c r="C98" s="136">
        <v>25</v>
      </c>
      <c r="D98" s="136"/>
      <c r="E98" s="136"/>
      <c r="F98" s="137"/>
      <c r="G98" s="137"/>
      <c r="H98" s="137"/>
      <c r="I98" s="138"/>
      <c r="J98" s="138"/>
      <c r="K98" s="138"/>
      <c r="M98" s="717"/>
      <c r="N98" s="717"/>
      <c r="O98" s="717"/>
    </row>
    <row r="99" spans="3:15" x14ac:dyDescent="0.4">
      <c r="C99" s="136">
        <v>26</v>
      </c>
      <c r="D99" s="136"/>
      <c r="E99" s="136"/>
      <c r="F99" s="137"/>
      <c r="G99" s="137"/>
      <c r="H99" s="137"/>
      <c r="I99" s="138"/>
      <c r="J99" s="138"/>
      <c r="K99" s="138"/>
      <c r="M99" s="717"/>
      <c r="N99" s="717"/>
      <c r="O99" s="717"/>
    </row>
    <row r="100" spans="3:15" x14ac:dyDescent="0.4">
      <c r="C100" s="136">
        <v>27</v>
      </c>
      <c r="D100" s="136"/>
      <c r="E100" s="136"/>
      <c r="F100" s="137"/>
      <c r="G100" s="137"/>
      <c r="H100" s="137"/>
      <c r="I100" s="138"/>
      <c r="J100" s="138"/>
      <c r="K100" s="138"/>
      <c r="M100" s="717"/>
      <c r="N100" s="717"/>
      <c r="O100" s="717"/>
    </row>
    <row r="101" spans="3:15" x14ac:dyDescent="0.4">
      <c r="C101" s="136">
        <v>28</v>
      </c>
      <c r="D101" s="136"/>
      <c r="E101" s="136"/>
      <c r="F101" s="137"/>
      <c r="G101" s="137"/>
      <c r="H101" s="137"/>
      <c r="I101" s="138"/>
      <c r="J101" s="138"/>
      <c r="K101" s="138"/>
      <c r="M101" s="717"/>
      <c r="N101" s="717"/>
      <c r="O101" s="717"/>
    </row>
    <row r="102" spans="3:15" x14ac:dyDescent="0.4">
      <c r="C102" s="136">
        <v>29</v>
      </c>
      <c r="D102" s="136"/>
      <c r="E102" s="136"/>
      <c r="F102" s="137"/>
      <c r="G102" s="137"/>
      <c r="H102" s="137"/>
      <c r="I102" s="138"/>
      <c r="J102" s="138"/>
      <c r="K102" s="138"/>
      <c r="M102" s="717"/>
      <c r="N102" s="717"/>
      <c r="O102" s="717"/>
    </row>
    <row r="103" spans="3:15" x14ac:dyDescent="0.4">
      <c r="C103" s="430">
        <v>30</v>
      </c>
      <c r="D103" s="430"/>
      <c r="E103" s="430"/>
      <c r="F103" s="431"/>
      <c r="G103" s="431"/>
      <c r="H103" s="431"/>
      <c r="I103" s="432"/>
      <c r="J103" s="432"/>
      <c r="K103" s="432"/>
      <c r="M103" s="717"/>
      <c r="N103" s="717"/>
      <c r="O103" s="717"/>
    </row>
    <row r="104" spans="3:15" x14ac:dyDescent="0.4">
      <c r="C104" s="136">
        <v>31</v>
      </c>
      <c r="D104" s="136"/>
      <c r="E104" s="136"/>
      <c r="F104" s="137"/>
      <c r="G104" s="137"/>
      <c r="H104" s="137"/>
      <c r="I104" s="138"/>
      <c r="J104" s="138"/>
      <c r="K104" s="138"/>
      <c r="M104" s="717"/>
      <c r="N104" s="717"/>
      <c r="O104" s="717"/>
    </row>
    <row r="105" spans="3:15" x14ac:dyDescent="0.4">
      <c r="C105" s="136">
        <v>32</v>
      </c>
      <c r="D105" s="136"/>
      <c r="E105" s="136"/>
      <c r="F105" s="137"/>
      <c r="G105" s="137"/>
      <c r="H105" s="137"/>
      <c r="I105" s="138"/>
      <c r="J105" s="138"/>
      <c r="K105" s="138"/>
      <c r="M105" s="717"/>
      <c r="N105" s="717"/>
      <c r="O105" s="717"/>
    </row>
    <row r="106" spans="3:15" x14ac:dyDescent="0.4">
      <c r="C106" s="136">
        <v>33</v>
      </c>
      <c r="D106" s="136"/>
      <c r="E106" s="136"/>
      <c r="F106" s="137"/>
      <c r="G106" s="137"/>
      <c r="H106" s="137"/>
      <c r="I106" s="138"/>
      <c r="J106" s="138"/>
      <c r="K106" s="138"/>
      <c r="M106" s="717"/>
      <c r="N106" s="717"/>
      <c r="O106" s="717"/>
    </row>
    <row r="107" spans="3:15" x14ac:dyDescent="0.4">
      <c r="C107" s="136">
        <v>34</v>
      </c>
      <c r="D107" s="136"/>
      <c r="E107" s="136"/>
      <c r="F107" s="137"/>
      <c r="G107" s="137"/>
      <c r="H107" s="137"/>
      <c r="I107" s="138"/>
      <c r="J107" s="138"/>
      <c r="K107" s="138"/>
      <c r="M107" s="717"/>
      <c r="N107" s="717"/>
      <c r="O107" s="717"/>
    </row>
    <row r="108" spans="3:15" x14ac:dyDescent="0.4">
      <c r="C108" s="136">
        <v>35</v>
      </c>
      <c r="D108" s="136"/>
      <c r="E108" s="136"/>
      <c r="F108" s="137"/>
      <c r="G108" s="137"/>
      <c r="H108" s="137"/>
      <c r="I108" s="138"/>
      <c r="J108" s="138"/>
      <c r="K108" s="138"/>
      <c r="M108" s="717"/>
      <c r="N108" s="717"/>
      <c r="O108" s="717"/>
    </row>
    <row r="109" spans="3:15" x14ac:dyDescent="0.4">
      <c r="C109" s="136">
        <v>36</v>
      </c>
      <c r="D109" s="136"/>
      <c r="E109" s="136"/>
      <c r="F109" s="137"/>
      <c r="G109" s="137"/>
      <c r="H109" s="137"/>
      <c r="I109" s="138"/>
      <c r="J109" s="138"/>
      <c r="K109" s="138"/>
      <c r="M109" s="717"/>
      <c r="N109" s="717"/>
      <c r="O109" s="717"/>
    </row>
    <row r="110" spans="3:15" x14ac:dyDescent="0.4">
      <c r="C110" s="136">
        <v>37</v>
      </c>
      <c r="D110" s="136"/>
      <c r="E110" s="136"/>
      <c r="F110" s="137"/>
      <c r="G110" s="137"/>
      <c r="H110" s="137"/>
      <c r="I110" s="138"/>
      <c r="J110" s="138"/>
      <c r="K110" s="138"/>
      <c r="M110" s="717"/>
      <c r="N110" s="717"/>
      <c r="O110" s="717"/>
    </row>
    <row r="111" spans="3:15" x14ac:dyDescent="0.4">
      <c r="C111" s="136">
        <v>38</v>
      </c>
      <c r="D111" s="136"/>
      <c r="E111" s="136"/>
      <c r="F111" s="137"/>
      <c r="G111" s="137"/>
      <c r="H111" s="137"/>
      <c r="I111" s="138"/>
      <c r="J111" s="138"/>
      <c r="K111" s="138"/>
      <c r="M111" s="717"/>
      <c r="N111" s="717"/>
      <c r="O111" s="717"/>
    </row>
    <row r="112" spans="3:15" x14ac:dyDescent="0.4">
      <c r="C112" s="136">
        <v>39</v>
      </c>
      <c r="D112" s="136"/>
      <c r="E112" s="136"/>
      <c r="F112" s="137"/>
      <c r="G112" s="137"/>
      <c r="H112" s="137"/>
      <c r="I112" s="138"/>
      <c r="J112" s="138"/>
      <c r="K112" s="138"/>
      <c r="M112" s="717"/>
      <c r="N112" s="717"/>
      <c r="O112" s="717"/>
    </row>
    <row r="113" spans="3:15" x14ac:dyDescent="0.4">
      <c r="C113" s="430">
        <v>40</v>
      </c>
      <c r="D113" s="430"/>
      <c r="E113" s="430"/>
      <c r="F113" s="431"/>
      <c r="G113" s="431"/>
      <c r="H113" s="431"/>
      <c r="I113" s="432"/>
      <c r="J113" s="432"/>
      <c r="K113" s="432"/>
      <c r="M113" s="717"/>
      <c r="N113" s="717"/>
      <c r="O113" s="717"/>
    </row>
    <row r="114" spans="3:15" x14ac:dyDescent="0.4">
      <c r="C114" s="136">
        <v>41</v>
      </c>
      <c r="D114" s="136"/>
      <c r="E114" s="136"/>
      <c r="F114" s="137"/>
      <c r="G114" s="137"/>
      <c r="H114" s="137"/>
      <c r="I114" s="138"/>
      <c r="J114" s="138"/>
      <c r="K114" s="138"/>
      <c r="M114" s="717"/>
      <c r="N114" s="717"/>
      <c r="O114" s="717"/>
    </row>
    <row r="115" spans="3:15" x14ac:dyDescent="0.4">
      <c r="C115" s="136">
        <v>42</v>
      </c>
      <c r="D115" s="136"/>
      <c r="E115" s="136"/>
      <c r="F115" s="137"/>
      <c r="G115" s="137"/>
      <c r="H115" s="137"/>
      <c r="I115" s="138"/>
      <c r="J115" s="138"/>
      <c r="K115" s="138"/>
      <c r="M115" s="717"/>
      <c r="N115" s="717"/>
      <c r="O115" s="717"/>
    </row>
    <row r="116" spans="3:15" x14ac:dyDescent="0.4">
      <c r="C116" s="136">
        <v>43</v>
      </c>
      <c r="D116" s="136"/>
      <c r="E116" s="136"/>
      <c r="F116" s="137"/>
      <c r="G116" s="137"/>
      <c r="H116" s="137"/>
      <c r="I116" s="138"/>
      <c r="J116" s="138"/>
      <c r="K116" s="138"/>
      <c r="M116" s="717"/>
      <c r="N116" s="717"/>
      <c r="O116" s="717"/>
    </row>
    <row r="117" spans="3:15" x14ac:dyDescent="0.4">
      <c r="C117" s="136">
        <v>44</v>
      </c>
      <c r="D117" s="136"/>
      <c r="E117" s="136"/>
      <c r="F117" s="137"/>
      <c r="G117" s="137"/>
      <c r="H117" s="137"/>
      <c r="I117" s="138"/>
      <c r="J117" s="138"/>
      <c r="K117" s="138"/>
      <c r="M117" s="717"/>
      <c r="N117" s="717"/>
      <c r="O117" s="717"/>
    </row>
    <row r="118" spans="3:15" x14ac:dyDescent="0.4">
      <c r="C118" s="136">
        <v>45</v>
      </c>
      <c r="D118" s="136"/>
      <c r="E118" s="136"/>
      <c r="F118" s="137"/>
      <c r="G118" s="137"/>
      <c r="H118" s="137"/>
      <c r="I118" s="138"/>
      <c r="J118" s="138"/>
      <c r="K118" s="138"/>
      <c r="M118" s="717"/>
      <c r="N118" s="717"/>
      <c r="O118" s="717"/>
    </row>
    <row r="119" spans="3:15" x14ac:dyDescent="0.4">
      <c r="C119" s="136">
        <v>46</v>
      </c>
      <c r="D119" s="136"/>
      <c r="E119" s="136"/>
      <c r="F119" s="137"/>
      <c r="G119" s="137"/>
      <c r="H119" s="137"/>
      <c r="I119" s="138"/>
      <c r="J119" s="138"/>
      <c r="K119" s="138"/>
      <c r="M119" s="717"/>
      <c r="N119" s="717"/>
      <c r="O119" s="717"/>
    </row>
    <row r="120" spans="3:15" x14ac:dyDescent="0.4">
      <c r="C120" s="136">
        <v>47</v>
      </c>
      <c r="D120" s="136"/>
      <c r="E120" s="136"/>
      <c r="F120" s="137"/>
      <c r="G120" s="137"/>
      <c r="H120" s="137"/>
      <c r="I120" s="138"/>
      <c r="J120" s="138"/>
      <c r="K120" s="138"/>
      <c r="M120" s="717"/>
      <c r="N120" s="717"/>
      <c r="O120" s="717"/>
    </row>
    <row r="121" spans="3:15" x14ac:dyDescent="0.4">
      <c r="C121" s="136">
        <v>48</v>
      </c>
      <c r="D121" s="136"/>
      <c r="E121" s="136"/>
      <c r="F121" s="137"/>
      <c r="G121" s="137"/>
      <c r="H121" s="137"/>
      <c r="I121" s="138"/>
      <c r="J121" s="138"/>
      <c r="K121" s="138"/>
      <c r="M121" s="717"/>
      <c r="N121" s="717"/>
      <c r="O121" s="717"/>
    </row>
    <row r="122" spans="3:15" x14ac:dyDescent="0.4">
      <c r="C122" s="136">
        <v>49</v>
      </c>
      <c r="D122" s="136"/>
      <c r="E122" s="136"/>
      <c r="F122" s="137"/>
      <c r="G122" s="137"/>
      <c r="H122" s="137"/>
      <c r="I122" s="138"/>
      <c r="J122" s="138"/>
      <c r="K122" s="138"/>
      <c r="M122" s="717"/>
      <c r="N122" s="717"/>
      <c r="O122" s="717"/>
    </row>
    <row r="123" spans="3:15" x14ac:dyDescent="0.4">
      <c r="C123" s="430">
        <v>50</v>
      </c>
      <c r="D123" s="430"/>
      <c r="E123" s="430"/>
      <c r="F123" s="431"/>
      <c r="G123" s="431"/>
      <c r="H123" s="431"/>
      <c r="I123" s="432"/>
      <c r="J123" s="432"/>
      <c r="K123" s="432"/>
      <c r="M123" s="717"/>
      <c r="N123" s="717"/>
      <c r="O123" s="717"/>
    </row>
    <row r="124" spans="3:15" x14ac:dyDescent="0.4">
      <c r="C124" s="136">
        <v>51</v>
      </c>
      <c r="D124" s="136"/>
      <c r="E124" s="136"/>
      <c r="F124" s="137"/>
      <c r="G124" s="137"/>
      <c r="H124" s="137"/>
      <c r="I124" s="138"/>
      <c r="J124" s="138"/>
      <c r="K124" s="138"/>
      <c r="M124" s="717"/>
      <c r="N124" s="717"/>
      <c r="O124" s="717"/>
    </row>
    <row r="125" spans="3:15" x14ac:dyDescent="0.4">
      <c r="C125" s="136">
        <v>52</v>
      </c>
      <c r="D125" s="136"/>
      <c r="E125" s="136"/>
      <c r="F125" s="137"/>
      <c r="G125" s="137"/>
      <c r="H125" s="137"/>
      <c r="I125" s="138"/>
      <c r="J125" s="138"/>
      <c r="K125" s="138"/>
      <c r="M125" s="717"/>
      <c r="N125" s="717"/>
      <c r="O125" s="717"/>
    </row>
    <row r="126" spans="3:15" x14ac:dyDescent="0.4">
      <c r="C126" s="136">
        <v>53</v>
      </c>
      <c r="D126" s="136"/>
      <c r="E126" s="136"/>
      <c r="F126" s="137"/>
      <c r="G126" s="137"/>
      <c r="H126" s="137"/>
      <c r="I126" s="138"/>
      <c r="J126" s="138"/>
      <c r="K126" s="138"/>
      <c r="M126" s="717"/>
      <c r="N126" s="717"/>
      <c r="O126" s="717"/>
    </row>
    <row r="127" spans="3:15" x14ac:dyDescent="0.4">
      <c r="C127" s="136">
        <v>54</v>
      </c>
      <c r="D127" s="136"/>
      <c r="E127" s="136"/>
      <c r="F127" s="137"/>
      <c r="G127" s="137"/>
      <c r="H127" s="137"/>
      <c r="I127" s="138"/>
      <c r="J127" s="138"/>
      <c r="K127" s="138"/>
      <c r="M127" s="717"/>
      <c r="N127" s="717"/>
      <c r="O127" s="717"/>
    </row>
    <row r="128" spans="3:15" x14ac:dyDescent="0.4">
      <c r="C128" s="136">
        <v>55</v>
      </c>
      <c r="D128" s="136"/>
      <c r="E128" s="136"/>
      <c r="F128" s="137"/>
      <c r="G128" s="137"/>
      <c r="H128" s="137"/>
      <c r="I128" s="138"/>
      <c r="J128" s="138"/>
      <c r="K128" s="138"/>
      <c r="M128" s="717"/>
      <c r="N128" s="717"/>
      <c r="O128" s="717"/>
    </row>
    <row r="129" spans="3:15" x14ac:dyDescent="0.4">
      <c r="C129" s="136">
        <v>56</v>
      </c>
      <c r="D129" s="136"/>
      <c r="E129" s="136"/>
      <c r="F129" s="137"/>
      <c r="G129" s="137"/>
      <c r="H129" s="137"/>
      <c r="I129" s="138"/>
      <c r="J129" s="138"/>
      <c r="K129" s="138"/>
      <c r="M129" s="717"/>
      <c r="N129" s="717"/>
      <c r="O129" s="717"/>
    </row>
    <row r="130" spans="3:15" x14ac:dyDescent="0.4">
      <c r="C130" s="136">
        <v>57</v>
      </c>
      <c r="D130" s="136"/>
      <c r="E130" s="136"/>
      <c r="F130" s="137"/>
      <c r="G130" s="137"/>
      <c r="H130" s="137"/>
      <c r="I130" s="138"/>
      <c r="J130" s="138"/>
      <c r="K130" s="138"/>
      <c r="M130" s="717"/>
      <c r="N130" s="717"/>
      <c r="O130" s="717"/>
    </row>
    <row r="131" spans="3:15" x14ac:dyDescent="0.4">
      <c r="C131" s="136">
        <v>58</v>
      </c>
      <c r="D131" s="136"/>
      <c r="E131" s="136"/>
      <c r="F131" s="137"/>
      <c r="G131" s="137"/>
      <c r="H131" s="137"/>
      <c r="I131" s="138"/>
      <c r="J131" s="138"/>
      <c r="K131" s="138"/>
      <c r="M131" s="717"/>
      <c r="N131" s="717"/>
      <c r="O131" s="717"/>
    </row>
    <row r="132" spans="3:15" x14ac:dyDescent="0.4">
      <c r="C132" s="136">
        <v>59</v>
      </c>
      <c r="D132" s="136"/>
      <c r="E132" s="136"/>
      <c r="F132" s="137"/>
      <c r="G132" s="137"/>
      <c r="H132" s="137"/>
      <c r="I132" s="138"/>
      <c r="J132" s="138"/>
      <c r="K132" s="138"/>
      <c r="M132" s="717"/>
      <c r="N132" s="717"/>
      <c r="O132" s="717"/>
    </row>
    <row r="133" spans="3:15" x14ac:dyDescent="0.4">
      <c r="C133" s="430">
        <v>60</v>
      </c>
      <c r="D133" s="430"/>
      <c r="E133" s="430"/>
      <c r="F133" s="431"/>
      <c r="G133" s="431"/>
      <c r="H133" s="431"/>
      <c r="I133" s="432"/>
      <c r="J133" s="432"/>
      <c r="K133" s="432"/>
      <c r="M133" s="717"/>
      <c r="N133" s="717"/>
      <c r="O133" s="717"/>
    </row>
    <row r="134" spans="3:15" x14ac:dyDescent="0.4">
      <c r="C134" s="136">
        <v>61</v>
      </c>
      <c r="D134" s="136"/>
      <c r="E134" s="136"/>
      <c r="F134" s="137"/>
      <c r="G134" s="137"/>
      <c r="H134" s="137"/>
      <c r="I134" s="138"/>
      <c r="J134" s="138"/>
      <c r="K134" s="138"/>
      <c r="M134" s="717"/>
      <c r="N134" s="717"/>
      <c r="O134" s="717"/>
    </row>
    <row r="135" spans="3:15" x14ac:dyDescent="0.4">
      <c r="C135" s="136">
        <v>62</v>
      </c>
      <c r="D135" s="136"/>
      <c r="E135" s="136"/>
      <c r="F135" s="137"/>
      <c r="G135" s="137"/>
      <c r="H135" s="137"/>
      <c r="I135" s="138"/>
      <c r="J135" s="138"/>
      <c r="K135" s="138"/>
      <c r="M135" s="717"/>
      <c r="N135" s="717"/>
      <c r="O135" s="717"/>
    </row>
    <row r="136" spans="3:15" x14ac:dyDescent="0.4">
      <c r="C136" s="136">
        <v>63</v>
      </c>
      <c r="D136" s="136"/>
      <c r="E136" s="136"/>
      <c r="F136" s="137"/>
      <c r="G136" s="137"/>
      <c r="H136" s="137"/>
      <c r="I136" s="138"/>
      <c r="J136" s="138"/>
      <c r="K136" s="138"/>
      <c r="M136" s="717"/>
      <c r="N136" s="717"/>
      <c r="O136" s="717"/>
    </row>
    <row r="137" spans="3:15" x14ac:dyDescent="0.4">
      <c r="C137" s="136">
        <v>64</v>
      </c>
      <c r="D137" s="136"/>
      <c r="E137" s="136"/>
      <c r="F137" s="137"/>
      <c r="G137" s="137"/>
      <c r="H137" s="137"/>
      <c r="I137" s="138"/>
      <c r="J137" s="138"/>
      <c r="K137" s="138"/>
      <c r="M137" s="717"/>
      <c r="N137" s="717"/>
      <c r="O137" s="717"/>
    </row>
    <row r="138" spans="3:15" x14ac:dyDescent="0.4">
      <c r="C138" s="136">
        <v>65</v>
      </c>
      <c r="D138" s="136"/>
      <c r="E138" s="136"/>
      <c r="F138" s="137"/>
      <c r="G138" s="137"/>
      <c r="H138" s="137"/>
      <c r="I138" s="138"/>
      <c r="J138" s="138"/>
      <c r="K138" s="138"/>
      <c r="M138" s="717"/>
      <c r="N138" s="717"/>
      <c r="O138" s="717"/>
    </row>
    <row r="139" spans="3:15" x14ac:dyDescent="0.4">
      <c r="C139" s="136">
        <v>66</v>
      </c>
      <c r="D139" s="136"/>
      <c r="E139" s="136"/>
      <c r="F139" s="137"/>
      <c r="G139" s="137"/>
      <c r="H139" s="137"/>
      <c r="I139" s="138"/>
      <c r="J139" s="138"/>
      <c r="K139" s="138"/>
      <c r="M139" s="717"/>
      <c r="N139" s="717"/>
      <c r="O139" s="717"/>
    </row>
    <row r="140" spans="3:15" x14ac:dyDescent="0.4">
      <c r="C140" s="136">
        <v>67</v>
      </c>
      <c r="D140" s="136"/>
      <c r="E140" s="136"/>
      <c r="F140" s="137"/>
      <c r="G140" s="137"/>
      <c r="H140" s="137"/>
      <c r="I140" s="138"/>
      <c r="J140" s="138"/>
      <c r="K140" s="138"/>
      <c r="M140" s="717"/>
      <c r="N140" s="717"/>
      <c r="O140" s="717"/>
    </row>
    <row r="141" spans="3:15" x14ac:dyDescent="0.4">
      <c r="C141" s="136">
        <v>68</v>
      </c>
      <c r="D141" s="136"/>
      <c r="E141" s="136"/>
      <c r="F141" s="137"/>
      <c r="G141" s="137"/>
      <c r="H141" s="137"/>
      <c r="I141" s="138"/>
      <c r="J141" s="138"/>
      <c r="K141" s="138"/>
      <c r="M141" s="717"/>
      <c r="N141" s="717"/>
      <c r="O141" s="717"/>
    </row>
    <row r="142" spans="3:15" x14ac:dyDescent="0.4">
      <c r="C142" s="136">
        <v>69</v>
      </c>
      <c r="D142" s="136"/>
      <c r="E142" s="136"/>
      <c r="F142" s="137"/>
      <c r="G142" s="137"/>
      <c r="H142" s="137"/>
      <c r="I142" s="138"/>
      <c r="J142" s="138"/>
      <c r="K142" s="138"/>
      <c r="M142" s="717"/>
      <c r="N142" s="717"/>
      <c r="O142" s="717"/>
    </row>
    <row r="143" spans="3:15" x14ac:dyDescent="0.4">
      <c r="C143" s="430">
        <v>70</v>
      </c>
      <c r="D143" s="430"/>
      <c r="E143" s="430"/>
      <c r="F143" s="431"/>
      <c r="G143" s="431"/>
      <c r="H143" s="431"/>
      <c r="I143" s="432"/>
      <c r="J143" s="432"/>
      <c r="K143" s="432"/>
      <c r="M143" s="717"/>
      <c r="N143" s="717"/>
      <c r="O143" s="717"/>
    </row>
    <row r="144" spans="3:15" x14ac:dyDescent="0.4">
      <c r="C144" s="136">
        <v>71</v>
      </c>
      <c r="D144" s="136"/>
      <c r="E144" s="136"/>
      <c r="F144" s="137"/>
      <c r="G144" s="137"/>
      <c r="H144" s="137"/>
      <c r="I144" s="138"/>
      <c r="J144" s="138"/>
      <c r="K144" s="138"/>
      <c r="M144" s="717"/>
      <c r="N144" s="717"/>
      <c r="O144" s="717"/>
    </row>
    <row r="145" spans="3:15" x14ac:dyDescent="0.4">
      <c r="C145" s="136">
        <v>72</v>
      </c>
      <c r="D145" s="136"/>
      <c r="E145" s="136"/>
      <c r="F145" s="137"/>
      <c r="G145" s="137"/>
      <c r="H145" s="137"/>
      <c r="I145" s="138"/>
      <c r="J145" s="138"/>
      <c r="K145" s="138"/>
      <c r="M145" s="717"/>
      <c r="N145" s="717"/>
      <c r="O145" s="717"/>
    </row>
    <row r="146" spans="3:15" x14ac:dyDescent="0.4">
      <c r="C146" s="136">
        <v>73</v>
      </c>
      <c r="D146" s="136"/>
      <c r="E146" s="136"/>
      <c r="F146" s="137"/>
      <c r="G146" s="137"/>
      <c r="H146" s="137"/>
      <c r="I146" s="138"/>
      <c r="J146" s="138"/>
      <c r="K146" s="138"/>
      <c r="M146" s="717"/>
      <c r="N146" s="717"/>
      <c r="O146" s="717"/>
    </row>
    <row r="147" spans="3:15" ht="16.5" x14ac:dyDescent="0.4">
      <c r="C147" s="139">
        <v>74</v>
      </c>
      <c r="D147" s="139"/>
      <c r="E147" s="139"/>
      <c r="F147" s="140"/>
      <c r="G147" s="140"/>
      <c r="H147" s="140"/>
      <c r="I147" s="123"/>
      <c r="J147" s="123"/>
      <c r="K147" s="123"/>
      <c r="M147" s="717"/>
      <c r="N147" s="717"/>
      <c r="O147" s="717"/>
    </row>
    <row r="148" spans="3:15" ht="16.5" x14ac:dyDescent="0.4">
      <c r="C148" s="136">
        <v>75</v>
      </c>
      <c r="D148" s="136"/>
      <c r="E148" s="136"/>
      <c r="F148" s="141"/>
      <c r="G148" s="141"/>
      <c r="H148" s="141"/>
      <c r="I148" s="121"/>
      <c r="J148" s="121"/>
      <c r="K148" s="121"/>
      <c r="M148" s="717"/>
      <c r="N148" s="717"/>
      <c r="O148" s="717"/>
    </row>
    <row r="149" spans="3:15" ht="16.5" x14ac:dyDescent="0.4">
      <c r="C149" s="136">
        <v>76</v>
      </c>
      <c r="D149" s="136"/>
      <c r="E149" s="136"/>
      <c r="F149" s="141"/>
      <c r="G149" s="141"/>
      <c r="H149" s="141"/>
      <c r="I149" s="121"/>
      <c r="J149" s="121"/>
      <c r="K149" s="121"/>
      <c r="M149" s="717"/>
      <c r="N149" s="717"/>
      <c r="O149" s="717"/>
    </row>
    <row r="150" spans="3:15" ht="16.5" x14ac:dyDescent="0.4">
      <c r="C150" s="136">
        <v>77</v>
      </c>
      <c r="D150" s="136"/>
      <c r="E150" s="136"/>
      <c r="F150" s="141"/>
      <c r="G150" s="141"/>
      <c r="H150" s="141"/>
      <c r="I150" s="121"/>
      <c r="J150" s="121"/>
      <c r="K150" s="121"/>
      <c r="M150" s="717"/>
      <c r="N150" s="717"/>
      <c r="O150" s="717"/>
    </row>
    <row r="151" spans="3:15" ht="16.5" x14ac:dyDescent="0.4">
      <c r="C151" s="136">
        <v>78</v>
      </c>
      <c r="D151" s="136"/>
      <c r="E151" s="136"/>
      <c r="F151" s="141"/>
      <c r="G151" s="141"/>
      <c r="H151" s="141"/>
      <c r="I151" s="121"/>
      <c r="J151" s="121"/>
      <c r="K151" s="121"/>
      <c r="M151" s="717"/>
      <c r="N151" s="717"/>
      <c r="O151" s="717"/>
    </row>
    <row r="152" spans="3:15" ht="16.5" x14ac:dyDescent="0.4">
      <c r="C152" s="136">
        <v>79</v>
      </c>
      <c r="D152" s="136"/>
      <c r="E152" s="136"/>
      <c r="F152" s="141"/>
      <c r="G152" s="141"/>
      <c r="H152" s="141"/>
      <c r="I152" s="121"/>
      <c r="J152" s="121"/>
      <c r="K152" s="121"/>
      <c r="M152" s="717"/>
      <c r="N152" s="717"/>
      <c r="O152" s="717"/>
    </row>
    <row r="153" spans="3:15" ht="16.5" x14ac:dyDescent="0.4">
      <c r="C153" s="430">
        <v>80</v>
      </c>
      <c r="D153" s="430"/>
      <c r="E153" s="430"/>
      <c r="F153" s="433"/>
      <c r="G153" s="433"/>
      <c r="H153" s="433"/>
      <c r="I153" s="434"/>
      <c r="J153" s="434"/>
      <c r="K153" s="434"/>
      <c r="M153" s="717"/>
      <c r="N153" s="717"/>
      <c r="O153" s="717"/>
    </row>
    <row r="154" spans="3:15" ht="16.5" x14ac:dyDescent="0.4">
      <c r="C154" s="136">
        <v>81</v>
      </c>
      <c r="D154" s="136"/>
      <c r="E154" s="136"/>
      <c r="F154" s="141"/>
      <c r="G154" s="141"/>
      <c r="H154" s="141"/>
      <c r="I154" s="121"/>
      <c r="J154" s="121"/>
      <c r="K154" s="121"/>
      <c r="M154" s="717"/>
      <c r="N154" s="717"/>
      <c r="O154" s="717"/>
    </row>
    <row r="155" spans="3:15" ht="16.5" x14ac:dyDescent="0.4">
      <c r="C155" s="136">
        <v>82</v>
      </c>
      <c r="D155" s="136"/>
      <c r="E155" s="136"/>
      <c r="F155" s="141"/>
      <c r="G155" s="141"/>
      <c r="H155" s="141"/>
      <c r="I155" s="121"/>
      <c r="J155" s="121"/>
      <c r="K155" s="121"/>
      <c r="M155" s="717"/>
      <c r="N155" s="717"/>
      <c r="O155" s="717"/>
    </row>
    <row r="156" spans="3:15" ht="16.5" x14ac:dyDescent="0.4">
      <c r="C156" s="136">
        <v>83</v>
      </c>
      <c r="D156" s="136"/>
      <c r="E156" s="136"/>
      <c r="F156" s="141"/>
      <c r="G156" s="141"/>
      <c r="H156" s="141"/>
      <c r="I156" s="121"/>
      <c r="J156" s="121"/>
      <c r="K156" s="121"/>
      <c r="M156" s="717"/>
      <c r="N156" s="717"/>
      <c r="O156" s="717"/>
    </row>
    <row r="157" spans="3:15" ht="16.5" x14ac:dyDescent="0.4">
      <c r="C157" s="136">
        <v>84</v>
      </c>
      <c r="D157" s="136"/>
      <c r="E157" s="136"/>
      <c r="F157" s="141"/>
      <c r="G157" s="141"/>
      <c r="H157" s="141"/>
      <c r="I157" s="121"/>
      <c r="J157" s="121"/>
      <c r="K157" s="121"/>
      <c r="M157" s="717"/>
      <c r="N157" s="717"/>
      <c r="O157" s="717"/>
    </row>
    <row r="158" spans="3:15" ht="16.5" x14ac:dyDescent="0.4">
      <c r="C158" s="136">
        <v>85</v>
      </c>
      <c r="D158" s="136"/>
      <c r="E158" s="136"/>
      <c r="F158" s="141"/>
      <c r="G158" s="141"/>
      <c r="H158" s="141"/>
      <c r="I158" s="121"/>
      <c r="J158" s="121"/>
      <c r="K158" s="121"/>
      <c r="M158" s="717"/>
      <c r="N158" s="717"/>
      <c r="O158" s="717"/>
    </row>
    <row r="159" spans="3:15" ht="16.5" x14ac:dyDescent="0.4">
      <c r="C159" s="136">
        <v>86</v>
      </c>
      <c r="D159" s="136"/>
      <c r="E159" s="136"/>
      <c r="F159" s="141"/>
      <c r="G159" s="141"/>
      <c r="H159" s="141"/>
      <c r="I159" s="121"/>
      <c r="J159" s="121"/>
      <c r="K159" s="121"/>
      <c r="M159" s="717"/>
      <c r="N159" s="717"/>
      <c r="O159" s="717"/>
    </row>
    <row r="160" spans="3:15" ht="16.5" x14ac:dyDescent="0.4">
      <c r="C160" s="136">
        <v>87</v>
      </c>
      <c r="D160" s="136"/>
      <c r="E160" s="136"/>
      <c r="F160" s="141"/>
      <c r="G160" s="141"/>
      <c r="H160" s="141"/>
      <c r="I160" s="121"/>
      <c r="J160" s="121"/>
      <c r="K160" s="121"/>
      <c r="M160" s="717"/>
      <c r="N160" s="717"/>
      <c r="O160" s="717"/>
    </row>
    <row r="161" spans="3:15" ht="16.5" x14ac:dyDescent="0.4">
      <c r="C161" s="136">
        <v>88</v>
      </c>
      <c r="D161" s="136"/>
      <c r="E161" s="136"/>
      <c r="F161" s="141"/>
      <c r="G161" s="141"/>
      <c r="H161" s="141"/>
      <c r="I161" s="121"/>
      <c r="J161" s="121"/>
      <c r="K161" s="121"/>
      <c r="M161" s="717"/>
      <c r="N161" s="717"/>
      <c r="O161" s="717"/>
    </row>
    <row r="162" spans="3:15" ht="16.5" x14ac:dyDescent="0.4">
      <c r="C162" s="136">
        <v>89</v>
      </c>
      <c r="D162" s="136"/>
      <c r="E162" s="136"/>
      <c r="F162" s="141"/>
      <c r="G162" s="141"/>
      <c r="H162" s="141"/>
      <c r="I162" s="121"/>
      <c r="J162" s="121"/>
      <c r="K162" s="121"/>
      <c r="M162" s="717"/>
      <c r="N162" s="717"/>
      <c r="O162" s="717"/>
    </row>
    <row r="163" spans="3:15" ht="16.5" x14ac:dyDescent="0.4">
      <c r="C163" s="430">
        <v>90</v>
      </c>
      <c r="D163" s="430"/>
      <c r="E163" s="430"/>
      <c r="F163" s="433"/>
      <c r="G163" s="433"/>
      <c r="H163" s="433"/>
      <c r="I163" s="434"/>
      <c r="J163" s="434"/>
      <c r="K163" s="434"/>
      <c r="M163" s="717"/>
      <c r="N163" s="717"/>
      <c r="O163" s="717"/>
    </row>
    <row r="164" spans="3:15" ht="16.5" x14ac:dyDescent="0.4">
      <c r="C164" s="136">
        <v>91</v>
      </c>
      <c r="D164" s="136"/>
      <c r="E164" s="136"/>
      <c r="F164" s="121"/>
      <c r="G164" s="121"/>
      <c r="H164" s="121"/>
      <c r="I164" s="121"/>
      <c r="J164" s="121"/>
      <c r="K164" s="121"/>
      <c r="M164" s="717"/>
      <c r="N164" s="717"/>
      <c r="O164" s="717"/>
    </row>
    <row r="165" spans="3:15" ht="16.5" x14ac:dyDescent="0.4">
      <c r="C165" s="136">
        <v>92</v>
      </c>
      <c r="D165" s="136"/>
      <c r="E165" s="136"/>
      <c r="F165" s="121"/>
      <c r="G165" s="121"/>
      <c r="H165" s="121"/>
      <c r="I165" s="121"/>
      <c r="J165" s="121"/>
      <c r="K165" s="121"/>
      <c r="M165" s="717"/>
      <c r="N165" s="717"/>
      <c r="O165" s="717"/>
    </row>
    <row r="166" spans="3:15" ht="16.5" x14ac:dyDescent="0.4">
      <c r="C166" s="136">
        <v>93</v>
      </c>
      <c r="D166" s="136"/>
      <c r="E166" s="136"/>
      <c r="F166" s="121"/>
      <c r="G166" s="121"/>
      <c r="H166" s="121"/>
      <c r="I166" s="121"/>
      <c r="J166" s="121"/>
      <c r="K166" s="121"/>
      <c r="M166" s="717"/>
      <c r="N166" s="717"/>
      <c r="O166" s="717"/>
    </row>
    <row r="167" spans="3:15" ht="16.5" x14ac:dyDescent="0.4">
      <c r="C167" s="136">
        <v>94</v>
      </c>
      <c r="D167" s="136"/>
      <c r="E167" s="136"/>
      <c r="F167" s="121"/>
      <c r="G167" s="121"/>
      <c r="H167" s="121"/>
      <c r="I167" s="121"/>
      <c r="J167" s="121"/>
      <c r="K167" s="121"/>
      <c r="M167" s="717"/>
      <c r="N167" s="717"/>
      <c r="O167" s="717"/>
    </row>
    <row r="168" spans="3:15" ht="16.5" x14ac:dyDescent="0.4">
      <c r="C168" s="430">
        <v>95</v>
      </c>
      <c r="D168" s="430"/>
      <c r="E168" s="430"/>
      <c r="F168" s="434"/>
      <c r="G168" s="434"/>
      <c r="H168" s="434"/>
      <c r="I168" s="434"/>
      <c r="J168" s="434"/>
      <c r="K168" s="434"/>
      <c r="M168" s="717"/>
      <c r="N168" s="717"/>
      <c r="O168" s="717"/>
    </row>
    <row r="169" spans="3:15" ht="16.5" x14ac:dyDescent="0.4">
      <c r="C169" s="136">
        <v>96</v>
      </c>
      <c r="D169" s="136"/>
      <c r="E169" s="136"/>
      <c r="F169" s="121"/>
      <c r="G169" s="121"/>
      <c r="H169" s="121"/>
      <c r="I169" s="121"/>
      <c r="J169" s="121"/>
      <c r="K169" s="121"/>
      <c r="M169" s="717"/>
      <c r="N169" s="717"/>
      <c r="O169" s="717"/>
    </row>
    <row r="170" spans="3:15" ht="16.5" x14ac:dyDescent="0.4">
      <c r="C170" s="136">
        <v>97</v>
      </c>
      <c r="D170" s="136"/>
      <c r="E170" s="136"/>
      <c r="F170" s="121"/>
      <c r="G170" s="121"/>
      <c r="H170" s="121"/>
      <c r="I170" s="121"/>
      <c r="J170" s="121"/>
      <c r="K170" s="121"/>
      <c r="M170" s="717"/>
      <c r="N170" s="717"/>
      <c r="O170" s="717"/>
    </row>
    <row r="171" spans="3:15" ht="16.5" x14ac:dyDescent="0.4">
      <c r="C171" s="136">
        <v>98</v>
      </c>
      <c r="D171" s="136"/>
      <c r="E171" s="136"/>
      <c r="F171" s="121"/>
      <c r="G171" s="121"/>
      <c r="H171" s="121"/>
      <c r="I171" s="121"/>
      <c r="J171" s="121"/>
      <c r="K171" s="121"/>
      <c r="M171" s="717"/>
      <c r="N171" s="717"/>
      <c r="O171" s="717"/>
    </row>
    <row r="172" spans="3:15" ht="16.5" x14ac:dyDescent="0.4">
      <c r="C172" s="136">
        <v>99</v>
      </c>
      <c r="D172" s="136"/>
      <c r="E172" s="136"/>
      <c r="F172" s="121"/>
      <c r="G172" s="121"/>
      <c r="H172" s="121"/>
      <c r="I172" s="121"/>
      <c r="J172" s="121"/>
      <c r="K172" s="121"/>
      <c r="M172" s="717"/>
      <c r="N172" s="717"/>
      <c r="O172" s="717"/>
    </row>
    <row r="173" spans="3:15" ht="16.5" x14ac:dyDescent="0.4">
      <c r="C173" s="430">
        <v>100</v>
      </c>
      <c r="D173" s="430"/>
      <c r="E173" s="430"/>
      <c r="F173" s="434"/>
      <c r="G173" s="434"/>
      <c r="H173" s="434"/>
      <c r="I173" s="434"/>
      <c r="J173" s="434"/>
      <c r="K173" s="434"/>
      <c r="M173" s="717"/>
      <c r="N173" s="717"/>
      <c r="O173" s="717"/>
    </row>
    <row r="174" spans="3:15" x14ac:dyDescent="0.4">
      <c r="M174" s="717"/>
      <c r="N174" s="717"/>
      <c r="O174" s="717"/>
    </row>
    <row r="175" spans="3:15" x14ac:dyDescent="0.4">
      <c r="M175" s="717"/>
      <c r="N175" s="717"/>
      <c r="O175" s="717"/>
    </row>
  </sheetData>
  <mergeCells count="22">
    <mergeCell ref="B48:B49"/>
    <mergeCell ref="C48:C49"/>
    <mergeCell ref="B29:B31"/>
    <mergeCell ref="B55:B58"/>
    <mergeCell ref="B44:B47"/>
    <mergeCell ref="C44:C47"/>
    <mergeCell ref="B33:B35"/>
    <mergeCell ref="C33:C35"/>
    <mergeCell ref="B39:B43"/>
    <mergeCell ref="C39:C43"/>
    <mergeCell ref="A18:A20"/>
    <mergeCell ref="M21:N21"/>
    <mergeCell ref="A23:A24"/>
    <mergeCell ref="A25:A26"/>
    <mergeCell ref="C25:C26"/>
    <mergeCell ref="B18:B19"/>
    <mergeCell ref="A1:M1"/>
    <mergeCell ref="M5:N5"/>
    <mergeCell ref="M6:N6"/>
    <mergeCell ref="A9:A10"/>
    <mergeCell ref="B13:B17"/>
    <mergeCell ref="C13:C17"/>
  </mergeCells>
  <pageMargins left="0.25" right="0.25" top="0.75" bottom="0.75" header="0.3" footer="0.3"/>
  <pageSetup paperSize="9" scale="38" orientation="portrait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CA771-31BB-49D4-8631-DE3A09FE1BF0}">
  <sheetPr codeName="Sheet5">
    <tabColor rgb="FF3333FF"/>
    <pageSetUpPr fitToPage="1"/>
  </sheetPr>
  <dimension ref="A1:Y174"/>
  <sheetViews>
    <sheetView showGridLines="0" zoomScale="76" zoomScaleNormal="70" zoomScaleSheetLayoutView="55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L27" sqref="L27"/>
    </sheetView>
  </sheetViews>
  <sheetFormatPr defaultColWidth="8.81640625" defaultRowHeight="16" x14ac:dyDescent="0.4"/>
  <cols>
    <col min="1" max="1" width="28.1796875" style="718" bestFit="1" customWidth="1"/>
    <col min="2" max="2" width="26.81640625" style="718" customWidth="1"/>
    <col min="3" max="3" width="14.7265625" style="718" customWidth="1"/>
    <col min="4" max="10" width="13.7265625" style="718" customWidth="1"/>
    <col min="11" max="11" width="13.7265625" style="841" customWidth="1"/>
    <col min="12" max="12" width="23.81640625" style="719" customWidth="1"/>
    <col min="13" max="13" width="24.81640625" style="719" bestFit="1" customWidth="1"/>
    <col min="14" max="14" width="10.26953125" style="719" customWidth="1"/>
    <col min="15" max="15" width="2.7265625" style="716" hidden="1" customWidth="1"/>
    <col min="16" max="16" width="0" style="717" hidden="1" customWidth="1"/>
    <col min="17" max="17" width="2.7265625" style="717" hidden="1" customWidth="1"/>
    <col min="18" max="21" width="0" style="717" hidden="1" customWidth="1"/>
    <col min="22" max="16384" width="8.81640625" style="717"/>
  </cols>
  <sheetData>
    <row r="1" spans="1:17" ht="28.5" x14ac:dyDescent="0.65">
      <c r="A1" s="2773" t="s">
        <v>647</v>
      </c>
      <c r="B1" s="2773"/>
      <c r="C1" s="2773"/>
      <c r="D1" s="2773"/>
      <c r="E1" s="2773"/>
      <c r="F1" s="2773"/>
      <c r="G1" s="2773"/>
      <c r="H1" s="2773"/>
      <c r="I1" s="2773"/>
      <c r="J1" s="2773"/>
      <c r="K1" s="2773"/>
      <c r="L1" s="2773"/>
      <c r="M1" s="2773"/>
      <c r="N1" s="838"/>
    </row>
    <row r="2" spans="1:17" x14ac:dyDescent="0.4">
      <c r="A2" s="839"/>
      <c r="B2" s="840"/>
      <c r="C2" s="719"/>
      <c r="D2" s="719"/>
      <c r="E2" s="839"/>
      <c r="F2" s="839"/>
      <c r="G2" s="839"/>
      <c r="H2" s="719"/>
      <c r="I2" s="719"/>
      <c r="J2" s="719"/>
      <c r="L2" s="842" t="s">
        <v>648</v>
      </c>
      <c r="M2" s="843" t="s">
        <v>649</v>
      </c>
      <c r="N2" s="843"/>
    </row>
    <row r="3" spans="1:17" x14ac:dyDescent="0.4">
      <c r="A3" s="839"/>
      <c r="B3" s="844"/>
      <c r="C3" s="719"/>
      <c r="D3" s="719"/>
      <c r="E3" s="839"/>
      <c r="F3" s="839"/>
      <c r="G3" s="839"/>
      <c r="H3" s="719"/>
      <c r="I3" s="719"/>
      <c r="J3" s="719"/>
      <c r="L3" s="842" t="s">
        <v>650</v>
      </c>
      <c r="M3" s="845">
        <v>45684</v>
      </c>
      <c r="N3" s="845"/>
    </row>
    <row r="4" spans="1:17" ht="16.5" thickBot="1" x14ac:dyDescent="0.45">
      <c r="A4" s="839"/>
      <c r="B4" s="844"/>
      <c r="C4" s="719"/>
      <c r="D4" s="719"/>
      <c r="E4" s="839"/>
      <c r="F4" s="839"/>
      <c r="G4" s="839"/>
      <c r="H4" s="719"/>
      <c r="I4" s="719"/>
      <c r="J4" s="719"/>
      <c r="L4" s="842"/>
      <c r="M4" s="846"/>
      <c r="N4" s="846"/>
    </row>
    <row r="5" spans="1:17" ht="18" x14ac:dyDescent="0.4">
      <c r="A5" s="746" t="s">
        <v>11</v>
      </c>
      <c r="B5" s="747" t="s">
        <v>12</v>
      </c>
      <c r="C5" s="747" t="s">
        <v>13</v>
      </c>
      <c r="D5" s="747" t="s">
        <v>820</v>
      </c>
      <c r="E5" s="747" t="s">
        <v>821</v>
      </c>
      <c r="F5" s="747" t="s">
        <v>825</v>
      </c>
      <c r="G5" s="747" t="s">
        <v>655</v>
      </c>
      <c r="H5" s="747" t="s">
        <v>657</v>
      </c>
      <c r="I5" s="747" t="s">
        <v>658</v>
      </c>
      <c r="J5" s="747" t="s">
        <v>823</v>
      </c>
      <c r="K5" s="748" t="s">
        <v>827</v>
      </c>
      <c r="M5" s="2774" t="s">
        <v>662</v>
      </c>
      <c r="N5" s="2775"/>
      <c r="O5" s="849"/>
      <c r="P5" s="716"/>
    </row>
    <row r="6" spans="1:17" ht="16.5" thickBot="1" x14ac:dyDescent="0.45">
      <c r="A6" s="749" t="s">
        <v>663</v>
      </c>
      <c r="B6" s="750"/>
      <c r="C6" s="750"/>
      <c r="D6" s="750"/>
      <c r="E6" s="750" t="s">
        <v>822</v>
      </c>
      <c r="F6" s="750" t="s">
        <v>826</v>
      </c>
      <c r="G6" s="750" t="s">
        <v>103</v>
      </c>
      <c r="H6" s="750" t="s">
        <v>104</v>
      </c>
      <c r="I6" s="750" t="s">
        <v>671</v>
      </c>
      <c r="J6" s="750" t="s">
        <v>237</v>
      </c>
      <c r="K6" s="875" t="s">
        <v>160</v>
      </c>
      <c r="L6" s="841"/>
      <c r="M6" s="2776" t="s">
        <v>675</v>
      </c>
      <c r="N6" s="2777"/>
      <c r="O6" s="722"/>
      <c r="P6" s="716"/>
      <c r="Q6" s="720" t="s">
        <v>676</v>
      </c>
    </row>
    <row r="7" spans="1:17" x14ac:dyDescent="0.4">
      <c r="A7" s="796" t="s">
        <v>677</v>
      </c>
      <c r="B7" s="804" t="s">
        <v>678</v>
      </c>
      <c r="C7" s="804" t="s">
        <v>18</v>
      </c>
      <c r="D7" s="787"/>
      <c r="E7" s="823"/>
      <c r="F7" s="854"/>
      <c r="G7" s="823"/>
      <c r="H7" s="823"/>
      <c r="I7" s="787"/>
      <c r="J7" s="823"/>
      <c r="K7" s="824"/>
      <c r="L7" s="722"/>
      <c r="M7" s="723" t="s">
        <v>680</v>
      </c>
      <c r="N7" s="832" t="s">
        <v>679</v>
      </c>
      <c r="O7" s="722"/>
      <c r="P7" s="716"/>
      <c r="Q7" s="724">
        <v>98.4</v>
      </c>
    </row>
    <row r="8" spans="1:17" ht="16.5" thickBot="1" x14ac:dyDescent="0.45">
      <c r="A8" s="797" t="s">
        <v>681</v>
      </c>
      <c r="B8" s="805" t="s">
        <v>682</v>
      </c>
      <c r="C8" s="805" t="s">
        <v>18</v>
      </c>
      <c r="D8" s="741"/>
      <c r="E8" s="879"/>
      <c r="F8" s="855"/>
      <c r="G8" s="879"/>
      <c r="H8" s="879"/>
      <c r="I8" s="741"/>
      <c r="J8" s="879"/>
      <c r="K8" s="880"/>
      <c r="L8" s="722"/>
      <c r="M8" s="725" t="s">
        <v>683</v>
      </c>
      <c r="N8" s="833" t="s">
        <v>679</v>
      </c>
      <c r="O8" s="722"/>
      <c r="P8" s="716"/>
      <c r="Q8" s="724">
        <v>125.1</v>
      </c>
    </row>
    <row r="9" spans="1:17" x14ac:dyDescent="0.4">
      <c r="A9" s="2778" t="s">
        <v>21</v>
      </c>
      <c r="B9" s="804" t="s">
        <v>684</v>
      </c>
      <c r="C9" s="804" t="s">
        <v>685</v>
      </c>
      <c r="D9" s="756"/>
      <c r="E9" s="883"/>
      <c r="F9" s="856"/>
      <c r="G9" s="882"/>
      <c r="H9" s="883"/>
      <c r="I9" s="856"/>
      <c r="J9" s="822"/>
      <c r="K9" s="744"/>
      <c r="M9" s="725" t="s">
        <v>686</v>
      </c>
      <c r="N9" s="833" t="s">
        <v>679</v>
      </c>
      <c r="O9" s="722"/>
      <c r="P9" s="716"/>
      <c r="Q9" s="724">
        <v>150.80000000000001</v>
      </c>
    </row>
    <row r="10" spans="1:17" x14ac:dyDescent="0.4">
      <c r="A10" s="2779"/>
      <c r="B10" s="806" t="s">
        <v>831</v>
      </c>
      <c r="C10" s="806" t="s">
        <v>433</v>
      </c>
      <c r="D10" s="742"/>
      <c r="E10" s="814"/>
      <c r="F10" s="743"/>
      <c r="G10" s="814"/>
      <c r="H10" s="885"/>
      <c r="I10" s="743"/>
      <c r="J10" s="813"/>
      <c r="K10" s="745"/>
      <c r="M10" s="725" t="s">
        <v>688</v>
      </c>
      <c r="N10" s="833" t="s">
        <v>679</v>
      </c>
      <c r="O10" s="722"/>
      <c r="P10" s="716"/>
      <c r="Q10" s="724">
        <v>174.1</v>
      </c>
    </row>
    <row r="11" spans="1:17" ht="18.5" thickBot="1" x14ac:dyDescent="0.45">
      <c r="A11" s="798" t="s">
        <v>689</v>
      </c>
      <c r="B11" s="768" t="s">
        <v>690</v>
      </c>
      <c r="C11" s="805"/>
      <c r="D11" s="741"/>
      <c r="E11" s="741"/>
      <c r="F11" s="741"/>
      <c r="G11" s="741"/>
      <c r="H11" s="741"/>
      <c r="I11" s="741"/>
      <c r="J11" s="741"/>
      <c r="K11" s="784"/>
      <c r="M11" s="726" t="s">
        <v>691</v>
      </c>
      <c r="N11" s="833" t="s">
        <v>679</v>
      </c>
      <c r="O11" s="722"/>
      <c r="P11" s="716"/>
      <c r="Q11" s="724">
        <v>195.9</v>
      </c>
    </row>
    <row r="12" spans="1:17" ht="16.5" thickBot="1" x14ac:dyDescent="0.45">
      <c r="A12" s="799" t="s">
        <v>692</v>
      </c>
      <c r="B12" s="772" t="s">
        <v>693</v>
      </c>
      <c r="C12" s="807" t="s">
        <v>694</v>
      </c>
      <c r="D12" s="776"/>
      <c r="E12" s="754"/>
      <c r="F12" s="754"/>
      <c r="G12" s="754"/>
      <c r="H12" s="754"/>
      <c r="I12" s="754"/>
      <c r="J12" s="754"/>
      <c r="K12" s="755"/>
      <c r="L12" s="727"/>
      <c r="M12" s="726" t="s">
        <v>695</v>
      </c>
      <c r="N12" s="833" t="s">
        <v>679</v>
      </c>
      <c r="O12" s="722"/>
      <c r="P12" s="716"/>
      <c r="Q12" s="724">
        <v>216.3</v>
      </c>
    </row>
    <row r="13" spans="1:17" ht="18" x14ac:dyDescent="0.4">
      <c r="A13" s="796" t="s">
        <v>696</v>
      </c>
      <c r="B13" s="2780" t="s">
        <v>697</v>
      </c>
      <c r="C13" s="2780" t="s">
        <v>28</v>
      </c>
      <c r="D13" s="756"/>
      <c r="E13" s="756"/>
      <c r="F13" s="756"/>
      <c r="G13" s="777"/>
      <c r="H13" s="756"/>
      <c r="I13" s="756"/>
      <c r="J13" s="756"/>
      <c r="K13" s="744"/>
      <c r="L13" s="727"/>
      <c r="M13" s="726" t="s">
        <v>698</v>
      </c>
      <c r="N13" s="833" t="s">
        <v>679</v>
      </c>
      <c r="O13" s="722"/>
      <c r="P13" s="716"/>
      <c r="Q13" s="724">
        <v>234.8</v>
      </c>
    </row>
    <row r="14" spans="1:17" ht="18" x14ac:dyDescent="0.4">
      <c r="A14" s="800" t="s">
        <v>699</v>
      </c>
      <c r="B14" s="2781"/>
      <c r="C14" s="2781"/>
      <c r="D14" s="813"/>
      <c r="E14" s="743"/>
      <c r="F14" s="743"/>
      <c r="G14" s="743"/>
      <c r="H14" s="813"/>
      <c r="I14" s="743"/>
      <c r="J14" s="743"/>
      <c r="K14" s="745"/>
      <c r="L14" s="727"/>
      <c r="M14" s="728" t="s">
        <v>700</v>
      </c>
      <c r="N14" s="833" t="s">
        <v>679</v>
      </c>
      <c r="O14" s="722"/>
      <c r="P14" s="716"/>
      <c r="Q14" s="724">
        <v>252</v>
      </c>
    </row>
    <row r="15" spans="1:17" ht="18" x14ac:dyDescent="0.4">
      <c r="A15" s="800" t="s">
        <v>701</v>
      </c>
      <c r="B15" s="2781"/>
      <c r="C15" s="2781"/>
      <c r="D15" s="743"/>
      <c r="E15" s="743"/>
      <c r="F15" s="743"/>
      <c r="G15" s="743"/>
      <c r="H15" s="743"/>
      <c r="I15" s="743"/>
      <c r="J15" s="743"/>
      <c r="K15" s="745"/>
      <c r="L15" s="729"/>
      <c r="M15" s="726" t="s">
        <v>702</v>
      </c>
      <c r="N15" s="833" t="s">
        <v>679</v>
      </c>
      <c r="O15" s="722"/>
      <c r="P15" s="716"/>
      <c r="Q15" s="724">
        <v>267</v>
      </c>
    </row>
    <row r="16" spans="1:17" ht="18" x14ac:dyDescent="0.4">
      <c r="A16" s="800" t="s">
        <v>703</v>
      </c>
      <c r="B16" s="2781"/>
      <c r="C16" s="2781"/>
      <c r="D16" s="743"/>
      <c r="E16" s="743"/>
      <c r="F16" s="743"/>
      <c r="G16" s="743"/>
      <c r="H16" s="743"/>
      <c r="I16" s="743"/>
      <c r="J16" s="813"/>
      <c r="K16" s="865"/>
      <c r="L16" s="729"/>
      <c r="M16" s="730" t="s">
        <v>704</v>
      </c>
      <c r="N16" s="833" t="s">
        <v>679</v>
      </c>
      <c r="O16" s="722"/>
      <c r="P16" s="716"/>
      <c r="Q16" s="724">
        <v>287</v>
      </c>
    </row>
    <row r="17" spans="1:17" ht="18.5" thickBot="1" x14ac:dyDescent="0.45">
      <c r="A17" s="800" t="s">
        <v>828</v>
      </c>
      <c r="B17" s="2781"/>
      <c r="C17" s="2781"/>
      <c r="D17" s="743"/>
      <c r="E17" s="743"/>
      <c r="F17" s="743"/>
      <c r="G17" s="743"/>
      <c r="H17" s="743"/>
      <c r="I17" s="743"/>
      <c r="J17" s="743"/>
      <c r="K17" s="877"/>
      <c r="L17" s="727"/>
      <c r="M17" s="726" t="s">
        <v>706</v>
      </c>
      <c r="N17" s="833" t="s">
        <v>679</v>
      </c>
      <c r="O17" s="722"/>
      <c r="P17" s="716"/>
    </row>
    <row r="18" spans="1:17" ht="16.5" thickBot="1" x14ac:dyDescent="0.45">
      <c r="A18" s="2778" t="s">
        <v>34</v>
      </c>
      <c r="B18" s="2788" t="s">
        <v>707</v>
      </c>
      <c r="C18" s="804" t="s">
        <v>36</v>
      </c>
      <c r="D18" s="818"/>
      <c r="E18" s="756"/>
      <c r="F18" s="756"/>
      <c r="G18" s="756"/>
      <c r="H18" s="756"/>
      <c r="I18" s="756"/>
      <c r="J18" s="882"/>
      <c r="K18" s="829"/>
      <c r="L18" s="727"/>
      <c r="M18" s="731" t="s">
        <v>708</v>
      </c>
      <c r="N18" s="834" t="s">
        <v>679</v>
      </c>
      <c r="O18" s="727"/>
      <c r="P18" s="716"/>
    </row>
    <row r="19" spans="1:17" x14ac:dyDescent="0.4">
      <c r="A19" s="2779"/>
      <c r="B19" s="2789"/>
      <c r="C19" s="806" t="s">
        <v>710</v>
      </c>
      <c r="D19" s="814"/>
      <c r="E19" s="813"/>
      <c r="F19" s="743"/>
      <c r="G19" s="813"/>
      <c r="H19" s="813"/>
      <c r="I19" s="743"/>
      <c r="J19" s="814"/>
      <c r="K19" s="877"/>
      <c r="L19" s="727"/>
      <c r="M19" s="732"/>
      <c r="N19" s="727"/>
      <c r="O19" s="850"/>
      <c r="P19" s="716"/>
    </row>
    <row r="20" spans="1:17" ht="16.5" thickBot="1" x14ac:dyDescent="0.45">
      <c r="A20" s="2782"/>
      <c r="B20" s="878" t="s">
        <v>709</v>
      </c>
      <c r="C20" s="805" t="s">
        <v>710</v>
      </c>
      <c r="D20" s="741"/>
      <c r="E20" s="741"/>
      <c r="F20" s="741"/>
      <c r="G20" s="741"/>
      <c r="H20" s="741"/>
      <c r="I20" s="741"/>
      <c r="J20" s="741"/>
      <c r="K20" s="757"/>
      <c r="L20" s="727"/>
      <c r="M20" s="732"/>
      <c r="N20" s="727"/>
      <c r="O20" s="850"/>
      <c r="P20" s="716"/>
    </row>
    <row r="21" spans="1:17" ht="16.5" thickBot="1" x14ac:dyDescent="0.45">
      <c r="A21" s="799" t="s">
        <v>711</v>
      </c>
      <c r="B21" s="781" t="s">
        <v>712</v>
      </c>
      <c r="C21" s="807" t="s">
        <v>710</v>
      </c>
      <c r="D21" s="782"/>
      <c r="E21" s="754"/>
      <c r="F21" s="754"/>
      <c r="G21" s="782"/>
      <c r="H21" s="782"/>
      <c r="I21" s="754"/>
      <c r="J21" s="754"/>
      <c r="K21" s="755"/>
      <c r="L21" s="727"/>
      <c r="M21" s="2783" t="s">
        <v>713</v>
      </c>
      <c r="N21" s="2784"/>
      <c r="O21" s="727"/>
      <c r="P21" s="716"/>
    </row>
    <row r="22" spans="1:17" ht="16.5" thickBot="1" x14ac:dyDescent="0.45">
      <c r="A22" s="799" t="s">
        <v>714</v>
      </c>
      <c r="B22" s="772" t="s">
        <v>715</v>
      </c>
      <c r="C22" s="808" t="s">
        <v>716</v>
      </c>
      <c r="D22" s="754"/>
      <c r="E22" s="754"/>
      <c r="F22" s="754"/>
      <c r="G22" s="776"/>
      <c r="H22" s="776"/>
      <c r="I22" s="754"/>
      <c r="J22" s="754"/>
      <c r="K22" s="755"/>
      <c r="L22" s="727"/>
      <c r="M22" s="785" t="s">
        <v>819</v>
      </c>
      <c r="N22" s="795" t="s">
        <v>717</v>
      </c>
      <c r="O22" s="727"/>
      <c r="P22" s="716"/>
      <c r="Q22" s="733" t="s">
        <v>718</v>
      </c>
    </row>
    <row r="23" spans="1:17" x14ac:dyDescent="0.4">
      <c r="A23" s="2785" t="s">
        <v>719</v>
      </c>
      <c r="B23" s="775" t="s">
        <v>720</v>
      </c>
      <c r="C23" s="809" t="s">
        <v>716</v>
      </c>
      <c r="D23" s="756"/>
      <c r="E23" s="756"/>
      <c r="F23" s="756"/>
      <c r="G23" s="756"/>
      <c r="H23" s="756"/>
      <c r="I23" s="756"/>
      <c r="J23" s="756"/>
      <c r="K23" s="744"/>
      <c r="L23" s="727"/>
      <c r="M23" s="830" t="s">
        <v>721</v>
      </c>
      <c r="N23" s="835" t="s">
        <v>679</v>
      </c>
      <c r="O23" s="727"/>
      <c r="P23" s="716"/>
      <c r="Q23" s="733" t="s">
        <v>722</v>
      </c>
    </row>
    <row r="24" spans="1:17" ht="16.5" thickBot="1" x14ac:dyDescent="0.45">
      <c r="A24" s="2786"/>
      <c r="B24" s="768" t="s">
        <v>723</v>
      </c>
      <c r="C24" s="810" t="s">
        <v>716</v>
      </c>
      <c r="D24" s="741"/>
      <c r="E24" s="741"/>
      <c r="F24" s="741"/>
      <c r="G24" s="778"/>
      <c r="H24" s="778"/>
      <c r="I24" s="741"/>
      <c r="J24" s="741"/>
      <c r="K24" s="757"/>
      <c r="L24" s="727"/>
      <c r="M24" s="734" t="s">
        <v>724</v>
      </c>
      <c r="N24" s="836" t="s">
        <v>679</v>
      </c>
      <c r="O24" s="727"/>
      <c r="P24" s="716"/>
      <c r="Q24" s="733" t="s">
        <v>725</v>
      </c>
    </row>
    <row r="25" spans="1:17" x14ac:dyDescent="0.4">
      <c r="A25" s="2778" t="s">
        <v>726</v>
      </c>
      <c r="B25" s="773" t="s">
        <v>727</v>
      </c>
      <c r="C25" s="2780" t="s">
        <v>728</v>
      </c>
      <c r="D25" s="756"/>
      <c r="E25" s="756"/>
      <c r="F25" s="756"/>
      <c r="G25" s="762"/>
      <c r="H25" s="762"/>
      <c r="I25" s="756"/>
      <c r="J25" s="756"/>
      <c r="K25" s="744"/>
      <c r="L25" s="735"/>
      <c r="M25" s="734" t="s">
        <v>729</v>
      </c>
      <c r="N25" s="836" t="s">
        <v>679</v>
      </c>
      <c r="O25" s="727"/>
      <c r="P25" s="716"/>
      <c r="Q25" s="733" t="s">
        <v>730</v>
      </c>
    </row>
    <row r="26" spans="1:17" ht="16.5" thickBot="1" x14ac:dyDescent="0.45">
      <c r="A26" s="2782"/>
      <c r="B26" s="774" t="s">
        <v>731</v>
      </c>
      <c r="C26" s="2787"/>
      <c r="D26" s="779"/>
      <c r="E26" s="758"/>
      <c r="F26" s="758"/>
      <c r="G26" s="758"/>
      <c r="H26" s="758"/>
      <c r="I26" s="779"/>
      <c r="J26" s="779"/>
      <c r="K26" s="780"/>
      <c r="L26" s="727"/>
      <c r="M26" s="734" t="s">
        <v>732</v>
      </c>
      <c r="N26" s="836" t="s">
        <v>679</v>
      </c>
      <c r="O26" s="727"/>
      <c r="P26" s="716"/>
      <c r="Q26" s="733" t="s">
        <v>733</v>
      </c>
    </row>
    <row r="27" spans="1:17" x14ac:dyDescent="0.4">
      <c r="A27" s="796" t="s">
        <v>39</v>
      </c>
      <c r="B27" s="804" t="s">
        <v>41</v>
      </c>
      <c r="C27" s="804" t="s">
        <v>710</v>
      </c>
      <c r="D27" s="818"/>
      <c r="E27" s="818"/>
      <c r="F27" s="856"/>
      <c r="G27" s="818"/>
      <c r="H27" s="822"/>
      <c r="I27" s="756"/>
      <c r="J27" s="818"/>
      <c r="K27" s="884"/>
      <c r="L27" s="727"/>
      <c r="M27" s="734" t="s">
        <v>735</v>
      </c>
      <c r="N27" s="836" t="s">
        <v>679</v>
      </c>
      <c r="O27" s="727"/>
      <c r="P27" s="716"/>
      <c r="Q27" s="733" t="s">
        <v>736</v>
      </c>
    </row>
    <row r="28" spans="1:17" ht="16.5" thickBot="1" x14ac:dyDescent="0.45">
      <c r="A28" s="797" t="s">
        <v>737</v>
      </c>
      <c r="B28" s="774" t="s">
        <v>738</v>
      </c>
      <c r="C28" s="805" t="s">
        <v>710</v>
      </c>
      <c r="D28" s="779"/>
      <c r="E28" s="759"/>
      <c r="F28" s="759"/>
      <c r="G28" s="759"/>
      <c r="H28" s="759"/>
      <c r="I28" s="759"/>
      <c r="J28" s="779"/>
      <c r="K28" s="757"/>
      <c r="L28" s="727"/>
      <c r="M28" s="734" t="s">
        <v>739</v>
      </c>
      <c r="N28" s="836" t="s">
        <v>679</v>
      </c>
      <c r="O28" s="727"/>
      <c r="P28" s="716"/>
      <c r="Q28" s="733" t="s">
        <v>740</v>
      </c>
    </row>
    <row r="29" spans="1:17" x14ac:dyDescent="0.4">
      <c r="A29" s="866" t="s">
        <v>106</v>
      </c>
      <c r="B29" s="2792" t="s">
        <v>43</v>
      </c>
      <c r="C29" s="867" t="s">
        <v>36</v>
      </c>
      <c r="D29" s="868"/>
      <c r="E29" s="863"/>
      <c r="F29" s="863"/>
      <c r="G29" s="863"/>
      <c r="H29" s="863"/>
      <c r="I29" s="863"/>
      <c r="J29" s="929"/>
      <c r="K29" s="928"/>
      <c r="L29" s="727"/>
      <c r="M29" s="734" t="s">
        <v>743</v>
      </c>
      <c r="N29" s="836" t="s">
        <v>679</v>
      </c>
      <c r="O29" s="727"/>
      <c r="P29" s="716"/>
      <c r="Q29" s="733" t="s">
        <v>744</v>
      </c>
    </row>
    <row r="30" spans="1:17" x14ac:dyDescent="0.4">
      <c r="A30" s="860" t="s">
        <v>107</v>
      </c>
      <c r="B30" s="2793"/>
      <c r="C30" s="861" t="s">
        <v>36</v>
      </c>
      <c r="D30" s="869"/>
      <c r="E30" s="864"/>
      <c r="F30" s="864"/>
      <c r="G30" s="864"/>
      <c r="H30" s="864"/>
      <c r="I30" s="864"/>
      <c r="J30" s="813"/>
      <c r="K30" s="877"/>
      <c r="L30" s="727"/>
      <c r="M30" s="734" t="s">
        <v>747</v>
      </c>
      <c r="N30" s="836" t="s">
        <v>679</v>
      </c>
      <c r="O30" s="727"/>
      <c r="P30" s="716"/>
      <c r="Q30" s="733"/>
    </row>
    <row r="31" spans="1:17" ht="16.5" thickBot="1" x14ac:dyDescent="0.45">
      <c r="A31" s="870" t="s">
        <v>156</v>
      </c>
      <c r="B31" s="2794"/>
      <c r="C31" s="871" t="s">
        <v>36</v>
      </c>
      <c r="D31" s="872"/>
      <c r="E31" s="862"/>
      <c r="F31" s="862"/>
      <c r="G31" s="862"/>
      <c r="H31" s="862"/>
      <c r="I31" s="862"/>
      <c r="J31" s="931"/>
      <c r="K31" s="933"/>
      <c r="L31" s="932"/>
      <c r="M31" s="734" t="s">
        <v>749</v>
      </c>
      <c r="N31" s="836" t="s">
        <v>679</v>
      </c>
      <c r="O31" s="727"/>
      <c r="P31" s="716"/>
      <c r="Q31" s="733"/>
    </row>
    <row r="32" spans="1:17" ht="16.5" thickBot="1" x14ac:dyDescent="0.45">
      <c r="A32" s="799" t="s">
        <v>741</v>
      </c>
      <c r="B32" s="772" t="s">
        <v>742</v>
      </c>
      <c r="C32" s="808" t="s">
        <v>716</v>
      </c>
      <c r="D32" s="776"/>
      <c r="E32" s="754"/>
      <c r="F32" s="754"/>
      <c r="G32" s="754"/>
      <c r="H32" s="754"/>
      <c r="I32" s="754"/>
      <c r="J32" s="754"/>
      <c r="K32" s="755"/>
      <c r="L32" s="727"/>
      <c r="M32" s="734" t="s">
        <v>751</v>
      </c>
      <c r="N32" s="836" t="s">
        <v>679</v>
      </c>
      <c r="O32" s="727"/>
      <c r="P32" s="716"/>
      <c r="Q32" s="733"/>
    </row>
    <row r="33" spans="1:17" x14ac:dyDescent="0.4">
      <c r="A33" s="796" t="s">
        <v>745</v>
      </c>
      <c r="B33" s="2780" t="s">
        <v>752</v>
      </c>
      <c r="C33" s="2780" t="s">
        <v>710</v>
      </c>
      <c r="D33" s="756"/>
      <c r="E33" s="756"/>
      <c r="F33" s="756"/>
      <c r="G33" s="756"/>
      <c r="H33" s="822"/>
      <c r="I33" s="756"/>
      <c r="J33" s="818"/>
      <c r="K33" s="884"/>
      <c r="L33" s="727"/>
      <c r="M33" s="734" t="s">
        <v>753</v>
      </c>
      <c r="N33" s="836" t="s">
        <v>679</v>
      </c>
      <c r="O33" s="727"/>
      <c r="P33" s="716"/>
      <c r="Q33" s="733" t="s">
        <v>754</v>
      </c>
    </row>
    <row r="34" spans="1:17" x14ac:dyDescent="0.4">
      <c r="A34" s="800" t="s">
        <v>748</v>
      </c>
      <c r="B34" s="2781"/>
      <c r="C34" s="2781"/>
      <c r="D34" s="743"/>
      <c r="E34" s="743"/>
      <c r="F34" s="743"/>
      <c r="G34" s="743"/>
      <c r="H34" s="814"/>
      <c r="I34" s="743"/>
      <c r="J34" s="813"/>
      <c r="K34" s="877"/>
      <c r="L34" s="727"/>
      <c r="M34" s="734" t="s">
        <v>755</v>
      </c>
      <c r="N34" s="836" t="s">
        <v>679</v>
      </c>
      <c r="O34" s="727"/>
      <c r="P34" s="716"/>
      <c r="Q34" s="733" t="s">
        <v>756</v>
      </c>
    </row>
    <row r="35" spans="1:17" x14ac:dyDescent="0.4">
      <c r="A35" s="801" t="s">
        <v>750</v>
      </c>
      <c r="B35" s="2800"/>
      <c r="C35" s="2800"/>
      <c r="D35" s="760"/>
      <c r="E35" s="760"/>
      <c r="F35" s="760"/>
      <c r="G35" s="760"/>
      <c r="H35" s="760"/>
      <c r="I35" s="760"/>
      <c r="J35" s="819"/>
      <c r="K35" s="917"/>
      <c r="L35" s="727"/>
      <c r="M35" s="734" t="s">
        <v>757</v>
      </c>
      <c r="N35" s="836" t="s">
        <v>679</v>
      </c>
      <c r="O35" s="727"/>
      <c r="P35" s="716"/>
      <c r="Q35" s="733" t="s">
        <v>758</v>
      </c>
    </row>
    <row r="36" spans="1:17" x14ac:dyDescent="0.4">
      <c r="A36" s="801" t="s">
        <v>846</v>
      </c>
      <c r="B36" s="811"/>
      <c r="C36" s="811"/>
      <c r="D36" s="760"/>
      <c r="E36" s="760"/>
      <c r="F36" s="760"/>
      <c r="G36" s="760"/>
      <c r="H36" s="760"/>
      <c r="I36" s="760"/>
      <c r="J36" s="819"/>
      <c r="K36" s="917"/>
      <c r="L36" s="727"/>
      <c r="M36" s="734" t="s">
        <v>762</v>
      </c>
      <c r="N36" s="836" t="s">
        <v>679</v>
      </c>
      <c r="O36" s="727"/>
      <c r="P36" s="716"/>
      <c r="Q36" s="733"/>
    </row>
    <row r="37" spans="1:17" x14ac:dyDescent="0.4">
      <c r="A37" s="801" t="s">
        <v>847</v>
      </c>
      <c r="B37" s="811"/>
      <c r="C37" s="811"/>
      <c r="D37" s="760"/>
      <c r="E37" s="760"/>
      <c r="F37" s="760"/>
      <c r="G37" s="760"/>
      <c r="H37" s="760"/>
      <c r="I37" s="760"/>
      <c r="J37" s="819"/>
      <c r="K37" s="917"/>
      <c r="L37" s="727"/>
      <c r="M37" s="734" t="s">
        <v>765</v>
      </c>
      <c r="N37" s="836" t="s">
        <v>679</v>
      </c>
      <c r="O37" s="727"/>
      <c r="P37" s="716"/>
      <c r="Q37" s="733" t="s">
        <v>763</v>
      </c>
    </row>
    <row r="38" spans="1:17" ht="16.5" thickBot="1" x14ac:dyDescent="0.45">
      <c r="A38" s="801" t="s">
        <v>759</v>
      </c>
      <c r="B38" s="811"/>
      <c r="C38" s="811"/>
      <c r="D38" s="760"/>
      <c r="E38" s="760"/>
      <c r="F38" s="760"/>
      <c r="G38" s="760"/>
      <c r="H38" s="821"/>
      <c r="I38" s="760"/>
      <c r="J38" s="763"/>
      <c r="K38" s="765"/>
      <c r="L38" s="727"/>
      <c r="M38" s="734" t="s">
        <v>768</v>
      </c>
      <c r="N38" s="836" t="s">
        <v>679</v>
      </c>
      <c r="O38" s="727"/>
      <c r="P38" s="716"/>
      <c r="Q38" s="733" t="s">
        <v>766</v>
      </c>
    </row>
    <row r="39" spans="1:17" x14ac:dyDescent="0.4">
      <c r="A39" s="796" t="s">
        <v>760</v>
      </c>
      <c r="B39" s="2801" t="s">
        <v>761</v>
      </c>
      <c r="C39" s="2788" t="s">
        <v>36</v>
      </c>
      <c r="D39" s="756"/>
      <c r="E39" s="851"/>
      <c r="F39" s="857"/>
      <c r="G39" s="756"/>
      <c r="H39" s="756"/>
      <c r="I39" s="756"/>
      <c r="J39" s="756"/>
      <c r="K39" s="744"/>
      <c r="L39" s="727"/>
      <c r="M39" s="734" t="s">
        <v>771</v>
      </c>
      <c r="N39" s="836" t="s">
        <v>679</v>
      </c>
      <c r="O39" s="727"/>
      <c r="P39" s="716"/>
      <c r="Q39" s="733" t="s">
        <v>769</v>
      </c>
    </row>
    <row r="40" spans="1:17" x14ac:dyDescent="0.4">
      <c r="A40" s="800" t="s">
        <v>764</v>
      </c>
      <c r="B40" s="2802"/>
      <c r="C40" s="2795"/>
      <c r="D40" s="743"/>
      <c r="E40" s="852"/>
      <c r="F40" s="858"/>
      <c r="G40" s="743"/>
      <c r="H40" s="743"/>
      <c r="I40" s="743"/>
      <c r="J40" s="743"/>
      <c r="K40" s="745"/>
      <c r="L40" s="727"/>
      <c r="M40" s="734" t="s">
        <v>774</v>
      </c>
      <c r="N40" s="836" t="s">
        <v>679</v>
      </c>
      <c r="O40" s="727"/>
      <c r="P40" s="716"/>
      <c r="Q40" s="733" t="s">
        <v>772</v>
      </c>
    </row>
    <row r="41" spans="1:17" x14ac:dyDescent="0.4">
      <c r="A41" s="800" t="s">
        <v>767</v>
      </c>
      <c r="B41" s="2802"/>
      <c r="C41" s="2795"/>
      <c r="D41" s="743"/>
      <c r="E41" s="852"/>
      <c r="F41" s="858"/>
      <c r="G41" s="743"/>
      <c r="H41" s="743"/>
      <c r="I41" s="743"/>
      <c r="J41" s="743"/>
      <c r="K41" s="745"/>
      <c r="L41" s="727"/>
      <c r="M41" s="736" t="s">
        <v>778</v>
      </c>
      <c r="N41" s="836" t="s">
        <v>679</v>
      </c>
      <c r="O41" s="727"/>
      <c r="P41" s="716"/>
      <c r="Q41" s="733" t="s">
        <v>775</v>
      </c>
    </row>
    <row r="42" spans="1:17" x14ac:dyDescent="0.4">
      <c r="A42" s="800" t="s">
        <v>770</v>
      </c>
      <c r="B42" s="2802"/>
      <c r="C42" s="2795"/>
      <c r="D42" s="743"/>
      <c r="E42" s="852"/>
      <c r="F42" s="858"/>
      <c r="G42" s="743"/>
      <c r="H42" s="743"/>
      <c r="I42" s="743"/>
      <c r="J42" s="743"/>
      <c r="K42" s="745"/>
      <c r="L42" s="727"/>
      <c r="M42" s="737" t="s">
        <v>780</v>
      </c>
      <c r="N42" s="836" t="s">
        <v>679</v>
      </c>
      <c r="O42" s="727"/>
      <c r="P42" s="716"/>
      <c r="Q42" s="733" t="s">
        <v>766</v>
      </c>
    </row>
    <row r="43" spans="1:17" ht="16.5" thickBot="1" x14ac:dyDescent="0.45">
      <c r="A43" s="797" t="s">
        <v>773</v>
      </c>
      <c r="B43" s="2803"/>
      <c r="C43" s="2796"/>
      <c r="D43" s="741"/>
      <c r="E43" s="853"/>
      <c r="F43" s="859"/>
      <c r="G43" s="741"/>
      <c r="H43" s="741"/>
      <c r="I43" s="741"/>
      <c r="J43" s="741"/>
      <c r="K43" s="757"/>
      <c r="L43" s="727"/>
      <c r="M43" s="737" t="s">
        <v>784</v>
      </c>
      <c r="N43" s="836" t="s">
        <v>679</v>
      </c>
      <c r="O43" s="727"/>
      <c r="P43" s="716"/>
      <c r="Q43" s="733" t="s">
        <v>781</v>
      </c>
    </row>
    <row r="44" spans="1:17" ht="16.5" thickBot="1" x14ac:dyDescent="0.45">
      <c r="A44" s="802" t="s">
        <v>776</v>
      </c>
      <c r="B44" s="2797" t="s">
        <v>777</v>
      </c>
      <c r="C44" s="2789" t="s">
        <v>36</v>
      </c>
      <c r="D44" s="761"/>
      <c r="E44" s="761"/>
      <c r="F44" s="761"/>
      <c r="G44" s="786"/>
      <c r="H44" s="786"/>
      <c r="I44" s="761"/>
      <c r="J44" s="761"/>
      <c r="K44" s="764"/>
      <c r="L44" s="727"/>
      <c r="M44" s="831" t="s">
        <v>788</v>
      </c>
      <c r="N44" s="768" t="s">
        <v>679</v>
      </c>
      <c r="O44" s="727"/>
      <c r="P44" s="716"/>
      <c r="Q44" s="733"/>
    </row>
    <row r="45" spans="1:17" x14ac:dyDescent="0.4">
      <c r="A45" s="800" t="s">
        <v>779</v>
      </c>
      <c r="B45" s="2798"/>
      <c r="C45" s="2781"/>
      <c r="D45" s="743"/>
      <c r="E45" s="743"/>
      <c r="F45" s="743"/>
      <c r="G45" s="770"/>
      <c r="H45" s="770"/>
      <c r="I45" s="743"/>
      <c r="J45" s="743"/>
      <c r="K45" s="745"/>
      <c r="L45" s="727"/>
      <c r="M45" s="732"/>
      <c r="N45" s="727"/>
      <c r="O45" s="727"/>
      <c r="P45" s="716"/>
      <c r="Q45" s="733" t="s">
        <v>785</v>
      </c>
    </row>
    <row r="46" spans="1:17" x14ac:dyDescent="0.4">
      <c r="A46" s="801" t="s">
        <v>782</v>
      </c>
      <c r="B46" s="2799"/>
      <c r="C46" s="2800"/>
      <c r="D46" s="760"/>
      <c r="E46" s="760"/>
      <c r="F46" s="760"/>
      <c r="G46" s="760"/>
      <c r="H46" s="770"/>
      <c r="I46" s="760"/>
      <c r="J46" s="760"/>
      <c r="K46" s="765"/>
      <c r="M46" s="732"/>
      <c r="N46" s="727"/>
      <c r="O46" s="719"/>
      <c r="P46" s="716"/>
      <c r="Q46" s="733" t="s">
        <v>785</v>
      </c>
    </row>
    <row r="47" spans="1:17" ht="16.5" thickBot="1" x14ac:dyDescent="0.45">
      <c r="A47" s="797" t="s">
        <v>783</v>
      </c>
      <c r="B47" s="2791"/>
      <c r="C47" s="2787"/>
      <c r="D47" s="741"/>
      <c r="E47" s="741"/>
      <c r="F47" s="741"/>
      <c r="G47" s="771"/>
      <c r="H47" s="771"/>
      <c r="I47" s="741"/>
      <c r="J47" s="741"/>
      <c r="K47" s="757"/>
      <c r="M47" s="732"/>
      <c r="N47" s="727"/>
      <c r="O47" s="719"/>
      <c r="P47" s="716"/>
      <c r="Q47" s="733" t="s">
        <v>790</v>
      </c>
    </row>
    <row r="48" spans="1:17" x14ac:dyDescent="0.4">
      <c r="A48" s="796" t="s">
        <v>786</v>
      </c>
      <c r="B48" s="2790" t="s">
        <v>787</v>
      </c>
      <c r="C48" s="2780" t="s">
        <v>710</v>
      </c>
      <c r="D48" s="777"/>
      <c r="E48" s="777"/>
      <c r="F48" s="856"/>
      <c r="G48" s="756"/>
      <c r="H48" s="756"/>
      <c r="I48" s="756"/>
      <c r="J48" s="756"/>
      <c r="K48" s="744"/>
      <c r="M48" s="732"/>
      <c r="N48" s="727"/>
      <c r="O48" s="719"/>
      <c r="P48" s="716"/>
    </row>
    <row r="49" spans="1:22" ht="16.5" thickBot="1" x14ac:dyDescent="0.45">
      <c r="A49" s="797" t="s">
        <v>789</v>
      </c>
      <c r="B49" s="2791"/>
      <c r="C49" s="2787"/>
      <c r="D49" s="741"/>
      <c r="E49" s="741"/>
      <c r="F49" s="741"/>
      <c r="G49" s="741"/>
      <c r="H49" s="741"/>
      <c r="I49" s="741"/>
      <c r="J49" s="741"/>
      <c r="K49" s="757"/>
      <c r="M49" s="732"/>
      <c r="N49" s="727"/>
      <c r="O49" s="719"/>
      <c r="P49" s="716"/>
    </row>
    <row r="50" spans="1:22" x14ac:dyDescent="0.4">
      <c r="A50" s="802" t="s">
        <v>791</v>
      </c>
      <c r="B50" s="766" t="s">
        <v>792</v>
      </c>
      <c r="C50" s="812" t="s">
        <v>36</v>
      </c>
      <c r="D50" s="761"/>
      <c r="E50" s="761"/>
      <c r="F50" s="761"/>
      <c r="G50" s="761"/>
      <c r="H50" s="761"/>
      <c r="I50" s="761"/>
      <c r="J50" s="874"/>
      <c r="K50" s="918"/>
      <c r="M50" s="732"/>
      <c r="N50" s="727"/>
      <c r="O50" s="719"/>
      <c r="P50" s="716"/>
    </row>
    <row r="51" spans="1:22" s="716" customFormat="1" x14ac:dyDescent="0.4">
      <c r="A51" s="800" t="s">
        <v>793</v>
      </c>
      <c r="B51" s="806" t="s">
        <v>77</v>
      </c>
      <c r="C51" s="812" t="s">
        <v>36</v>
      </c>
      <c r="D51" s="743"/>
      <c r="E51" s="743"/>
      <c r="F51" s="743"/>
      <c r="G51" s="743"/>
      <c r="H51" s="743"/>
      <c r="I51" s="743"/>
      <c r="J51" s="930"/>
      <c r="K51" s="815"/>
      <c r="L51" s="719"/>
      <c r="M51" s="719"/>
      <c r="N51" s="719"/>
      <c r="O51" s="719"/>
      <c r="Q51" s="717"/>
      <c r="R51" s="717"/>
      <c r="S51" s="717"/>
      <c r="T51" s="717"/>
      <c r="U51" s="717"/>
      <c r="V51" s="717"/>
    </row>
    <row r="52" spans="1:22" s="716" customFormat="1" x14ac:dyDescent="0.4">
      <c r="A52" s="803" t="s">
        <v>794</v>
      </c>
      <c r="B52" s="806" t="s">
        <v>795</v>
      </c>
      <c r="C52" s="806" t="s">
        <v>36</v>
      </c>
      <c r="D52" s="814"/>
      <c r="E52" s="743"/>
      <c r="F52" s="743"/>
      <c r="G52" s="743"/>
      <c r="H52" s="743"/>
      <c r="I52" s="743"/>
      <c r="J52" s="930"/>
      <c r="K52" s="815"/>
      <c r="L52" s="719"/>
      <c r="M52" s="719"/>
      <c r="N52" s="719"/>
      <c r="O52" s="719"/>
      <c r="Q52" s="717"/>
      <c r="R52" s="717"/>
      <c r="S52" s="717"/>
      <c r="T52" s="717"/>
      <c r="U52" s="717"/>
      <c r="V52" s="717"/>
    </row>
    <row r="53" spans="1:22" s="716" customFormat="1" x14ac:dyDescent="0.4">
      <c r="A53" s="800" t="s">
        <v>80</v>
      </c>
      <c r="B53" s="806" t="s">
        <v>797</v>
      </c>
      <c r="C53" s="806" t="s">
        <v>36</v>
      </c>
      <c r="D53" s="814"/>
      <c r="E53" s="743"/>
      <c r="F53" s="743"/>
      <c r="G53" s="743"/>
      <c r="H53" s="743"/>
      <c r="I53" s="743"/>
      <c r="J53" s="813"/>
      <c r="K53" s="815"/>
      <c r="L53" s="719"/>
      <c r="M53" s="719"/>
      <c r="N53" s="719"/>
      <c r="O53" s="719"/>
      <c r="Q53" s="717"/>
      <c r="R53" s="717"/>
      <c r="S53" s="717"/>
      <c r="T53" s="717"/>
      <c r="U53" s="717"/>
      <c r="V53" s="717"/>
    </row>
    <row r="54" spans="1:22" s="716" customFormat="1" ht="16.5" thickBot="1" x14ac:dyDescent="0.45">
      <c r="A54" s="801" t="s">
        <v>824</v>
      </c>
      <c r="B54" s="881" t="s">
        <v>83</v>
      </c>
      <c r="C54" s="881" t="s">
        <v>710</v>
      </c>
      <c r="D54" s="821"/>
      <c r="E54" s="760"/>
      <c r="F54" s="821"/>
      <c r="G54" s="760"/>
      <c r="H54" s="760"/>
      <c r="I54" s="821"/>
      <c r="J54" s="763"/>
      <c r="K54" s="873"/>
      <c r="L54" s="719"/>
      <c r="M54" s="719"/>
      <c r="N54" s="719"/>
      <c r="O54" s="719"/>
      <c r="Q54" s="717"/>
      <c r="R54" s="717"/>
      <c r="S54" s="717"/>
      <c r="T54" s="717"/>
      <c r="U54" s="717"/>
      <c r="V54" s="717"/>
    </row>
    <row r="55" spans="1:22" s="716" customFormat="1" x14ac:dyDescent="0.4">
      <c r="A55" s="796" t="s">
        <v>64</v>
      </c>
      <c r="B55" s="2788" t="s">
        <v>63</v>
      </c>
      <c r="C55" s="804" t="s">
        <v>55</v>
      </c>
      <c r="D55" s="822"/>
      <c r="E55" s="756"/>
      <c r="F55" s="822"/>
      <c r="G55" s="756"/>
      <c r="H55" s="756"/>
      <c r="I55" s="822"/>
      <c r="J55" s="818"/>
      <c r="K55" s="829"/>
      <c r="L55" s="719"/>
      <c r="M55" s="719"/>
      <c r="N55" s="719"/>
      <c r="O55" s="719"/>
      <c r="Q55" s="717"/>
      <c r="R55" s="717"/>
      <c r="S55" s="717"/>
      <c r="T55" s="717"/>
      <c r="U55" s="717"/>
      <c r="V55" s="717"/>
    </row>
    <row r="56" spans="1:22" s="716" customFormat="1" x14ac:dyDescent="0.4">
      <c r="A56" s="800" t="s">
        <v>65</v>
      </c>
      <c r="B56" s="2795"/>
      <c r="C56" s="806" t="s">
        <v>55</v>
      </c>
      <c r="D56" s="814"/>
      <c r="E56" s="743"/>
      <c r="F56" s="814"/>
      <c r="G56" s="743"/>
      <c r="H56" s="743"/>
      <c r="I56" s="814"/>
      <c r="J56" s="813"/>
      <c r="K56" s="815"/>
      <c r="L56" s="719"/>
      <c r="M56" s="719"/>
      <c r="N56" s="719"/>
      <c r="O56" s="719"/>
      <c r="Q56" s="717"/>
      <c r="R56" s="717"/>
      <c r="S56" s="717"/>
      <c r="T56" s="717"/>
      <c r="U56" s="717"/>
      <c r="V56" s="717"/>
    </row>
    <row r="57" spans="1:22" s="716" customFormat="1" x14ac:dyDescent="0.4">
      <c r="A57" s="800" t="s">
        <v>66</v>
      </c>
      <c r="B57" s="2795"/>
      <c r="C57" s="806" t="s">
        <v>55</v>
      </c>
      <c r="D57" s="814"/>
      <c r="E57" s="743"/>
      <c r="F57" s="814"/>
      <c r="G57" s="743"/>
      <c r="H57" s="743"/>
      <c r="I57" s="814"/>
      <c r="J57" s="813"/>
      <c r="K57" s="815"/>
      <c r="L57" s="719"/>
      <c r="M57" s="719"/>
      <c r="N57" s="719"/>
      <c r="O57" s="719"/>
      <c r="Q57" s="717"/>
      <c r="R57" s="717"/>
      <c r="S57" s="717"/>
      <c r="T57" s="717"/>
      <c r="U57" s="717"/>
      <c r="V57" s="717"/>
    </row>
    <row r="58" spans="1:22" s="716" customFormat="1" ht="16.5" thickBot="1" x14ac:dyDescent="0.45">
      <c r="A58" s="797" t="s">
        <v>67</v>
      </c>
      <c r="B58" s="2796"/>
      <c r="C58" s="805" t="s">
        <v>55</v>
      </c>
      <c r="D58" s="825"/>
      <c r="E58" s="741"/>
      <c r="F58" s="825"/>
      <c r="G58" s="741"/>
      <c r="H58" s="741"/>
      <c r="I58" s="825"/>
      <c r="J58" s="820"/>
      <c r="K58" s="826"/>
      <c r="L58" s="719"/>
      <c r="M58" s="719"/>
      <c r="N58" s="719"/>
      <c r="O58" s="719"/>
      <c r="Q58" s="717"/>
      <c r="R58" s="717"/>
      <c r="S58" s="717"/>
      <c r="T58" s="717"/>
      <c r="U58" s="717"/>
      <c r="V58" s="717"/>
    </row>
    <row r="59" spans="1:22" s="716" customFormat="1" x14ac:dyDescent="0.4">
      <c r="A59" s="802" t="s">
        <v>798</v>
      </c>
      <c r="B59" s="766" t="s">
        <v>799</v>
      </c>
      <c r="C59" s="812" t="s">
        <v>36</v>
      </c>
      <c r="D59" s="761"/>
      <c r="E59" s="761"/>
      <c r="F59" s="761"/>
      <c r="G59" s="761"/>
      <c r="H59" s="874"/>
      <c r="I59" s="761"/>
      <c r="J59" s="761"/>
      <c r="K59" s="764"/>
      <c r="L59" s="719"/>
      <c r="M59" s="719"/>
      <c r="N59" s="719"/>
      <c r="O59" s="719"/>
      <c r="Q59" s="717"/>
      <c r="R59" s="717"/>
      <c r="S59" s="717"/>
      <c r="T59" s="717"/>
      <c r="U59" s="717"/>
      <c r="V59" s="717"/>
    </row>
    <row r="60" spans="1:22" s="716" customFormat="1" x14ac:dyDescent="0.4">
      <c r="A60" s="800" t="s">
        <v>800</v>
      </c>
      <c r="B60" s="767" t="s">
        <v>801</v>
      </c>
      <c r="C60" s="806" t="s">
        <v>802</v>
      </c>
      <c r="D60" s="769"/>
      <c r="E60" s="743"/>
      <c r="F60" s="743"/>
      <c r="G60" s="769"/>
      <c r="H60" s="769"/>
      <c r="I60" s="769"/>
      <c r="J60" s="769"/>
      <c r="K60" s="783"/>
      <c r="L60" s="719"/>
      <c r="M60" s="719"/>
      <c r="N60" s="719"/>
      <c r="O60" s="719"/>
      <c r="Q60" s="717"/>
      <c r="R60" s="717"/>
      <c r="S60" s="717"/>
      <c r="T60" s="717"/>
      <c r="U60" s="717"/>
      <c r="V60" s="717"/>
    </row>
    <row r="61" spans="1:22" s="716" customFormat="1" x14ac:dyDescent="0.4">
      <c r="A61" s="800" t="s">
        <v>803</v>
      </c>
      <c r="B61" s="767" t="s">
        <v>804</v>
      </c>
      <c r="C61" s="806" t="s">
        <v>802</v>
      </c>
      <c r="D61" s="769"/>
      <c r="E61" s="743"/>
      <c r="F61" s="743"/>
      <c r="G61" s="743"/>
      <c r="H61" s="743"/>
      <c r="I61" s="743"/>
      <c r="J61" s="743"/>
      <c r="K61" s="745"/>
      <c r="L61" s="719"/>
      <c r="M61" s="719"/>
      <c r="N61" s="719"/>
      <c r="O61" s="719"/>
      <c r="Q61" s="717"/>
      <c r="R61" s="717"/>
      <c r="S61" s="717"/>
      <c r="T61" s="717"/>
      <c r="U61" s="717"/>
      <c r="V61" s="717"/>
    </row>
    <row r="62" spans="1:22" s="716" customFormat="1" x14ac:dyDescent="0.4">
      <c r="A62" s="800" t="s">
        <v>805</v>
      </c>
      <c r="B62" s="767" t="s">
        <v>806</v>
      </c>
      <c r="C62" s="806" t="s">
        <v>807</v>
      </c>
      <c r="D62" s="743"/>
      <c r="E62" s="769"/>
      <c r="F62" s="742"/>
      <c r="G62" s="743"/>
      <c r="H62" s="770"/>
      <c r="I62" s="743"/>
      <c r="J62" s="743"/>
      <c r="K62" s="745"/>
      <c r="L62" s="719"/>
      <c r="M62" s="719"/>
      <c r="N62" s="719"/>
      <c r="O62" s="719"/>
      <c r="Q62" s="717"/>
      <c r="R62" s="717"/>
      <c r="S62" s="717"/>
      <c r="T62" s="717"/>
      <c r="U62" s="717"/>
      <c r="V62" s="717"/>
    </row>
    <row r="63" spans="1:22" ht="16.5" thickBot="1" x14ac:dyDescent="0.45">
      <c r="A63" s="797" t="s">
        <v>808</v>
      </c>
      <c r="B63" s="768" t="s">
        <v>809</v>
      </c>
      <c r="C63" s="805" t="s">
        <v>807</v>
      </c>
      <c r="D63" s="741"/>
      <c r="E63" s="741"/>
      <c r="F63" s="741"/>
      <c r="G63" s="741"/>
      <c r="H63" s="741"/>
      <c r="I63" s="876"/>
      <c r="J63" s="741"/>
      <c r="K63" s="757"/>
      <c r="O63" s="719"/>
    </row>
    <row r="64" spans="1:22" ht="16.5" thickBot="1" x14ac:dyDescent="0.45">
      <c r="A64" s="797" t="s">
        <v>811</v>
      </c>
      <c r="B64" s="768" t="s">
        <v>812</v>
      </c>
      <c r="C64" s="805" t="s">
        <v>813</v>
      </c>
      <c r="D64" s="741"/>
      <c r="E64" s="741"/>
      <c r="F64" s="741"/>
      <c r="G64" s="741"/>
      <c r="H64" s="771"/>
      <c r="I64" s="741"/>
      <c r="J64" s="741"/>
      <c r="K64" s="757"/>
      <c r="O64" s="719"/>
    </row>
    <row r="65" spans="1:25" s="716" customFormat="1" ht="25.15" customHeight="1" thickBot="1" x14ac:dyDescent="0.45">
      <c r="A65" s="797" t="s">
        <v>814</v>
      </c>
      <c r="B65" s="805"/>
      <c r="C65" s="805"/>
      <c r="D65" s="813"/>
      <c r="E65" s="741"/>
      <c r="F65" s="741"/>
      <c r="G65" s="741"/>
      <c r="H65" s="741"/>
      <c r="I65" s="741"/>
      <c r="J65" s="741"/>
      <c r="K65" s="757"/>
      <c r="L65" s="719"/>
      <c r="M65" s="719"/>
      <c r="N65" s="719"/>
      <c r="P65" s="717"/>
      <c r="Q65" s="717"/>
      <c r="R65" s="717"/>
      <c r="S65" s="717"/>
      <c r="T65" s="717"/>
      <c r="U65" s="717"/>
      <c r="V65" s="717"/>
    </row>
    <row r="66" spans="1:25" s="716" customFormat="1" ht="16.899999999999999" customHeight="1" thickBot="1" x14ac:dyDescent="0.45">
      <c r="A66" s="797" t="s">
        <v>815</v>
      </c>
      <c r="B66" s="805"/>
      <c r="C66" s="805"/>
      <c r="D66" s="820"/>
      <c r="E66" s="741"/>
      <c r="F66" s="741"/>
      <c r="G66" s="741"/>
      <c r="H66" s="741"/>
      <c r="I66" s="741"/>
      <c r="J66" s="741"/>
      <c r="K66" s="757"/>
      <c r="L66" s="719"/>
      <c r="M66" s="719"/>
      <c r="N66" s="719"/>
      <c r="P66" s="717"/>
      <c r="Q66" s="717"/>
      <c r="R66" s="717"/>
      <c r="S66" s="717"/>
      <c r="T66" s="717"/>
      <c r="U66" s="717"/>
      <c r="V66" s="717"/>
    </row>
    <row r="67" spans="1:25" s="716" customFormat="1" ht="16.5" thickBot="1" x14ac:dyDescent="0.45">
      <c r="A67" s="718"/>
      <c r="B67" s="718"/>
      <c r="C67" s="718"/>
      <c r="D67" s="718"/>
      <c r="E67" s="718"/>
      <c r="F67" s="718"/>
      <c r="G67" s="718"/>
      <c r="H67" s="718"/>
      <c r="I67" s="718"/>
      <c r="J67" s="718"/>
      <c r="K67" s="841"/>
      <c r="L67" s="719"/>
      <c r="M67" s="719"/>
      <c r="N67" s="719"/>
      <c r="P67" s="717"/>
      <c r="Q67" s="717"/>
      <c r="R67" s="717"/>
      <c r="S67" s="717"/>
      <c r="T67" s="717"/>
      <c r="U67" s="717"/>
      <c r="V67" s="717"/>
    </row>
    <row r="68" spans="1:25" s="716" customFormat="1" ht="16.5" thickBot="1" x14ac:dyDescent="0.45">
      <c r="A68" s="738" t="s">
        <v>679</v>
      </c>
      <c r="B68" s="717" t="s">
        <v>816</v>
      </c>
      <c r="C68" s="718"/>
      <c r="D68" s="718"/>
      <c r="E68" s="717"/>
      <c r="F68" s="717"/>
      <c r="G68" s="718"/>
      <c r="H68" s="718"/>
      <c r="I68" s="718"/>
      <c r="J68" s="718"/>
      <c r="K68" s="841"/>
      <c r="L68" s="719"/>
      <c r="M68" s="719"/>
      <c r="N68" s="719"/>
      <c r="P68" s="717"/>
      <c r="Q68" s="717"/>
      <c r="R68" s="717"/>
      <c r="S68" s="717"/>
      <c r="T68" s="717"/>
      <c r="U68" s="717"/>
      <c r="V68" s="717"/>
    </row>
    <row r="69" spans="1:25" x14ac:dyDescent="0.4">
      <c r="A69" s="721" t="s">
        <v>679</v>
      </c>
      <c r="B69" s="717" t="s">
        <v>817</v>
      </c>
      <c r="E69" s="717"/>
      <c r="F69" s="717"/>
    </row>
    <row r="70" spans="1:25" x14ac:dyDescent="0.4">
      <c r="A70" s="739"/>
      <c r="B70" s="717" t="s">
        <v>818</v>
      </c>
    </row>
    <row r="71" spans="1:25" ht="16.5" thickBot="1" x14ac:dyDescent="0.45">
      <c r="D71" s="740" t="s">
        <v>830</v>
      </c>
      <c r="E71" s="740" t="s">
        <v>829</v>
      </c>
      <c r="F71" s="740" t="s">
        <v>830</v>
      </c>
      <c r="G71" s="740" t="s">
        <v>829</v>
      </c>
      <c r="H71" s="740" t="s">
        <v>829</v>
      </c>
      <c r="I71" s="740" t="s">
        <v>830</v>
      </c>
      <c r="J71" s="740" t="s">
        <v>830</v>
      </c>
      <c r="K71" s="740" t="s">
        <v>830</v>
      </c>
    </row>
    <row r="72" spans="1:25" x14ac:dyDescent="0.4">
      <c r="C72" s="134" t="s">
        <v>92</v>
      </c>
      <c r="D72" s="747" t="s">
        <v>820</v>
      </c>
      <c r="E72" s="135" t="s">
        <v>822</v>
      </c>
      <c r="F72" s="135" t="s">
        <v>826</v>
      </c>
      <c r="G72" s="135" t="s">
        <v>103</v>
      </c>
      <c r="H72" s="135" t="s">
        <v>104</v>
      </c>
      <c r="I72" s="429" t="s">
        <v>671</v>
      </c>
      <c r="J72" s="429" t="s">
        <v>237</v>
      </c>
      <c r="K72" s="429" t="s">
        <v>160</v>
      </c>
    </row>
    <row r="73" spans="1:25" x14ac:dyDescent="0.4">
      <c r="C73" s="136">
        <v>0</v>
      </c>
      <c r="D73" s="136"/>
      <c r="E73" s="136"/>
      <c r="F73" s="137"/>
      <c r="G73" s="137"/>
      <c r="H73" s="137"/>
      <c r="I73" s="138"/>
      <c r="J73" s="138"/>
      <c r="K73" s="138"/>
      <c r="M73" s="717"/>
      <c r="N73" s="717"/>
      <c r="O73" s="717"/>
    </row>
    <row r="74" spans="1:25" x14ac:dyDescent="0.4">
      <c r="C74" s="136">
        <v>1</v>
      </c>
      <c r="D74" s="136"/>
      <c r="E74" s="136"/>
      <c r="F74" s="137"/>
      <c r="G74" s="137"/>
      <c r="H74" s="137"/>
      <c r="I74" s="138"/>
      <c r="J74" s="138"/>
      <c r="K74" s="138"/>
      <c r="M74" s="717"/>
      <c r="N74" s="717"/>
      <c r="O74" s="717"/>
    </row>
    <row r="75" spans="1:25" x14ac:dyDescent="0.4">
      <c r="C75" s="136">
        <v>2</v>
      </c>
      <c r="D75" s="136"/>
      <c r="E75" s="136"/>
      <c r="F75" s="137"/>
      <c r="G75" s="137"/>
      <c r="H75" s="137"/>
      <c r="I75" s="138"/>
      <c r="J75" s="138"/>
      <c r="K75" s="138"/>
      <c r="M75" s="717"/>
      <c r="N75" s="717"/>
      <c r="O75" s="717"/>
      <c r="X75" s="717">
        <v>5</v>
      </c>
      <c r="Y75" s="717">
        <v>900</v>
      </c>
    </row>
    <row r="76" spans="1:25" x14ac:dyDescent="0.4">
      <c r="C76" s="136">
        <v>3</v>
      </c>
      <c r="D76" s="136"/>
      <c r="E76" s="136"/>
      <c r="F76" s="137"/>
      <c r="G76" s="137"/>
      <c r="H76" s="137"/>
      <c r="I76" s="138"/>
      <c r="J76" s="138"/>
      <c r="K76" s="138"/>
      <c r="M76" s="717"/>
      <c r="N76" s="717"/>
      <c r="O76" s="717"/>
      <c r="X76" s="717">
        <v>5</v>
      </c>
      <c r="Y76" s="717">
        <v>0</v>
      </c>
    </row>
    <row r="77" spans="1:25" x14ac:dyDescent="0.4">
      <c r="C77" s="136">
        <v>4</v>
      </c>
      <c r="D77" s="136"/>
      <c r="E77" s="136"/>
      <c r="F77" s="137"/>
      <c r="G77" s="137"/>
      <c r="H77" s="137"/>
      <c r="I77" s="138"/>
      <c r="J77" s="138"/>
      <c r="K77" s="138"/>
      <c r="M77" s="717"/>
      <c r="N77" s="717"/>
      <c r="O77" s="717"/>
    </row>
    <row r="78" spans="1:25" x14ac:dyDescent="0.4">
      <c r="C78" s="430">
        <v>5</v>
      </c>
      <c r="D78" s="430"/>
      <c r="E78" s="430"/>
      <c r="F78" s="431"/>
      <c r="G78" s="431"/>
      <c r="H78" s="431"/>
      <c r="I78" s="432"/>
      <c r="J78" s="432"/>
      <c r="K78" s="432"/>
      <c r="M78" s="717"/>
      <c r="N78" s="717"/>
      <c r="O78" s="717"/>
      <c r="X78" s="717">
        <v>95</v>
      </c>
      <c r="Y78" s="717">
        <v>900</v>
      </c>
    </row>
    <row r="79" spans="1:25" x14ac:dyDescent="0.4">
      <c r="C79" s="136">
        <v>6</v>
      </c>
      <c r="D79" s="136"/>
      <c r="E79" s="136"/>
      <c r="F79" s="137"/>
      <c r="G79" s="137"/>
      <c r="H79" s="137"/>
      <c r="I79" s="138"/>
      <c r="J79" s="138"/>
      <c r="K79" s="138"/>
      <c r="M79" s="717"/>
      <c r="N79" s="717"/>
      <c r="O79" s="717"/>
      <c r="X79" s="717">
        <v>95</v>
      </c>
      <c r="Y79" s="717">
        <v>0</v>
      </c>
    </row>
    <row r="80" spans="1:25" x14ac:dyDescent="0.4">
      <c r="C80" s="136">
        <v>7</v>
      </c>
      <c r="D80" s="136"/>
      <c r="E80" s="136"/>
      <c r="F80" s="137"/>
      <c r="G80" s="137"/>
      <c r="H80" s="137"/>
      <c r="I80" s="138"/>
      <c r="J80" s="138"/>
      <c r="K80" s="138"/>
      <c r="M80" s="717"/>
      <c r="N80" s="717"/>
      <c r="O80" s="717"/>
    </row>
    <row r="81" spans="3:15" x14ac:dyDescent="0.4">
      <c r="C81" s="136">
        <v>8</v>
      </c>
      <c r="D81" s="136"/>
      <c r="E81" s="136"/>
      <c r="F81" s="137"/>
      <c r="G81" s="137"/>
      <c r="H81" s="137"/>
      <c r="I81" s="138"/>
      <c r="J81" s="138"/>
      <c r="K81" s="138"/>
      <c r="M81" s="717"/>
      <c r="N81" s="717"/>
      <c r="O81" s="717"/>
    </row>
    <row r="82" spans="3:15" x14ac:dyDescent="0.4">
      <c r="C82" s="136">
        <v>9</v>
      </c>
      <c r="D82" s="136"/>
      <c r="E82" s="136"/>
      <c r="F82" s="137"/>
      <c r="G82" s="137"/>
      <c r="H82" s="137"/>
      <c r="I82" s="138"/>
      <c r="J82" s="138"/>
      <c r="K82" s="138"/>
      <c r="M82" s="717"/>
      <c r="N82" s="717"/>
      <c r="O82" s="717"/>
    </row>
    <row r="83" spans="3:15" x14ac:dyDescent="0.4">
      <c r="C83" s="430">
        <v>10</v>
      </c>
      <c r="D83" s="430"/>
      <c r="E83" s="430"/>
      <c r="F83" s="431"/>
      <c r="G83" s="431"/>
      <c r="H83" s="431"/>
      <c r="I83" s="432"/>
      <c r="J83" s="432"/>
      <c r="K83" s="432"/>
      <c r="M83" s="717"/>
      <c r="N83" s="717"/>
      <c r="O83" s="717"/>
    </row>
    <row r="84" spans="3:15" x14ac:dyDescent="0.4">
      <c r="C84" s="136">
        <v>11</v>
      </c>
      <c r="D84" s="136"/>
      <c r="E84" s="136"/>
      <c r="F84" s="137"/>
      <c r="G84" s="137"/>
      <c r="H84" s="137"/>
      <c r="I84" s="138"/>
      <c r="J84" s="138"/>
      <c r="K84" s="138"/>
      <c r="M84" s="717"/>
      <c r="N84" s="717"/>
      <c r="O84" s="717"/>
    </row>
    <row r="85" spans="3:15" x14ac:dyDescent="0.4">
      <c r="C85" s="136">
        <v>12</v>
      </c>
      <c r="D85" s="136"/>
      <c r="E85" s="136"/>
      <c r="F85" s="137"/>
      <c r="G85" s="137"/>
      <c r="H85" s="137"/>
      <c r="I85" s="138"/>
      <c r="J85" s="138"/>
      <c r="K85" s="138"/>
      <c r="M85" s="717"/>
      <c r="N85" s="717"/>
      <c r="O85" s="717"/>
    </row>
    <row r="86" spans="3:15" x14ac:dyDescent="0.4">
      <c r="C86" s="136">
        <v>13</v>
      </c>
      <c r="D86" s="136"/>
      <c r="E86" s="136"/>
      <c r="F86" s="137"/>
      <c r="G86" s="137"/>
      <c r="H86" s="137"/>
      <c r="I86" s="138"/>
      <c r="J86" s="138"/>
      <c r="K86" s="138"/>
      <c r="M86" s="717"/>
      <c r="N86" s="717"/>
      <c r="O86" s="717"/>
    </row>
    <row r="87" spans="3:15" x14ac:dyDescent="0.4">
      <c r="C87" s="136">
        <v>14</v>
      </c>
      <c r="D87" s="136"/>
      <c r="E87" s="136"/>
      <c r="F87" s="137"/>
      <c r="G87" s="137"/>
      <c r="H87" s="137"/>
      <c r="I87" s="138"/>
      <c r="J87" s="138"/>
      <c r="K87" s="138"/>
      <c r="M87" s="717"/>
      <c r="N87" s="717"/>
      <c r="O87" s="717"/>
    </row>
    <row r="88" spans="3:15" x14ac:dyDescent="0.4">
      <c r="C88" s="430">
        <v>15</v>
      </c>
      <c r="D88" s="430"/>
      <c r="E88" s="430"/>
      <c r="F88" s="431"/>
      <c r="G88" s="431"/>
      <c r="H88" s="431"/>
      <c r="I88" s="432"/>
      <c r="J88" s="432"/>
      <c r="K88" s="432"/>
      <c r="M88" s="717"/>
      <c r="N88" s="717"/>
      <c r="O88" s="717"/>
    </row>
    <row r="89" spans="3:15" x14ac:dyDescent="0.4">
      <c r="C89" s="136">
        <v>16</v>
      </c>
      <c r="D89" s="136"/>
      <c r="E89" s="136"/>
      <c r="F89" s="137"/>
      <c r="G89" s="137"/>
      <c r="H89" s="137"/>
      <c r="I89" s="138"/>
      <c r="J89" s="138"/>
      <c r="K89" s="138"/>
      <c r="M89" s="717"/>
      <c r="N89" s="717"/>
      <c r="O89" s="717"/>
    </row>
    <row r="90" spans="3:15" x14ac:dyDescent="0.4">
      <c r="C90" s="136">
        <v>17</v>
      </c>
      <c r="D90" s="136"/>
      <c r="E90" s="136"/>
      <c r="F90" s="137"/>
      <c r="G90" s="137"/>
      <c r="H90" s="137"/>
      <c r="I90" s="138"/>
      <c r="J90" s="138"/>
      <c r="K90" s="138"/>
      <c r="M90" s="717"/>
      <c r="N90" s="717"/>
      <c r="O90" s="717"/>
    </row>
    <row r="91" spans="3:15" x14ac:dyDescent="0.4">
      <c r="C91" s="136">
        <v>18</v>
      </c>
      <c r="D91" s="136"/>
      <c r="E91" s="136"/>
      <c r="F91" s="137"/>
      <c r="G91" s="137"/>
      <c r="H91" s="137"/>
      <c r="I91" s="138"/>
      <c r="J91" s="138"/>
      <c r="K91" s="138"/>
      <c r="M91" s="717"/>
      <c r="N91" s="717"/>
      <c r="O91" s="717"/>
    </row>
    <row r="92" spans="3:15" x14ac:dyDescent="0.4">
      <c r="C92" s="136">
        <v>19</v>
      </c>
      <c r="D92" s="136"/>
      <c r="E92" s="136"/>
      <c r="F92" s="137"/>
      <c r="G92" s="137"/>
      <c r="H92" s="137"/>
      <c r="I92" s="138"/>
      <c r="J92" s="138"/>
      <c r="K92" s="138"/>
      <c r="M92" s="717"/>
      <c r="N92" s="717"/>
      <c r="O92" s="717"/>
    </row>
    <row r="93" spans="3:15" x14ac:dyDescent="0.4">
      <c r="C93" s="430">
        <v>20</v>
      </c>
      <c r="D93" s="430"/>
      <c r="E93" s="430"/>
      <c r="F93" s="431"/>
      <c r="G93" s="431"/>
      <c r="H93" s="431"/>
      <c r="I93" s="432"/>
      <c r="J93" s="432"/>
      <c r="K93" s="432"/>
      <c r="M93" s="717"/>
      <c r="N93" s="717"/>
      <c r="O93" s="717"/>
    </row>
    <row r="94" spans="3:15" x14ac:dyDescent="0.4">
      <c r="C94" s="136">
        <v>21</v>
      </c>
      <c r="D94" s="136"/>
      <c r="E94" s="136"/>
      <c r="F94" s="137"/>
      <c r="G94" s="137"/>
      <c r="H94" s="137"/>
      <c r="I94" s="138"/>
      <c r="J94" s="138"/>
      <c r="K94" s="138"/>
      <c r="M94" s="717"/>
      <c r="N94" s="717"/>
      <c r="O94" s="717"/>
    </row>
    <row r="95" spans="3:15" x14ac:dyDescent="0.4">
      <c r="C95" s="136">
        <v>22</v>
      </c>
      <c r="D95" s="136"/>
      <c r="E95" s="136"/>
      <c r="F95" s="137"/>
      <c r="G95" s="137"/>
      <c r="H95" s="137"/>
      <c r="I95" s="138"/>
      <c r="J95" s="138"/>
      <c r="K95" s="138"/>
      <c r="M95" s="717"/>
      <c r="N95" s="717"/>
      <c r="O95" s="717"/>
    </row>
    <row r="96" spans="3:15" x14ac:dyDescent="0.4">
      <c r="C96" s="136">
        <v>23</v>
      </c>
      <c r="D96" s="136"/>
      <c r="E96" s="136"/>
      <c r="F96" s="137"/>
      <c r="G96" s="137"/>
      <c r="H96" s="137"/>
      <c r="I96" s="138"/>
      <c r="J96" s="138"/>
      <c r="K96" s="138"/>
      <c r="M96" s="717"/>
      <c r="N96" s="717"/>
      <c r="O96" s="717"/>
    </row>
    <row r="97" spans="3:15" x14ac:dyDescent="0.4">
      <c r="C97" s="136">
        <v>24</v>
      </c>
      <c r="D97" s="136"/>
      <c r="E97" s="136"/>
      <c r="F97" s="137"/>
      <c r="G97" s="137"/>
      <c r="H97" s="137"/>
      <c r="I97" s="138"/>
      <c r="J97" s="138"/>
      <c r="K97" s="138"/>
      <c r="M97" s="717"/>
      <c r="N97" s="717"/>
      <c r="O97" s="717"/>
    </row>
    <row r="98" spans="3:15" x14ac:dyDescent="0.4">
      <c r="C98" s="136">
        <v>25</v>
      </c>
      <c r="D98" s="136"/>
      <c r="E98" s="136"/>
      <c r="F98" s="137"/>
      <c r="G98" s="137"/>
      <c r="H98" s="137"/>
      <c r="I98" s="138"/>
      <c r="J98" s="138"/>
      <c r="K98" s="138"/>
      <c r="M98" s="717"/>
      <c r="N98" s="717"/>
      <c r="O98" s="717"/>
    </row>
    <row r="99" spans="3:15" x14ac:dyDescent="0.4">
      <c r="C99" s="136">
        <v>26</v>
      </c>
      <c r="D99" s="136"/>
      <c r="E99" s="136"/>
      <c r="F99" s="137"/>
      <c r="G99" s="137"/>
      <c r="H99" s="137"/>
      <c r="I99" s="138"/>
      <c r="J99" s="138"/>
      <c r="K99" s="138"/>
      <c r="M99" s="717"/>
      <c r="N99" s="717"/>
      <c r="O99" s="717"/>
    </row>
    <row r="100" spans="3:15" x14ac:dyDescent="0.4">
      <c r="C100" s="136">
        <v>27</v>
      </c>
      <c r="D100" s="136"/>
      <c r="E100" s="136"/>
      <c r="F100" s="137"/>
      <c r="G100" s="137"/>
      <c r="H100" s="137"/>
      <c r="I100" s="138"/>
      <c r="J100" s="138"/>
      <c r="K100" s="138"/>
      <c r="M100" s="717"/>
      <c r="N100" s="717"/>
      <c r="O100" s="717"/>
    </row>
    <row r="101" spans="3:15" x14ac:dyDescent="0.4">
      <c r="C101" s="136">
        <v>28</v>
      </c>
      <c r="D101" s="136"/>
      <c r="E101" s="136"/>
      <c r="F101" s="137"/>
      <c r="G101" s="137"/>
      <c r="H101" s="137"/>
      <c r="I101" s="138"/>
      <c r="J101" s="138"/>
      <c r="K101" s="138"/>
      <c r="M101" s="717"/>
      <c r="N101" s="717"/>
      <c r="O101" s="717"/>
    </row>
    <row r="102" spans="3:15" x14ac:dyDescent="0.4">
      <c r="C102" s="136">
        <v>29</v>
      </c>
      <c r="D102" s="136"/>
      <c r="E102" s="136"/>
      <c r="F102" s="137"/>
      <c r="G102" s="137"/>
      <c r="H102" s="137"/>
      <c r="I102" s="138"/>
      <c r="J102" s="138"/>
      <c r="K102" s="138"/>
      <c r="M102" s="717"/>
      <c r="N102" s="717"/>
      <c r="O102" s="717"/>
    </row>
    <row r="103" spans="3:15" x14ac:dyDescent="0.4">
      <c r="C103" s="430">
        <v>30</v>
      </c>
      <c r="D103" s="430"/>
      <c r="E103" s="430"/>
      <c r="F103" s="431"/>
      <c r="G103" s="431"/>
      <c r="H103" s="431"/>
      <c r="I103" s="432"/>
      <c r="J103" s="432"/>
      <c r="K103" s="432"/>
      <c r="M103" s="717"/>
      <c r="N103" s="717"/>
      <c r="O103" s="717"/>
    </row>
    <row r="104" spans="3:15" x14ac:dyDescent="0.4">
      <c r="C104" s="136">
        <v>31</v>
      </c>
      <c r="D104" s="136"/>
      <c r="E104" s="136"/>
      <c r="F104" s="137"/>
      <c r="G104" s="137"/>
      <c r="H104" s="137"/>
      <c r="I104" s="138"/>
      <c r="J104" s="138"/>
      <c r="K104" s="138"/>
      <c r="M104" s="717"/>
      <c r="N104" s="717"/>
      <c r="O104" s="717"/>
    </row>
    <row r="105" spans="3:15" x14ac:dyDescent="0.4">
      <c r="C105" s="136">
        <v>32</v>
      </c>
      <c r="D105" s="136"/>
      <c r="E105" s="136"/>
      <c r="F105" s="137"/>
      <c r="G105" s="137"/>
      <c r="H105" s="137"/>
      <c r="I105" s="138"/>
      <c r="J105" s="138"/>
      <c r="K105" s="138"/>
      <c r="M105" s="717"/>
      <c r="N105" s="717"/>
      <c r="O105" s="717"/>
    </row>
    <row r="106" spans="3:15" x14ac:dyDescent="0.4">
      <c r="C106" s="136">
        <v>33</v>
      </c>
      <c r="D106" s="136"/>
      <c r="E106" s="136"/>
      <c r="F106" s="137"/>
      <c r="G106" s="137"/>
      <c r="H106" s="137"/>
      <c r="I106" s="138"/>
      <c r="J106" s="138"/>
      <c r="K106" s="138"/>
      <c r="M106" s="717"/>
      <c r="N106" s="717"/>
      <c r="O106" s="717"/>
    </row>
    <row r="107" spans="3:15" x14ac:dyDescent="0.4">
      <c r="C107" s="136">
        <v>34</v>
      </c>
      <c r="D107" s="136"/>
      <c r="E107" s="136"/>
      <c r="F107" s="137"/>
      <c r="G107" s="137"/>
      <c r="H107" s="137"/>
      <c r="I107" s="138"/>
      <c r="J107" s="138"/>
      <c r="K107" s="138"/>
      <c r="M107" s="717"/>
      <c r="N107" s="717"/>
      <c r="O107" s="717"/>
    </row>
    <row r="108" spans="3:15" x14ac:dyDescent="0.4">
      <c r="C108" s="136">
        <v>35</v>
      </c>
      <c r="D108" s="136"/>
      <c r="E108" s="136"/>
      <c r="F108" s="137"/>
      <c r="G108" s="137"/>
      <c r="H108" s="137"/>
      <c r="I108" s="138"/>
      <c r="J108" s="138"/>
      <c r="K108" s="138"/>
      <c r="M108" s="717"/>
      <c r="N108" s="717"/>
      <c r="O108" s="717"/>
    </row>
    <row r="109" spans="3:15" x14ac:dyDescent="0.4">
      <c r="C109" s="136">
        <v>36</v>
      </c>
      <c r="D109" s="136"/>
      <c r="E109" s="136"/>
      <c r="F109" s="137"/>
      <c r="G109" s="137"/>
      <c r="H109" s="137"/>
      <c r="I109" s="138"/>
      <c r="J109" s="138"/>
      <c r="K109" s="138"/>
      <c r="M109" s="717"/>
      <c r="N109" s="717"/>
      <c r="O109" s="717"/>
    </row>
    <row r="110" spans="3:15" x14ac:dyDescent="0.4">
      <c r="C110" s="136">
        <v>37</v>
      </c>
      <c r="D110" s="136"/>
      <c r="E110" s="136"/>
      <c r="F110" s="137"/>
      <c r="G110" s="137"/>
      <c r="H110" s="137"/>
      <c r="I110" s="138"/>
      <c r="J110" s="138"/>
      <c r="K110" s="138"/>
      <c r="M110" s="717"/>
      <c r="N110" s="717"/>
      <c r="O110" s="717"/>
    </row>
    <row r="111" spans="3:15" x14ac:dyDescent="0.4">
      <c r="C111" s="136">
        <v>38</v>
      </c>
      <c r="D111" s="136"/>
      <c r="E111" s="136"/>
      <c r="F111" s="137"/>
      <c r="G111" s="137"/>
      <c r="H111" s="137"/>
      <c r="I111" s="138"/>
      <c r="J111" s="138"/>
      <c r="K111" s="138"/>
      <c r="M111" s="717"/>
      <c r="N111" s="717"/>
      <c r="O111" s="717"/>
    </row>
    <row r="112" spans="3:15" x14ac:dyDescent="0.4">
      <c r="C112" s="136">
        <v>39</v>
      </c>
      <c r="D112" s="136"/>
      <c r="E112" s="136"/>
      <c r="F112" s="137"/>
      <c r="G112" s="137"/>
      <c r="H112" s="137"/>
      <c r="I112" s="138"/>
      <c r="J112" s="138"/>
      <c r="K112" s="138"/>
      <c r="M112" s="717"/>
      <c r="N112" s="717"/>
      <c r="O112" s="717"/>
    </row>
    <row r="113" spans="3:15" x14ac:dyDescent="0.4">
      <c r="C113" s="430">
        <v>40</v>
      </c>
      <c r="D113" s="430"/>
      <c r="E113" s="430"/>
      <c r="F113" s="431"/>
      <c r="G113" s="431"/>
      <c r="H113" s="431"/>
      <c r="I113" s="432"/>
      <c r="J113" s="432"/>
      <c r="K113" s="432"/>
      <c r="M113" s="717"/>
      <c r="N113" s="717"/>
      <c r="O113" s="717"/>
    </row>
    <row r="114" spans="3:15" x14ac:dyDescent="0.4">
      <c r="C114" s="136">
        <v>41</v>
      </c>
      <c r="D114" s="136"/>
      <c r="E114" s="136"/>
      <c r="F114" s="137"/>
      <c r="G114" s="137"/>
      <c r="H114" s="137"/>
      <c r="I114" s="138"/>
      <c r="J114" s="138"/>
      <c r="K114" s="138"/>
      <c r="M114" s="717"/>
      <c r="N114" s="717"/>
      <c r="O114" s="717"/>
    </row>
    <row r="115" spans="3:15" x14ac:dyDescent="0.4">
      <c r="C115" s="136">
        <v>42</v>
      </c>
      <c r="D115" s="136"/>
      <c r="E115" s="136"/>
      <c r="F115" s="137"/>
      <c r="G115" s="137"/>
      <c r="H115" s="137"/>
      <c r="I115" s="138"/>
      <c r="J115" s="138"/>
      <c r="K115" s="138"/>
      <c r="M115" s="717"/>
      <c r="N115" s="717"/>
      <c r="O115" s="717"/>
    </row>
    <row r="116" spans="3:15" x14ac:dyDescent="0.4">
      <c r="C116" s="136">
        <v>43</v>
      </c>
      <c r="D116" s="136"/>
      <c r="E116" s="136"/>
      <c r="F116" s="137"/>
      <c r="G116" s="137"/>
      <c r="H116" s="137"/>
      <c r="I116" s="138"/>
      <c r="J116" s="138"/>
      <c r="K116" s="138"/>
      <c r="M116" s="717"/>
      <c r="N116" s="717"/>
      <c r="O116" s="717"/>
    </row>
    <row r="117" spans="3:15" x14ac:dyDescent="0.4">
      <c r="C117" s="136">
        <v>44</v>
      </c>
      <c r="D117" s="136"/>
      <c r="E117" s="136"/>
      <c r="F117" s="137"/>
      <c r="G117" s="137"/>
      <c r="H117" s="137"/>
      <c r="I117" s="138"/>
      <c r="J117" s="138"/>
      <c r="K117" s="138"/>
      <c r="M117" s="717"/>
      <c r="N117" s="717"/>
      <c r="O117" s="717"/>
    </row>
    <row r="118" spans="3:15" x14ac:dyDescent="0.4">
      <c r="C118" s="136">
        <v>45</v>
      </c>
      <c r="D118" s="136"/>
      <c r="E118" s="136"/>
      <c r="F118" s="137"/>
      <c r="G118" s="137"/>
      <c r="H118" s="137"/>
      <c r="I118" s="138"/>
      <c r="J118" s="138"/>
      <c r="K118" s="138"/>
      <c r="M118" s="717"/>
      <c r="N118" s="717"/>
      <c r="O118" s="717"/>
    </row>
    <row r="119" spans="3:15" x14ac:dyDescent="0.4">
      <c r="C119" s="136">
        <v>46</v>
      </c>
      <c r="D119" s="136"/>
      <c r="E119" s="136"/>
      <c r="F119" s="137"/>
      <c r="G119" s="137"/>
      <c r="H119" s="137"/>
      <c r="I119" s="138"/>
      <c r="J119" s="138"/>
      <c r="K119" s="138"/>
      <c r="M119" s="717"/>
      <c r="N119" s="717"/>
      <c r="O119" s="717"/>
    </row>
    <row r="120" spans="3:15" x14ac:dyDescent="0.4">
      <c r="C120" s="136">
        <v>47</v>
      </c>
      <c r="D120" s="136"/>
      <c r="E120" s="136"/>
      <c r="F120" s="137"/>
      <c r="G120" s="137"/>
      <c r="H120" s="137"/>
      <c r="I120" s="138"/>
      <c r="J120" s="138"/>
      <c r="K120" s="138"/>
      <c r="M120" s="717"/>
      <c r="N120" s="717"/>
      <c r="O120" s="717"/>
    </row>
    <row r="121" spans="3:15" x14ac:dyDescent="0.4">
      <c r="C121" s="136">
        <v>48</v>
      </c>
      <c r="D121" s="136"/>
      <c r="E121" s="136"/>
      <c r="F121" s="137"/>
      <c r="G121" s="137"/>
      <c r="H121" s="137"/>
      <c r="I121" s="138"/>
      <c r="J121" s="138"/>
      <c r="K121" s="138"/>
      <c r="M121" s="717"/>
      <c r="N121" s="717"/>
      <c r="O121" s="717"/>
    </row>
    <row r="122" spans="3:15" x14ac:dyDescent="0.4">
      <c r="C122" s="136">
        <v>49</v>
      </c>
      <c r="D122" s="136"/>
      <c r="E122" s="136"/>
      <c r="F122" s="137"/>
      <c r="G122" s="137"/>
      <c r="H122" s="137"/>
      <c r="I122" s="138"/>
      <c r="J122" s="138"/>
      <c r="K122" s="138"/>
      <c r="M122" s="717"/>
      <c r="N122" s="717"/>
      <c r="O122" s="717"/>
    </row>
    <row r="123" spans="3:15" x14ac:dyDescent="0.4">
      <c r="C123" s="430">
        <v>50</v>
      </c>
      <c r="D123" s="430"/>
      <c r="E123" s="430"/>
      <c r="F123" s="431"/>
      <c r="G123" s="431"/>
      <c r="H123" s="431"/>
      <c r="I123" s="432"/>
      <c r="J123" s="432"/>
      <c r="K123" s="432"/>
      <c r="M123" s="717"/>
      <c r="N123" s="717"/>
      <c r="O123" s="717"/>
    </row>
    <row r="124" spans="3:15" x14ac:dyDescent="0.4">
      <c r="C124" s="136">
        <v>51</v>
      </c>
      <c r="D124" s="136"/>
      <c r="E124" s="136"/>
      <c r="F124" s="137"/>
      <c r="G124" s="137"/>
      <c r="H124" s="137"/>
      <c r="I124" s="138"/>
      <c r="J124" s="138"/>
      <c r="K124" s="138"/>
      <c r="M124" s="717"/>
      <c r="N124" s="717"/>
      <c r="O124" s="717"/>
    </row>
    <row r="125" spans="3:15" x14ac:dyDescent="0.4">
      <c r="C125" s="136">
        <v>52</v>
      </c>
      <c r="D125" s="136"/>
      <c r="E125" s="136"/>
      <c r="F125" s="137"/>
      <c r="G125" s="137"/>
      <c r="H125" s="137"/>
      <c r="I125" s="138"/>
      <c r="J125" s="138"/>
      <c r="K125" s="138"/>
      <c r="M125" s="717"/>
      <c r="N125" s="717"/>
      <c r="O125" s="717"/>
    </row>
    <row r="126" spans="3:15" x14ac:dyDescent="0.4">
      <c r="C126" s="136">
        <v>53</v>
      </c>
      <c r="D126" s="136"/>
      <c r="E126" s="136"/>
      <c r="F126" s="137"/>
      <c r="G126" s="137"/>
      <c r="H126" s="137"/>
      <c r="I126" s="138"/>
      <c r="J126" s="138"/>
      <c r="K126" s="138"/>
      <c r="M126" s="717"/>
      <c r="N126" s="717"/>
      <c r="O126" s="717"/>
    </row>
    <row r="127" spans="3:15" x14ac:dyDescent="0.4">
      <c r="C127" s="136">
        <v>54</v>
      </c>
      <c r="D127" s="136"/>
      <c r="E127" s="136"/>
      <c r="F127" s="137"/>
      <c r="G127" s="137"/>
      <c r="H127" s="137"/>
      <c r="I127" s="138"/>
      <c r="J127" s="138"/>
      <c r="K127" s="138"/>
      <c r="M127" s="717"/>
      <c r="N127" s="717"/>
      <c r="O127" s="717"/>
    </row>
    <row r="128" spans="3:15" x14ac:dyDescent="0.4">
      <c r="C128" s="136">
        <v>55</v>
      </c>
      <c r="D128" s="136"/>
      <c r="E128" s="136"/>
      <c r="F128" s="137"/>
      <c r="G128" s="137"/>
      <c r="H128" s="137"/>
      <c r="I128" s="138"/>
      <c r="J128" s="138"/>
      <c r="K128" s="138"/>
      <c r="M128" s="717"/>
      <c r="N128" s="717"/>
      <c r="O128" s="717"/>
    </row>
    <row r="129" spans="3:15" x14ac:dyDescent="0.4">
      <c r="C129" s="136">
        <v>56</v>
      </c>
      <c r="D129" s="136"/>
      <c r="E129" s="136"/>
      <c r="F129" s="137"/>
      <c r="G129" s="137"/>
      <c r="H129" s="137"/>
      <c r="I129" s="138"/>
      <c r="J129" s="138"/>
      <c r="K129" s="138"/>
      <c r="M129" s="717"/>
      <c r="N129" s="717"/>
      <c r="O129" s="717"/>
    </row>
    <row r="130" spans="3:15" x14ac:dyDescent="0.4">
      <c r="C130" s="136">
        <v>57</v>
      </c>
      <c r="D130" s="136"/>
      <c r="E130" s="136"/>
      <c r="F130" s="137"/>
      <c r="G130" s="137"/>
      <c r="H130" s="137"/>
      <c r="I130" s="138"/>
      <c r="J130" s="138"/>
      <c r="K130" s="138"/>
      <c r="M130" s="717"/>
      <c r="N130" s="717"/>
      <c r="O130" s="717"/>
    </row>
    <row r="131" spans="3:15" x14ac:dyDescent="0.4">
      <c r="C131" s="136">
        <v>58</v>
      </c>
      <c r="D131" s="136"/>
      <c r="E131" s="136"/>
      <c r="F131" s="137"/>
      <c r="G131" s="137"/>
      <c r="H131" s="137"/>
      <c r="I131" s="138"/>
      <c r="J131" s="138"/>
      <c r="K131" s="138"/>
      <c r="M131" s="717"/>
      <c r="N131" s="717"/>
      <c r="O131" s="717"/>
    </row>
    <row r="132" spans="3:15" x14ac:dyDescent="0.4">
      <c r="C132" s="136">
        <v>59</v>
      </c>
      <c r="D132" s="136"/>
      <c r="E132" s="136"/>
      <c r="F132" s="137"/>
      <c r="G132" s="137"/>
      <c r="H132" s="137"/>
      <c r="I132" s="138"/>
      <c r="J132" s="138"/>
      <c r="K132" s="138"/>
      <c r="M132" s="717"/>
      <c r="N132" s="717"/>
      <c r="O132" s="717"/>
    </row>
    <row r="133" spans="3:15" x14ac:dyDescent="0.4">
      <c r="C133" s="430">
        <v>60</v>
      </c>
      <c r="D133" s="430"/>
      <c r="E133" s="430"/>
      <c r="F133" s="431"/>
      <c r="G133" s="431"/>
      <c r="H133" s="431"/>
      <c r="I133" s="432"/>
      <c r="J133" s="432"/>
      <c r="K133" s="432"/>
      <c r="M133" s="717"/>
      <c r="N133" s="717"/>
      <c r="O133" s="717"/>
    </row>
    <row r="134" spans="3:15" x14ac:dyDescent="0.4">
      <c r="C134" s="136">
        <v>61</v>
      </c>
      <c r="D134" s="136"/>
      <c r="E134" s="136"/>
      <c r="F134" s="137"/>
      <c r="G134" s="137"/>
      <c r="H134" s="137"/>
      <c r="I134" s="138"/>
      <c r="J134" s="138"/>
      <c r="K134" s="138"/>
      <c r="M134" s="717"/>
      <c r="N134" s="717"/>
      <c r="O134" s="717"/>
    </row>
    <row r="135" spans="3:15" x14ac:dyDescent="0.4">
      <c r="C135" s="136">
        <v>62</v>
      </c>
      <c r="D135" s="136"/>
      <c r="E135" s="136"/>
      <c r="F135" s="137"/>
      <c r="G135" s="137"/>
      <c r="H135" s="137"/>
      <c r="I135" s="138"/>
      <c r="J135" s="138"/>
      <c r="K135" s="138"/>
      <c r="M135" s="717"/>
      <c r="N135" s="717"/>
      <c r="O135" s="717"/>
    </row>
    <row r="136" spans="3:15" x14ac:dyDescent="0.4">
      <c r="C136" s="136">
        <v>63</v>
      </c>
      <c r="D136" s="136"/>
      <c r="E136" s="136"/>
      <c r="F136" s="137"/>
      <c r="G136" s="137"/>
      <c r="H136" s="137"/>
      <c r="I136" s="138"/>
      <c r="J136" s="138"/>
      <c r="K136" s="138"/>
      <c r="M136" s="717"/>
      <c r="N136" s="717"/>
      <c r="O136" s="717"/>
    </row>
    <row r="137" spans="3:15" x14ac:dyDescent="0.4">
      <c r="C137" s="136">
        <v>64</v>
      </c>
      <c r="D137" s="136"/>
      <c r="E137" s="136"/>
      <c r="F137" s="137"/>
      <c r="G137" s="137"/>
      <c r="H137" s="137"/>
      <c r="I137" s="138"/>
      <c r="J137" s="138"/>
      <c r="K137" s="138"/>
      <c r="M137" s="717"/>
      <c r="N137" s="717"/>
      <c r="O137" s="717"/>
    </row>
    <row r="138" spans="3:15" x14ac:dyDescent="0.4">
      <c r="C138" s="136">
        <v>65</v>
      </c>
      <c r="D138" s="136"/>
      <c r="E138" s="136"/>
      <c r="F138" s="137"/>
      <c r="G138" s="137"/>
      <c r="H138" s="137"/>
      <c r="I138" s="138"/>
      <c r="J138" s="138"/>
      <c r="K138" s="138"/>
      <c r="M138" s="717"/>
      <c r="N138" s="717"/>
      <c r="O138" s="717"/>
    </row>
    <row r="139" spans="3:15" x14ac:dyDescent="0.4">
      <c r="C139" s="136">
        <v>66</v>
      </c>
      <c r="D139" s="136"/>
      <c r="E139" s="136"/>
      <c r="F139" s="137"/>
      <c r="G139" s="137"/>
      <c r="H139" s="137"/>
      <c r="I139" s="138"/>
      <c r="J139" s="138"/>
      <c r="K139" s="138"/>
      <c r="M139" s="717"/>
      <c r="N139" s="717"/>
      <c r="O139" s="717"/>
    </row>
    <row r="140" spans="3:15" x14ac:dyDescent="0.4">
      <c r="C140" s="136">
        <v>67</v>
      </c>
      <c r="D140" s="136"/>
      <c r="E140" s="136"/>
      <c r="F140" s="137"/>
      <c r="G140" s="137"/>
      <c r="H140" s="137"/>
      <c r="I140" s="138"/>
      <c r="J140" s="138"/>
      <c r="K140" s="138"/>
      <c r="M140" s="717"/>
      <c r="N140" s="717"/>
      <c r="O140" s="717"/>
    </row>
    <row r="141" spans="3:15" x14ac:dyDescent="0.4">
      <c r="C141" s="136">
        <v>68</v>
      </c>
      <c r="D141" s="136"/>
      <c r="E141" s="136"/>
      <c r="F141" s="137"/>
      <c r="G141" s="137"/>
      <c r="H141" s="137"/>
      <c r="I141" s="138"/>
      <c r="J141" s="138"/>
      <c r="K141" s="138"/>
      <c r="M141" s="717"/>
      <c r="N141" s="717"/>
      <c r="O141" s="717"/>
    </row>
    <row r="142" spans="3:15" x14ac:dyDescent="0.4">
      <c r="C142" s="136">
        <v>69</v>
      </c>
      <c r="D142" s="136"/>
      <c r="E142" s="136"/>
      <c r="F142" s="137"/>
      <c r="G142" s="137"/>
      <c r="H142" s="137"/>
      <c r="I142" s="138"/>
      <c r="J142" s="138"/>
      <c r="K142" s="138"/>
      <c r="M142" s="717"/>
      <c r="N142" s="717"/>
      <c r="O142" s="717"/>
    </row>
    <row r="143" spans="3:15" x14ac:dyDescent="0.4">
      <c r="C143" s="430">
        <v>70</v>
      </c>
      <c r="D143" s="430"/>
      <c r="E143" s="430"/>
      <c r="F143" s="431"/>
      <c r="G143" s="431"/>
      <c r="H143" s="431"/>
      <c r="I143" s="432"/>
      <c r="J143" s="432"/>
      <c r="K143" s="432"/>
      <c r="M143" s="717"/>
      <c r="N143" s="717"/>
      <c r="O143" s="717"/>
    </row>
    <row r="144" spans="3:15" x14ac:dyDescent="0.4">
      <c r="C144" s="136">
        <v>71</v>
      </c>
      <c r="D144" s="136"/>
      <c r="E144" s="136"/>
      <c r="F144" s="137"/>
      <c r="G144" s="137"/>
      <c r="H144" s="137"/>
      <c r="I144" s="138"/>
      <c r="J144" s="138"/>
      <c r="K144" s="138"/>
      <c r="M144" s="717"/>
      <c r="N144" s="717"/>
      <c r="O144" s="717"/>
    </row>
    <row r="145" spans="3:15" x14ac:dyDescent="0.4">
      <c r="C145" s="136">
        <v>72</v>
      </c>
      <c r="D145" s="136"/>
      <c r="E145" s="136"/>
      <c r="F145" s="137"/>
      <c r="G145" s="137"/>
      <c r="H145" s="137"/>
      <c r="I145" s="138"/>
      <c r="J145" s="138"/>
      <c r="K145" s="138"/>
      <c r="M145" s="717"/>
      <c r="N145" s="717"/>
      <c r="O145" s="717"/>
    </row>
    <row r="146" spans="3:15" x14ac:dyDescent="0.4">
      <c r="C146" s="136">
        <v>73</v>
      </c>
      <c r="D146" s="136"/>
      <c r="E146" s="136"/>
      <c r="F146" s="137"/>
      <c r="G146" s="137"/>
      <c r="H146" s="137"/>
      <c r="I146" s="138"/>
      <c r="J146" s="138"/>
      <c r="K146" s="138"/>
      <c r="M146" s="717"/>
      <c r="N146" s="717"/>
      <c r="O146" s="717"/>
    </row>
    <row r="147" spans="3:15" ht="16.5" x14ac:dyDescent="0.4">
      <c r="C147" s="139">
        <v>74</v>
      </c>
      <c r="D147" s="139"/>
      <c r="E147" s="139"/>
      <c r="F147" s="140"/>
      <c r="G147" s="140"/>
      <c r="H147" s="140"/>
      <c r="I147" s="123"/>
      <c r="J147" s="123"/>
      <c r="K147" s="123"/>
      <c r="M147" s="717"/>
      <c r="N147" s="717"/>
      <c r="O147" s="717"/>
    </row>
    <row r="148" spans="3:15" ht="16.5" x14ac:dyDescent="0.4">
      <c r="C148" s="136">
        <v>75</v>
      </c>
      <c r="D148" s="136"/>
      <c r="E148" s="136"/>
      <c r="F148" s="141"/>
      <c r="G148" s="141"/>
      <c r="H148" s="141"/>
      <c r="I148" s="121"/>
      <c r="J148" s="121"/>
      <c r="K148" s="121"/>
      <c r="M148" s="717"/>
      <c r="N148" s="717"/>
      <c r="O148" s="717"/>
    </row>
    <row r="149" spans="3:15" ht="16.5" x14ac:dyDescent="0.4">
      <c r="C149" s="136">
        <v>76</v>
      </c>
      <c r="D149" s="136"/>
      <c r="E149" s="136"/>
      <c r="F149" s="141"/>
      <c r="G149" s="141"/>
      <c r="H149" s="141"/>
      <c r="I149" s="121"/>
      <c r="J149" s="121"/>
      <c r="K149" s="121"/>
      <c r="M149" s="717"/>
      <c r="N149" s="717"/>
      <c r="O149" s="717"/>
    </row>
    <row r="150" spans="3:15" ht="16.5" x14ac:dyDescent="0.4">
      <c r="C150" s="136">
        <v>77</v>
      </c>
      <c r="D150" s="136"/>
      <c r="E150" s="136"/>
      <c r="F150" s="141"/>
      <c r="G150" s="141"/>
      <c r="H150" s="141"/>
      <c r="I150" s="121"/>
      <c r="J150" s="121"/>
      <c r="K150" s="121"/>
      <c r="M150" s="717"/>
      <c r="N150" s="717"/>
      <c r="O150" s="717"/>
    </row>
    <row r="151" spans="3:15" ht="16.5" x14ac:dyDescent="0.4">
      <c r="C151" s="136">
        <v>78</v>
      </c>
      <c r="D151" s="136"/>
      <c r="E151" s="136"/>
      <c r="F151" s="141"/>
      <c r="G151" s="141"/>
      <c r="H151" s="141"/>
      <c r="I151" s="121"/>
      <c r="J151" s="121"/>
      <c r="K151" s="121"/>
      <c r="M151" s="717"/>
      <c r="N151" s="717"/>
      <c r="O151" s="717"/>
    </row>
    <row r="152" spans="3:15" ht="16.5" x14ac:dyDescent="0.4">
      <c r="C152" s="136">
        <v>79</v>
      </c>
      <c r="D152" s="136"/>
      <c r="E152" s="136"/>
      <c r="F152" s="141"/>
      <c r="G152" s="141"/>
      <c r="H152" s="141"/>
      <c r="I152" s="121"/>
      <c r="J152" s="121"/>
      <c r="K152" s="121"/>
      <c r="M152" s="717"/>
      <c r="N152" s="717"/>
      <c r="O152" s="717"/>
    </row>
    <row r="153" spans="3:15" ht="16.5" x14ac:dyDescent="0.4">
      <c r="C153" s="430">
        <v>80</v>
      </c>
      <c r="D153" s="430"/>
      <c r="E153" s="430"/>
      <c r="F153" s="433"/>
      <c r="G153" s="433"/>
      <c r="H153" s="433"/>
      <c r="I153" s="434"/>
      <c r="J153" s="434"/>
      <c r="K153" s="434"/>
      <c r="M153" s="717"/>
      <c r="N153" s="717"/>
      <c r="O153" s="717"/>
    </row>
    <row r="154" spans="3:15" ht="16.5" x14ac:dyDescent="0.4">
      <c r="C154" s="136">
        <v>81</v>
      </c>
      <c r="D154" s="136"/>
      <c r="E154" s="136"/>
      <c r="F154" s="141"/>
      <c r="G154" s="141"/>
      <c r="H154" s="141"/>
      <c r="I154" s="121"/>
      <c r="J154" s="121"/>
      <c r="K154" s="121"/>
      <c r="M154" s="717"/>
      <c r="N154" s="717"/>
      <c r="O154" s="717"/>
    </row>
    <row r="155" spans="3:15" ht="16.5" x14ac:dyDescent="0.4">
      <c r="C155" s="136">
        <v>82</v>
      </c>
      <c r="D155" s="136"/>
      <c r="E155" s="136"/>
      <c r="F155" s="141"/>
      <c r="G155" s="141"/>
      <c r="H155" s="141"/>
      <c r="I155" s="121"/>
      <c r="J155" s="121"/>
      <c r="K155" s="121"/>
      <c r="M155" s="717"/>
      <c r="N155" s="717"/>
      <c r="O155" s="717"/>
    </row>
    <row r="156" spans="3:15" ht="16.5" x14ac:dyDescent="0.4">
      <c r="C156" s="136">
        <v>83</v>
      </c>
      <c r="D156" s="136"/>
      <c r="E156" s="136"/>
      <c r="F156" s="141"/>
      <c r="G156" s="141"/>
      <c r="H156" s="141"/>
      <c r="I156" s="121"/>
      <c r="J156" s="121"/>
      <c r="K156" s="121"/>
      <c r="M156" s="717"/>
      <c r="N156" s="717"/>
      <c r="O156" s="717"/>
    </row>
    <row r="157" spans="3:15" ht="16.5" x14ac:dyDescent="0.4">
      <c r="C157" s="136">
        <v>84</v>
      </c>
      <c r="D157" s="136"/>
      <c r="E157" s="136"/>
      <c r="F157" s="141"/>
      <c r="G157" s="141"/>
      <c r="H157" s="141"/>
      <c r="I157" s="121"/>
      <c r="J157" s="121"/>
      <c r="K157" s="121"/>
      <c r="M157" s="717"/>
      <c r="N157" s="717"/>
      <c r="O157" s="717"/>
    </row>
    <row r="158" spans="3:15" ht="16.5" x14ac:dyDescent="0.4">
      <c r="C158" s="136">
        <v>85</v>
      </c>
      <c r="D158" s="136"/>
      <c r="E158" s="136"/>
      <c r="F158" s="141"/>
      <c r="G158" s="141"/>
      <c r="H158" s="141"/>
      <c r="I158" s="121"/>
      <c r="J158" s="121"/>
      <c r="K158" s="121"/>
      <c r="M158" s="717"/>
      <c r="N158" s="717"/>
      <c r="O158" s="717"/>
    </row>
    <row r="159" spans="3:15" ht="16.5" x14ac:dyDescent="0.4">
      <c r="C159" s="136">
        <v>86</v>
      </c>
      <c r="D159" s="136"/>
      <c r="E159" s="136"/>
      <c r="F159" s="141"/>
      <c r="G159" s="141"/>
      <c r="H159" s="141"/>
      <c r="I159" s="121"/>
      <c r="J159" s="121"/>
      <c r="K159" s="121"/>
      <c r="M159" s="717"/>
      <c r="N159" s="717"/>
      <c r="O159" s="717"/>
    </row>
    <row r="160" spans="3:15" ht="16.5" x14ac:dyDescent="0.4">
      <c r="C160" s="136">
        <v>87</v>
      </c>
      <c r="D160" s="136"/>
      <c r="E160" s="136"/>
      <c r="F160" s="141"/>
      <c r="G160" s="141"/>
      <c r="H160" s="141"/>
      <c r="I160" s="121"/>
      <c r="J160" s="121"/>
      <c r="K160" s="121"/>
      <c r="M160" s="717"/>
      <c r="N160" s="717"/>
      <c r="O160" s="717"/>
    </row>
    <row r="161" spans="3:15" ht="16.5" x14ac:dyDescent="0.4">
      <c r="C161" s="136">
        <v>88</v>
      </c>
      <c r="D161" s="136"/>
      <c r="E161" s="136"/>
      <c r="F161" s="141"/>
      <c r="G161" s="141"/>
      <c r="H161" s="141"/>
      <c r="I161" s="121"/>
      <c r="J161" s="121"/>
      <c r="K161" s="121"/>
      <c r="M161" s="717"/>
      <c r="N161" s="717"/>
      <c r="O161" s="717"/>
    </row>
    <row r="162" spans="3:15" ht="16.5" x14ac:dyDescent="0.4">
      <c r="C162" s="136">
        <v>89</v>
      </c>
      <c r="D162" s="136"/>
      <c r="E162" s="136"/>
      <c r="F162" s="141"/>
      <c r="G162" s="141"/>
      <c r="H162" s="141"/>
      <c r="I162" s="121"/>
      <c r="J162" s="121"/>
      <c r="K162" s="121"/>
      <c r="M162" s="717"/>
      <c r="N162" s="717"/>
      <c r="O162" s="717"/>
    </row>
    <row r="163" spans="3:15" ht="16.5" x14ac:dyDescent="0.4">
      <c r="C163" s="430">
        <v>90</v>
      </c>
      <c r="D163" s="430"/>
      <c r="E163" s="430"/>
      <c r="F163" s="433"/>
      <c r="G163" s="433"/>
      <c r="H163" s="433"/>
      <c r="I163" s="434"/>
      <c r="J163" s="434"/>
      <c r="K163" s="434"/>
      <c r="M163" s="717"/>
      <c r="N163" s="717"/>
      <c r="O163" s="717"/>
    </row>
    <row r="164" spans="3:15" ht="16.5" x14ac:dyDescent="0.4">
      <c r="C164" s="136">
        <v>91</v>
      </c>
      <c r="D164" s="136"/>
      <c r="E164" s="136"/>
      <c r="F164" s="121"/>
      <c r="G164" s="121"/>
      <c r="H164" s="121"/>
      <c r="I164" s="121"/>
      <c r="J164" s="121"/>
      <c r="K164" s="121"/>
      <c r="M164" s="717"/>
      <c r="N164" s="717"/>
      <c r="O164" s="717"/>
    </row>
    <row r="165" spans="3:15" ht="16.5" x14ac:dyDescent="0.4">
      <c r="C165" s="136">
        <v>92</v>
      </c>
      <c r="D165" s="136"/>
      <c r="E165" s="136"/>
      <c r="F165" s="121"/>
      <c r="G165" s="121"/>
      <c r="H165" s="121"/>
      <c r="I165" s="121"/>
      <c r="J165" s="121"/>
      <c r="K165" s="121"/>
      <c r="M165" s="717"/>
      <c r="N165" s="717"/>
      <c r="O165" s="717"/>
    </row>
    <row r="166" spans="3:15" ht="16.5" x14ac:dyDescent="0.4">
      <c r="C166" s="136">
        <v>93</v>
      </c>
      <c r="D166" s="136"/>
      <c r="E166" s="136"/>
      <c r="F166" s="121"/>
      <c r="G166" s="121"/>
      <c r="H166" s="121"/>
      <c r="I166" s="121"/>
      <c r="J166" s="121"/>
      <c r="K166" s="121"/>
      <c r="M166" s="717"/>
      <c r="N166" s="717"/>
      <c r="O166" s="717"/>
    </row>
    <row r="167" spans="3:15" ht="16.5" x14ac:dyDescent="0.4">
      <c r="C167" s="136">
        <v>94</v>
      </c>
      <c r="D167" s="136"/>
      <c r="E167" s="136"/>
      <c r="F167" s="121"/>
      <c r="G167" s="121"/>
      <c r="H167" s="121"/>
      <c r="I167" s="121"/>
      <c r="J167" s="121"/>
      <c r="K167" s="121"/>
      <c r="M167" s="717"/>
      <c r="N167" s="717"/>
      <c r="O167" s="717"/>
    </row>
    <row r="168" spans="3:15" ht="16.5" x14ac:dyDescent="0.4">
      <c r="C168" s="430">
        <v>95</v>
      </c>
      <c r="D168" s="430"/>
      <c r="E168" s="430"/>
      <c r="F168" s="434"/>
      <c r="G168" s="434"/>
      <c r="H168" s="434"/>
      <c r="I168" s="434"/>
      <c r="J168" s="434"/>
      <c r="K168" s="434"/>
      <c r="M168" s="717"/>
      <c r="N168" s="717"/>
      <c r="O168" s="717"/>
    </row>
    <row r="169" spans="3:15" ht="16.5" x14ac:dyDescent="0.4">
      <c r="C169" s="136">
        <v>96</v>
      </c>
      <c r="D169" s="136"/>
      <c r="E169" s="136"/>
      <c r="F169" s="121"/>
      <c r="G169" s="121"/>
      <c r="H169" s="121"/>
      <c r="I169" s="121"/>
      <c r="J169" s="121"/>
      <c r="K169" s="121"/>
      <c r="M169" s="717"/>
      <c r="N169" s="717"/>
      <c r="O169" s="717"/>
    </row>
    <row r="170" spans="3:15" ht="16.5" x14ac:dyDescent="0.4">
      <c r="C170" s="136">
        <v>97</v>
      </c>
      <c r="D170" s="136"/>
      <c r="E170" s="136"/>
      <c r="F170" s="121"/>
      <c r="G170" s="121"/>
      <c r="H170" s="121"/>
      <c r="I170" s="121"/>
      <c r="J170" s="121"/>
      <c r="K170" s="121"/>
      <c r="M170" s="717"/>
      <c r="N170" s="717"/>
      <c r="O170" s="717"/>
    </row>
    <row r="171" spans="3:15" ht="16.5" x14ac:dyDescent="0.4">
      <c r="C171" s="136">
        <v>98</v>
      </c>
      <c r="D171" s="136"/>
      <c r="E171" s="136"/>
      <c r="F171" s="121"/>
      <c r="G171" s="121"/>
      <c r="H171" s="121"/>
      <c r="I171" s="121"/>
      <c r="J171" s="121"/>
      <c r="K171" s="121"/>
      <c r="M171" s="717"/>
      <c r="N171" s="717"/>
      <c r="O171" s="717"/>
    </row>
    <row r="172" spans="3:15" ht="16.5" x14ac:dyDescent="0.4">
      <c r="C172" s="136">
        <v>99</v>
      </c>
      <c r="D172" s="136"/>
      <c r="E172" s="136"/>
      <c r="F172" s="121"/>
      <c r="G172" s="121"/>
      <c r="H172" s="121"/>
      <c r="I172" s="121"/>
      <c r="J172" s="121"/>
      <c r="K172" s="121"/>
      <c r="M172" s="717"/>
      <c r="N172" s="717"/>
      <c r="O172" s="717"/>
    </row>
    <row r="173" spans="3:15" ht="16.5" x14ac:dyDescent="0.4">
      <c r="C173" s="430">
        <v>100</v>
      </c>
      <c r="D173" s="430"/>
      <c r="E173" s="430"/>
      <c r="F173" s="434"/>
      <c r="G173" s="434"/>
      <c r="H173" s="434"/>
      <c r="I173" s="434"/>
      <c r="J173" s="434"/>
      <c r="K173" s="434"/>
      <c r="M173" s="717"/>
      <c r="N173" s="717"/>
      <c r="O173" s="717"/>
    </row>
    <row r="174" spans="3:15" x14ac:dyDescent="0.4">
      <c r="M174" s="717"/>
      <c r="N174" s="717"/>
      <c r="O174" s="717"/>
    </row>
  </sheetData>
  <mergeCells count="22">
    <mergeCell ref="B44:B47"/>
    <mergeCell ref="C44:C47"/>
    <mergeCell ref="B48:B49"/>
    <mergeCell ref="C48:C49"/>
    <mergeCell ref="B55:B58"/>
    <mergeCell ref="B39:B43"/>
    <mergeCell ref="C39:C43"/>
    <mergeCell ref="A18:A20"/>
    <mergeCell ref="B18:B19"/>
    <mergeCell ref="M21:N21"/>
    <mergeCell ref="A23:A24"/>
    <mergeCell ref="A25:A26"/>
    <mergeCell ref="C25:C26"/>
    <mergeCell ref="B29:B31"/>
    <mergeCell ref="B33:B35"/>
    <mergeCell ref="C33:C35"/>
    <mergeCell ref="A1:M1"/>
    <mergeCell ref="M5:N5"/>
    <mergeCell ref="M6:N6"/>
    <mergeCell ref="A9:A10"/>
    <mergeCell ref="B13:B17"/>
    <mergeCell ref="C13:C17"/>
  </mergeCells>
  <pageMargins left="0.25" right="0.25" top="0.75" bottom="0.75" header="0.3" footer="0.3"/>
  <pageSetup paperSize="9" scale="38" orientation="portrait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4AF26-3CC9-46B6-8FC3-3582411E4209}">
  <sheetPr codeName="Sheet23"/>
  <dimension ref="B1:P38"/>
  <sheetViews>
    <sheetView topLeftCell="A3" zoomScaleNormal="100" workbookViewId="0">
      <selection activeCell="B39" sqref="B39"/>
    </sheetView>
  </sheetViews>
  <sheetFormatPr defaultRowHeight="14.5" x14ac:dyDescent="0.35"/>
  <cols>
    <col min="2" max="2" width="29" customWidth="1"/>
    <col min="3" max="3" width="19.26953125" customWidth="1"/>
    <col min="6" max="6" width="11.81640625" bestFit="1" customWidth="1"/>
    <col min="7" max="7" width="12.54296875" customWidth="1"/>
    <col min="8" max="8" width="16.7265625" customWidth="1"/>
    <col min="9" max="9" width="16.453125" customWidth="1"/>
    <col min="11" max="11" width="16.453125" customWidth="1"/>
    <col min="12" max="13" width="9.1796875" style="2289"/>
    <col min="14" max="15" width="13.1796875" bestFit="1" customWidth="1"/>
  </cols>
  <sheetData>
    <row r="1" spans="2:16" ht="15" thickBot="1" x14ac:dyDescent="0.4"/>
    <row r="2" spans="2:16" ht="29.5" thickBot="1" x14ac:dyDescent="0.4">
      <c r="C2" s="168" t="s">
        <v>551</v>
      </c>
      <c r="D2" s="168"/>
      <c r="F2" s="533" t="s">
        <v>552</v>
      </c>
      <c r="G2" s="534"/>
      <c r="H2" s="534"/>
      <c r="I2" s="534"/>
      <c r="J2" s="534"/>
      <c r="K2" s="535"/>
      <c r="M2" s="2290" t="s">
        <v>553</v>
      </c>
      <c r="N2" s="530">
        <v>1</v>
      </c>
      <c r="O2" s="531">
        <v>2</v>
      </c>
      <c r="P2" s="532">
        <v>3</v>
      </c>
    </row>
    <row r="3" spans="2:16" x14ac:dyDescent="0.35">
      <c r="F3" s="536"/>
      <c r="G3" s="232"/>
      <c r="H3" s="232"/>
      <c r="I3" s="232"/>
      <c r="J3" s="232"/>
      <c r="K3" s="537"/>
      <c r="M3" s="2291" t="s">
        <v>554</v>
      </c>
      <c r="N3" s="538"/>
      <c r="O3" s="229"/>
      <c r="P3" s="539"/>
    </row>
    <row r="4" spans="2:16" ht="15" thickBot="1" x14ac:dyDescent="0.4">
      <c r="B4" t="s">
        <v>555</v>
      </c>
      <c r="C4">
        <v>0.21</v>
      </c>
      <c r="F4" s="540" t="s">
        <v>156</v>
      </c>
      <c r="G4" s="541" t="s">
        <v>556</v>
      </c>
      <c r="H4" s="541" t="s">
        <v>557</v>
      </c>
      <c r="I4" s="541" t="s">
        <v>558</v>
      </c>
      <c r="J4" s="542" t="s">
        <v>226</v>
      </c>
      <c r="K4" s="543" t="s">
        <v>559</v>
      </c>
      <c r="M4" s="2292" t="s">
        <v>560</v>
      </c>
      <c r="N4" s="544"/>
      <c r="O4" s="545"/>
      <c r="P4" s="546"/>
    </row>
    <row r="5" spans="2:16" ht="15" thickBot="1" x14ac:dyDescent="0.4">
      <c r="B5" t="s">
        <v>561</v>
      </c>
      <c r="C5" s="175">
        <v>1.46</v>
      </c>
      <c r="F5" s="547">
        <f>C11</f>
        <v>3</v>
      </c>
      <c r="G5" s="548">
        <f>C6</f>
        <v>0.30659999999999998</v>
      </c>
      <c r="H5" s="548">
        <f>(100/(100-F8))^(1/F5)-1</f>
        <v>0.31476794716464762</v>
      </c>
      <c r="I5" s="548">
        <f>EXP($C$22/($C$23*G8))</f>
        <v>84800151011.912018</v>
      </c>
      <c r="J5" s="548"/>
      <c r="K5" s="2275">
        <f>F5*G5*H5*I5</f>
        <v>24551641423.119274</v>
      </c>
    </row>
    <row r="6" spans="2:16" ht="15" thickBot="1" x14ac:dyDescent="0.4">
      <c r="B6" t="s">
        <v>562</v>
      </c>
      <c r="C6">
        <f>C$4*C$5</f>
        <v>0.30659999999999998</v>
      </c>
      <c r="F6" s="549"/>
      <c r="K6" s="2272">
        <f>C26</f>
        <v>55011517143998.617</v>
      </c>
      <c r="L6" s="2288" t="s">
        <v>959</v>
      </c>
      <c r="M6" s="2288" t="s">
        <v>960</v>
      </c>
      <c r="N6" s="1" t="s">
        <v>957</v>
      </c>
      <c r="O6" s="1" t="s">
        <v>958</v>
      </c>
      <c r="P6" s="1" t="s">
        <v>572</v>
      </c>
    </row>
    <row r="7" spans="2:16" x14ac:dyDescent="0.35">
      <c r="B7" t="s">
        <v>563</v>
      </c>
      <c r="C7">
        <v>186</v>
      </c>
      <c r="F7" s="550" t="s">
        <v>564</v>
      </c>
      <c r="G7" s="551" t="s">
        <v>565</v>
      </c>
      <c r="H7" s="552" t="s">
        <v>566</v>
      </c>
      <c r="K7" s="553"/>
      <c r="L7" s="2289">
        <f t="shared" ref="L7:L17" si="0">M7+273.15</f>
        <v>672.15</v>
      </c>
      <c r="M7" s="2289">
        <v>399</v>
      </c>
      <c r="N7">
        <f t="shared" ref="N7:N17" si="1">O7*P7</f>
        <v>102279636497990.81</v>
      </c>
      <c r="O7">
        <f t="shared" ref="O7:O17" si="2">EXP($C$22/($C$23*L7))</f>
        <v>429515846020797.44</v>
      </c>
      <c r="P7">
        <f t="shared" ref="P7:P17" si="3">C$11*C$6*((100/(100-$C$12))^(1/$C$11))-1</f>
        <v>0.23812773718490088</v>
      </c>
    </row>
    <row r="8" spans="2:16" ht="15" thickBot="1" x14ac:dyDescent="0.4">
      <c r="B8" s="2273" t="s">
        <v>567</v>
      </c>
      <c r="C8" s="2273">
        <v>415</v>
      </c>
      <c r="F8" s="554">
        <v>56</v>
      </c>
      <c r="G8" s="555">
        <v>900</v>
      </c>
      <c r="H8" s="556">
        <f>G8-273</f>
        <v>627</v>
      </c>
      <c r="I8" s="557"/>
      <c r="J8" s="557"/>
      <c r="K8" s="558"/>
      <c r="L8" s="2289">
        <f t="shared" si="0"/>
        <v>673.15</v>
      </c>
      <c r="M8" s="2289">
        <v>400</v>
      </c>
      <c r="N8">
        <f t="shared" si="1"/>
        <v>97286170789893.844</v>
      </c>
      <c r="O8">
        <f t="shared" si="2"/>
        <v>408546152329803.13</v>
      </c>
      <c r="P8">
        <f t="shared" si="3"/>
        <v>0.23812773718490088</v>
      </c>
    </row>
    <row r="9" spans="2:16" ht="15" thickBot="1" x14ac:dyDescent="0.4">
      <c r="B9" s="2273" t="s">
        <v>568</v>
      </c>
      <c r="C9" s="2274">
        <v>419</v>
      </c>
      <c r="D9" s="162">
        <f>AVERAGE(C8:C10)</f>
        <v>417.66666666666669</v>
      </c>
      <c r="E9" s="162">
        <f>H8-D9</f>
        <v>209.33333333333331</v>
      </c>
      <c r="L9" s="2289">
        <f t="shared" si="0"/>
        <v>674.15</v>
      </c>
      <c r="M9" s="2289">
        <v>401</v>
      </c>
      <c r="N9">
        <f t="shared" si="1"/>
        <v>92550236736249.922</v>
      </c>
      <c r="O9">
        <f t="shared" si="2"/>
        <v>388657943968899.06</v>
      </c>
      <c r="P9">
        <f t="shared" si="3"/>
        <v>0.23812773718490088</v>
      </c>
    </row>
    <row r="10" spans="2:16" ht="15" thickBot="1" x14ac:dyDescent="0.4">
      <c r="B10" s="2273" t="s">
        <v>569</v>
      </c>
      <c r="C10" s="2273">
        <v>419</v>
      </c>
      <c r="F10" s="547" t="s">
        <v>570</v>
      </c>
      <c r="G10" s="559">
        <f>G5/1.46</f>
        <v>0.21</v>
      </c>
      <c r="L10" s="2289">
        <f t="shared" si="0"/>
        <v>675.15</v>
      </c>
      <c r="M10" s="2289">
        <v>402</v>
      </c>
      <c r="N10">
        <f t="shared" si="1"/>
        <v>88057867092310.938</v>
      </c>
      <c r="O10">
        <f t="shared" si="2"/>
        <v>369792566516247.38</v>
      </c>
      <c r="P10">
        <f t="shared" si="3"/>
        <v>0.23812773718490088</v>
      </c>
    </row>
    <row r="11" spans="2:16" x14ac:dyDescent="0.35">
      <c r="B11" t="s">
        <v>571</v>
      </c>
      <c r="C11">
        <v>3</v>
      </c>
      <c r="L11" s="2289">
        <f t="shared" si="0"/>
        <v>676.15</v>
      </c>
      <c r="M11" s="2289">
        <v>403</v>
      </c>
      <c r="N11">
        <f t="shared" si="1"/>
        <v>83795888213200.188</v>
      </c>
      <c r="O11">
        <f t="shared" si="2"/>
        <v>351894698214574.44</v>
      </c>
      <c r="P11">
        <f t="shared" si="3"/>
        <v>0.23812773718490088</v>
      </c>
    </row>
    <row r="12" spans="2:16" x14ac:dyDescent="0.35">
      <c r="B12" t="s">
        <v>564</v>
      </c>
      <c r="C12">
        <v>59</v>
      </c>
      <c r="E12">
        <f>F8-C12</f>
        <v>-3</v>
      </c>
      <c r="F12" s="2271">
        <f>C8+$E$9</f>
        <v>624.33333333333326</v>
      </c>
      <c r="L12" s="2289">
        <f t="shared" si="0"/>
        <v>677.15</v>
      </c>
      <c r="M12" s="2289">
        <v>404</v>
      </c>
      <c r="N12">
        <f t="shared" si="1"/>
        <v>79751872966149.359</v>
      </c>
      <c r="O12">
        <f t="shared" si="2"/>
        <v>334912152229556.56</v>
      </c>
      <c r="P12">
        <f t="shared" si="3"/>
        <v>0.23812773718490088</v>
      </c>
    </row>
    <row r="13" spans="2:16" x14ac:dyDescent="0.35">
      <c r="B13" t="s">
        <v>572</v>
      </c>
      <c r="C13">
        <f>((100/(100-C$12))^(1/C$11)-1)*C$6*C$11</f>
        <v>0.31832773718490098</v>
      </c>
      <c r="F13" s="2271">
        <f t="shared" ref="F13:F14" si="4">C9+$E$9</f>
        <v>628.33333333333326</v>
      </c>
      <c r="L13" s="2289">
        <f t="shared" si="0"/>
        <v>678.15</v>
      </c>
      <c r="M13" s="2289">
        <v>405</v>
      </c>
      <c r="N13">
        <f t="shared" si="1"/>
        <v>75914096552292.141</v>
      </c>
      <c r="O13">
        <f t="shared" si="2"/>
        <v>318795691126676.88</v>
      </c>
      <c r="P13">
        <f t="shared" si="3"/>
        <v>0.23812773718490088</v>
      </c>
    </row>
    <row r="14" spans="2:16" x14ac:dyDescent="0.35">
      <c r="B14" t="s">
        <v>559</v>
      </c>
      <c r="C14">
        <f>C$13*EXP(C$22/(C$23*C$21))</f>
        <v>55011517143998.617</v>
      </c>
      <c r="F14" s="2271">
        <f t="shared" si="4"/>
        <v>628.33333333333326</v>
      </c>
      <c r="L14" s="2289">
        <f t="shared" si="0"/>
        <v>679.15</v>
      </c>
      <c r="M14" s="2289">
        <v>406</v>
      </c>
      <c r="N14">
        <f t="shared" si="1"/>
        <v>72271495051247.547</v>
      </c>
      <c r="O14">
        <f t="shared" si="2"/>
        <v>303498852782237.38</v>
      </c>
      <c r="P14">
        <f t="shared" si="3"/>
        <v>0.23812773718490088</v>
      </c>
    </row>
    <row r="15" spans="2:16" x14ac:dyDescent="0.35">
      <c r="F15" s="1"/>
      <c r="L15" s="2289">
        <f t="shared" si="0"/>
        <v>680.15</v>
      </c>
      <c r="M15" s="2289">
        <v>407</v>
      </c>
      <c r="N15">
        <f t="shared" si="1"/>
        <v>68813626514146.727</v>
      </c>
      <c r="O15">
        <f t="shared" si="2"/>
        <v>288977786996373.63</v>
      </c>
      <c r="P15">
        <f t="shared" si="3"/>
        <v>0.23812773718490088</v>
      </c>
    </row>
    <row r="16" spans="2:16" x14ac:dyDescent="0.35">
      <c r="B16" t="s">
        <v>573</v>
      </c>
      <c r="C16">
        <f>100/(100-C$12)</f>
        <v>2.4390243902439024</v>
      </c>
      <c r="F16" s="165"/>
      <c r="L16" s="2289">
        <f t="shared" si="0"/>
        <v>681.15</v>
      </c>
      <c r="M16" s="2289">
        <v>408</v>
      </c>
      <c r="N16">
        <f t="shared" si="1"/>
        <v>65530634442336.383</v>
      </c>
      <c r="O16">
        <f t="shared" si="2"/>
        <v>275191102124542.97</v>
      </c>
      <c r="P16">
        <f t="shared" si="3"/>
        <v>0.23812773718490088</v>
      </c>
    </row>
    <row r="17" spans="2:16" x14ac:dyDescent="0.35">
      <c r="B17" t="s">
        <v>574</v>
      </c>
      <c r="C17">
        <f>C$16^(1/C$11)</f>
        <v>1.3460836455587095</v>
      </c>
      <c r="L17" s="2289">
        <f t="shared" si="0"/>
        <v>682.15</v>
      </c>
      <c r="M17" s="2289">
        <v>409</v>
      </c>
      <c r="N17">
        <f t="shared" si="1"/>
        <v>62413213499771.117</v>
      </c>
      <c r="O17">
        <f t="shared" si="2"/>
        <v>262099721089226.38</v>
      </c>
      <c r="P17">
        <f t="shared" si="3"/>
        <v>0.23812773718490088</v>
      </c>
    </row>
    <row r="18" spans="2:16" x14ac:dyDescent="0.35">
      <c r="B18" s="560" t="s">
        <v>575</v>
      </c>
      <c r="C18" s="560">
        <f>C$17-1</f>
        <v>0.34608364555870952</v>
      </c>
      <c r="L18" s="2289">
        <f>M18+273.15</f>
        <v>683.15</v>
      </c>
      <c r="M18" s="2289">
        <v>410</v>
      </c>
      <c r="N18">
        <f>O18*P18</f>
        <v>59452577317136.195</v>
      </c>
      <c r="O18">
        <f>EXP($C$22/($C$23*L18))</f>
        <v>249666746175698.94</v>
      </c>
      <c r="P18">
        <f>C$11*C$6*((100/(100-$C$12))^(1/$C$11))-1</f>
        <v>0.23812773718490088</v>
      </c>
    </row>
    <row r="19" spans="2:16" x14ac:dyDescent="0.35">
      <c r="B19" t="s">
        <v>572</v>
      </c>
      <c r="C19">
        <f>C$11*C$6*C$18</f>
        <v>0.31832773718490098</v>
      </c>
      <c r="L19" s="2289">
        <f t="shared" ref="L19:L38" si="5">M19+273.15</f>
        <v>684.15</v>
      </c>
      <c r="M19" s="2289">
        <v>411</v>
      </c>
      <c r="N19">
        <f t="shared" ref="N19:N38" si="6">O19*P19</f>
        <v>56640428255109.063</v>
      </c>
      <c r="O19">
        <f t="shared" ref="O19:O38" si="7">EXP($C$22/($C$23*L19))</f>
        <v>237857332055060.16</v>
      </c>
      <c r="P19">
        <f t="shared" ref="P19:P38" si="8">C$11*C$6*((100/(100-$C$12))^(1/$C$11))-1</f>
        <v>0.23812773718490088</v>
      </c>
    </row>
    <row r="20" spans="2:16" x14ac:dyDescent="0.35">
      <c r="B20" t="s">
        <v>576</v>
      </c>
      <c r="C20">
        <f>AVERAGE(C8:C10)</f>
        <v>417.66666666666669</v>
      </c>
      <c r="L20" s="2289">
        <f t="shared" si="5"/>
        <v>685.15</v>
      </c>
      <c r="M20" s="2289">
        <v>412</v>
      </c>
      <c r="N20">
        <f t="shared" si="6"/>
        <v>53968929002874.234</v>
      </c>
      <c r="O20">
        <f t="shared" si="7"/>
        <v>226638566514276.19</v>
      </c>
      <c r="P20">
        <f t="shared" si="8"/>
        <v>0.23812773718490088</v>
      </c>
    </row>
    <row r="21" spans="2:16" x14ac:dyDescent="0.35">
      <c r="B21" t="s">
        <v>577</v>
      </c>
      <c r="C21">
        <f>C$20+273.15</f>
        <v>690.81666666666661</v>
      </c>
      <c r="L21" s="2289">
        <f t="shared" si="5"/>
        <v>686.15</v>
      </c>
      <c r="M21" s="2289">
        <v>413</v>
      </c>
      <c r="N21">
        <f t="shared" si="6"/>
        <v>51430675896133.563</v>
      </c>
      <c r="O21">
        <f t="shared" si="7"/>
        <v>215979358407117.41</v>
      </c>
      <c r="P21">
        <f t="shared" si="8"/>
        <v>0.23812773718490088</v>
      </c>
    </row>
    <row r="22" spans="2:16" x14ac:dyDescent="0.35">
      <c r="B22" t="s">
        <v>578</v>
      </c>
      <c r="C22">
        <v>45000</v>
      </c>
      <c r="L22" s="2289">
        <f t="shared" si="5"/>
        <v>687.15</v>
      </c>
      <c r="M22" s="2289">
        <v>414</v>
      </c>
      <c r="N22">
        <f t="shared" si="6"/>
        <v>49018673846419.883</v>
      </c>
      <c r="O22">
        <f t="shared" si="7"/>
        <v>205850332371646.31</v>
      </c>
      <c r="P22">
        <f t="shared" si="8"/>
        <v>0.23812773718490088</v>
      </c>
    </row>
    <row r="23" spans="2:16" x14ac:dyDescent="0.35">
      <c r="B23" t="s">
        <v>579</v>
      </c>
      <c r="C23">
        <v>1.9870000000000001</v>
      </c>
      <c r="L23" s="2289">
        <f t="shared" si="5"/>
        <v>688.15</v>
      </c>
      <c r="M23" s="2289">
        <v>415</v>
      </c>
      <c r="N23">
        <f t="shared" si="6"/>
        <v>46726312780591.219</v>
      </c>
      <c r="O23">
        <f t="shared" si="7"/>
        <v>196223729889598.19</v>
      </c>
      <c r="P23">
        <f t="shared" si="8"/>
        <v>0.23812773718490088</v>
      </c>
    </row>
    <row r="24" spans="2:16" x14ac:dyDescent="0.35">
      <c r="B24" t="s">
        <v>580</v>
      </c>
      <c r="C24">
        <f>C$22/(C$23*C$21)</f>
        <v>32.783237488705417</v>
      </c>
      <c r="L24" s="2289">
        <f t="shared" si="5"/>
        <v>689.15</v>
      </c>
      <c r="M24" s="2289">
        <v>416</v>
      </c>
      <c r="N24">
        <f t="shared" si="6"/>
        <v>44547345495949.055</v>
      </c>
      <c r="O24">
        <f t="shared" si="7"/>
        <v>187073316290571.53</v>
      </c>
      <c r="P24">
        <f t="shared" si="8"/>
        <v>0.23812773718490088</v>
      </c>
    </row>
    <row r="25" spans="2:16" ht="15" thickBot="1" x14ac:dyDescent="0.4">
      <c r="B25" t="s">
        <v>581</v>
      </c>
      <c r="C25">
        <f>EXP(C$24)</f>
        <v>172814086609251.78</v>
      </c>
      <c r="F25" t="s">
        <v>1116</v>
      </c>
      <c r="G25" t="s">
        <v>1115</v>
      </c>
      <c r="L25" s="2289">
        <f t="shared" si="5"/>
        <v>690.15</v>
      </c>
      <c r="M25" s="2289">
        <v>417</v>
      </c>
      <c r="N25">
        <f t="shared" si="6"/>
        <v>42475866842584.445</v>
      </c>
      <c r="O25">
        <f t="shared" si="7"/>
        <v>178374293329814.34</v>
      </c>
      <c r="P25">
        <f t="shared" si="8"/>
        <v>0.23812773718490088</v>
      </c>
    </row>
    <row r="26" spans="2:16" ht="15" thickBot="1" x14ac:dyDescent="0.4">
      <c r="B26" s="561" t="s">
        <v>559</v>
      </c>
      <c r="C26" s="562">
        <f>C$25*C$19</f>
        <v>55011517143998.617</v>
      </c>
      <c r="D26" s="563" t="s">
        <v>1117</v>
      </c>
      <c r="E26" t="s">
        <v>54</v>
      </c>
      <c r="F26" s="563" t="s">
        <v>572</v>
      </c>
      <c r="G26" t="s">
        <v>957</v>
      </c>
      <c r="L26" s="2289">
        <f t="shared" si="5"/>
        <v>691.15</v>
      </c>
      <c r="M26" s="2289">
        <v>418</v>
      </c>
      <c r="N26">
        <f t="shared" si="6"/>
        <v>40506294150256.945</v>
      </c>
      <c r="O26">
        <f t="shared" si="7"/>
        <v>170103216992335.13</v>
      </c>
      <c r="P26">
        <f t="shared" si="8"/>
        <v>0.23812773718490088</v>
      </c>
    </row>
    <row r="27" spans="2:16" x14ac:dyDescent="0.35">
      <c r="D27">
        <v>404</v>
      </c>
      <c r="E27">
        <v>42.185727696615224</v>
      </c>
      <c r="F27">
        <f>3*0.3066*(((100/(100-E27))^(1/3))-1)</f>
        <v>0.18431688296228835</v>
      </c>
      <c r="G27">
        <f>EXP(45000/(1.987*D27))*F27</f>
        <v>4.0832234301153184E+23</v>
      </c>
      <c r="L27" s="2289">
        <f t="shared" si="5"/>
        <v>692.15</v>
      </c>
      <c r="M27" s="2289">
        <v>419</v>
      </c>
      <c r="N27">
        <f t="shared" si="6"/>
        <v>38633348822475.703</v>
      </c>
      <c r="O27">
        <f t="shared" si="7"/>
        <v>162237920198593.97</v>
      </c>
      <c r="P27">
        <f t="shared" si="8"/>
        <v>0.23812773718490088</v>
      </c>
    </row>
    <row r="28" spans="2:16" x14ac:dyDescent="0.35">
      <c r="D28">
        <v>404</v>
      </c>
      <c r="E28">
        <v>43.348591507915046</v>
      </c>
      <c r="F28">
        <f t="shared" ref="F28:F36" si="9">3*0.3066*(((100/(100-E28))^(1/3))-1)</f>
        <v>0.19182038229187492</v>
      </c>
      <c r="G28">
        <f t="shared" ref="G28:G36" si="10">EXP(45000/(1.987*D28))*F28</f>
        <v>4.2494505482067807E+23</v>
      </c>
      <c r="L28" s="2289">
        <f t="shared" si="5"/>
        <v>693.15</v>
      </c>
      <c r="M28" s="2289">
        <v>420</v>
      </c>
      <c r="N28">
        <f t="shared" si="6"/>
        <v>36852039025427.352</v>
      </c>
      <c r="O28">
        <f t="shared" si="7"/>
        <v>154757440107922.25</v>
      </c>
      <c r="P28">
        <f t="shared" si="8"/>
        <v>0.23812773718490088</v>
      </c>
    </row>
    <row r="29" spans="2:16" x14ac:dyDescent="0.35">
      <c r="D29">
        <v>404</v>
      </c>
      <c r="E29">
        <v>40.23733372864649</v>
      </c>
      <c r="F29">
        <f t="shared" si="9"/>
        <v>0.17218519485192407</v>
      </c>
      <c r="G29">
        <f t="shared" si="10"/>
        <v>3.8144667522518688E+23</v>
      </c>
      <c r="L29" s="2289">
        <f t="shared" si="5"/>
        <v>694.15</v>
      </c>
      <c r="M29" s="2289">
        <v>421</v>
      </c>
      <c r="N29">
        <f t="shared" si="6"/>
        <v>35157643404040.473</v>
      </c>
      <c r="O29">
        <f t="shared" si="7"/>
        <v>147641949735327.75</v>
      </c>
      <c r="P29">
        <f t="shared" si="8"/>
        <v>0.23812773718490088</v>
      </c>
    </row>
    <row r="30" spans="2:16" x14ac:dyDescent="0.35">
      <c r="D30">
        <v>404</v>
      </c>
      <c r="E30">
        <v>42.439858919770643</v>
      </c>
      <c r="F30">
        <f t="shared" si="9"/>
        <v>0.18593940992634367</v>
      </c>
      <c r="G30">
        <f t="shared" si="10"/>
        <v>4.1191677234928279E+23</v>
      </c>
      <c r="L30" s="2289">
        <f t="shared" si="5"/>
        <v>695.15</v>
      </c>
      <c r="M30" s="2289">
        <v>422</v>
      </c>
      <c r="N30">
        <f t="shared" si="6"/>
        <v>33545695761838.301</v>
      </c>
      <c r="O30">
        <f t="shared" si="7"/>
        <v>140872693615657.28</v>
      </c>
      <c r="P30">
        <f t="shared" si="8"/>
        <v>0.23812773718490088</v>
      </c>
    </row>
    <row r="31" spans="2:16" x14ac:dyDescent="0.35">
      <c r="D31">
        <v>423.2</v>
      </c>
      <c r="E31">
        <v>75.495532663000404</v>
      </c>
      <c r="F31">
        <f t="shared" si="9"/>
        <v>0.55006793661125408</v>
      </c>
      <c r="G31">
        <f>EXP(45000/(1.987*D31))*F31</f>
        <v>9.5793365295755556E+22</v>
      </c>
      <c r="L31" s="2289">
        <f t="shared" si="5"/>
        <v>696.15</v>
      </c>
      <c r="M31" s="2289">
        <v>423</v>
      </c>
      <c r="N31">
        <f t="shared" si="6"/>
        <v>32011970645264.883</v>
      </c>
      <c r="O31">
        <f t="shared" si="7"/>
        <v>134431927266029.92</v>
      </c>
      <c r="P31">
        <f t="shared" si="8"/>
        <v>0.23812773718490088</v>
      </c>
    </row>
    <row r="32" spans="2:16" x14ac:dyDescent="0.35">
      <c r="D32">
        <v>423.2</v>
      </c>
      <c r="E32">
        <v>78.204495724447966</v>
      </c>
      <c r="F32">
        <f t="shared" si="9"/>
        <v>0.60860258908727494</v>
      </c>
      <c r="G32">
        <f t="shared" si="10"/>
        <v>1.0598707224337271E+23</v>
      </c>
      <c r="L32" s="2289">
        <f t="shared" si="5"/>
        <v>697.15</v>
      </c>
      <c r="M32" s="2289">
        <v>424</v>
      </c>
      <c r="N32">
        <f t="shared" si="6"/>
        <v>30552469776970.207</v>
      </c>
      <c r="O32">
        <f t="shared" si="7"/>
        <v>128302860213410.98</v>
      </c>
      <c r="P32">
        <f t="shared" si="8"/>
        <v>0.23812773718490088</v>
      </c>
    </row>
    <row r="33" spans="4:16" x14ac:dyDescent="0.35">
      <c r="D33">
        <v>423.2</v>
      </c>
      <c r="E33">
        <v>76.489027330311615</v>
      </c>
      <c r="F33">
        <f t="shared" si="9"/>
        <v>0.57048686264165871</v>
      </c>
      <c r="G33">
        <f t="shared" si="10"/>
        <v>9.9349285410328455E+22</v>
      </c>
      <c r="L33" s="2289">
        <f t="shared" si="5"/>
        <v>698.15</v>
      </c>
      <c r="M33" s="2289">
        <v>425</v>
      </c>
      <c r="N33">
        <f t="shared" si="6"/>
        <v>29163409286068.105</v>
      </c>
      <c r="O33">
        <f t="shared" si="7"/>
        <v>122469602369014.95</v>
      </c>
      <c r="P33">
        <f t="shared" si="8"/>
        <v>0.23812773718490088</v>
      </c>
    </row>
    <row r="34" spans="4:16" x14ac:dyDescent="0.35">
      <c r="D34">
        <v>423.2</v>
      </c>
      <c r="E34">
        <v>75.221581231638794</v>
      </c>
      <c r="F34">
        <f t="shared" si="9"/>
        <v>0.54463087192899329</v>
      </c>
      <c r="G34">
        <f t="shared" si="10"/>
        <v>9.4846510028289663E+22</v>
      </c>
      <c r="L34" s="2289">
        <f t="shared" si="5"/>
        <v>699.15</v>
      </c>
      <c r="M34" s="2289">
        <v>426</v>
      </c>
      <c r="N34">
        <f t="shared" si="6"/>
        <v>27841207686686.723</v>
      </c>
      <c r="O34">
        <f t="shared" si="7"/>
        <v>116917113545108.13</v>
      </c>
      <c r="P34">
        <f t="shared" si="8"/>
        <v>0.23812773718490088</v>
      </c>
    </row>
    <row r="35" spans="4:16" x14ac:dyDescent="0.35">
      <c r="D35">
        <v>423.2</v>
      </c>
      <c r="E35">
        <v>73.204481961358198</v>
      </c>
      <c r="F35">
        <f t="shared" si="9"/>
        <v>0.50692198218098694</v>
      </c>
      <c r="G35">
        <f t="shared" si="10"/>
        <v>8.8279573091769018E+22</v>
      </c>
      <c r="L35" s="2289">
        <f t="shared" si="5"/>
        <v>700.15</v>
      </c>
      <c r="M35" s="2289">
        <v>427</v>
      </c>
      <c r="N35">
        <f t="shared" si="6"/>
        <v>26582474559211.508</v>
      </c>
      <c r="O35">
        <f t="shared" si="7"/>
        <v>111631155922717.27</v>
      </c>
      <c r="P35">
        <f t="shared" si="8"/>
        <v>0.23812773718490088</v>
      </c>
    </row>
    <row r="36" spans="4:16" x14ac:dyDescent="0.35">
      <c r="D36">
        <v>423.2</v>
      </c>
      <c r="E36">
        <v>72.676308979992072</v>
      </c>
      <c r="F36">
        <f t="shared" si="9"/>
        <v>0.49766915350458996</v>
      </c>
      <c r="G36">
        <f t="shared" si="10"/>
        <v>8.6668209224829899E+22</v>
      </c>
      <c r="L36" s="2289">
        <f t="shared" si="5"/>
        <v>701.15</v>
      </c>
      <c r="M36" s="2289">
        <v>428</v>
      </c>
      <c r="N36">
        <f t="shared" si="6"/>
        <v>25383999891512.547</v>
      </c>
      <c r="O36">
        <f t="shared" si="7"/>
        <v>106598249290893.97</v>
      </c>
      <c r="P36">
        <f t="shared" si="8"/>
        <v>0.23812773718490088</v>
      </c>
    </row>
    <row r="37" spans="4:16" x14ac:dyDescent="0.35">
      <c r="L37" s="2289">
        <f t="shared" si="5"/>
        <v>702.15</v>
      </c>
      <c r="M37" s="2289">
        <v>429</v>
      </c>
      <c r="N37">
        <f t="shared" si="6"/>
        <v>24242744040130.563</v>
      </c>
      <c r="O37">
        <f t="shared" si="7"/>
        <v>101805628889450.25</v>
      </c>
      <c r="P37">
        <f t="shared" si="8"/>
        <v>0.23812773718490088</v>
      </c>
    </row>
    <row r="38" spans="4:16" x14ac:dyDescent="0.35">
      <c r="L38" s="2289">
        <f t="shared" si="5"/>
        <v>703.15</v>
      </c>
      <c r="M38" s="2289">
        <v>430</v>
      </c>
      <c r="N38">
        <f t="shared" si="6"/>
        <v>23155828273923.426</v>
      </c>
      <c r="O38">
        <f t="shared" si="7"/>
        <v>97241205697694.266</v>
      </c>
      <c r="P38">
        <f t="shared" si="8"/>
        <v>0.23812773718490088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F9387-EB29-4E11-9BDD-6E0B8375605C}">
  <sheetPr codeName="Sheet6"/>
  <dimension ref="P8:Q12"/>
  <sheetViews>
    <sheetView topLeftCell="Q15" zoomScale="91" zoomScaleNormal="70" workbookViewId="0">
      <selection activeCell="P19" sqref="P19"/>
    </sheetView>
  </sheetViews>
  <sheetFormatPr defaultColWidth="8.7265625" defaultRowHeight="14.5" x14ac:dyDescent="0.35"/>
  <cols>
    <col min="1" max="16384" width="8.7265625" style="142"/>
  </cols>
  <sheetData>
    <row r="8" spans="16:17" x14ac:dyDescent="0.35">
      <c r="P8" s="142">
        <v>4.5</v>
      </c>
      <c r="Q8" s="142">
        <v>-5</v>
      </c>
    </row>
    <row r="9" spans="16:17" x14ac:dyDescent="0.35">
      <c r="P9" s="142">
        <v>4.5</v>
      </c>
      <c r="Q9" s="142">
        <v>100</v>
      </c>
    </row>
    <row r="11" spans="16:17" x14ac:dyDescent="0.35">
      <c r="P11" s="142">
        <v>10.5</v>
      </c>
      <c r="Q11" s="142">
        <v>-5</v>
      </c>
    </row>
    <row r="12" spans="16:17" x14ac:dyDescent="0.35">
      <c r="P12" s="142">
        <v>10.5</v>
      </c>
      <c r="Q12" s="142">
        <v>100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6CF67-859D-482D-8113-C87D88E169CF}">
  <sheetPr codeName="Sheet8"/>
  <dimension ref="C1:Y41"/>
  <sheetViews>
    <sheetView topLeftCell="B1" zoomScale="56" workbookViewId="0">
      <pane xSplit="3" ySplit="5" topLeftCell="E6" activePane="bottomRight" state="frozen"/>
      <selection activeCell="B1" sqref="B1"/>
      <selection pane="topRight" activeCell="D1" sqref="D1"/>
      <selection pane="bottomLeft" activeCell="B6" sqref="B6"/>
      <selection pane="bottomRight" activeCell="H35" sqref="H35"/>
    </sheetView>
  </sheetViews>
  <sheetFormatPr defaultRowHeight="14.5" x14ac:dyDescent="0.35"/>
  <cols>
    <col min="3" max="3" width="23.54296875" style="1" customWidth="1"/>
    <col min="4" max="4" width="11.26953125" hidden="1" customWidth="1"/>
    <col min="5" max="5" width="11.26953125" customWidth="1"/>
    <col min="6" max="6" width="11.7265625" style="165" customWidth="1"/>
    <col min="7" max="7" width="9.26953125" style="165" customWidth="1"/>
    <col min="8" max="8" width="10.7265625" style="142" customWidth="1"/>
    <col min="9" max="9" width="1.7265625" customWidth="1"/>
    <col min="10" max="10" width="8.7265625" customWidth="1"/>
    <col min="11" max="11" width="16.1796875" customWidth="1"/>
    <col min="12" max="12" width="8.7265625" customWidth="1"/>
    <col min="13" max="13" width="13.26953125" customWidth="1"/>
    <col min="14" max="14" width="7.26953125" customWidth="1"/>
    <col min="15" max="15" width="13.81640625" customWidth="1"/>
    <col min="16" max="16" width="15.54296875" customWidth="1"/>
    <col min="17" max="17" width="13.26953125" customWidth="1"/>
    <col min="18" max="18" width="6.26953125" customWidth="1"/>
    <col min="19" max="19" width="14.7265625" customWidth="1"/>
    <col min="20" max="20" width="6.54296875" customWidth="1"/>
    <col min="21" max="21" width="16.7265625" customWidth="1"/>
    <col min="23" max="23" width="6.1796875" customWidth="1"/>
  </cols>
  <sheetData>
    <row r="1" spans="3:25" x14ac:dyDescent="0.35">
      <c r="C1" s="179"/>
      <c r="D1" s="142"/>
      <c r="E1" s="142"/>
      <c r="F1" s="183"/>
      <c r="G1" s="183"/>
    </row>
    <row r="2" spans="3:25" x14ac:dyDescent="0.35">
      <c r="C2" s="179"/>
      <c r="D2" s="142" t="s">
        <v>286</v>
      </c>
      <c r="E2" s="142"/>
      <c r="F2" s="183"/>
      <c r="G2" s="183"/>
    </row>
    <row r="3" spans="3:25" ht="15" thickBot="1" x14ac:dyDescent="0.4">
      <c r="C3" s="179"/>
      <c r="D3" s="142" t="s">
        <v>291</v>
      </c>
      <c r="E3" s="142"/>
      <c r="F3" s="183"/>
      <c r="G3" s="183"/>
    </row>
    <row r="4" spans="3:25" ht="15" thickBot="1" x14ac:dyDescent="0.4">
      <c r="C4" s="179"/>
      <c r="D4" s="179" t="s">
        <v>607</v>
      </c>
      <c r="E4" s="2804" t="s">
        <v>545</v>
      </c>
      <c r="F4" s="2805"/>
      <c r="G4" s="2760" t="s">
        <v>606</v>
      </c>
      <c r="H4" s="2762"/>
      <c r="J4" s="2806" t="s">
        <v>615</v>
      </c>
      <c r="K4" s="2807"/>
      <c r="L4" s="2807"/>
      <c r="M4" s="2807"/>
      <c r="N4" s="2807"/>
      <c r="O4" s="2807"/>
      <c r="P4" s="2807"/>
      <c r="Q4" s="2807"/>
      <c r="R4" s="2807"/>
      <c r="S4" s="2807"/>
      <c r="T4" s="2808"/>
      <c r="U4" s="2809"/>
      <c r="X4" s="2813" t="s">
        <v>838</v>
      </c>
      <c r="Y4" s="2813"/>
    </row>
    <row r="5" spans="3:25" ht="29.5" thickBot="1" x14ac:dyDescent="0.4">
      <c r="C5" s="179"/>
      <c r="D5" s="179"/>
      <c r="E5" s="634" t="s">
        <v>608</v>
      </c>
      <c r="F5" s="640" t="s">
        <v>295</v>
      </c>
      <c r="G5" s="634" t="s">
        <v>608</v>
      </c>
      <c r="H5" s="635" t="s">
        <v>295</v>
      </c>
      <c r="J5" s="656" t="s">
        <v>546</v>
      </c>
      <c r="K5" s="666" t="s">
        <v>635</v>
      </c>
      <c r="L5" s="660" t="s">
        <v>547</v>
      </c>
      <c r="M5" s="658" t="s">
        <v>636</v>
      </c>
      <c r="N5" s="672" t="s">
        <v>548</v>
      </c>
      <c r="O5" s="658" t="s">
        <v>638</v>
      </c>
      <c r="P5" s="686" t="s">
        <v>613</v>
      </c>
      <c r="Q5" s="687" t="s">
        <v>641</v>
      </c>
      <c r="R5" s="657" t="s">
        <v>550</v>
      </c>
      <c r="S5" s="660" t="s">
        <v>642</v>
      </c>
      <c r="T5" s="656" t="s">
        <v>609</v>
      </c>
      <c r="U5" s="658" t="s">
        <v>643</v>
      </c>
      <c r="X5" s="163" t="s">
        <v>548</v>
      </c>
      <c r="Y5" s="163" t="s">
        <v>549</v>
      </c>
    </row>
    <row r="6" spans="3:25" s="165" customFormat="1" x14ac:dyDescent="0.35">
      <c r="C6" s="699" t="s">
        <v>610</v>
      </c>
      <c r="D6" s="695"/>
      <c r="E6" s="696">
        <v>95.34</v>
      </c>
      <c r="F6" s="626">
        <v>96.2</v>
      </c>
      <c r="G6" s="628">
        <v>93.87</v>
      </c>
      <c r="H6" s="697">
        <v>93.7</v>
      </c>
      <c r="J6" s="628">
        <v>94</v>
      </c>
      <c r="K6" s="671" t="s">
        <v>640</v>
      </c>
      <c r="L6" s="684">
        <v>95.5</v>
      </c>
      <c r="M6" s="689" t="s">
        <v>639</v>
      </c>
      <c r="N6" s="688">
        <v>93.3</v>
      </c>
      <c r="O6" s="689" t="s">
        <v>640</v>
      </c>
      <c r="P6" s="688" t="s">
        <v>614</v>
      </c>
      <c r="Q6" s="689">
        <v>575</v>
      </c>
      <c r="R6" s="698">
        <v>98</v>
      </c>
      <c r="S6" s="684" t="s">
        <v>640</v>
      </c>
      <c r="T6" s="628">
        <v>95</v>
      </c>
      <c r="U6" s="706" t="s">
        <v>639</v>
      </c>
      <c r="W6" s="910" t="s">
        <v>841</v>
      </c>
      <c r="X6" s="165" t="s">
        <v>639</v>
      </c>
      <c r="Y6" s="165" t="s">
        <v>639</v>
      </c>
    </row>
    <row r="7" spans="3:25" x14ac:dyDescent="0.35">
      <c r="C7" s="636" t="s">
        <v>288</v>
      </c>
      <c r="D7" s="617"/>
      <c r="E7" s="618">
        <v>0.61</v>
      </c>
      <c r="F7" s="641">
        <v>0.74</v>
      </c>
      <c r="G7" s="613">
        <v>0.7</v>
      </c>
      <c r="H7" s="621">
        <v>0.78</v>
      </c>
      <c r="J7" s="536">
        <v>0.34</v>
      </c>
      <c r="K7" s="667">
        <v>0.49469999999999997</v>
      </c>
      <c r="L7" s="661">
        <v>0.79</v>
      </c>
      <c r="M7" s="537">
        <v>0.89190000000000003</v>
      </c>
      <c r="N7" s="673">
        <v>0.94489999999999996</v>
      </c>
      <c r="O7" s="679">
        <v>0.93569999999999998</v>
      </c>
      <c r="P7" s="690">
        <v>0.76200000000000001</v>
      </c>
      <c r="Q7" s="621">
        <v>0.90749999999999997</v>
      </c>
      <c r="R7" s="659">
        <v>0.28660000000000002</v>
      </c>
      <c r="S7" s="662">
        <v>0.2767</v>
      </c>
      <c r="T7" s="646">
        <v>0.84</v>
      </c>
      <c r="U7" s="537">
        <v>0.99239999999999995</v>
      </c>
      <c r="W7" t="s">
        <v>156</v>
      </c>
      <c r="X7">
        <v>0.86890000000000001</v>
      </c>
      <c r="Y7">
        <f>0.9075</f>
        <v>0.90749999999999997</v>
      </c>
    </row>
    <row r="8" spans="3:25" x14ac:dyDescent="0.35">
      <c r="C8" s="636" t="s">
        <v>287</v>
      </c>
      <c r="D8" s="617"/>
      <c r="E8" s="618">
        <v>5.8</v>
      </c>
      <c r="F8" s="609">
        <v>5.7</v>
      </c>
      <c r="G8" s="613">
        <v>4.4000000000000004</v>
      </c>
      <c r="H8" s="901">
        <v>5.2480000000000002</v>
      </c>
      <c r="J8" s="536">
        <v>7.6</v>
      </c>
      <c r="K8" s="667">
        <v>7.43</v>
      </c>
      <c r="L8" s="661">
        <v>5.8</v>
      </c>
      <c r="M8" s="537">
        <v>6.53</v>
      </c>
      <c r="N8" s="674">
        <v>0.84499999999999997</v>
      </c>
      <c r="O8" s="537">
        <v>0.82</v>
      </c>
      <c r="P8" s="674">
        <v>0.76</v>
      </c>
      <c r="Q8" s="537">
        <v>0.91</v>
      </c>
      <c r="R8" s="643">
        <v>0.26700000000000002</v>
      </c>
      <c r="S8" s="661">
        <v>7.6999999999999999E-2</v>
      </c>
      <c r="T8" s="536">
        <v>3.37</v>
      </c>
      <c r="U8" s="537">
        <v>3.21</v>
      </c>
      <c r="W8" t="s">
        <v>157</v>
      </c>
      <c r="X8">
        <v>0.76</v>
      </c>
      <c r="Y8">
        <v>0.91</v>
      </c>
    </row>
    <row r="9" spans="3:25" x14ac:dyDescent="0.35">
      <c r="C9" s="636" t="s">
        <v>289</v>
      </c>
      <c r="D9" s="617"/>
      <c r="E9" s="618">
        <v>26.89</v>
      </c>
      <c r="F9" s="610">
        <v>31.6</v>
      </c>
      <c r="G9" s="614">
        <v>25.28</v>
      </c>
      <c r="H9" s="612">
        <v>32.07</v>
      </c>
      <c r="J9" s="536">
        <v>33</v>
      </c>
      <c r="K9" s="667">
        <v>29.2</v>
      </c>
      <c r="L9" s="661">
        <v>30.1</v>
      </c>
      <c r="M9" s="537">
        <v>36.200000000000003</v>
      </c>
      <c r="N9" s="674">
        <v>16.88</v>
      </c>
      <c r="O9" s="537">
        <v>15.5</v>
      </c>
      <c r="P9" s="674">
        <v>20.9</v>
      </c>
      <c r="Q9" s="537">
        <v>23.4</v>
      </c>
      <c r="R9" s="643">
        <v>20.295000000000002</v>
      </c>
      <c r="S9" s="661">
        <v>11.1</v>
      </c>
      <c r="T9" s="536">
        <v>34.335000000000001</v>
      </c>
      <c r="U9" s="537">
        <v>33.200000000000003</v>
      </c>
      <c r="X9">
        <v>16.8</v>
      </c>
      <c r="Y9">
        <v>23.4</v>
      </c>
    </row>
    <row r="10" spans="3:25" x14ac:dyDescent="0.35">
      <c r="C10" s="636" t="s">
        <v>298</v>
      </c>
      <c r="D10" s="617"/>
      <c r="E10" s="618">
        <v>34.97</v>
      </c>
      <c r="F10" s="609">
        <v>33.22</v>
      </c>
      <c r="G10" s="611">
        <v>33.19</v>
      </c>
      <c r="H10" s="621">
        <v>40.28</v>
      </c>
      <c r="J10" s="536">
        <v>35.1</v>
      </c>
      <c r="K10" s="667"/>
      <c r="L10" s="661">
        <v>33.17</v>
      </c>
      <c r="M10" s="537"/>
      <c r="N10" s="674">
        <v>14.79</v>
      </c>
      <c r="O10" s="537"/>
      <c r="P10" s="691" t="s">
        <v>17</v>
      </c>
      <c r="Q10" s="692"/>
      <c r="R10" s="643">
        <v>27.5</v>
      </c>
      <c r="S10" s="661"/>
      <c r="T10" s="536">
        <v>47.3</v>
      </c>
      <c r="U10" s="537"/>
    </row>
    <row r="11" spans="3:25" x14ac:dyDescent="0.35">
      <c r="C11" s="636" t="s">
        <v>299</v>
      </c>
      <c r="D11" s="617"/>
      <c r="E11" s="618">
        <v>20.25</v>
      </c>
      <c r="F11" s="609">
        <v>20.9</v>
      </c>
      <c r="G11" s="613">
        <v>20.54</v>
      </c>
      <c r="H11" s="612">
        <v>22</v>
      </c>
      <c r="J11" s="536">
        <v>21.3</v>
      </c>
      <c r="K11" s="667">
        <v>19.7</v>
      </c>
      <c r="L11" s="661">
        <v>19.8</v>
      </c>
      <c r="M11" s="537">
        <v>15</v>
      </c>
      <c r="N11" s="674">
        <v>4.4000000000000004</v>
      </c>
      <c r="O11" s="537">
        <v>3.4</v>
      </c>
      <c r="P11" s="674">
        <v>4.74</v>
      </c>
      <c r="Q11" s="537">
        <v>4.5999999999999996</v>
      </c>
      <c r="R11" s="643">
        <v>10.050000000000001</v>
      </c>
      <c r="S11" s="661">
        <v>0.2</v>
      </c>
      <c r="T11" s="536">
        <v>31.85</v>
      </c>
      <c r="U11" s="537">
        <v>24.6</v>
      </c>
      <c r="X11">
        <v>4.3</v>
      </c>
      <c r="Y11">
        <v>4.5999999999999996</v>
      </c>
    </row>
    <row r="12" spans="3:25" x14ac:dyDescent="0.35">
      <c r="C12" s="636" t="s">
        <v>96</v>
      </c>
      <c r="D12" s="617"/>
      <c r="E12" s="618">
        <v>97.9</v>
      </c>
      <c r="F12" s="610">
        <v>113.36</v>
      </c>
      <c r="G12" s="614">
        <v>138</v>
      </c>
      <c r="H12" s="612">
        <v>171.3</v>
      </c>
      <c r="J12" s="536">
        <v>77.7</v>
      </c>
      <c r="K12" s="667">
        <v>67.5</v>
      </c>
      <c r="L12" s="661">
        <v>173.4</v>
      </c>
      <c r="M12" s="537">
        <v>191</v>
      </c>
      <c r="N12" s="674">
        <v>54.39</v>
      </c>
      <c r="O12" s="537">
        <v>50.9</v>
      </c>
      <c r="P12" s="674">
        <v>98.9</v>
      </c>
      <c r="Q12" s="537">
        <v>110.9</v>
      </c>
      <c r="R12" s="643">
        <v>44.42</v>
      </c>
      <c r="S12" s="661">
        <v>11</v>
      </c>
      <c r="T12" s="536">
        <v>356.73</v>
      </c>
      <c r="U12" s="537">
        <v>365.5</v>
      </c>
      <c r="X12">
        <v>49.6</v>
      </c>
      <c r="Y12">
        <v>46.1</v>
      </c>
    </row>
    <row r="13" spans="3:25" x14ac:dyDescent="0.35">
      <c r="C13" s="636" t="s">
        <v>97</v>
      </c>
      <c r="D13" s="617"/>
      <c r="E13" s="618">
        <v>266</v>
      </c>
      <c r="F13" s="610">
        <v>285.95999999999998</v>
      </c>
      <c r="G13" s="614">
        <v>351</v>
      </c>
      <c r="H13" s="621">
        <v>481.4</v>
      </c>
      <c r="J13" s="536">
        <v>273.45</v>
      </c>
      <c r="K13" s="667">
        <v>257.39999999999998</v>
      </c>
      <c r="L13" s="661">
        <v>431.17</v>
      </c>
      <c r="M13" s="537">
        <v>523</v>
      </c>
      <c r="N13" s="674">
        <v>56.75</v>
      </c>
      <c r="O13" s="537">
        <v>49.9</v>
      </c>
      <c r="P13" s="674">
        <v>38.4</v>
      </c>
      <c r="Q13" s="537">
        <v>46.1</v>
      </c>
      <c r="R13" s="643">
        <v>0.71</v>
      </c>
      <c r="S13" s="661">
        <v>0.8</v>
      </c>
      <c r="T13" s="536">
        <v>958.57</v>
      </c>
      <c r="U13" s="537">
        <v>978</v>
      </c>
      <c r="X13">
        <v>45.1</v>
      </c>
      <c r="Y13">
        <v>110.9</v>
      </c>
    </row>
    <row r="14" spans="3:25" hidden="1" x14ac:dyDescent="0.35">
      <c r="C14" s="636" t="s">
        <v>98</v>
      </c>
      <c r="D14" s="617"/>
      <c r="E14" s="618"/>
      <c r="F14" s="609"/>
      <c r="G14" s="613"/>
      <c r="H14" s="612"/>
      <c r="J14" s="536"/>
      <c r="K14" s="667"/>
      <c r="L14" s="661"/>
      <c r="M14" s="537"/>
      <c r="N14" s="674"/>
      <c r="O14" s="537"/>
      <c r="P14" s="674"/>
      <c r="Q14" s="537"/>
      <c r="R14" s="643"/>
      <c r="S14" s="661"/>
      <c r="T14" s="536"/>
      <c r="U14" s="537"/>
    </row>
    <row r="15" spans="3:25" hidden="1" x14ac:dyDescent="0.35">
      <c r="C15" s="636" t="s">
        <v>290</v>
      </c>
      <c r="D15" s="617"/>
      <c r="E15" s="618"/>
      <c r="F15" s="610"/>
      <c r="G15" s="614"/>
      <c r="H15" s="612"/>
      <c r="J15" s="536"/>
      <c r="K15" s="667"/>
      <c r="L15" s="661"/>
      <c r="M15" s="537"/>
      <c r="N15" s="674"/>
      <c r="O15" s="537"/>
      <c r="P15" s="674"/>
      <c r="Q15" s="537"/>
      <c r="R15" s="643"/>
      <c r="S15" s="661"/>
      <c r="T15" s="536"/>
      <c r="U15" s="537"/>
    </row>
    <row r="16" spans="3:25" hidden="1" x14ac:dyDescent="0.35">
      <c r="C16" s="636" t="s">
        <v>296</v>
      </c>
      <c r="D16" s="617"/>
      <c r="E16" s="618"/>
      <c r="F16" s="610"/>
      <c r="G16" s="614"/>
      <c r="H16" s="612"/>
      <c r="J16" s="536"/>
      <c r="K16" s="667"/>
      <c r="L16" s="661"/>
      <c r="M16" s="537"/>
      <c r="N16" s="674"/>
      <c r="O16" s="537"/>
      <c r="P16" s="674"/>
      <c r="Q16" s="537"/>
      <c r="R16" s="643"/>
      <c r="S16" s="661"/>
      <c r="T16" s="536"/>
      <c r="U16" s="537"/>
    </row>
    <row r="17" spans="3:25" hidden="1" x14ac:dyDescent="0.35">
      <c r="C17" s="636" t="s">
        <v>297</v>
      </c>
      <c r="D17" s="617"/>
      <c r="E17" s="618"/>
      <c r="F17" s="610"/>
      <c r="G17" s="614"/>
      <c r="H17" s="612"/>
      <c r="J17" s="536"/>
      <c r="K17" s="667"/>
      <c r="L17" s="661"/>
      <c r="M17" s="537"/>
      <c r="N17" s="674"/>
      <c r="O17" s="537"/>
      <c r="P17" s="674"/>
      <c r="Q17" s="537"/>
      <c r="R17" s="643"/>
      <c r="S17" s="661"/>
      <c r="T17" s="536"/>
      <c r="U17" s="537"/>
    </row>
    <row r="18" spans="3:25" x14ac:dyDescent="0.35">
      <c r="C18" s="636" t="s">
        <v>108</v>
      </c>
      <c r="D18" s="617"/>
      <c r="E18" s="618">
        <v>0.113</v>
      </c>
      <c r="F18" s="610">
        <v>0.115</v>
      </c>
      <c r="G18" s="614">
        <v>0.11600000000000001</v>
      </c>
      <c r="H18" s="612">
        <v>0.11600000000000001</v>
      </c>
      <c r="J18" s="536">
        <v>0.115</v>
      </c>
      <c r="K18" s="667"/>
      <c r="L18" s="661">
        <v>0.11600000000000001</v>
      </c>
      <c r="M18" s="537"/>
      <c r="N18" s="675">
        <v>0.128</v>
      </c>
      <c r="O18" s="680"/>
      <c r="P18" s="675">
        <v>0.11799999999999999</v>
      </c>
      <c r="Q18" s="680"/>
      <c r="R18" s="643">
        <v>0.13900000000000001</v>
      </c>
      <c r="S18" s="661"/>
      <c r="T18" s="536">
        <v>0.12</v>
      </c>
      <c r="U18" s="537"/>
      <c r="W18" t="s">
        <v>108</v>
      </c>
    </row>
    <row r="19" spans="3:25" hidden="1" x14ac:dyDescent="0.35">
      <c r="C19" s="636" t="s">
        <v>150</v>
      </c>
      <c r="D19" s="617"/>
      <c r="E19" s="618"/>
      <c r="F19" s="610"/>
      <c r="G19" s="614"/>
      <c r="H19" s="612"/>
      <c r="J19" s="536"/>
      <c r="K19" s="667"/>
      <c r="L19" s="661"/>
      <c r="M19" s="537"/>
      <c r="N19" s="676"/>
      <c r="O19" s="681"/>
      <c r="P19" s="676"/>
      <c r="Q19" s="681"/>
      <c r="R19" s="643"/>
      <c r="S19" s="661"/>
      <c r="T19" s="536"/>
      <c r="U19" s="537"/>
    </row>
    <row r="20" spans="3:25" x14ac:dyDescent="0.35">
      <c r="C20" s="637" t="s">
        <v>611</v>
      </c>
      <c r="D20" s="231"/>
      <c r="E20" s="639">
        <f>E7/E8</f>
        <v>0.10517241379310345</v>
      </c>
      <c r="F20" s="295">
        <f>F7/F8</f>
        <v>0.12982456140350876</v>
      </c>
      <c r="G20" s="642">
        <f>G7/G8</f>
        <v>0.15909090909090906</v>
      </c>
      <c r="H20" s="638">
        <f>H7/H8</f>
        <v>0.1486280487804878</v>
      </c>
      <c r="J20" s="646">
        <f t="shared" ref="J20:T20" si="0">J7/J8</f>
        <v>4.4736842105263165E-2</v>
      </c>
      <c r="K20" s="668"/>
      <c r="L20" s="662">
        <f t="shared" si="0"/>
        <v>0.13620689655172416</v>
      </c>
      <c r="M20" s="649"/>
      <c r="N20" s="677">
        <f t="shared" si="0"/>
        <v>1.1182248520710059</v>
      </c>
      <c r="O20" s="682"/>
      <c r="P20" s="677">
        <f t="shared" si="0"/>
        <v>1.0026315789473683</v>
      </c>
      <c r="Q20" s="682"/>
      <c r="R20" s="645">
        <f t="shared" si="0"/>
        <v>1.0734082397003746</v>
      </c>
      <c r="S20" s="693"/>
      <c r="T20" s="646">
        <f t="shared" si="0"/>
        <v>0.2492581602373887</v>
      </c>
      <c r="U20" s="537"/>
      <c r="W20" t="s">
        <v>611</v>
      </c>
      <c r="X20" s="524">
        <f>X7/X8</f>
        <v>1.1432894736842105</v>
      </c>
      <c r="Y20" s="524">
        <f>Y7/Y8</f>
        <v>0.99725274725274715</v>
      </c>
    </row>
    <row r="21" spans="3:25" ht="15" thickBot="1" x14ac:dyDescent="0.4">
      <c r="C21" s="700" t="s">
        <v>612</v>
      </c>
      <c r="D21" s="226"/>
      <c r="E21" s="701">
        <f>E12/E13</f>
        <v>0.3680451127819549</v>
      </c>
      <c r="F21" s="702">
        <f>F12/F13</f>
        <v>0.39641907959155132</v>
      </c>
      <c r="G21" s="703">
        <f>G12/G13</f>
        <v>0.39316239316239315</v>
      </c>
      <c r="H21" s="704">
        <f>H12/H13</f>
        <v>0.35583714167012881</v>
      </c>
      <c r="J21" s="647">
        <f t="shared" ref="J21:T21" si="1">J12/J13</f>
        <v>0.28414701042238072</v>
      </c>
      <c r="K21" s="669"/>
      <c r="L21" s="663">
        <f t="shared" si="1"/>
        <v>0.40216156040540851</v>
      </c>
      <c r="M21" s="650"/>
      <c r="N21" s="678">
        <f t="shared" si="1"/>
        <v>0.95841409691629953</v>
      </c>
      <c r="O21" s="683"/>
      <c r="P21" s="678">
        <f t="shared" si="1"/>
        <v>2.5755208333333335</v>
      </c>
      <c r="Q21" s="683"/>
      <c r="R21" s="648">
        <f t="shared" si="1"/>
        <v>62.563380281690144</v>
      </c>
      <c r="S21" s="685"/>
      <c r="T21" s="647">
        <f t="shared" si="1"/>
        <v>0.37214809560073858</v>
      </c>
      <c r="U21" s="707"/>
      <c r="W21" t="s">
        <v>612</v>
      </c>
      <c r="X21" s="524">
        <f>X12/X13</f>
        <v>1.0997782705099779</v>
      </c>
      <c r="Y21" s="524">
        <f>Y12/Y13</f>
        <v>0.41568981064021643</v>
      </c>
    </row>
    <row r="22" spans="3:25" ht="15" thickBot="1" x14ac:dyDescent="0.4">
      <c r="C22" s="486" t="s">
        <v>637</v>
      </c>
      <c r="D22" s="661"/>
      <c r="E22" s="639"/>
      <c r="F22" s="295"/>
      <c r="G22" s="642"/>
      <c r="H22" s="705"/>
      <c r="J22" s="670"/>
      <c r="K22" s="708">
        <v>2.9</v>
      </c>
      <c r="L22" s="709"/>
      <c r="M22" s="708">
        <v>4.8</v>
      </c>
      <c r="N22" s="710"/>
      <c r="O22" s="711">
        <v>5.8</v>
      </c>
      <c r="P22" s="710"/>
      <c r="Q22" s="711">
        <v>6.8</v>
      </c>
      <c r="R22" s="709"/>
      <c r="S22" s="708">
        <v>24</v>
      </c>
      <c r="T22" s="710"/>
      <c r="U22" s="708">
        <v>4.3</v>
      </c>
      <c r="W22" t="s">
        <v>840</v>
      </c>
      <c r="X22">
        <v>0.6</v>
      </c>
      <c r="Y22">
        <v>7.4</v>
      </c>
    </row>
    <row r="23" spans="3:25" ht="15" thickBot="1" x14ac:dyDescent="0.4">
      <c r="C23" s="1" t="s">
        <v>839</v>
      </c>
      <c r="D23" s="228"/>
      <c r="E23" s="903"/>
      <c r="F23" s="904"/>
      <c r="G23" s="905"/>
      <c r="H23" s="906"/>
      <c r="J23" s="670"/>
      <c r="K23" s="907"/>
      <c r="L23" s="709"/>
      <c r="M23" s="908"/>
      <c r="N23" s="710"/>
      <c r="O23" s="709"/>
      <c r="P23" s="709"/>
      <c r="Q23" s="909"/>
      <c r="R23" s="709"/>
      <c r="S23" s="907"/>
      <c r="T23" s="710"/>
      <c r="U23" s="711"/>
      <c r="W23" t="s">
        <v>839</v>
      </c>
      <c r="X23" s="524">
        <v>12</v>
      </c>
      <c r="Y23" s="524">
        <v>11.7</v>
      </c>
    </row>
    <row r="24" spans="3:25" ht="16.5" customHeight="1" thickBot="1" x14ac:dyDescent="0.4">
      <c r="C24" s="629"/>
      <c r="D24" s="228"/>
      <c r="E24" s="630"/>
      <c r="F24" s="631"/>
      <c r="G24" s="632"/>
      <c r="H24" s="633"/>
      <c r="J24" s="644" t="s">
        <v>616</v>
      </c>
      <c r="K24" s="644"/>
      <c r="L24" s="665" t="s">
        <v>618</v>
      </c>
      <c r="M24" s="664"/>
      <c r="N24" s="2810" t="s">
        <v>617</v>
      </c>
      <c r="O24" s="2811"/>
      <c r="P24" s="2811"/>
      <c r="Q24" s="2812"/>
      <c r="R24" s="644" t="s">
        <v>619</v>
      </c>
      <c r="S24" s="644"/>
      <c r="T24" s="547" t="s">
        <v>620</v>
      </c>
      <c r="U24" s="694"/>
    </row>
    <row r="25" spans="3:25" x14ac:dyDescent="0.35">
      <c r="C25" s="550" t="s">
        <v>546</v>
      </c>
      <c r="D25" s="551">
        <v>55</v>
      </c>
      <c r="E25" s="550">
        <v>55</v>
      </c>
      <c r="F25" s="626">
        <v>55</v>
      </c>
      <c r="G25" s="628">
        <v>40</v>
      </c>
      <c r="H25" s="622">
        <v>40</v>
      </c>
    </row>
    <row r="26" spans="3:25" x14ac:dyDescent="0.35">
      <c r="C26" s="536" t="s">
        <v>547</v>
      </c>
      <c r="D26" s="231">
        <v>25</v>
      </c>
      <c r="E26" s="536">
        <v>25</v>
      </c>
      <c r="F26" s="608">
        <v>25</v>
      </c>
      <c r="G26" s="611">
        <v>25</v>
      </c>
      <c r="H26" s="612">
        <v>25</v>
      </c>
      <c r="K26" s="899"/>
    </row>
    <row r="27" spans="3:25" x14ac:dyDescent="0.35">
      <c r="C27" s="623" t="s">
        <v>549</v>
      </c>
      <c r="D27" s="231">
        <v>10</v>
      </c>
      <c r="E27" s="625">
        <v>10</v>
      </c>
      <c r="F27" s="624" t="s">
        <v>17</v>
      </c>
      <c r="G27" s="625">
        <v>10</v>
      </c>
      <c r="H27" s="619" t="s">
        <v>17</v>
      </c>
      <c r="K27" s="899"/>
    </row>
    <row r="28" spans="3:25" x14ac:dyDescent="0.35">
      <c r="C28" s="623" t="s">
        <v>548</v>
      </c>
      <c r="D28" s="624" t="s">
        <v>17</v>
      </c>
      <c r="E28" s="625" t="s">
        <v>17</v>
      </c>
      <c r="F28" s="624">
        <v>10</v>
      </c>
      <c r="G28" s="625" t="s">
        <v>17</v>
      </c>
      <c r="H28" s="619">
        <v>10</v>
      </c>
      <c r="K28" s="899"/>
    </row>
    <row r="29" spans="3:25" x14ac:dyDescent="0.35">
      <c r="C29" s="536" t="s">
        <v>550</v>
      </c>
      <c r="D29" s="231">
        <v>10</v>
      </c>
      <c r="E29" s="536">
        <v>10</v>
      </c>
      <c r="F29" s="608">
        <v>10</v>
      </c>
      <c r="G29" s="611">
        <v>10</v>
      </c>
      <c r="H29" s="612">
        <v>10</v>
      </c>
      <c r="K29" s="899"/>
    </row>
    <row r="30" spans="3:25" ht="15" thickBot="1" x14ac:dyDescent="0.4">
      <c r="C30" s="554" t="s">
        <v>609</v>
      </c>
      <c r="D30" s="555"/>
      <c r="E30" s="620"/>
      <c r="F30" s="627"/>
      <c r="G30" s="615">
        <v>15</v>
      </c>
      <c r="H30" s="616">
        <v>15</v>
      </c>
      <c r="K30" s="899"/>
    </row>
    <row r="31" spans="3:25" x14ac:dyDescent="0.35">
      <c r="E31">
        <f>SUM(E25:E30)</f>
        <v>100</v>
      </c>
      <c r="F31" s="165">
        <f>SUM(F25:F30)</f>
        <v>100</v>
      </c>
      <c r="G31" s="165">
        <f>SUM(G25:G30)</f>
        <v>100</v>
      </c>
      <c r="H31" s="142">
        <f>SUM(H25:H30)</f>
        <v>100</v>
      </c>
      <c r="K31" s="899"/>
    </row>
    <row r="32" spans="3:25" x14ac:dyDescent="0.35">
      <c r="K32" s="899"/>
    </row>
    <row r="33" spans="11:19" x14ac:dyDescent="0.35">
      <c r="K33" s="899"/>
    </row>
    <row r="34" spans="11:19" x14ac:dyDescent="0.35">
      <c r="K34" s="899"/>
      <c r="L34" s="899"/>
      <c r="M34" s="899">
        <v>75</v>
      </c>
      <c r="N34" s="899"/>
      <c r="O34" s="899"/>
      <c r="P34" s="899"/>
      <c r="Q34" s="899">
        <v>85</v>
      </c>
    </row>
    <row r="35" spans="11:19" x14ac:dyDescent="0.35">
      <c r="K35" s="899"/>
      <c r="L35" s="899" t="s">
        <v>546</v>
      </c>
      <c r="M35" s="900">
        <v>0.4</v>
      </c>
      <c r="N35" s="899">
        <f>M35*$M$34</f>
        <v>30</v>
      </c>
      <c r="O35" s="899">
        <f>N35*J8/100</f>
        <v>2.2799999999999998</v>
      </c>
      <c r="P35" s="899"/>
      <c r="Q35" s="900">
        <v>0.55000000000000004</v>
      </c>
      <c r="R35">
        <f>$Q$34*Q35</f>
        <v>46.750000000000007</v>
      </c>
      <c r="S35">
        <f>R35*J8/100</f>
        <v>3.5529999999999999</v>
      </c>
    </row>
    <row r="36" spans="11:19" x14ac:dyDescent="0.35">
      <c r="K36" s="899"/>
      <c r="L36" s="899" t="s">
        <v>547</v>
      </c>
      <c r="M36" s="900">
        <v>0.25</v>
      </c>
      <c r="N36" s="899">
        <f>M36*$M$34</f>
        <v>18.75</v>
      </c>
      <c r="O36" s="899">
        <f>N36*L8/100</f>
        <v>1.0874999999999999</v>
      </c>
      <c r="P36" s="899"/>
      <c r="Q36" s="900">
        <v>0.25</v>
      </c>
      <c r="R36">
        <f>$Q$34*Q36</f>
        <v>21.25</v>
      </c>
      <c r="S36">
        <f>R36*L8/100</f>
        <v>1.2324999999999999</v>
      </c>
    </row>
    <row r="37" spans="11:19" x14ac:dyDescent="0.35">
      <c r="L37" s="899" t="s">
        <v>548</v>
      </c>
      <c r="M37" s="900">
        <v>0.1</v>
      </c>
      <c r="N37" s="899">
        <f>M37*$M$34</f>
        <v>7.5</v>
      </c>
      <c r="O37" s="899">
        <f>N37*N8/100</f>
        <v>6.3375000000000001E-2</v>
      </c>
      <c r="P37" s="899"/>
      <c r="Q37" s="900">
        <v>0.1</v>
      </c>
      <c r="R37">
        <f>$Q$34*Q37</f>
        <v>8.5</v>
      </c>
      <c r="S37">
        <f>R37*O8/100</f>
        <v>6.9699999999999998E-2</v>
      </c>
    </row>
    <row r="38" spans="11:19" x14ac:dyDescent="0.35">
      <c r="L38" s="899" t="s">
        <v>550</v>
      </c>
      <c r="M38" s="900">
        <v>0.1</v>
      </c>
      <c r="N38" s="899">
        <f>M38*$M$34</f>
        <v>7.5</v>
      </c>
      <c r="O38" s="899">
        <f>N38*R8/100</f>
        <v>2.0025000000000001E-2</v>
      </c>
      <c r="P38" s="899"/>
      <c r="Q38" s="900">
        <v>0.1</v>
      </c>
      <c r="R38">
        <f>$Q$34*Q38</f>
        <v>8.5</v>
      </c>
      <c r="S38">
        <f>R8*R38/100</f>
        <v>2.2695000000000003E-2</v>
      </c>
    </row>
    <row r="39" spans="11:19" x14ac:dyDescent="0.35">
      <c r="L39" s="899" t="s">
        <v>609</v>
      </c>
      <c r="M39" s="900">
        <v>0.15</v>
      </c>
      <c r="N39" s="899">
        <f>M39*$M$34</f>
        <v>11.25</v>
      </c>
      <c r="O39" s="899">
        <f>N39*T8/100</f>
        <v>0.37912499999999999</v>
      </c>
      <c r="P39" s="899"/>
      <c r="Q39" s="899"/>
      <c r="S39">
        <f>SUM(S35:S38)</f>
        <v>4.8778949999999996</v>
      </c>
    </row>
    <row r="40" spans="11:19" x14ac:dyDescent="0.35">
      <c r="L40" s="899"/>
      <c r="M40" s="899"/>
      <c r="N40" s="899"/>
      <c r="O40" s="899">
        <f>SUM(O35:O39)</f>
        <v>3.830025</v>
      </c>
      <c r="Q40" s="899"/>
      <c r="S40">
        <f>S39/Q34</f>
        <v>5.7386999999999994E-2</v>
      </c>
    </row>
    <row r="41" spans="11:19" x14ac:dyDescent="0.35">
      <c r="L41" s="899"/>
      <c r="M41" s="899"/>
      <c r="N41" s="899"/>
      <c r="O41" s="899">
        <f>O40/M34</f>
        <v>5.1067000000000001E-2</v>
      </c>
      <c r="P41" s="899"/>
      <c r="Q41" s="899"/>
    </row>
  </sheetData>
  <mergeCells count="5">
    <mergeCell ref="E4:F4"/>
    <mergeCell ref="G4:H4"/>
    <mergeCell ref="J4:U4"/>
    <mergeCell ref="N24:Q24"/>
    <mergeCell ref="X4:Y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AC59F-7C8B-4369-9F51-80EA1A9C96DE}">
  <sheetPr codeName="Sheet9"/>
  <dimension ref="G46:BX51"/>
  <sheetViews>
    <sheetView zoomScale="50" zoomScaleNormal="50" zoomScaleSheetLayoutView="68" zoomScalePageLayoutView="63" workbookViewId="0">
      <selection activeCell="W46" sqref="W46"/>
    </sheetView>
  </sheetViews>
  <sheetFormatPr defaultColWidth="8.7265625" defaultRowHeight="14.5" x14ac:dyDescent="0.35"/>
  <cols>
    <col min="1" max="16384" width="8.7265625" style="142"/>
  </cols>
  <sheetData>
    <row r="46" spans="7:76" x14ac:dyDescent="0.35">
      <c r="BW46" s="142">
        <v>8.5</v>
      </c>
      <c r="BX46" s="142">
        <v>-5</v>
      </c>
    </row>
    <row r="47" spans="7:76" x14ac:dyDescent="0.35">
      <c r="G47" s="142">
        <v>4.5</v>
      </c>
      <c r="H47" s="142">
        <v>-5</v>
      </c>
      <c r="AA47" s="142">
        <v>8.5</v>
      </c>
      <c r="AB47" s="142">
        <v>-5</v>
      </c>
      <c r="AZ47" s="142">
        <v>8.5</v>
      </c>
      <c r="BA47" s="142">
        <v>-5</v>
      </c>
      <c r="BW47" s="142">
        <v>8.5</v>
      </c>
      <c r="BX47" s="142">
        <v>150</v>
      </c>
    </row>
    <row r="48" spans="7:76" x14ac:dyDescent="0.35">
      <c r="G48" s="142">
        <v>4.5</v>
      </c>
      <c r="H48" s="142">
        <v>150</v>
      </c>
      <c r="AA48" s="142">
        <v>8.5</v>
      </c>
      <c r="AB48" s="142">
        <v>150</v>
      </c>
      <c r="AZ48" s="142">
        <v>8.5</v>
      </c>
      <c r="BA48" s="142">
        <v>150</v>
      </c>
    </row>
    <row r="49" spans="7:76" x14ac:dyDescent="0.35">
      <c r="BW49" s="142">
        <v>21</v>
      </c>
      <c r="BX49" s="142">
        <v>-5</v>
      </c>
    </row>
    <row r="50" spans="7:76" x14ac:dyDescent="0.35">
      <c r="G50" s="142">
        <v>10.5</v>
      </c>
      <c r="H50" s="142">
        <v>-5</v>
      </c>
      <c r="AA50" s="142">
        <v>21</v>
      </c>
      <c r="AB50" s="142">
        <v>-5</v>
      </c>
      <c r="AZ50" s="142">
        <v>21</v>
      </c>
      <c r="BA50" s="142">
        <v>-5</v>
      </c>
      <c r="BW50" s="142">
        <v>21</v>
      </c>
      <c r="BX50" s="142">
        <v>150</v>
      </c>
    </row>
    <row r="51" spans="7:76" x14ac:dyDescent="0.35">
      <c r="G51" s="142">
        <v>10.5</v>
      </c>
      <c r="H51" s="142">
        <v>150</v>
      </c>
      <c r="AA51" s="142">
        <v>21</v>
      </c>
      <c r="AB51" s="142">
        <v>150</v>
      </c>
      <c r="AZ51" s="142">
        <v>21</v>
      </c>
      <c r="BA51" s="142">
        <v>150</v>
      </c>
    </row>
  </sheetData>
  <pageMargins left="0.7" right="0.7" top="0.75" bottom="0.75" header="0.3" footer="0.3"/>
  <pageSetup paperSize="9" scale="72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053E8-2787-4D91-ADC4-C76A6DEADFD1}">
  <sheetPr codeName="Sheet17">
    <tabColor theme="0"/>
  </sheetPr>
  <dimension ref="C40:Y44"/>
  <sheetViews>
    <sheetView zoomScale="81" zoomScaleNormal="70" workbookViewId="0">
      <selection activeCell="AQ20" sqref="AQ20"/>
    </sheetView>
  </sheetViews>
  <sheetFormatPr defaultRowHeight="14.5" x14ac:dyDescent="0.35"/>
  <sheetData>
    <row r="40" spans="3:25" x14ac:dyDescent="0.35">
      <c r="C40">
        <v>1</v>
      </c>
      <c r="D40">
        <v>2</v>
      </c>
      <c r="E40">
        <v>3</v>
      </c>
      <c r="F40">
        <v>4</v>
      </c>
      <c r="G40">
        <v>5</v>
      </c>
      <c r="H40">
        <v>6</v>
      </c>
      <c r="I40">
        <v>7</v>
      </c>
      <c r="J40">
        <v>8</v>
      </c>
      <c r="K40">
        <v>9</v>
      </c>
      <c r="L40">
        <v>10</v>
      </c>
      <c r="M40">
        <v>11</v>
      </c>
      <c r="N40">
        <v>12</v>
      </c>
      <c r="O40">
        <v>13</v>
      </c>
      <c r="P40">
        <v>14</v>
      </c>
      <c r="Q40">
        <v>15</v>
      </c>
      <c r="R40">
        <v>16</v>
      </c>
      <c r="X40">
        <v>4.5</v>
      </c>
      <c r="Y40">
        <v>0</v>
      </c>
    </row>
    <row r="41" spans="3:25" x14ac:dyDescent="0.35">
      <c r="C41" s="890">
        <f>'HPS DAILY'!G10</f>
        <v>2.725004742933038</v>
      </c>
      <c r="D41" s="890">
        <f>C41</f>
        <v>2.725004742933038</v>
      </c>
      <c r="E41" s="890">
        <f t="shared" ref="E41:F41" si="0">D41</f>
        <v>2.725004742933038</v>
      </c>
      <c r="F41" s="890">
        <f t="shared" si="0"/>
        <v>2.725004742933038</v>
      </c>
      <c r="G41" s="891">
        <f>'HPS DAILY'!H10</f>
        <v>2.725004742933038</v>
      </c>
      <c r="H41" s="891">
        <f>G41</f>
        <v>2.725004742933038</v>
      </c>
      <c r="I41" s="891">
        <f t="shared" ref="I41:L41" si="1">H41</f>
        <v>2.725004742933038</v>
      </c>
      <c r="J41" s="891">
        <f t="shared" si="1"/>
        <v>2.725004742933038</v>
      </c>
      <c r="K41" s="891">
        <f t="shared" si="1"/>
        <v>2.725004742933038</v>
      </c>
      <c r="L41" s="891">
        <f t="shared" si="1"/>
        <v>2.725004742933038</v>
      </c>
      <c r="M41" s="891">
        <f>'HPS DAILY'!I12</f>
        <v>1.0509999999999999</v>
      </c>
      <c r="N41" s="891">
        <f>M41</f>
        <v>1.0509999999999999</v>
      </c>
      <c r="O41" s="891">
        <f t="shared" ref="O41:Q41" si="2">N41</f>
        <v>1.0509999999999999</v>
      </c>
      <c r="P41" s="891">
        <f t="shared" si="2"/>
        <v>1.0509999999999999</v>
      </c>
      <c r="Q41" s="891">
        <f t="shared" si="2"/>
        <v>1.0509999999999999</v>
      </c>
      <c r="X41">
        <v>4.5</v>
      </c>
      <c r="Y41">
        <v>0.5</v>
      </c>
    </row>
    <row r="43" spans="3:25" x14ac:dyDescent="0.35">
      <c r="X43">
        <v>10.5</v>
      </c>
      <c r="Y43">
        <v>0</v>
      </c>
    </row>
    <row r="44" spans="3:25" x14ac:dyDescent="0.35">
      <c r="X44">
        <v>10.5</v>
      </c>
      <c r="Y44">
        <v>0.5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FEE16-9740-46D5-A60B-1123DC983EEE}">
  <sheetPr codeName="Sheet21"/>
  <dimension ref="A1"/>
  <sheetViews>
    <sheetView zoomScale="70" zoomScaleNormal="70" workbookViewId="0">
      <selection activeCell="AG60" sqref="AG60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EFFDA-1340-4682-8DD1-642C158DE4B6}">
  <sheetPr codeName="Sheet22"/>
  <dimension ref="AE2:AG2"/>
  <sheetViews>
    <sheetView workbookViewId="0">
      <selection activeCell="AH4" sqref="AH4"/>
    </sheetView>
  </sheetViews>
  <sheetFormatPr defaultRowHeight="14.5" x14ac:dyDescent="0.35"/>
  <cols>
    <col min="3" max="30" width="6.54296875" customWidth="1"/>
    <col min="31" max="31" width="9.54296875" customWidth="1"/>
    <col min="32" max="32" width="9.81640625" customWidth="1"/>
    <col min="33" max="45" width="6.54296875" customWidth="1"/>
  </cols>
  <sheetData>
    <row r="2" spans="31:33" x14ac:dyDescent="0.35">
      <c r="AE2" t="s">
        <v>1006</v>
      </c>
      <c r="AF2" t="s">
        <v>1007</v>
      </c>
      <c r="AG2" t="s">
        <v>608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23201-9267-4C3C-8FB4-43129B9E527F}">
  <sheetPr codeName="Sheet25"/>
  <dimension ref="E27:S58"/>
  <sheetViews>
    <sheetView zoomScale="35" workbookViewId="0">
      <selection activeCell="Q29" sqref="Q29"/>
    </sheetView>
  </sheetViews>
  <sheetFormatPr defaultRowHeight="14.5" x14ac:dyDescent="0.35"/>
  <cols>
    <col min="6" max="6" width="12.26953125" customWidth="1"/>
    <col min="8" max="8" width="10.1796875" bestFit="1" customWidth="1"/>
  </cols>
  <sheetData>
    <row r="27" spans="5:19" x14ac:dyDescent="0.35">
      <c r="E27" t="s">
        <v>324</v>
      </c>
      <c r="F27">
        <f>20.25-(6.438+5.501+0.69)</f>
        <v>7.6210000000000004</v>
      </c>
      <c r="G27" t="s">
        <v>325</v>
      </c>
      <c r="H27">
        <f>F27*25.4</f>
        <v>193.57339999999999</v>
      </c>
      <c r="I27" t="s">
        <v>326</v>
      </c>
      <c r="K27" t="s">
        <v>333</v>
      </c>
      <c r="L27">
        <f>2.06/2</f>
        <v>1.03</v>
      </c>
    </row>
    <row r="28" spans="5:19" x14ac:dyDescent="0.35">
      <c r="E28" t="s">
        <v>327</v>
      </c>
      <c r="F28">
        <f>1.155/2</f>
        <v>0.57750000000000001</v>
      </c>
      <c r="G28" t="s">
        <v>325</v>
      </c>
      <c r="H28">
        <f>F28*25.4</f>
        <v>14.6685</v>
      </c>
      <c r="I28" t="s">
        <v>326</v>
      </c>
      <c r="K28" t="s">
        <v>332</v>
      </c>
      <c r="L28">
        <f>1.155/2</f>
        <v>0.57750000000000001</v>
      </c>
      <c r="M28">
        <f>L27-L28</f>
        <v>0.45250000000000001</v>
      </c>
      <c r="P28" t="s">
        <v>334</v>
      </c>
      <c r="Q28" t="s">
        <v>335</v>
      </c>
    </row>
    <row r="29" spans="5:19" x14ac:dyDescent="0.35">
      <c r="P29" t="s">
        <v>645</v>
      </c>
      <c r="Q29">
        <f>M28/(1/(3^1/2))</f>
        <v>0.67875000000000008</v>
      </c>
      <c r="R29">
        <f>Q29*24.5</f>
        <v>16.629375000000003</v>
      </c>
      <c r="S29" t="s">
        <v>326</v>
      </c>
    </row>
    <row r="30" spans="5:19" x14ac:dyDescent="0.35">
      <c r="F30" s="175" t="s">
        <v>330</v>
      </c>
      <c r="G30" s="173" t="s">
        <v>226</v>
      </c>
      <c r="H30" s="174">
        <f>(22/7)*H28*H28*H27</f>
        <v>130900.62779660789</v>
      </c>
      <c r="I30" t="s">
        <v>328</v>
      </c>
    </row>
    <row r="31" spans="5:19" x14ac:dyDescent="0.35">
      <c r="H31" s="174">
        <f>H30/1000</f>
        <v>130.90062779660789</v>
      </c>
      <c r="I31" t="s">
        <v>329</v>
      </c>
    </row>
    <row r="34" spans="5:9" x14ac:dyDescent="0.35">
      <c r="E34" t="s">
        <v>336</v>
      </c>
      <c r="F34">
        <f>Q29</f>
        <v>0.67875000000000008</v>
      </c>
      <c r="G34" t="s">
        <v>325</v>
      </c>
      <c r="H34">
        <f>F34*25.4</f>
        <v>17.24025</v>
      </c>
      <c r="I34" t="s">
        <v>326</v>
      </c>
    </row>
    <row r="35" spans="5:9" x14ac:dyDescent="0.35">
      <c r="E35" t="s">
        <v>337</v>
      </c>
      <c r="F35">
        <f>2.06/2</f>
        <v>1.03</v>
      </c>
      <c r="G35" s="173" t="s">
        <v>325</v>
      </c>
      <c r="H35">
        <f>F35*25.4</f>
        <v>26.161999999999999</v>
      </c>
      <c r="I35" t="s">
        <v>326</v>
      </c>
    </row>
    <row r="36" spans="5:9" x14ac:dyDescent="0.35">
      <c r="E36" t="s">
        <v>338</v>
      </c>
      <c r="F36">
        <f>1.155/2</f>
        <v>0.57750000000000001</v>
      </c>
      <c r="G36" t="s">
        <v>325</v>
      </c>
      <c r="H36">
        <f>F36*25.4</f>
        <v>14.6685</v>
      </c>
      <c r="I36" t="s">
        <v>326</v>
      </c>
    </row>
    <row r="38" spans="5:9" x14ac:dyDescent="0.35">
      <c r="F38" s="176" t="s">
        <v>331</v>
      </c>
      <c r="G38" s="173" t="s">
        <v>226</v>
      </c>
      <c r="H38">
        <f>(1/3)*(22/7)*H34*(H35^2+H35*H36+H36^2)</f>
        <v>23179.2645253068</v>
      </c>
      <c r="I38" t="s">
        <v>328</v>
      </c>
    </row>
    <row r="39" spans="5:9" x14ac:dyDescent="0.35">
      <c r="H39">
        <f>H38/1000</f>
        <v>23.179264525306799</v>
      </c>
      <c r="I39" t="s">
        <v>329</v>
      </c>
    </row>
    <row r="41" spans="5:9" x14ac:dyDescent="0.35">
      <c r="H41" s="178"/>
      <c r="I41" t="s">
        <v>329</v>
      </c>
    </row>
    <row r="43" spans="5:9" x14ac:dyDescent="0.35">
      <c r="E43" t="s">
        <v>336</v>
      </c>
      <c r="F43">
        <f>6.438-5.54</f>
        <v>0.89799999999999969</v>
      </c>
      <c r="G43" t="s">
        <v>325</v>
      </c>
      <c r="H43">
        <f>F43*25.4</f>
        <v>22.80919999999999</v>
      </c>
      <c r="I43" t="s">
        <v>326</v>
      </c>
    </row>
    <row r="44" spans="5:9" x14ac:dyDescent="0.35">
      <c r="E44" t="s">
        <v>337</v>
      </c>
      <c r="F44">
        <f>F35</f>
        <v>1.03</v>
      </c>
      <c r="G44" t="s">
        <v>325</v>
      </c>
      <c r="H44">
        <f>F44*25.4</f>
        <v>26.161999999999999</v>
      </c>
      <c r="I44" t="s">
        <v>326</v>
      </c>
    </row>
    <row r="46" spans="5:9" x14ac:dyDescent="0.35">
      <c r="F46" s="177" t="s">
        <v>339</v>
      </c>
      <c r="G46" s="173" t="s">
        <v>226</v>
      </c>
      <c r="H46">
        <f>(22/7)*H44^2*H43</f>
        <v>49065.539302826495</v>
      </c>
      <c r="I46" t="s">
        <v>328</v>
      </c>
    </row>
    <row r="47" spans="5:9" x14ac:dyDescent="0.35">
      <c r="H47">
        <f>H46/1000</f>
        <v>49.065539302826494</v>
      </c>
      <c r="I47" t="s">
        <v>329</v>
      </c>
    </row>
    <row r="48" spans="5:9" x14ac:dyDescent="0.35">
      <c r="E48" t="s">
        <v>343</v>
      </c>
      <c r="H48" s="174">
        <f>H47+H39+H31</f>
        <v>203.14543162474118</v>
      </c>
      <c r="I48" t="s">
        <v>329</v>
      </c>
    </row>
    <row r="49" spans="5:11" x14ac:dyDescent="0.35">
      <c r="H49" s="174"/>
      <c r="K49" s="174"/>
    </row>
    <row r="50" spans="5:11" x14ac:dyDescent="0.35">
      <c r="E50" t="s">
        <v>344</v>
      </c>
      <c r="H50" s="174"/>
      <c r="K50" s="174"/>
    </row>
    <row r="51" spans="5:11" x14ac:dyDescent="0.35">
      <c r="E51" t="s">
        <v>336</v>
      </c>
      <c r="F51">
        <f>8.813-0.5</f>
        <v>8.3130000000000006</v>
      </c>
      <c r="G51" t="s">
        <v>325</v>
      </c>
      <c r="H51">
        <f>F51*25.4</f>
        <v>211.15020000000001</v>
      </c>
      <c r="I51" t="s">
        <v>326</v>
      </c>
    </row>
    <row r="52" spans="5:11" x14ac:dyDescent="0.35">
      <c r="E52" t="s">
        <v>337</v>
      </c>
      <c r="F52" s="162">
        <f>1/4</f>
        <v>0.25</v>
      </c>
      <c r="G52" t="s">
        <v>325</v>
      </c>
      <c r="H52" s="174">
        <f>F52*25.4</f>
        <v>6.35</v>
      </c>
      <c r="I52" t="s">
        <v>326</v>
      </c>
    </row>
    <row r="53" spans="5:11" x14ac:dyDescent="0.35">
      <c r="E53" t="s">
        <v>341</v>
      </c>
      <c r="F53">
        <f>0.095</f>
        <v>9.5000000000000001E-2</v>
      </c>
      <c r="H53">
        <f>F53*25.4</f>
        <v>2.4129999999999998</v>
      </c>
    </row>
    <row r="54" spans="5:11" x14ac:dyDescent="0.35">
      <c r="H54">
        <f>(1/2)*(22/7)*(H52^2-H53^2)*2</f>
        <v>108.42835457142856</v>
      </c>
      <c r="I54" t="s">
        <v>328</v>
      </c>
    </row>
    <row r="55" spans="5:11" x14ac:dyDescent="0.35">
      <c r="E55" t="s">
        <v>340</v>
      </c>
      <c r="H55">
        <f>H54/1000</f>
        <v>0.10842835457142856</v>
      </c>
      <c r="I55" t="s">
        <v>329</v>
      </c>
    </row>
    <row r="56" spans="5:11" x14ac:dyDescent="0.35">
      <c r="E56" t="s">
        <v>345</v>
      </c>
      <c r="H56">
        <v>17</v>
      </c>
      <c r="I56" t="s">
        <v>329</v>
      </c>
    </row>
    <row r="58" spans="5:11" x14ac:dyDescent="0.35">
      <c r="E58" t="s">
        <v>342</v>
      </c>
      <c r="H58" s="174">
        <f>(H31+H39+H47)-(H55+H56)</f>
        <v>186.03700327016975</v>
      </c>
      <c r="I58" t="s">
        <v>329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189F8-CEFB-4759-89BA-81F2778B82C5}">
  <sheetPr codeName="Sheet16"/>
  <dimension ref="B1:I23"/>
  <sheetViews>
    <sheetView workbookViewId="0">
      <selection activeCell="M11" sqref="M11"/>
    </sheetView>
  </sheetViews>
  <sheetFormatPr defaultRowHeight="14.5" x14ac:dyDescent="0.35"/>
  <cols>
    <col min="1" max="1" width="3.81640625" customWidth="1"/>
    <col min="2" max="2" width="4.26953125" customWidth="1"/>
    <col min="3" max="3" width="24.1796875" customWidth="1"/>
    <col min="4" max="4" width="58.26953125" style="150" customWidth="1"/>
    <col min="5" max="5" width="25.26953125" style="150" customWidth="1"/>
    <col min="6" max="6" width="4.81640625" style="155" customWidth="1"/>
    <col min="7" max="7" width="10.26953125" customWidth="1"/>
    <col min="8" max="8" width="3.1796875" customWidth="1"/>
  </cols>
  <sheetData>
    <row r="1" spans="2:9" x14ac:dyDescent="0.35">
      <c r="B1" s="154"/>
      <c r="C1" s="153">
        <v>45649</v>
      </c>
      <c r="G1" s="152">
        <v>46006</v>
      </c>
    </row>
    <row r="2" spans="2:9" x14ac:dyDescent="0.35">
      <c r="C2" s="1" t="s">
        <v>246</v>
      </c>
      <c r="H2" s="1" t="s">
        <v>279</v>
      </c>
    </row>
    <row r="3" spans="2:9" x14ac:dyDescent="0.35">
      <c r="C3" t="s">
        <v>247</v>
      </c>
      <c r="D3" s="150" t="s">
        <v>248</v>
      </c>
      <c r="E3" s="150" t="s">
        <v>249</v>
      </c>
    </row>
    <row r="4" spans="2:9" ht="43.5" x14ac:dyDescent="0.35">
      <c r="B4">
        <v>1</v>
      </c>
      <c r="C4" t="s">
        <v>250</v>
      </c>
      <c r="D4" s="150" t="s">
        <v>251</v>
      </c>
      <c r="E4" s="150" t="s">
        <v>252</v>
      </c>
      <c r="H4">
        <v>1</v>
      </c>
      <c r="I4" t="s">
        <v>282</v>
      </c>
    </row>
    <row r="5" spans="2:9" ht="29" x14ac:dyDescent="0.35">
      <c r="D5" s="150" t="s">
        <v>253</v>
      </c>
      <c r="H5">
        <v>2</v>
      </c>
      <c r="I5" t="s">
        <v>280</v>
      </c>
    </row>
    <row r="6" spans="2:9" x14ac:dyDescent="0.35">
      <c r="B6">
        <v>2</v>
      </c>
      <c r="C6" t="s">
        <v>254</v>
      </c>
      <c r="D6" s="150" t="s">
        <v>255</v>
      </c>
      <c r="H6">
        <v>3</v>
      </c>
      <c r="I6" t="s">
        <v>281</v>
      </c>
    </row>
    <row r="7" spans="2:9" ht="29" x14ac:dyDescent="0.35">
      <c r="D7" s="150" t="s">
        <v>256</v>
      </c>
      <c r="H7">
        <v>4</v>
      </c>
      <c r="I7" t="s">
        <v>283</v>
      </c>
    </row>
    <row r="8" spans="2:9" x14ac:dyDescent="0.35">
      <c r="B8">
        <v>3</v>
      </c>
      <c r="C8" t="s">
        <v>257</v>
      </c>
      <c r="D8" s="150" t="s">
        <v>255</v>
      </c>
    </row>
    <row r="9" spans="2:9" ht="29" x14ac:dyDescent="0.35">
      <c r="D9" s="150" t="s">
        <v>256</v>
      </c>
    </row>
    <row r="10" spans="2:9" ht="29" x14ac:dyDescent="0.35">
      <c r="B10">
        <v>4</v>
      </c>
      <c r="C10" t="s">
        <v>258</v>
      </c>
      <c r="D10" s="150" t="s">
        <v>259</v>
      </c>
    </row>
    <row r="11" spans="2:9" x14ac:dyDescent="0.35">
      <c r="B11">
        <v>5</v>
      </c>
      <c r="C11" t="s">
        <v>260</v>
      </c>
      <c r="D11" s="150" t="s">
        <v>261</v>
      </c>
    </row>
    <row r="12" spans="2:9" x14ac:dyDescent="0.35">
      <c r="B12">
        <v>6</v>
      </c>
      <c r="C12" t="s">
        <v>262</v>
      </c>
      <c r="D12" s="150" t="s">
        <v>263</v>
      </c>
    </row>
    <row r="13" spans="2:9" x14ac:dyDescent="0.35">
      <c r="B13">
        <v>7</v>
      </c>
      <c r="C13" s="150" t="s">
        <v>264</v>
      </c>
      <c r="D13" s="150" t="s">
        <v>265</v>
      </c>
    </row>
    <row r="14" spans="2:9" ht="29" x14ac:dyDescent="0.35">
      <c r="C14" s="150"/>
      <c r="D14" s="150" t="s">
        <v>266</v>
      </c>
    </row>
    <row r="15" spans="2:9" x14ac:dyDescent="0.35">
      <c r="C15" s="1" t="s">
        <v>267</v>
      </c>
    </row>
    <row r="16" spans="2:9" ht="29" x14ac:dyDescent="0.35">
      <c r="B16">
        <v>1</v>
      </c>
      <c r="C16" t="s">
        <v>268</v>
      </c>
      <c r="D16" s="150" t="s">
        <v>269</v>
      </c>
    </row>
    <row r="17" spans="2:4" ht="29" x14ac:dyDescent="0.35">
      <c r="B17">
        <v>2</v>
      </c>
      <c r="C17" s="150" t="s">
        <v>270</v>
      </c>
    </row>
    <row r="19" spans="2:4" ht="29" x14ac:dyDescent="0.35">
      <c r="D19" s="151" t="s">
        <v>276</v>
      </c>
    </row>
    <row r="20" spans="2:4" ht="29" x14ac:dyDescent="0.35">
      <c r="D20" s="151" t="s">
        <v>271</v>
      </c>
    </row>
    <row r="21" spans="2:4" ht="29" x14ac:dyDescent="0.35">
      <c r="D21" s="151" t="s">
        <v>277</v>
      </c>
    </row>
    <row r="22" spans="2:4" ht="29" x14ac:dyDescent="0.35">
      <c r="D22" s="151" t="s">
        <v>278</v>
      </c>
    </row>
    <row r="23" spans="2:4" x14ac:dyDescent="0.35">
      <c r="D23" s="151" t="s">
        <v>272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1EABD-74B1-4BDA-A0B0-9D0DA1540A10}">
  <dimension ref="A1"/>
  <sheetViews>
    <sheetView topLeftCell="A16" zoomScale="64" workbookViewId="0">
      <selection activeCell="Q43" sqref="Q4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9DD3E-7F93-4549-9C73-5B9FA8108BAA}">
  <sheetPr codeName="Sheet26">
    <tabColor rgb="FFFF0000"/>
    <pageSetUpPr fitToPage="1"/>
  </sheetPr>
  <dimension ref="D1:AV323"/>
  <sheetViews>
    <sheetView showGridLines="0" topLeftCell="AM1" zoomScale="54" zoomScaleNormal="55" zoomScaleSheetLayoutView="100" workbookViewId="0">
      <selection activeCell="BU17" sqref="BU17"/>
    </sheetView>
  </sheetViews>
  <sheetFormatPr defaultColWidth="9.26953125" defaultRowHeight="16" x14ac:dyDescent="0.35"/>
  <cols>
    <col min="1" max="1" width="9.26953125" style="7"/>
    <col min="2" max="2" width="35.1796875" style="7" customWidth="1"/>
    <col min="3" max="3" width="6.81640625" style="7" customWidth="1"/>
    <col min="4" max="4" width="31.26953125" style="18" customWidth="1"/>
    <col min="5" max="6" width="9" style="18" bestFit="1" customWidth="1"/>
    <col min="7" max="7" width="11.26953125" style="18" bestFit="1" customWidth="1"/>
    <col min="8" max="9" width="11.26953125" style="18" customWidth="1"/>
    <col min="10" max="10" width="17.81640625" style="18" customWidth="1"/>
    <col min="11" max="16" width="14.7265625" style="18" customWidth="1"/>
    <col min="17" max="17" width="15.26953125" style="18" bestFit="1" customWidth="1"/>
    <col min="18" max="18" width="14.7265625" style="18" customWidth="1"/>
    <col min="19" max="19" width="15" style="18" customWidth="1"/>
    <col min="20" max="21" width="14.7265625" style="18" customWidth="1"/>
    <col min="22" max="25" width="15" style="18" customWidth="1"/>
    <col min="26" max="26" width="15.26953125" style="7" bestFit="1" customWidth="1"/>
    <col min="27" max="27" width="13" style="7" customWidth="1"/>
    <col min="28" max="29" width="14.26953125" style="7" customWidth="1"/>
    <col min="30" max="31" width="11" style="7" customWidth="1"/>
    <col min="32" max="16384" width="9.26953125" style="7"/>
  </cols>
  <sheetData>
    <row r="1" spans="4:48" ht="26.25" customHeight="1" x14ac:dyDescent="0.55000000000000004">
      <c r="D1" s="2676" t="s">
        <v>5</v>
      </c>
      <c r="E1" s="2676"/>
      <c r="F1" s="2676"/>
      <c r="G1" s="2676"/>
      <c r="H1" s="2676"/>
      <c r="I1" s="2676"/>
      <c r="J1" s="2676"/>
      <c r="K1" s="2676"/>
      <c r="L1" s="2676"/>
      <c r="M1" s="2676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4:48" ht="30.75" customHeight="1" x14ac:dyDescent="0.35">
      <c r="D2" s="8" t="s">
        <v>6</v>
      </c>
      <c r="E2" s="8"/>
      <c r="F2" s="126"/>
      <c r="G2" s="126"/>
      <c r="H2" s="126"/>
      <c r="I2" s="126"/>
      <c r="J2" s="9" t="s">
        <v>353</v>
      </c>
      <c r="K2" s="10"/>
      <c r="L2" s="10"/>
      <c r="M2" s="11"/>
      <c r="N2" s="11"/>
      <c r="O2" s="12"/>
      <c r="P2" s="12"/>
      <c r="Q2" s="7"/>
      <c r="R2" s="12"/>
      <c r="S2" s="12"/>
      <c r="T2" s="12"/>
      <c r="U2" s="12"/>
      <c r="V2" s="12"/>
      <c r="W2" s="12"/>
      <c r="X2" s="12"/>
      <c r="Y2" s="12"/>
    </row>
    <row r="3" spans="4:48" ht="26.25" customHeight="1" x14ac:dyDescent="0.35">
      <c r="D3" s="8" t="s">
        <v>8</v>
      </c>
      <c r="E3" s="8"/>
      <c r="F3" s="126"/>
      <c r="G3" s="126"/>
      <c r="H3" s="126"/>
      <c r="I3" s="126"/>
      <c r="J3" s="14" t="s">
        <v>432</v>
      </c>
      <c r="K3" s="15"/>
      <c r="L3" s="15"/>
      <c r="M3" s="11"/>
      <c r="N3" s="11"/>
      <c r="O3" s="12"/>
      <c r="P3" s="11"/>
      <c r="Q3" s="7"/>
      <c r="R3" s="12"/>
      <c r="S3" s="11"/>
      <c r="T3" s="12"/>
      <c r="U3" s="12"/>
      <c r="V3" s="11"/>
      <c r="W3" s="11"/>
      <c r="X3" s="11"/>
      <c r="Y3" s="11"/>
    </row>
    <row r="4" spans="4:48" ht="28.5" customHeight="1" x14ac:dyDescent="0.35">
      <c r="D4" s="8" t="s">
        <v>9</v>
      </c>
      <c r="E4" s="8"/>
      <c r="F4" s="126"/>
      <c r="G4" s="126"/>
      <c r="H4" s="126"/>
      <c r="I4" s="126"/>
      <c r="J4" s="127" t="s">
        <v>10</v>
      </c>
      <c r="K4" s="127"/>
      <c r="L4" s="127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4:48" s="103" customFormat="1" ht="56.25" customHeight="1" x14ac:dyDescent="0.35">
      <c r="D5" s="128"/>
      <c r="E5" s="128"/>
      <c r="F5" s="128"/>
      <c r="G5" s="128"/>
      <c r="H5" s="128"/>
      <c r="I5" s="128"/>
      <c r="J5" s="13"/>
      <c r="K5" s="13"/>
      <c r="L5" s="13"/>
      <c r="M5" s="129"/>
      <c r="N5" s="129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AQ5" s="103" t="s">
        <v>541</v>
      </c>
      <c r="AU5" s="103" t="s">
        <v>646</v>
      </c>
    </row>
    <row r="6" spans="4:48" s="103" customFormat="1" ht="43.15" customHeight="1" x14ac:dyDescent="0.35">
      <c r="D6" s="128"/>
      <c r="E6" s="128"/>
      <c r="F6" s="128"/>
      <c r="G6" s="128"/>
      <c r="H6" s="128"/>
      <c r="I6" s="128"/>
      <c r="J6" s="218" t="s">
        <v>94</v>
      </c>
      <c r="K6" s="13"/>
      <c r="L6" s="13"/>
      <c r="M6" s="129"/>
      <c r="N6" s="219" t="s">
        <v>356</v>
      </c>
      <c r="O6" s="13"/>
      <c r="P6" s="13"/>
      <c r="Q6" s="13"/>
      <c r="R6" s="13"/>
      <c r="S6" s="13"/>
      <c r="T6" s="218" t="s">
        <v>357</v>
      </c>
      <c r="U6" s="13"/>
      <c r="V6" s="13"/>
      <c r="W6" s="13"/>
      <c r="X6" s="13"/>
      <c r="Y6" s="13"/>
      <c r="AQ6" s="498" t="s">
        <v>442</v>
      </c>
      <c r="AR6" s="103">
        <v>1</v>
      </c>
      <c r="AS6" s="103">
        <v>170.44444444444446</v>
      </c>
      <c r="AU6" s="714">
        <v>326.7</v>
      </c>
      <c r="AV6" s="103">
        <f>(AU6-32)*5/9</f>
        <v>163.72222222222223</v>
      </c>
    </row>
    <row r="7" spans="4:48" s="103" customFormat="1" ht="39" customHeight="1" x14ac:dyDescent="0.35">
      <c r="D7" s="128"/>
      <c r="E7" s="128"/>
      <c r="F7" s="128"/>
      <c r="G7" s="130" t="s">
        <v>93</v>
      </c>
      <c r="H7" s="130" t="s">
        <v>93</v>
      </c>
      <c r="I7" s="130" t="s">
        <v>93</v>
      </c>
      <c r="J7" s="211">
        <v>1</v>
      </c>
      <c r="K7" s="212">
        <v>2</v>
      </c>
      <c r="L7" s="212">
        <v>3</v>
      </c>
      <c r="M7" s="212">
        <v>4</v>
      </c>
      <c r="N7" s="211">
        <v>5</v>
      </c>
      <c r="O7" s="212">
        <v>6</v>
      </c>
      <c r="P7" s="214">
        <v>7</v>
      </c>
      <c r="Q7" s="214">
        <v>8</v>
      </c>
      <c r="R7" s="214">
        <v>9</v>
      </c>
      <c r="S7" s="214">
        <v>10</v>
      </c>
      <c r="T7" s="217">
        <v>11</v>
      </c>
      <c r="U7" s="214">
        <v>12</v>
      </c>
      <c r="V7" s="214">
        <v>13</v>
      </c>
      <c r="W7" s="214">
        <v>14</v>
      </c>
      <c r="X7" s="214">
        <v>15</v>
      </c>
      <c r="Y7" s="214">
        <v>16</v>
      </c>
      <c r="Z7" s="131"/>
      <c r="AQ7" s="498" t="s">
        <v>443</v>
      </c>
      <c r="AR7" s="103">
        <v>2</v>
      </c>
      <c r="AS7" s="103">
        <v>197.11111111111111</v>
      </c>
      <c r="AU7" s="714">
        <v>379.8</v>
      </c>
      <c r="AV7" s="103">
        <f t="shared" ref="AV7:AV70" si="0">(AU7-32)*5/9</f>
        <v>193.22222222222223</v>
      </c>
    </row>
    <row r="8" spans="4:48" s="132" customFormat="1" ht="16.5" thickBot="1" x14ac:dyDescent="0.4">
      <c r="D8" s="144" t="s">
        <v>15</v>
      </c>
      <c r="G8" s="132" t="s">
        <v>94</v>
      </c>
      <c r="H8" s="132" t="s">
        <v>362</v>
      </c>
      <c r="I8" s="132" t="s">
        <v>363</v>
      </c>
      <c r="J8" s="215"/>
      <c r="K8" s="133"/>
      <c r="N8" s="216"/>
      <c r="O8" s="12"/>
      <c r="T8" s="216"/>
      <c r="AQ8" s="498" t="s">
        <v>444</v>
      </c>
      <c r="AR8" s="103">
        <v>3</v>
      </c>
      <c r="AS8" s="715">
        <v>216.05555555555554</v>
      </c>
      <c r="AU8" s="714">
        <v>414.4</v>
      </c>
      <c r="AV8" s="103">
        <f t="shared" si="0"/>
        <v>212.44444444444446</v>
      </c>
    </row>
    <row r="9" spans="4:48" s="103" customFormat="1" ht="19.5" customHeight="1" x14ac:dyDescent="0.35">
      <c r="D9" s="134" t="s">
        <v>92</v>
      </c>
      <c r="E9" s="135">
        <v>500</v>
      </c>
      <c r="F9" s="135">
        <v>560</v>
      </c>
      <c r="G9" s="135" t="s">
        <v>93</v>
      </c>
      <c r="H9" s="135" t="s">
        <v>431</v>
      </c>
      <c r="I9" s="135" t="s">
        <v>544</v>
      </c>
      <c r="J9" s="429">
        <v>45856</v>
      </c>
      <c r="K9" s="429">
        <v>45857</v>
      </c>
      <c r="L9" s="429">
        <v>45858</v>
      </c>
      <c r="M9" s="429">
        <v>45859</v>
      </c>
      <c r="N9" s="429">
        <v>45860</v>
      </c>
      <c r="O9" s="429">
        <v>45861</v>
      </c>
      <c r="P9" s="429">
        <v>45862</v>
      </c>
      <c r="Q9" s="429">
        <v>45863</v>
      </c>
      <c r="R9" s="429">
        <v>45864</v>
      </c>
      <c r="S9" s="429">
        <v>45865</v>
      </c>
      <c r="T9" s="429">
        <v>45866</v>
      </c>
      <c r="U9" s="429">
        <v>45867</v>
      </c>
      <c r="V9" s="429">
        <v>45868</v>
      </c>
      <c r="W9" s="429">
        <v>45869</v>
      </c>
      <c r="X9" s="429">
        <v>45870</v>
      </c>
      <c r="Y9" s="429">
        <v>45871</v>
      </c>
      <c r="Z9" s="429">
        <v>45872</v>
      </c>
      <c r="AB9" s="168" t="s">
        <v>438</v>
      </c>
      <c r="AC9" s="168" t="s">
        <v>439</v>
      </c>
      <c r="AD9" s="168" t="s">
        <v>440</v>
      </c>
      <c r="AE9" s="103">
        <v>4.5</v>
      </c>
      <c r="AF9" s="103">
        <v>-5</v>
      </c>
      <c r="AQ9" s="498" t="s">
        <v>445</v>
      </c>
      <c r="AR9" s="103">
        <v>4</v>
      </c>
      <c r="AS9" s="103">
        <v>230.11111111111111</v>
      </c>
      <c r="AU9" s="714">
        <v>440.5</v>
      </c>
      <c r="AV9" s="103">
        <f t="shared" si="0"/>
        <v>226.94444444444446</v>
      </c>
    </row>
    <row r="10" spans="4:48" s="103" customFormat="1" ht="19.5" customHeight="1" x14ac:dyDescent="0.35">
      <c r="D10" s="136">
        <v>0</v>
      </c>
      <c r="E10" s="136">
        <v>500</v>
      </c>
      <c r="F10" s="136">
        <v>560</v>
      </c>
      <c r="G10" s="137">
        <v>375.98</v>
      </c>
      <c r="H10" s="137">
        <v>462.3</v>
      </c>
      <c r="I10" s="137">
        <v>436.7</v>
      </c>
      <c r="J10" s="138">
        <v>142.1</v>
      </c>
      <c r="K10" s="138">
        <v>140.19999999999999</v>
      </c>
      <c r="L10" s="138">
        <v>152.5</v>
      </c>
      <c r="M10" s="138">
        <v>133.6</v>
      </c>
      <c r="N10" s="138">
        <v>95.5</v>
      </c>
      <c r="O10" s="138">
        <v>110.4</v>
      </c>
      <c r="P10" s="138">
        <v>111.6</v>
      </c>
      <c r="Q10" s="138">
        <v>109.6</v>
      </c>
      <c r="R10" s="138">
        <v>113.9</v>
      </c>
      <c r="S10" s="138">
        <v>111.7</v>
      </c>
      <c r="T10" s="138">
        <v>101.6</v>
      </c>
      <c r="U10" s="138"/>
      <c r="V10" s="138">
        <v>121.9</v>
      </c>
      <c r="W10" s="138"/>
      <c r="X10" s="138"/>
      <c r="Y10" s="138"/>
      <c r="Z10" s="138"/>
      <c r="AB10"/>
      <c r="AC10"/>
      <c r="AD10"/>
      <c r="AE10" s="103">
        <v>4.5</v>
      </c>
      <c r="AF10" s="103">
        <v>105</v>
      </c>
      <c r="AN10" s="103">
        <v>0</v>
      </c>
      <c r="AO10" s="103">
        <v>560</v>
      </c>
      <c r="AQ10" s="498" t="s">
        <v>446</v>
      </c>
      <c r="AR10" s="103">
        <v>5</v>
      </c>
      <c r="AS10" s="103">
        <v>243.72222222222223</v>
      </c>
      <c r="AU10" s="714">
        <v>463.4</v>
      </c>
      <c r="AV10" s="103">
        <f t="shared" si="0"/>
        <v>239.66666666666666</v>
      </c>
    </row>
    <row r="11" spans="4:48" s="103" customFormat="1" ht="19.5" customHeight="1" x14ac:dyDescent="0.35">
      <c r="D11" s="136">
        <v>1</v>
      </c>
      <c r="E11" s="136">
        <v>500</v>
      </c>
      <c r="F11" s="136">
        <v>560</v>
      </c>
      <c r="G11" s="137">
        <v>402</v>
      </c>
      <c r="H11" s="137">
        <v>528.9</v>
      </c>
      <c r="I11" s="137">
        <v>499.2</v>
      </c>
      <c r="J11" s="138">
        <v>173.4</v>
      </c>
      <c r="K11" s="138">
        <v>187.3</v>
      </c>
      <c r="L11" s="138">
        <v>185.3</v>
      </c>
      <c r="M11" s="138">
        <v>179.1</v>
      </c>
      <c r="N11" s="138">
        <v>125.7</v>
      </c>
      <c r="O11" s="138">
        <v>133.4</v>
      </c>
      <c r="P11" s="138">
        <v>136.19999999999999</v>
      </c>
      <c r="Q11" s="138">
        <v>135.4</v>
      </c>
      <c r="R11" s="138">
        <v>137.80000000000001</v>
      </c>
      <c r="S11" s="138">
        <v>137.30000000000001</v>
      </c>
      <c r="T11" s="138">
        <v>128.30000000000001</v>
      </c>
      <c r="U11" s="138"/>
      <c r="V11" s="138">
        <v>144.19999999999999</v>
      </c>
      <c r="W11" s="138"/>
      <c r="X11" s="138"/>
      <c r="Y11" s="138"/>
      <c r="Z11" s="138"/>
      <c r="AB11">
        <v>1</v>
      </c>
      <c r="AC11">
        <v>41.2</v>
      </c>
      <c r="AD11">
        <v>12.4</v>
      </c>
      <c r="AE11" s="103">
        <v>10.5</v>
      </c>
      <c r="AN11" s="103">
        <v>120</v>
      </c>
      <c r="AO11" s="103">
        <v>560</v>
      </c>
      <c r="AQ11" s="498" t="s">
        <v>447</v>
      </c>
      <c r="AR11" s="103">
        <v>6</v>
      </c>
      <c r="AS11" s="103">
        <v>254.66666666666666</v>
      </c>
      <c r="AU11" s="714">
        <v>486.9</v>
      </c>
      <c r="AV11" s="103">
        <f t="shared" si="0"/>
        <v>252.72222222222223</v>
      </c>
    </row>
    <row r="12" spans="4:48" s="103" customFormat="1" ht="19.5" customHeight="1" x14ac:dyDescent="0.35">
      <c r="D12" s="136">
        <v>2</v>
      </c>
      <c r="E12" s="136">
        <v>500</v>
      </c>
      <c r="F12" s="136">
        <v>560</v>
      </c>
      <c r="G12" s="137">
        <v>422</v>
      </c>
      <c r="H12" s="137">
        <v>546.9</v>
      </c>
      <c r="I12" s="137">
        <v>527.20000000000005</v>
      </c>
      <c r="J12" s="138">
        <v>215</v>
      </c>
      <c r="K12" s="138">
        <v>232</v>
      </c>
      <c r="L12" s="138">
        <v>226.6</v>
      </c>
      <c r="M12" s="138">
        <v>224.9</v>
      </c>
      <c r="N12" s="138">
        <v>155.6</v>
      </c>
      <c r="O12" s="138">
        <v>162.30000000000001</v>
      </c>
      <c r="P12" s="138">
        <v>162.80000000000001</v>
      </c>
      <c r="Q12" s="138">
        <v>164.5</v>
      </c>
      <c r="R12" s="138">
        <v>163.19999999999999</v>
      </c>
      <c r="S12" s="138">
        <v>163.19999999999999</v>
      </c>
      <c r="T12" s="138">
        <v>159.30000000000001</v>
      </c>
      <c r="U12" s="138"/>
      <c r="V12" s="138">
        <v>169.7</v>
      </c>
      <c r="W12" s="138"/>
      <c r="X12" s="138"/>
      <c r="Y12" s="138"/>
      <c r="Z12" s="138"/>
      <c r="AB12">
        <v>2</v>
      </c>
      <c r="AC12">
        <v>41.6</v>
      </c>
      <c r="AD12">
        <v>12.2</v>
      </c>
      <c r="AE12" s="103">
        <v>10.5</v>
      </c>
      <c r="AQ12" s="498" t="s">
        <v>448</v>
      </c>
      <c r="AR12" s="103">
        <v>7</v>
      </c>
      <c r="AS12" s="103">
        <v>265.83333333333331</v>
      </c>
      <c r="AU12" s="714">
        <v>505.8</v>
      </c>
      <c r="AV12" s="103">
        <f t="shared" si="0"/>
        <v>263.22222222222223</v>
      </c>
    </row>
    <row r="13" spans="4:48" s="103" customFormat="1" ht="19.5" customHeight="1" x14ac:dyDescent="0.35">
      <c r="D13" s="136">
        <v>3</v>
      </c>
      <c r="E13" s="136">
        <v>500</v>
      </c>
      <c r="F13" s="136">
        <v>560</v>
      </c>
      <c r="G13" s="137">
        <v>462</v>
      </c>
      <c r="H13" s="137">
        <v>555.20000000000005</v>
      </c>
      <c r="I13" s="137">
        <v>538.6</v>
      </c>
      <c r="J13" s="138">
        <v>248.3</v>
      </c>
      <c r="K13" s="138">
        <v>261.39999999999998</v>
      </c>
      <c r="L13" s="138">
        <v>255</v>
      </c>
      <c r="M13" s="138">
        <v>255.3</v>
      </c>
      <c r="N13" s="138">
        <v>174.7</v>
      </c>
      <c r="O13" s="138">
        <v>180.8</v>
      </c>
      <c r="P13" s="138">
        <v>181.4</v>
      </c>
      <c r="Q13" s="138">
        <v>184.4</v>
      </c>
      <c r="R13" s="138">
        <v>181.5</v>
      </c>
      <c r="S13" s="138">
        <v>180.4</v>
      </c>
      <c r="T13" s="138">
        <v>178.5</v>
      </c>
      <c r="U13" s="138"/>
      <c r="V13" s="138">
        <v>185.8</v>
      </c>
      <c r="W13" s="138"/>
      <c r="X13" s="138"/>
      <c r="Y13" s="138"/>
      <c r="Z13" s="138"/>
      <c r="AB13" s="476">
        <v>3</v>
      </c>
      <c r="AC13" s="476">
        <v>42</v>
      </c>
      <c r="AD13" s="476">
        <v>11.5</v>
      </c>
      <c r="AQ13" s="498" t="s">
        <v>449</v>
      </c>
      <c r="AR13" s="103">
        <v>8</v>
      </c>
      <c r="AS13" s="103">
        <v>275.55555555555554</v>
      </c>
      <c r="AU13" s="714">
        <v>522.5</v>
      </c>
      <c r="AV13" s="103">
        <f t="shared" si="0"/>
        <v>272.5</v>
      </c>
    </row>
    <row r="14" spans="4:48" s="103" customFormat="1" ht="19.5" customHeight="1" x14ac:dyDescent="0.35">
      <c r="D14" s="136">
        <v>4</v>
      </c>
      <c r="E14" s="136">
        <v>500</v>
      </c>
      <c r="F14" s="136">
        <v>560</v>
      </c>
      <c r="G14" s="137">
        <v>489</v>
      </c>
      <c r="H14" s="137">
        <v>561</v>
      </c>
      <c r="I14" s="137">
        <v>546.5</v>
      </c>
      <c r="J14" s="138">
        <v>270.7</v>
      </c>
      <c r="K14" s="138">
        <v>285.2</v>
      </c>
      <c r="L14" s="138">
        <v>279.10000000000002</v>
      </c>
      <c r="M14" s="138">
        <v>279.7</v>
      </c>
      <c r="N14" s="138">
        <v>190.5</v>
      </c>
      <c r="O14" s="138">
        <v>196.7</v>
      </c>
      <c r="P14" s="138">
        <v>196.4</v>
      </c>
      <c r="Q14" s="138">
        <v>200.6</v>
      </c>
      <c r="R14" s="138">
        <v>196.9</v>
      </c>
      <c r="S14" s="138">
        <v>196.6</v>
      </c>
      <c r="T14" s="138">
        <v>195.4</v>
      </c>
      <c r="U14" s="138"/>
      <c r="V14" s="138">
        <v>200.3</v>
      </c>
      <c r="W14" s="138"/>
      <c r="X14" s="138"/>
      <c r="Y14" s="138"/>
      <c r="Z14" s="138"/>
      <c r="AB14">
        <v>4</v>
      </c>
      <c r="AC14">
        <v>42.5</v>
      </c>
      <c r="AD14">
        <v>11.3</v>
      </c>
      <c r="AN14" s="103">
        <v>0</v>
      </c>
      <c r="AO14" s="103">
        <v>160</v>
      </c>
      <c r="AQ14" s="498" t="s">
        <v>450</v>
      </c>
      <c r="AR14" s="103">
        <v>9</v>
      </c>
      <c r="AS14" s="103">
        <v>285.94444444444446</v>
      </c>
      <c r="AU14" s="714">
        <v>542</v>
      </c>
      <c r="AV14" s="103">
        <f t="shared" si="0"/>
        <v>283.33333333333331</v>
      </c>
    </row>
    <row r="15" spans="4:48" s="103" customFormat="1" ht="19.5" customHeight="1" x14ac:dyDescent="0.35">
      <c r="D15" s="430">
        <v>5</v>
      </c>
      <c r="E15" s="430">
        <v>500</v>
      </c>
      <c r="F15" s="430">
        <v>560</v>
      </c>
      <c r="G15" s="431">
        <v>510</v>
      </c>
      <c r="H15" s="431">
        <v>565.70000000000005</v>
      </c>
      <c r="I15" s="431">
        <v>553.1</v>
      </c>
      <c r="J15" s="432">
        <v>291.2</v>
      </c>
      <c r="K15" s="432">
        <v>305.60000000000002</v>
      </c>
      <c r="L15" s="432">
        <v>299.2</v>
      </c>
      <c r="M15" s="432">
        <v>300.89999999999998</v>
      </c>
      <c r="N15" s="432">
        <v>203.2</v>
      </c>
      <c r="O15" s="432">
        <v>211.2</v>
      </c>
      <c r="P15" s="432">
        <v>209.9</v>
      </c>
      <c r="Q15" s="432">
        <v>215.6</v>
      </c>
      <c r="R15" s="432">
        <v>211</v>
      </c>
      <c r="S15" s="432">
        <v>210.8</v>
      </c>
      <c r="T15" s="432">
        <v>210.7</v>
      </c>
      <c r="U15" s="432"/>
      <c r="V15" s="432">
        <v>212.1</v>
      </c>
      <c r="W15" s="432"/>
      <c r="X15" s="432"/>
      <c r="Y15" s="432"/>
      <c r="Z15" s="432"/>
      <c r="AB15">
        <v>5</v>
      </c>
      <c r="AC15">
        <v>43</v>
      </c>
      <c r="AD15">
        <v>16</v>
      </c>
      <c r="AN15" s="103">
        <v>120</v>
      </c>
      <c r="AO15" s="103">
        <v>160</v>
      </c>
      <c r="AQ15" s="498" t="s">
        <v>451</v>
      </c>
      <c r="AR15" s="103">
        <v>10</v>
      </c>
      <c r="AS15" s="103">
        <v>293.94444444444446</v>
      </c>
      <c r="AU15" s="714">
        <v>557.1</v>
      </c>
      <c r="AV15" s="103">
        <f t="shared" si="0"/>
        <v>291.72222222222223</v>
      </c>
    </row>
    <row r="16" spans="4:48" s="103" customFormat="1" ht="19.5" customHeight="1" x14ac:dyDescent="0.35">
      <c r="D16" s="136">
        <v>6</v>
      </c>
      <c r="E16" s="136">
        <v>500</v>
      </c>
      <c r="F16" s="136">
        <v>560</v>
      </c>
      <c r="G16" s="137">
        <v>518</v>
      </c>
      <c r="H16" s="137">
        <v>569.70000000000005</v>
      </c>
      <c r="I16" s="137">
        <v>558.5</v>
      </c>
      <c r="J16" s="138">
        <v>308.60000000000002</v>
      </c>
      <c r="K16" s="138">
        <v>323.2</v>
      </c>
      <c r="L16" s="138">
        <v>317.3</v>
      </c>
      <c r="M16" s="138">
        <v>317.7</v>
      </c>
      <c r="N16" s="138">
        <v>216</v>
      </c>
      <c r="O16" s="138">
        <v>222.6</v>
      </c>
      <c r="P16" s="138">
        <v>220.8</v>
      </c>
      <c r="Q16" s="138">
        <v>227.3</v>
      </c>
      <c r="R16" s="138">
        <v>222.2</v>
      </c>
      <c r="S16" s="138">
        <v>222.9</v>
      </c>
      <c r="T16" s="138">
        <v>223.5</v>
      </c>
      <c r="U16" s="138"/>
      <c r="V16" s="138">
        <v>221.4</v>
      </c>
      <c r="W16" s="138"/>
      <c r="X16" s="138"/>
      <c r="Y16" s="138"/>
      <c r="Z16" s="138"/>
      <c r="AB16">
        <v>6</v>
      </c>
      <c r="AC16">
        <v>44.6</v>
      </c>
      <c r="AD16">
        <v>15.8</v>
      </c>
      <c r="AQ16" s="498" t="s">
        <v>452</v>
      </c>
      <c r="AR16" s="103">
        <v>11</v>
      </c>
      <c r="AS16" s="103">
        <v>301.94444444444446</v>
      </c>
      <c r="AU16" s="714">
        <v>572.79999999999995</v>
      </c>
      <c r="AV16" s="103">
        <f t="shared" si="0"/>
        <v>300.44444444444446</v>
      </c>
    </row>
    <row r="17" spans="4:48" s="103" customFormat="1" ht="19.5" customHeight="1" x14ac:dyDescent="0.35">
      <c r="D17" s="136">
        <v>7</v>
      </c>
      <c r="E17" s="136">
        <v>500</v>
      </c>
      <c r="F17" s="136">
        <v>560</v>
      </c>
      <c r="G17" s="137">
        <v>525</v>
      </c>
      <c r="H17" s="137">
        <v>573.20000000000005</v>
      </c>
      <c r="I17" s="137">
        <v>563.20000000000005</v>
      </c>
      <c r="J17" s="138">
        <v>324.2</v>
      </c>
      <c r="K17" s="138">
        <v>338.6</v>
      </c>
      <c r="L17" s="138">
        <v>332.5</v>
      </c>
      <c r="M17" s="138">
        <v>332.7</v>
      </c>
      <c r="N17" s="138">
        <v>226</v>
      </c>
      <c r="O17" s="138">
        <v>234</v>
      </c>
      <c r="P17" s="138">
        <v>231.5</v>
      </c>
      <c r="Q17" s="138">
        <v>238.1</v>
      </c>
      <c r="R17" s="138">
        <v>232.1</v>
      </c>
      <c r="S17" s="138">
        <v>235.2</v>
      </c>
      <c r="T17" s="138">
        <v>234.8</v>
      </c>
      <c r="U17" s="138"/>
      <c r="V17" s="138">
        <v>231.3</v>
      </c>
      <c r="W17" s="138"/>
      <c r="X17" s="138"/>
      <c r="Y17" s="138"/>
      <c r="Z17" s="138"/>
      <c r="AB17">
        <v>7</v>
      </c>
      <c r="AC17">
        <v>44.8</v>
      </c>
      <c r="AD17">
        <v>15.8</v>
      </c>
      <c r="AN17" s="103">
        <v>0</v>
      </c>
      <c r="AO17" s="103">
        <v>360</v>
      </c>
      <c r="AQ17" s="498" t="s">
        <v>453</v>
      </c>
      <c r="AR17" s="103">
        <v>12</v>
      </c>
      <c r="AS17" s="103">
        <v>309.33333333333331</v>
      </c>
      <c r="AU17" s="714">
        <v>585.5</v>
      </c>
      <c r="AV17" s="103">
        <f t="shared" si="0"/>
        <v>307.5</v>
      </c>
    </row>
    <row r="18" spans="4:48" s="103" customFormat="1" ht="19.5" customHeight="1" x14ac:dyDescent="0.35">
      <c r="D18" s="136">
        <v>8</v>
      </c>
      <c r="E18" s="136">
        <v>500</v>
      </c>
      <c r="F18" s="136">
        <v>560</v>
      </c>
      <c r="G18" s="137">
        <v>533</v>
      </c>
      <c r="H18" s="137">
        <v>576.70000000000005</v>
      </c>
      <c r="I18" s="137">
        <v>567.4</v>
      </c>
      <c r="J18" s="138">
        <v>338.5</v>
      </c>
      <c r="K18" s="138">
        <v>351.3</v>
      </c>
      <c r="L18" s="138">
        <v>345.5</v>
      </c>
      <c r="M18" s="138">
        <v>345.9</v>
      </c>
      <c r="N18" s="138">
        <v>235.1</v>
      </c>
      <c r="O18" s="138">
        <v>244.8</v>
      </c>
      <c r="P18" s="138">
        <v>241.8</v>
      </c>
      <c r="Q18" s="138">
        <v>249.9</v>
      </c>
      <c r="R18" s="138">
        <v>244.3</v>
      </c>
      <c r="S18" s="138">
        <v>246.7</v>
      </c>
      <c r="T18" s="138">
        <v>247.8</v>
      </c>
      <c r="U18" s="138"/>
      <c r="V18" s="138">
        <v>239.7</v>
      </c>
      <c r="W18" s="138"/>
      <c r="X18" s="138"/>
      <c r="Y18" s="138"/>
      <c r="Z18" s="138"/>
      <c r="AB18">
        <v>8</v>
      </c>
      <c r="AC18">
        <v>44.5</v>
      </c>
      <c r="AD18">
        <v>15.8</v>
      </c>
      <c r="AN18" s="103">
        <v>120</v>
      </c>
      <c r="AO18" s="103">
        <v>360</v>
      </c>
      <c r="AQ18" s="498" t="s">
        <v>454</v>
      </c>
      <c r="AR18" s="103">
        <v>13</v>
      </c>
      <c r="AS18" s="103">
        <v>316.44444444444446</v>
      </c>
      <c r="AU18" s="714">
        <v>599.6</v>
      </c>
      <c r="AV18" s="103">
        <f t="shared" si="0"/>
        <v>315.33333333333331</v>
      </c>
    </row>
    <row r="19" spans="4:48" s="103" customFormat="1" ht="19.5" customHeight="1" x14ac:dyDescent="0.35">
      <c r="D19" s="136">
        <v>9</v>
      </c>
      <c r="E19" s="136">
        <v>500</v>
      </c>
      <c r="F19" s="136">
        <v>560</v>
      </c>
      <c r="G19" s="137">
        <v>538</v>
      </c>
      <c r="H19" s="137">
        <v>580.1</v>
      </c>
      <c r="I19" s="137">
        <v>571.1</v>
      </c>
      <c r="J19" s="138">
        <v>351.6</v>
      </c>
      <c r="K19" s="138">
        <v>362.4</v>
      </c>
      <c r="L19" s="138">
        <v>356.3</v>
      </c>
      <c r="M19" s="138">
        <v>357.3</v>
      </c>
      <c r="N19" s="138">
        <v>245.2</v>
      </c>
      <c r="O19" s="138">
        <v>253.6</v>
      </c>
      <c r="P19" s="138">
        <v>250.5</v>
      </c>
      <c r="Q19" s="138">
        <v>260</v>
      </c>
      <c r="R19" s="138">
        <v>253.8</v>
      </c>
      <c r="S19" s="138">
        <v>256.39999999999998</v>
      </c>
      <c r="T19" s="138">
        <v>258.39999999999998</v>
      </c>
      <c r="U19" s="138"/>
      <c r="V19" s="138">
        <v>249.7</v>
      </c>
      <c r="W19" s="138"/>
      <c r="X19" s="138"/>
      <c r="Y19" s="138"/>
      <c r="Z19" s="138"/>
      <c r="AB19" s="476">
        <v>9</v>
      </c>
      <c r="AC19" s="476">
        <v>45</v>
      </c>
      <c r="AD19" s="476">
        <v>15.7</v>
      </c>
      <c r="AQ19" s="498" t="s">
        <v>455</v>
      </c>
      <c r="AR19" s="103">
        <v>14</v>
      </c>
      <c r="AS19" s="103">
        <v>323.94444444444446</v>
      </c>
      <c r="AU19" s="714">
        <v>611.79999999999995</v>
      </c>
      <c r="AV19" s="103">
        <f t="shared" si="0"/>
        <v>322.11111111111109</v>
      </c>
    </row>
    <row r="20" spans="4:48" s="103" customFormat="1" ht="19.5" customHeight="1" x14ac:dyDescent="0.35">
      <c r="D20" s="430">
        <v>10</v>
      </c>
      <c r="E20" s="430">
        <v>500</v>
      </c>
      <c r="F20" s="430">
        <v>560</v>
      </c>
      <c r="G20" s="431">
        <v>543.5</v>
      </c>
      <c r="H20" s="431">
        <v>583.4</v>
      </c>
      <c r="I20" s="431">
        <v>574.70000000000005</v>
      </c>
      <c r="J20" s="432">
        <v>363.5</v>
      </c>
      <c r="K20" s="432">
        <v>374.1</v>
      </c>
      <c r="L20" s="432">
        <v>366.7</v>
      </c>
      <c r="M20" s="432">
        <v>367.8</v>
      </c>
      <c r="N20" s="432">
        <v>253.3</v>
      </c>
      <c r="O20" s="432">
        <v>264</v>
      </c>
      <c r="P20" s="432">
        <v>260.3</v>
      </c>
      <c r="Q20" s="432">
        <v>270</v>
      </c>
      <c r="R20" s="432">
        <v>264.8</v>
      </c>
      <c r="S20" s="432">
        <v>267.8</v>
      </c>
      <c r="T20" s="432">
        <v>269.10000000000002</v>
      </c>
      <c r="U20" s="432"/>
      <c r="V20" s="432">
        <v>257</v>
      </c>
      <c r="W20" s="432"/>
      <c r="X20" s="432"/>
      <c r="Y20" s="432"/>
      <c r="Z20" s="432"/>
      <c r="AB20">
        <v>10</v>
      </c>
      <c r="AC20">
        <v>44.6</v>
      </c>
      <c r="AD20">
        <v>15.7</v>
      </c>
      <c r="AN20" s="103">
        <v>0</v>
      </c>
      <c r="AO20" s="103">
        <v>560</v>
      </c>
      <c r="AQ20" s="498" t="s">
        <v>456</v>
      </c>
      <c r="AR20" s="103">
        <v>15</v>
      </c>
      <c r="AS20" s="103">
        <v>330.77777777777777</v>
      </c>
      <c r="AU20" s="714">
        <v>625.5</v>
      </c>
      <c r="AV20" s="103">
        <f t="shared" si="0"/>
        <v>329.72222222222223</v>
      </c>
    </row>
    <row r="21" spans="4:48" s="103" customFormat="1" ht="19.5" customHeight="1" x14ac:dyDescent="0.35">
      <c r="D21" s="136">
        <v>11</v>
      </c>
      <c r="E21" s="136">
        <v>500</v>
      </c>
      <c r="F21" s="136">
        <v>560</v>
      </c>
      <c r="G21" s="137">
        <v>548</v>
      </c>
      <c r="H21" s="137">
        <v>586.6</v>
      </c>
      <c r="I21" s="137">
        <v>578.20000000000005</v>
      </c>
      <c r="J21" s="138">
        <v>374.4</v>
      </c>
      <c r="K21" s="138">
        <v>387.1</v>
      </c>
      <c r="L21" s="138">
        <v>378.3</v>
      </c>
      <c r="M21" s="138">
        <v>379.7</v>
      </c>
      <c r="N21" s="138">
        <v>262.5</v>
      </c>
      <c r="O21" s="138">
        <v>273.10000000000002</v>
      </c>
      <c r="P21" s="138">
        <v>268.3</v>
      </c>
      <c r="Q21" s="138">
        <v>280.2</v>
      </c>
      <c r="R21" s="138">
        <v>274.10000000000002</v>
      </c>
      <c r="S21" s="138">
        <v>277.8</v>
      </c>
      <c r="T21" s="138">
        <v>280.2</v>
      </c>
      <c r="U21" s="138"/>
      <c r="V21" s="138">
        <v>266.5</v>
      </c>
      <c r="W21" s="138"/>
      <c r="X21" s="138"/>
      <c r="Y21" s="138"/>
      <c r="Z21" s="138"/>
      <c r="AB21">
        <v>11</v>
      </c>
      <c r="AC21">
        <v>45</v>
      </c>
      <c r="AD21">
        <v>15.6</v>
      </c>
      <c r="AN21" s="103">
        <v>120</v>
      </c>
      <c r="AO21" s="103">
        <v>560</v>
      </c>
      <c r="AQ21" s="498" t="s">
        <v>457</v>
      </c>
      <c r="AR21" s="103">
        <v>16</v>
      </c>
      <c r="AS21" s="103">
        <v>338.05555555555554</v>
      </c>
      <c r="AU21" s="714">
        <v>637.6</v>
      </c>
      <c r="AV21" s="103">
        <f t="shared" si="0"/>
        <v>336.44444444444446</v>
      </c>
    </row>
    <row r="22" spans="4:48" s="103" customFormat="1" ht="19.5" customHeight="1" x14ac:dyDescent="0.35">
      <c r="D22" s="136">
        <v>12</v>
      </c>
      <c r="E22" s="136">
        <v>500</v>
      </c>
      <c r="F22" s="136">
        <v>560</v>
      </c>
      <c r="G22" s="137">
        <v>553</v>
      </c>
      <c r="H22" s="137">
        <v>589.6</v>
      </c>
      <c r="I22" s="137">
        <v>581.70000000000005</v>
      </c>
      <c r="J22" s="138">
        <v>384.5</v>
      </c>
      <c r="K22" s="138">
        <v>397.2</v>
      </c>
      <c r="L22" s="138">
        <v>390.2</v>
      </c>
      <c r="M22" s="138">
        <v>391.3</v>
      </c>
      <c r="N22" s="138">
        <v>270.2</v>
      </c>
      <c r="O22" s="138">
        <v>283</v>
      </c>
      <c r="P22" s="138">
        <v>278.10000000000002</v>
      </c>
      <c r="Q22" s="138">
        <v>289.60000000000002</v>
      </c>
      <c r="R22" s="138">
        <v>283.10000000000002</v>
      </c>
      <c r="S22" s="138">
        <v>287.10000000000002</v>
      </c>
      <c r="T22" s="138">
        <v>290.60000000000002</v>
      </c>
      <c r="U22" s="138"/>
      <c r="V22" s="138">
        <v>274</v>
      </c>
      <c r="W22" s="138"/>
      <c r="X22" s="138"/>
      <c r="Y22" s="138"/>
      <c r="Z22" s="138"/>
      <c r="AB22">
        <v>12</v>
      </c>
      <c r="AC22">
        <v>45</v>
      </c>
      <c r="AD22">
        <v>15</v>
      </c>
      <c r="AQ22" s="498" t="s">
        <v>458</v>
      </c>
      <c r="AR22" s="103">
        <v>17</v>
      </c>
      <c r="AS22" s="103">
        <v>344.66666666666669</v>
      </c>
      <c r="AU22" s="714">
        <v>650.6</v>
      </c>
      <c r="AV22" s="103">
        <f t="shared" si="0"/>
        <v>343.66666666666669</v>
      </c>
    </row>
    <row r="23" spans="4:48" s="103" customFormat="1" ht="19.5" customHeight="1" x14ac:dyDescent="0.35">
      <c r="D23" s="136">
        <v>13</v>
      </c>
      <c r="E23" s="136">
        <v>500</v>
      </c>
      <c r="F23" s="136">
        <v>560</v>
      </c>
      <c r="G23" s="137">
        <v>556</v>
      </c>
      <c r="H23" s="137">
        <v>592.6</v>
      </c>
      <c r="I23" s="137">
        <v>585.1</v>
      </c>
      <c r="J23" s="138">
        <v>394.2</v>
      </c>
      <c r="K23" s="138">
        <v>406</v>
      </c>
      <c r="L23" s="138">
        <v>398.9</v>
      </c>
      <c r="M23" s="138">
        <v>400</v>
      </c>
      <c r="N23" s="138">
        <v>278.8</v>
      </c>
      <c r="O23" s="138">
        <v>291.5</v>
      </c>
      <c r="P23" s="138">
        <v>286.39999999999998</v>
      </c>
      <c r="Q23" s="138">
        <v>298.89999999999998</v>
      </c>
      <c r="R23" s="138">
        <v>292.8</v>
      </c>
      <c r="S23" s="138">
        <v>296.8</v>
      </c>
      <c r="T23" s="138">
        <v>299.89999999999998</v>
      </c>
      <c r="U23" s="138"/>
      <c r="V23" s="138">
        <v>283.3</v>
      </c>
      <c r="W23" s="138"/>
      <c r="X23" s="138"/>
      <c r="Y23" s="138"/>
      <c r="Z23" s="138"/>
      <c r="AB23">
        <v>13</v>
      </c>
      <c r="AC23">
        <v>45.2</v>
      </c>
      <c r="AD23">
        <v>15.6</v>
      </c>
      <c r="AN23" s="103">
        <v>2</v>
      </c>
      <c r="AO23" s="103">
        <v>-2</v>
      </c>
      <c r="AQ23" s="498" t="s">
        <v>459</v>
      </c>
      <c r="AR23" s="103">
        <v>18</v>
      </c>
      <c r="AS23" s="103">
        <v>351.44444444444446</v>
      </c>
      <c r="AU23" s="714">
        <v>662.2</v>
      </c>
      <c r="AV23" s="103">
        <f t="shared" si="0"/>
        <v>350.11111111111109</v>
      </c>
    </row>
    <row r="24" spans="4:48" s="103" customFormat="1" ht="19.5" customHeight="1" x14ac:dyDescent="0.35">
      <c r="D24" s="136">
        <v>14</v>
      </c>
      <c r="E24" s="136">
        <v>500</v>
      </c>
      <c r="F24" s="136">
        <v>560</v>
      </c>
      <c r="G24" s="137">
        <v>560</v>
      </c>
      <c r="H24" s="137">
        <v>595.6</v>
      </c>
      <c r="I24" s="137">
        <v>588.4</v>
      </c>
      <c r="J24" s="138">
        <v>404</v>
      </c>
      <c r="K24" s="138">
        <v>414.7</v>
      </c>
      <c r="L24" s="138">
        <v>407.3</v>
      </c>
      <c r="M24" s="138">
        <v>408.3</v>
      </c>
      <c r="N24" s="138">
        <v>286.39999999999998</v>
      </c>
      <c r="O24" s="138">
        <v>299.39999999999998</v>
      </c>
      <c r="P24" s="138">
        <v>294.60000000000002</v>
      </c>
      <c r="Q24" s="138">
        <v>307.10000000000002</v>
      </c>
      <c r="R24" s="138">
        <v>301</v>
      </c>
      <c r="S24" s="138">
        <v>305.2</v>
      </c>
      <c r="T24" s="138">
        <v>309</v>
      </c>
      <c r="U24" s="138"/>
      <c r="V24" s="138">
        <v>290.89999999999998</v>
      </c>
      <c r="W24" s="138"/>
      <c r="X24" s="138"/>
      <c r="Y24" s="138"/>
      <c r="Z24" s="138"/>
      <c r="AB24">
        <v>14</v>
      </c>
      <c r="AC24">
        <v>45.4</v>
      </c>
      <c r="AD24">
        <v>15.6</v>
      </c>
      <c r="AN24" s="103">
        <v>2</v>
      </c>
      <c r="AO24" s="103">
        <v>160</v>
      </c>
      <c r="AQ24" s="498" t="s">
        <v>460</v>
      </c>
      <c r="AR24" s="103">
        <v>19</v>
      </c>
      <c r="AS24" s="103">
        <v>357.22222222222223</v>
      </c>
      <c r="AU24" s="714">
        <v>673.4</v>
      </c>
      <c r="AV24" s="103">
        <f t="shared" si="0"/>
        <v>356.33333333333331</v>
      </c>
    </row>
    <row r="25" spans="4:48" s="103" customFormat="1" ht="19.5" customHeight="1" thickBot="1" x14ac:dyDescent="0.4">
      <c r="D25" s="430">
        <v>15</v>
      </c>
      <c r="E25" s="430">
        <v>500</v>
      </c>
      <c r="F25" s="430">
        <v>560</v>
      </c>
      <c r="G25" s="431">
        <v>563</v>
      </c>
      <c r="H25" s="431">
        <v>598.5</v>
      </c>
      <c r="I25" s="431">
        <v>591.6</v>
      </c>
      <c r="J25" s="432">
        <v>413.2</v>
      </c>
      <c r="K25" s="432">
        <v>424.4</v>
      </c>
      <c r="L25" s="432">
        <v>415.7</v>
      </c>
      <c r="M25" s="432">
        <v>417</v>
      </c>
      <c r="N25" s="432">
        <v>294.10000000000002</v>
      </c>
      <c r="O25" s="432">
        <v>306.89999999999998</v>
      </c>
      <c r="P25" s="432">
        <v>301.60000000000002</v>
      </c>
      <c r="Q25" s="432">
        <v>315.2</v>
      </c>
      <c r="R25" s="432">
        <v>310</v>
      </c>
      <c r="S25" s="432">
        <v>314.5</v>
      </c>
      <c r="T25" s="432">
        <v>317.3</v>
      </c>
      <c r="U25" s="432"/>
      <c r="V25" s="432">
        <v>298.7</v>
      </c>
      <c r="W25" s="432"/>
      <c r="X25" s="432"/>
      <c r="Y25" s="432"/>
      <c r="Z25" s="432"/>
      <c r="AB25" s="476">
        <v>15</v>
      </c>
      <c r="AC25" s="476">
        <v>45.5</v>
      </c>
      <c r="AD25" s="476">
        <v>15</v>
      </c>
      <c r="AQ25" s="498" t="s">
        <v>461</v>
      </c>
      <c r="AR25" s="103">
        <v>20</v>
      </c>
      <c r="AS25" s="103">
        <v>363.72222222222223</v>
      </c>
      <c r="AU25" s="714">
        <v>684.7</v>
      </c>
      <c r="AV25" s="103">
        <f t="shared" si="0"/>
        <v>362.61111111111109</v>
      </c>
    </row>
    <row r="26" spans="4:48" s="103" customFormat="1" ht="19.5" customHeight="1" thickBot="1" x14ac:dyDescent="0.4">
      <c r="D26" s="136">
        <v>16</v>
      </c>
      <c r="E26" s="136">
        <v>500</v>
      </c>
      <c r="F26" s="136">
        <v>560</v>
      </c>
      <c r="G26" s="137">
        <v>566</v>
      </c>
      <c r="H26" s="137">
        <v>601.4</v>
      </c>
      <c r="I26" s="137">
        <v>594.79999999999995</v>
      </c>
      <c r="J26" s="138">
        <v>421.9</v>
      </c>
      <c r="K26" s="138">
        <v>433.3</v>
      </c>
      <c r="L26" s="138">
        <v>424.9</v>
      </c>
      <c r="M26" s="138">
        <v>426.3</v>
      </c>
      <c r="N26" s="138">
        <v>301</v>
      </c>
      <c r="O26" s="138">
        <v>314.2</v>
      </c>
      <c r="P26" s="138">
        <v>309.5</v>
      </c>
      <c r="Q26" s="138">
        <v>323.3</v>
      </c>
      <c r="R26" s="138">
        <v>317.3</v>
      </c>
      <c r="S26" s="138">
        <v>322.2</v>
      </c>
      <c r="T26" s="138">
        <v>327</v>
      </c>
      <c r="U26" s="138"/>
      <c r="V26" s="138">
        <v>305.2</v>
      </c>
      <c r="W26" s="138"/>
      <c r="X26" s="138"/>
      <c r="Y26" s="138"/>
      <c r="Z26" s="138"/>
      <c r="AB26" s="477">
        <v>16</v>
      </c>
      <c r="AC26" s="477">
        <v>45.5</v>
      </c>
      <c r="AD26" s="477">
        <v>15.1</v>
      </c>
      <c r="AQ26" s="498" t="s">
        <v>462</v>
      </c>
      <c r="AR26" s="103">
        <v>21</v>
      </c>
      <c r="AS26" s="103">
        <v>369.5</v>
      </c>
      <c r="AU26" s="714">
        <v>695.5</v>
      </c>
      <c r="AV26" s="103">
        <f t="shared" si="0"/>
        <v>368.61111111111109</v>
      </c>
    </row>
    <row r="27" spans="4:48" s="103" customFormat="1" ht="19.5" customHeight="1" x14ac:dyDescent="0.35">
      <c r="D27" s="136">
        <v>17</v>
      </c>
      <c r="E27" s="136">
        <v>500</v>
      </c>
      <c r="F27" s="136">
        <v>560</v>
      </c>
      <c r="G27" s="137">
        <v>569</v>
      </c>
      <c r="H27" s="137">
        <v>604.4</v>
      </c>
      <c r="I27" s="137">
        <v>598</v>
      </c>
      <c r="J27" s="138">
        <v>430.1</v>
      </c>
      <c r="K27" s="138">
        <v>441.2</v>
      </c>
      <c r="L27" s="138">
        <v>433.3</v>
      </c>
      <c r="M27" s="138">
        <v>434.6</v>
      </c>
      <c r="N27" s="138">
        <v>308</v>
      </c>
      <c r="O27" s="138">
        <v>321.7</v>
      </c>
      <c r="P27" s="138">
        <v>316</v>
      </c>
      <c r="Q27" s="138">
        <v>330.6</v>
      </c>
      <c r="R27" s="138">
        <v>325.10000000000002</v>
      </c>
      <c r="S27" s="138">
        <v>330</v>
      </c>
      <c r="T27" s="138">
        <v>335.1</v>
      </c>
      <c r="U27" s="138"/>
      <c r="V27" s="138">
        <v>313</v>
      </c>
      <c r="W27" s="138"/>
      <c r="X27" s="138"/>
      <c r="Y27" s="138"/>
      <c r="Z27" s="138"/>
      <c r="AQ27" s="498" t="s">
        <v>463</v>
      </c>
      <c r="AR27" s="103">
        <v>22</v>
      </c>
      <c r="AS27" s="103">
        <v>375.66666666666669</v>
      </c>
      <c r="AU27" s="714">
        <v>706.5</v>
      </c>
      <c r="AV27" s="103">
        <f t="shared" si="0"/>
        <v>374.72222222222223</v>
      </c>
    </row>
    <row r="28" spans="4:48" s="103" customFormat="1" ht="19.5" customHeight="1" x14ac:dyDescent="0.35">
      <c r="D28" s="136">
        <v>18</v>
      </c>
      <c r="E28" s="136">
        <v>500</v>
      </c>
      <c r="F28" s="136">
        <v>560</v>
      </c>
      <c r="G28" s="137">
        <v>572</v>
      </c>
      <c r="H28" s="137">
        <v>607.29999999999995</v>
      </c>
      <c r="I28" s="137">
        <v>601.20000000000005</v>
      </c>
      <c r="J28" s="138">
        <v>438.5</v>
      </c>
      <c r="K28" s="138">
        <v>448.8</v>
      </c>
      <c r="L28" s="138">
        <v>440.7</v>
      </c>
      <c r="M28" s="138">
        <v>442.1</v>
      </c>
      <c r="N28" s="138">
        <v>314.89999999999998</v>
      </c>
      <c r="O28" s="138">
        <v>328.5</v>
      </c>
      <c r="P28" s="138">
        <v>323.7</v>
      </c>
      <c r="Q28" s="138">
        <v>339.1</v>
      </c>
      <c r="R28" s="138">
        <v>333.3</v>
      </c>
      <c r="S28" s="138">
        <v>338.6</v>
      </c>
      <c r="T28" s="138">
        <v>343</v>
      </c>
      <c r="U28" s="138"/>
      <c r="V28" s="138">
        <v>319.2</v>
      </c>
      <c r="W28" s="138"/>
      <c r="X28" s="138"/>
      <c r="Y28" s="138"/>
      <c r="Z28" s="138"/>
      <c r="AQ28" s="498" t="s">
        <v>464</v>
      </c>
      <c r="AR28" s="103">
        <v>23</v>
      </c>
      <c r="AS28" s="103">
        <v>381.33333333333331</v>
      </c>
      <c r="AU28" s="714">
        <v>716.8</v>
      </c>
      <c r="AV28" s="103">
        <f t="shared" si="0"/>
        <v>380.44444444444446</v>
      </c>
    </row>
    <row r="29" spans="4:48" s="103" customFormat="1" ht="19.5" customHeight="1" x14ac:dyDescent="0.35">
      <c r="D29" s="136">
        <v>19</v>
      </c>
      <c r="E29" s="136">
        <v>500</v>
      </c>
      <c r="F29" s="136">
        <v>560</v>
      </c>
      <c r="G29" s="137">
        <v>575</v>
      </c>
      <c r="H29" s="137">
        <v>610.20000000000005</v>
      </c>
      <c r="I29" s="137">
        <v>604.6</v>
      </c>
      <c r="J29" s="138">
        <v>446.5</v>
      </c>
      <c r="K29" s="138">
        <v>457.3</v>
      </c>
      <c r="L29" s="138">
        <v>448</v>
      </c>
      <c r="M29" s="138">
        <v>449.4</v>
      </c>
      <c r="N29" s="138">
        <v>321.3</v>
      </c>
      <c r="O29" s="138">
        <v>336.2</v>
      </c>
      <c r="P29" s="138">
        <v>330.2</v>
      </c>
      <c r="Q29" s="138">
        <v>346.3</v>
      </c>
      <c r="R29" s="138">
        <v>340.7</v>
      </c>
      <c r="S29" s="138">
        <v>346</v>
      </c>
      <c r="T29" s="138">
        <v>351.5</v>
      </c>
      <c r="U29" s="138"/>
      <c r="V29" s="138">
        <v>326.5</v>
      </c>
      <c r="W29" s="138"/>
      <c r="X29" s="138"/>
      <c r="Y29" s="138"/>
      <c r="Z29" s="138"/>
      <c r="AQ29" s="498" t="s">
        <v>465</v>
      </c>
      <c r="AR29" s="103">
        <v>24</v>
      </c>
      <c r="AS29" s="103">
        <v>387.44444444444446</v>
      </c>
      <c r="AU29" s="714">
        <v>727.9</v>
      </c>
      <c r="AV29" s="103">
        <f t="shared" si="0"/>
        <v>386.61111111111109</v>
      </c>
    </row>
    <row r="30" spans="4:48" s="103" customFormat="1" ht="19.5" customHeight="1" x14ac:dyDescent="0.35">
      <c r="D30" s="430">
        <v>20</v>
      </c>
      <c r="E30" s="430">
        <v>500</v>
      </c>
      <c r="F30" s="430">
        <v>560</v>
      </c>
      <c r="G30" s="431">
        <v>578</v>
      </c>
      <c r="H30" s="431">
        <v>613.1</v>
      </c>
      <c r="I30" s="431">
        <v>607.9</v>
      </c>
      <c r="J30" s="432">
        <v>454.4</v>
      </c>
      <c r="K30" s="432">
        <v>465.4</v>
      </c>
      <c r="L30" s="432">
        <v>455.9</v>
      </c>
      <c r="M30" s="432">
        <v>457.4</v>
      </c>
      <c r="N30" s="432">
        <v>328.2</v>
      </c>
      <c r="O30" s="432">
        <v>342.6</v>
      </c>
      <c r="P30" s="432">
        <v>337.5</v>
      </c>
      <c r="Q30" s="432">
        <v>353.6</v>
      </c>
      <c r="R30" s="432">
        <v>349</v>
      </c>
      <c r="S30" s="432">
        <v>353.6</v>
      </c>
      <c r="T30" s="432">
        <v>358.6</v>
      </c>
      <c r="U30" s="432"/>
      <c r="V30" s="432">
        <v>332.5</v>
      </c>
      <c r="W30" s="432"/>
      <c r="X30" s="432"/>
      <c r="Y30" s="432"/>
      <c r="Z30" s="432"/>
      <c r="AQ30" s="498" t="s">
        <v>466</v>
      </c>
      <c r="AR30" s="103">
        <v>25</v>
      </c>
      <c r="AS30" s="103">
        <v>392.88888888888891</v>
      </c>
      <c r="AU30" s="714">
        <v>737.7</v>
      </c>
      <c r="AV30" s="103">
        <f t="shared" si="0"/>
        <v>392.05555555555554</v>
      </c>
    </row>
    <row r="31" spans="4:48" s="103" customFormat="1" ht="19.5" customHeight="1" x14ac:dyDescent="0.35">
      <c r="D31" s="136">
        <v>21</v>
      </c>
      <c r="E31" s="136">
        <v>500</v>
      </c>
      <c r="F31" s="136">
        <v>560</v>
      </c>
      <c r="G31" s="137">
        <v>581</v>
      </c>
      <c r="H31" s="137">
        <v>616.1</v>
      </c>
      <c r="I31" s="137">
        <v>611.20000000000005</v>
      </c>
      <c r="J31" s="138">
        <v>462</v>
      </c>
      <c r="K31" s="138">
        <v>472.5</v>
      </c>
      <c r="L31" s="138">
        <v>463.6</v>
      </c>
      <c r="M31" s="138">
        <v>465.2</v>
      </c>
      <c r="N31" s="138">
        <v>334.2</v>
      </c>
      <c r="O31" s="138">
        <v>349.8</v>
      </c>
      <c r="P31" s="138">
        <v>343.9</v>
      </c>
      <c r="Q31" s="138">
        <v>359.8</v>
      </c>
      <c r="R31" s="138">
        <v>356</v>
      </c>
      <c r="S31" s="138">
        <v>360.1</v>
      </c>
      <c r="T31" s="138">
        <v>365.6</v>
      </c>
      <c r="U31" s="138"/>
      <c r="V31" s="138">
        <v>339.7</v>
      </c>
      <c r="W31" s="138"/>
      <c r="X31" s="138"/>
      <c r="Y31" s="138"/>
      <c r="Z31" s="138"/>
      <c r="AQ31" s="498" t="s">
        <v>467</v>
      </c>
      <c r="AR31" s="103">
        <v>26</v>
      </c>
      <c r="AS31" s="103">
        <v>398.72222222222223</v>
      </c>
      <c r="AU31" s="714">
        <v>748.5</v>
      </c>
      <c r="AV31" s="103">
        <f t="shared" si="0"/>
        <v>398.05555555555554</v>
      </c>
    </row>
    <row r="32" spans="4:48" s="103" customFormat="1" ht="19.5" customHeight="1" x14ac:dyDescent="0.35">
      <c r="D32" s="136">
        <v>22</v>
      </c>
      <c r="E32" s="136">
        <v>500</v>
      </c>
      <c r="F32" s="136">
        <v>560</v>
      </c>
      <c r="G32" s="137">
        <v>584</v>
      </c>
      <c r="H32" s="137">
        <v>619.20000000000005</v>
      </c>
      <c r="I32" s="137">
        <v>614.5</v>
      </c>
      <c r="J32" s="138">
        <v>469.5</v>
      </c>
      <c r="K32" s="138">
        <v>479.5</v>
      </c>
      <c r="L32" s="138">
        <v>470.6</v>
      </c>
      <c r="M32" s="138">
        <v>472.3</v>
      </c>
      <c r="N32" s="138">
        <v>340.8</v>
      </c>
      <c r="O32" s="138">
        <v>355.6</v>
      </c>
      <c r="P32" s="138">
        <v>350.3</v>
      </c>
      <c r="Q32" s="138">
        <v>366.1</v>
      </c>
      <c r="R32" s="138">
        <v>363.3</v>
      </c>
      <c r="S32" s="138">
        <v>366.6</v>
      </c>
      <c r="T32" s="138">
        <v>374.5</v>
      </c>
      <c r="U32" s="138"/>
      <c r="V32" s="138">
        <v>345.6</v>
      </c>
      <c r="W32" s="138"/>
      <c r="X32" s="138"/>
      <c r="Y32" s="138"/>
      <c r="Z32" s="138"/>
      <c r="AQ32" s="498" t="s">
        <v>468</v>
      </c>
      <c r="AR32" s="103">
        <v>27</v>
      </c>
      <c r="AS32" s="103">
        <v>403.88888888888891</v>
      </c>
      <c r="AU32" s="714">
        <v>757.8</v>
      </c>
      <c r="AV32" s="103">
        <f t="shared" si="0"/>
        <v>403.22222222222223</v>
      </c>
    </row>
    <row r="33" spans="4:48" s="103" customFormat="1" ht="19.5" customHeight="1" x14ac:dyDescent="0.35">
      <c r="D33" s="136">
        <v>23</v>
      </c>
      <c r="E33" s="136">
        <v>500</v>
      </c>
      <c r="F33" s="136">
        <v>560</v>
      </c>
      <c r="G33" s="137">
        <v>587</v>
      </c>
      <c r="H33" s="137">
        <v>622.29999999999995</v>
      </c>
      <c r="I33" s="137">
        <v>618</v>
      </c>
      <c r="J33" s="138">
        <v>476.7</v>
      </c>
      <c r="K33" s="138">
        <v>486.9</v>
      </c>
      <c r="L33" s="138">
        <v>477.3</v>
      </c>
      <c r="M33" s="138">
        <v>479</v>
      </c>
      <c r="N33" s="138">
        <v>346.4</v>
      </c>
      <c r="O33" s="138">
        <v>362.1</v>
      </c>
      <c r="P33" s="138">
        <v>355.9</v>
      </c>
      <c r="Q33" s="138">
        <v>374</v>
      </c>
      <c r="R33" s="138">
        <v>370.6</v>
      </c>
      <c r="S33" s="138">
        <v>374.8</v>
      </c>
      <c r="T33" s="138">
        <v>382.9</v>
      </c>
      <c r="U33" s="138"/>
      <c r="V33" s="138">
        <v>352.5</v>
      </c>
      <c r="W33" s="138"/>
      <c r="X33" s="138"/>
      <c r="Y33" s="138"/>
      <c r="Z33" s="138"/>
      <c r="AQ33" s="498" t="s">
        <v>469</v>
      </c>
      <c r="AR33" s="103">
        <v>28</v>
      </c>
      <c r="AS33" s="103">
        <v>409.44444444444446</v>
      </c>
      <c r="AU33" s="714">
        <v>768.1</v>
      </c>
      <c r="AV33" s="103">
        <f t="shared" si="0"/>
        <v>408.94444444444446</v>
      </c>
    </row>
    <row r="34" spans="4:48" s="103" customFormat="1" ht="19.5" customHeight="1" x14ac:dyDescent="0.35">
      <c r="D34" s="136">
        <v>24</v>
      </c>
      <c r="E34" s="136">
        <v>500</v>
      </c>
      <c r="F34" s="136">
        <v>560</v>
      </c>
      <c r="G34" s="137">
        <v>590</v>
      </c>
      <c r="H34" s="137">
        <v>625.29999999999995</v>
      </c>
      <c r="I34" s="137">
        <v>621.5</v>
      </c>
      <c r="J34" s="138">
        <v>483.7</v>
      </c>
      <c r="K34" s="138">
        <v>494.3</v>
      </c>
      <c r="L34" s="138">
        <v>484.2</v>
      </c>
      <c r="M34" s="138">
        <v>486.1</v>
      </c>
      <c r="N34" s="138">
        <v>352.3</v>
      </c>
      <c r="O34" s="138">
        <v>368</v>
      </c>
      <c r="P34" s="138">
        <v>361.9</v>
      </c>
      <c r="Q34" s="138">
        <v>381.7</v>
      </c>
      <c r="R34" s="138">
        <v>377.3</v>
      </c>
      <c r="S34" s="138">
        <v>382.7</v>
      </c>
      <c r="T34" s="138">
        <v>391.3</v>
      </c>
      <c r="U34" s="138"/>
      <c r="V34" s="138">
        <v>358.2</v>
      </c>
      <c r="W34" s="138"/>
      <c r="X34" s="138"/>
      <c r="Y34" s="138"/>
      <c r="Z34" s="138"/>
      <c r="AQ34" s="498" t="s">
        <v>470</v>
      </c>
      <c r="AR34" s="103">
        <v>29</v>
      </c>
      <c r="AS34" s="103">
        <v>414.61111111111109</v>
      </c>
      <c r="AU34" s="714">
        <v>777.4</v>
      </c>
      <c r="AV34" s="103">
        <f t="shared" si="0"/>
        <v>414.11111111111109</v>
      </c>
    </row>
    <row r="35" spans="4:48" s="103" customFormat="1" ht="19.5" customHeight="1" x14ac:dyDescent="0.35">
      <c r="D35" s="136">
        <v>25</v>
      </c>
      <c r="E35" s="136">
        <v>500</v>
      </c>
      <c r="F35" s="136">
        <v>560</v>
      </c>
      <c r="G35" s="137">
        <v>593</v>
      </c>
      <c r="H35" s="137">
        <v>628.4</v>
      </c>
      <c r="I35" s="137">
        <v>624.9</v>
      </c>
      <c r="J35" s="138">
        <v>490.4</v>
      </c>
      <c r="K35" s="138">
        <v>500.6</v>
      </c>
      <c r="L35" s="138">
        <v>491.3</v>
      </c>
      <c r="M35" s="138">
        <v>493.1</v>
      </c>
      <c r="N35" s="138">
        <v>357.5</v>
      </c>
      <c r="O35" s="138">
        <v>375.3</v>
      </c>
      <c r="P35" s="138">
        <v>367.7</v>
      </c>
      <c r="Q35" s="138">
        <v>389.7</v>
      </c>
      <c r="R35" s="138">
        <v>384.7</v>
      </c>
      <c r="S35" s="138">
        <v>390.7</v>
      </c>
      <c r="T35" s="138">
        <v>398.8</v>
      </c>
      <c r="U35" s="138"/>
      <c r="V35" s="138">
        <v>364.6</v>
      </c>
      <c r="W35" s="138"/>
      <c r="X35" s="138"/>
      <c r="Y35" s="138"/>
      <c r="Z35" s="138"/>
      <c r="AQ35" s="498" t="s">
        <v>471</v>
      </c>
      <c r="AR35" s="103">
        <v>30</v>
      </c>
      <c r="AS35" s="103">
        <v>420</v>
      </c>
      <c r="AU35" s="714">
        <v>787.4</v>
      </c>
      <c r="AV35" s="103">
        <f t="shared" si="0"/>
        <v>419.66666666666669</v>
      </c>
    </row>
    <row r="36" spans="4:48" s="103" customFormat="1" ht="19.5" customHeight="1" x14ac:dyDescent="0.35">
      <c r="D36" s="136">
        <v>26</v>
      </c>
      <c r="E36" s="136">
        <v>500</v>
      </c>
      <c r="F36" s="136">
        <v>560</v>
      </c>
      <c r="G36" s="137">
        <v>595</v>
      </c>
      <c r="H36" s="137">
        <v>631.4</v>
      </c>
      <c r="I36" s="137">
        <v>628.4</v>
      </c>
      <c r="J36" s="138">
        <v>496.8</v>
      </c>
      <c r="K36" s="138">
        <v>506.4</v>
      </c>
      <c r="L36" s="138">
        <v>497.8</v>
      </c>
      <c r="M36" s="138">
        <v>499.3</v>
      </c>
      <c r="N36" s="138">
        <v>363.2</v>
      </c>
      <c r="O36" s="138">
        <v>382.2</v>
      </c>
      <c r="P36" s="138">
        <v>374.1</v>
      </c>
      <c r="Q36" s="138">
        <v>396.3</v>
      </c>
      <c r="R36" s="138">
        <v>391.2</v>
      </c>
      <c r="S36" s="138">
        <v>397.6</v>
      </c>
      <c r="T36" s="138">
        <v>406</v>
      </c>
      <c r="U36" s="138"/>
      <c r="V36" s="138">
        <v>370.5</v>
      </c>
      <c r="W36" s="138"/>
      <c r="X36" s="138"/>
      <c r="Y36" s="138"/>
      <c r="Z36" s="138"/>
      <c r="AQ36" s="498" t="s">
        <v>472</v>
      </c>
      <c r="AR36" s="103">
        <v>31</v>
      </c>
      <c r="AS36" s="103">
        <v>424.94444444444446</v>
      </c>
      <c r="AU36" s="714">
        <v>796.5</v>
      </c>
      <c r="AV36" s="103">
        <f t="shared" si="0"/>
        <v>424.72222222222223</v>
      </c>
    </row>
    <row r="37" spans="4:48" s="103" customFormat="1" ht="19.5" customHeight="1" x14ac:dyDescent="0.35">
      <c r="D37" s="136">
        <v>27</v>
      </c>
      <c r="E37" s="136">
        <v>500</v>
      </c>
      <c r="F37" s="136">
        <v>560</v>
      </c>
      <c r="G37" s="137">
        <v>598</v>
      </c>
      <c r="H37" s="137">
        <v>634.4</v>
      </c>
      <c r="I37" s="137">
        <v>631.79999999999995</v>
      </c>
      <c r="J37" s="138">
        <v>502.6</v>
      </c>
      <c r="K37" s="138">
        <v>512.4</v>
      </c>
      <c r="L37" s="138">
        <v>503.3</v>
      </c>
      <c r="M37" s="138">
        <v>505</v>
      </c>
      <c r="N37" s="138">
        <v>368.5</v>
      </c>
      <c r="O37" s="138">
        <v>389</v>
      </c>
      <c r="P37" s="138">
        <v>381.5</v>
      </c>
      <c r="Q37" s="138">
        <v>402.4</v>
      </c>
      <c r="R37" s="138">
        <v>397.6</v>
      </c>
      <c r="S37" s="138">
        <v>404.1</v>
      </c>
      <c r="T37" s="138">
        <v>412.9</v>
      </c>
      <c r="U37" s="138"/>
      <c r="V37" s="138">
        <v>377.3</v>
      </c>
      <c r="W37" s="138"/>
      <c r="X37" s="138"/>
      <c r="Y37" s="138"/>
      <c r="Z37" s="138"/>
      <c r="AQ37" s="498" t="s">
        <v>473</v>
      </c>
      <c r="AR37" s="103">
        <v>32</v>
      </c>
      <c r="AS37" s="103">
        <v>430.27777777777777</v>
      </c>
      <c r="AU37" s="714">
        <v>806.3</v>
      </c>
      <c r="AV37" s="103">
        <f t="shared" si="0"/>
        <v>430.16666666666669</v>
      </c>
    </row>
    <row r="38" spans="4:48" s="103" customFormat="1" ht="19.5" customHeight="1" x14ac:dyDescent="0.35">
      <c r="D38" s="136">
        <v>28</v>
      </c>
      <c r="E38" s="136">
        <v>500</v>
      </c>
      <c r="F38" s="136">
        <v>560</v>
      </c>
      <c r="G38" s="137">
        <v>600</v>
      </c>
      <c r="H38" s="137">
        <v>637.5</v>
      </c>
      <c r="I38" s="137">
        <v>635.20000000000005</v>
      </c>
      <c r="J38" s="138">
        <v>508.1</v>
      </c>
      <c r="K38" s="138">
        <v>518.70000000000005</v>
      </c>
      <c r="L38" s="138">
        <v>508.7</v>
      </c>
      <c r="M38" s="138">
        <v>510.6</v>
      </c>
      <c r="N38" s="138">
        <v>375.1</v>
      </c>
      <c r="O38" s="138">
        <v>395.6</v>
      </c>
      <c r="P38" s="138">
        <v>388.1</v>
      </c>
      <c r="Q38" s="138">
        <v>409.2</v>
      </c>
      <c r="R38" s="138">
        <v>404.9</v>
      </c>
      <c r="S38" s="138">
        <v>410.6</v>
      </c>
      <c r="T38" s="138">
        <v>420.2</v>
      </c>
      <c r="U38" s="138"/>
      <c r="V38" s="138">
        <v>383.6</v>
      </c>
      <c r="W38" s="138"/>
      <c r="X38" s="138"/>
      <c r="Y38" s="138"/>
      <c r="Z38" s="138"/>
      <c r="AQ38" s="498" t="s">
        <v>474</v>
      </c>
      <c r="AR38" s="103">
        <v>33</v>
      </c>
      <c r="AS38" s="103">
        <v>435.33333333333331</v>
      </c>
      <c r="AU38" s="714">
        <v>815.5</v>
      </c>
      <c r="AV38" s="103">
        <f t="shared" si="0"/>
        <v>435.27777777777777</v>
      </c>
    </row>
    <row r="39" spans="4:48" s="103" customFormat="1" ht="19.5" customHeight="1" x14ac:dyDescent="0.35">
      <c r="D39" s="136">
        <v>29</v>
      </c>
      <c r="E39" s="136">
        <v>500</v>
      </c>
      <c r="F39" s="136">
        <v>560</v>
      </c>
      <c r="G39" s="137">
        <v>602</v>
      </c>
      <c r="H39" s="137">
        <v>640.79999999999995</v>
      </c>
      <c r="I39" s="137">
        <v>638.79999999999995</v>
      </c>
      <c r="J39" s="138">
        <v>513.70000000000005</v>
      </c>
      <c r="K39" s="138">
        <v>524.4</v>
      </c>
      <c r="L39" s="138">
        <v>514.70000000000005</v>
      </c>
      <c r="M39" s="138">
        <v>516.6</v>
      </c>
      <c r="N39" s="138">
        <v>381.5</v>
      </c>
      <c r="O39" s="138">
        <v>401.3</v>
      </c>
      <c r="P39" s="138">
        <v>394.7</v>
      </c>
      <c r="Q39" s="138">
        <v>415.4</v>
      </c>
      <c r="R39" s="138">
        <v>411.4</v>
      </c>
      <c r="S39" s="138">
        <v>417.4</v>
      </c>
      <c r="T39" s="138">
        <v>428.2</v>
      </c>
      <c r="U39" s="138"/>
      <c r="V39" s="138">
        <v>390.3</v>
      </c>
      <c r="W39" s="138"/>
      <c r="X39" s="138"/>
      <c r="Y39" s="138"/>
      <c r="Z39" s="138"/>
      <c r="AQ39" s="498" t="s">
        <v>475</v>
      </c>
      <c r="AR39" s="103">
        <v>34</v>
      </c>
      <c r="AS39" s="103">
        <v>440.5</v>
      </c>
      <c r="AU39" s="714">
        <v>824.9</v>
      </c>
      <c r="AV39" s="103">
        <f t="shared" si="0"/>
        <v>440.5</v>
      </c>
    </row>
    <row r="40" spans="4:48" s="103" customFormat="1" ht="19.5" customHeight="1" x14ac:dyDescent="0.35">
      <c r="D40" s="430">
        <v>30</v>
      </c>
      <c r="E40" s="430">
        <v>500</v>
      </c>
      <c r="F40" s="430">
        <v>560</v>
      </c>
      <c r="G40" s="431">
        <v>606</v>
      </c>
      <c r="H40" s="431">
        <v>644.20000000000005</v>
      </c>
      <c r="I40" s="431">
        <v>642.6</v>
      </c>
      <c r="J40" s="432">
        <v>519.1</v>
      </c>
      <c r="K40" s="432">
        <v>529.6</v>
      </c>
      <c r="L40" s="432">
        <v>520.6</v>
      </c>
      <c r="M40" s="432">
        <v>522.4</v>
      </c>
      <c r="N40" s="432">
        <v>388.2</v>
      </c>
      <c r="O40" s="432">
        <v>407.5</v>
      </c>
      <c r="P40" s="432">
        <v>400.2</v>
      </c>
      <c r="Q40" s="432">
        <v>421.8</v>
      </c>
      <c r="R40" s="432">
        <v>417.5</v>
      </c>
      <c r="S40" s="432">
        <v>424.1</v>
      </c>
      <c r="T40" s="432">
        <v>435.3</v>
      </c>
      <c r="U40" s="432"/>
      <c r="V40" s="432">
        <v>395.2</v>
      </c>
      <c r="W40" s="432"/>
      <c r="X40" s="432"/>
      <c r="Y40" s="432"/>
      <c r="Z40" s="432"/>
      <c r="AQ40" s="498" t="s">
        <v>476</v>
      </c>
      <c r="AR40" s="103">
        <v>35</v>
      </c>
      <c r="AS40" s="103">
        <v>445.77777777777777</v>
      </c>
      <c r="AU40" s="714">
        <v>834.7</v>
      </c>
      <c r="AV40" s="103">
        <f t="shared" si="0"/>
        <v>445.94444444444446</v>
      </c>
    </row>
    <row r="41" spans="4:48" s="103" customFormat="1" ht="19.5" customHeight="1" x14ac:dyDescent="0.35">
      <c r="D41" s="136">
        <v>31</v>
      </c>
      <c r="E41" s="136">
        <v>500</v>
      </c>
      <c r="F41" s="136">
        <v>560</v>
      </c>
      <c r="G41" s="137">
        <v>609</v>
      </c>
      <c r="H41" s="137">
        <v>647.6</v>
      </c>
      <c r="I41" s="137">
        <v>646.5</v>
      </c>
      <c r="J41" s="138">
        <v>524.20000000000005</v>
      </c>
      <c r="K41" s="138">
        <v>534.6</v>
      </c>
      <c r="L41" s="138">
        <v>525.70000000000005</v>
      </c>
      <c r="M41" s="138">
        <v>527.4</v>
      </c>
      <c r="N41" s="138">
        <v>393.9</v>
      </c>
      <c r="O41" s="138">
        <v>413.1</v>
      </c>
      <c r="P41" s="138">
        <v>406.1</v>
      </c>
      <c r="Q41" s="138">
        <v>428.8</v>
      </c>
      <c r="R41" s="138">
        <v>424.1</v>
      </c>
      <c r="S41" s="138">
        <v>430.8</v>
      </c>
      <c r="T41" s="138">
        <v>442.3</v>
      </c>
      <c r="U41" s="138"/>
      <c r="V41" s="138">
        <v>399.6</v>
      </c>
      <c r="W41" s="138"/>
      <c r="X41" s="138"/>
      <c r="Y41" s="138"/>
      <c r="Z41" s="138"/>
      <c r="AQ41" s="498" t="s">
        <v>477</v>
      </c>
      <c r="AR41" s="103">
        <v>36</v>
      </c>
      <c r="AS41" s="103">
        <v>450.83333333333331</v>
      </c>
      <c r="AU41" s="714">
        <v>844</v>
      </c>
      <c r="AV41" s="103">
        <f t="shared" si="0"/>
        <v>451.11111111111109</v>
      </c>
    </row>
    <row r="42" spans="4:48" s="103" customFormat="1" ht="19.5" customHeight="1" x14ac:dyDescent="0.35">
      <c r="D42" s="136">
        <v>32</v>
      </c>
      <c r="E42" s="136">
        <v>500</v>
      </c>
      <c r="F42" s="136">
        <v>560</v>
      </c>
      <c r="G42" s="137">
        <v>611</v>
      </c>
      <c r="H42" s="137">
        <v>650.9</v>
      </c>
      <c r="I42" s="137">
        <v>650.20000000000005</v>
      </c>
      <c r="J42" s="138">
        <v>528.79999999999995</v>
      </c>
      <c r="K42" s="138">
        <v>539.29999999999995</v>
      </c>
      <c r="L42" s="138">
        <v>530.5</v>
      </c>
      <c r="M42" s="138">
        <v>532.20000000000005</v>
      </c>
      <c r="N42" s="138">
        <v>399.4</v>
      </c>
      <c r="O42" s="138">
        <v>419</v>
      </c>
      <c r="P42" s="138">
        <v>411.5</v>
      </c>
      <c r="Q42" s="138">
        <v>434.9</v>
      </c>
      <c r="R42" s="138">
        <v>430.2</v>
      </c>
      <c r="S42" s="138">
        <v>437.4</v>
      </c>
      <c r="T42" s="138">
        <v>449.2</v>
      </c>
      <c r="U42" s="138"/>
      <c r="V42" s="138">
        <v>404.7</v>
      </c>
      <c r="W42" s="138"/>
      <c r="X42" s="138"/>
      <c r="Y42" s="138"/>
      <c r="Z42" s="138"/>
      <c r="AQ42" s="498" t="s">
        <v>478</v>
      </c>
      <c r="AR42" s="103">
        <v>37</v>
      </c>
      <c r="AS42" s="103">
        <v>456.16666666666669</v>
      </c>
      <c r="AU42" s="714">
        <v>853.7</v>
      </c>
      <c r="AV42" s="103">
        <f t="shared" si="0"/>
        <v>456.5</v>
      </c>
    </row>
    <row r="43" spans="4:48" s="103" customFormat="1" ht="19.5" customHeight="1" x14ac:dyDescent="0.35">
      <c r="D43" s="136">
        <v>33</v>
      </c>
      <c r="E43" s="136">
        <v>500</v>
      </c>
      <c r="F43" s="136">
        <v>560</v>
      </c>
      <c r="G43" s="137">
        <v>614</v>
      </c>
      <c r="H43" s="137">
        <v>654.20000000000005</v>
      </c>
      <c r="I43" s="137">
        <v>654</v>
      </c>
      <c r="J43" s="138">
        <v>533.20000000000005</v>
      </c>
      <c r="K43" s="138">
        <v>543.9</v>
      </c>
      <c r="L43" s="138">
        <v>535.20000000000005</v>
      </c>
      <c r="M43" s="138">
        <v>536.70000000000005</v>
      </c>
      <c r="N43" s="138">
        <v>404.7</v>
      </c>
      <c r="O43" s="138">
        <v>425.4</v>
      </c>
      <c r="P43" s="138">
        <v>417.2</v>
      </c>
      <c r="Q43" s="138">
        <v>440.9</v>
      </c>
      <c r="R43" s="138">
        <v>436.4</v>
      </c>
      <c r="S43" s="138">
        <v>443.5</v>
      </c>
      <c r="T43" s="138">
        <v>456.5</v>
      </c>
      <c r="U43" s="138"/>
      <c r="V43" s="138">
        <v>409</v>
      </c>
      <c r="W43" s="138"/>
      <c r="X43" s="138"/>
      <c r="Y43" s="138"/>
      <c r="Z43" s="138"/>
      <c r="AQ43" s="498" t="s">
        <v>479</v>
      </c>
      <c r="AR43" s="103">
        <v>38</v>
      </c>
      <c r="AS43" s="103">
        <v>461.22222222222223</v>
      </c>
      <c r="AU43" s="714">
        <v>863.1</v>
      </c>
      <c r="AV43" s="103">
        <f t="shared" si="0"/>
        <v>461.72222222222223</v>
      </c>
    </row>
    <row r="44" spans="4:48" s="103" customFormat="1" ht="19.5" customHeight="1" x14ac:dyDescent="0.35">
      <c r="D44" s="136">
        <v>34</v>
      </c>
      <c r="E44" s="136">
        <v>500</v>
      </c>
      <c r="F44" s="136">
        <v>560</v>
      </c>
      <c r="G44" s="137">
        <v>617</v>
      </c>
      <c r="H44" s="137">
        <v>657.5</v>
      </c>
      <c r="I44" s="137">
        <v>657.6</v>
      </c>
      <c r="J44" s="138">
        <v>537.4</v>
      </c>
      <c r="K44" s="138">
        <v>548.6</v>
      </c>
      <c r="L44" s="138">
        <v>539.6</v>
      </c>
      <c r="M44" s="138">
        <v>541.20000000000005</v>
      </c>
      <c r="N44" s="138">
        <v>410</v>
      </c>
      <c r="O44" s="138">
        <v>431.3</v>
      </c>
      <c r="P44" s="138">
        <v>423.4</v>
      </c>
      <c r="Q44" s="138">
        <v>447.2</v>
      </c>
      <c r="R44" s="138">
        <v>442.9</v>
      </c>
      <c r="S44" s="138">
        <v>449.7</v>
      </c>
      <c r="T44" s="138">
        <v>463.8</v>
      </c>
      <c r="U44" s="138"/>
      <c r="V44" s="138">
        <v>415.2</v>
      </c>
      <c r="W44" s="138"/>
      <c r="X44" s="138"/>
      <c r="Y44" s="138"/>
      <c r="Z44" s="138"/>
      <c r="AQ44" s="498" t="s">
        <v>480</v>
      </c>
      <c r="AR44" s="103">
        <v>39</v>
      </c>
      <c r="AS44" s="103">
        <v>466.33333333333331</v>
      </c>
      <c r="AU44" s="714">
        <v>872.3</v>
      </c>
      <c r="AV44" s="103">
        <f t="shared" si="0"/>
        <v>466.83333333333331</v>
      </c>
    </row>
    <row r="45" spans="4:48" s="103" customFormat="1" ht="19.5" customHeight="1" x14ac:dyDescent="0.35">
      <c r="D45" s="136">
        <v>35</v>
      </c>
      <c r="E45" s="136">
        <v>500</v>
      </c>
      <c r="F45" s="136">
        <v>560</v>
      </c>
      <c r="G45" s="137">
        <v>620</v>
      </c>
      <c r="H45" s="137">
        <v>661.5</v>
      </c>
      <c r="I45" s="137">
        <v>662.3</v>
      </c>
      <c r="J45" s="138">
        <v>541.5</v>
      </c>
      <c r="K45" s="138">
        <v>553.1</v>
      </c>
      <c r="L45" s="138">
        <v>543.9</v>
      </c>
      <c r="M45" s="138">
        <v>545.5</v>
      </c>
      <c r="N45" s="138">
        <v>415.6</v>
      </c>
      <c r="O45" s="138">
        <v>437.2</v>
      </c>
      <c r="P45" s="138">
        <v>429.2</v>
      </c>
      <c r="Q45" s="138">
        <v>453.5</v>
      </c>
      <c r="R45" s="138">
        <v>449.2</v>
      </c>
      <c r="S45" s="138">
        <v>456.5</v>
      </c>
      <c r="T45" s="138">
        <v>471</v>
      </c>
      <c r="U45" s="138"/>
      <c r="V45" s="138">
        <v>422.4</v>
      </c>
      <c r="W45" s="138"/>
      <c r="X45" s="138"/>
      <c r="Y45" s="138"/>
      <c r="Z45" s="138"/>
      <c r="AQ45" s="498" t="s">
        <v>481</v>
      </c>
      <c r="AR45" s="103">
        <v>40</v>
      </c>
      <c r="AS45" s="103">
        <v>471.27777777777777</v>
      </c>
      <c r="AU45" s="714">
        <v>881.4</v>
      </c>
      <c r="AV45" s="103">
        <f t="shared" si="0"/>
        <v>471.88888888888891</v>
      </c>
    </row>
    <row r="46" spans="4:48" s="103" customFormat="1" ht="19.5" customHeight="1" x14ac:dyDescent="0.35">
      <c r="D46" s="136">
        <v>36</v>
      </c>
      <c r="E46" s="136">
        <v>500</v>
      </c>
      <c r="F46" s="136">
        <v>560</v>
      </c>
      <c r="G46" s="137">
        <v>622</v>
      </c>
      <c r="H46" s="137">
        <v>665.8</v>
      </c>
      <c r="I46" s="137">
        <v>667.3</v>
      </c>
      <c r="J46" s="138">
        <v>545.29999999999995</v>
      </c>
      <c r="K46" s="138">
        <v>557.29999999999995</v>
      </c>
      <c r="L46" s="138">
        <v>548.20000000000005</v>
      </c>
      <c r="M46" s="138">
        <v>549.79999999999995</v>
      </c>
      <c r="N46" s="138">
        <v>421</v>
      </c>
      <c r="O46" s="138">
        <v>442.9</v>
      </c>
      <c r="P46" s="138">
        <v>435</v>
      </c>
      <c r="Q46" s="138">
        <v>459.8</v>
      </c>
      <c r="R46" s="138">
        <v>455.3</v>
      </c>
      <c r="S46" s="138">
        <v>463</v>
      </c>
      <c r="T46" s="138">
        <v>478</v>
      </c>
      <c r="U46" s="138"/>
      <c r="V46" s="138">
        <v>430</v>
      </c>
      <c r="W46" s="138"/>
      <c r="X46" s="138"/>
      <c r="Y46" s="138"/>
      <c r="Z46" s="138"/>
      <c r="AQ46" s="498" t="s">
        <v>482</v>
      </c>
      <c r="AR46" s="103">
        <v>41</v>
      </c>
      <c r="AS46" s="103">
        <v>476.05555555555554</v>
      </c>
      <c r="AU46" s="714">
        <v>890.2</v>
      </c>
      <c r="AV46" s="103">
        <f t="shared" si="0"/>
        <v>476.77777777777777</v>
      </c>
    </row>
    <row r="47" spans="4:48" s="103" customFormat="1" ht="19.5" customHeight="1" x14ac:dyDescent="0.35">
      <c r="D47" s="136">
        <v>37</v>
      </c>
      <c r="E47" s="136">
        <v>500</v>
      </c>
      <c r="F47" s="136">
        <v>560</v>
      </c>
      <c r="G47" s="137">
        <v>626</v>
      </c>
      <c r="H47" s="137">
        <v>670.3</v>
      </c>
      <c r="I47" s="137">
        <v>672.1</v>
      </c>
      <c r="J47" s="138">
        <v>549.4</v>
      </c>
      <c r="K47" s="138">
        <v>561.1</v>
      </c>
      <c r="L47" s="138">
        <v>552.4</v>
      </c>
      <c r="M47" s="138">
        <v>554</v>
      </c>
      <c r="N47" s="138">
        <v>427</v>
      </c>
      <c r="O47" s="138">
        <v>448.4</v>
      </c>
      <c r="P47" s="138">
        <v>440.4</v>
      </c>
      <c r="Q47" s="138">
        <v>466</v>
      </c>
      <c r="R47" s="138">
        <v>461.4</v>
      </c>
      <c r="S47" s="138">
        <v>469.2</v>
      </c>
      <c r="T47" s="138">
        <v>485.1</v>
      </c>
      <c r="U47" s="138"/>
      <c r="V47" s="138">
        <v>435.4</v>
      </c>
      <c r="W47" s="138"/>
      <c r="X47" s="138"/>
      <c r="Y47" s="138"/>
      <c r="Z47" s="138"/>
      <c r="AQ47" s="498" t="s">
        <v>483</v>
      </c>
      <c r="AR47" s="103">
        <v>42</v>
      </c>
      <c r="AS47" s="103">
        <v>480.88888888888891</v>
      </c>
      <c r="AU47" s="714">
        <v>899</v>
      </c>
      <c r="AV47" s="103">
        <f t="shared" si="0"/>
        <v>481.66666666666669</v>
      </c>
    </row>
    <row r="48" spans="4:48" s="103" customFormat="1" ht="19.5" customHeight="1" x14ac:dyDescent="0.35">
      <c r="D48" s="136">
        <v>38</v>
      </c>
      <c r="E48" s="136">
        <v>500</v>
      </c>
      <c r="F48" s="136">
        <v>560</v>
      </c>
      <c r="G48" s="137">
        <v>630</v>
      </c>
      <c r="H48" s="137">
        <v>674.2</v>
      </c>
      <c r="I48" s="137">
        <v>677.2</v>
      </c>
      <c r="J48" s="138">
        <v>553.20000000000005</v>
      </c>
      <c r="K48" s="138">
        <v>564.79999999999995</v>
      </c>
      <c r="L48" s="138">
        <v>556.4</v>
      </c>
      <c r="M48" s="138">
        <v>557.9</v>
      </c>
      <c r="N48" s="138">
        <v>432.5</v>
      </c>
      <c r="O48" s="138">
        <v>454.4</v>
      </c>
      <c r="P48" s="138">
        <v>445.8</v>
      </c>
      <c r="Q48" s="138">
        <v>472.2</v>
      </c>
      <c r="R48" s="138">
        <v>467.8</v>
      </c>
      <c r="S48" s="138">
        <v>475.4</v>
      </c>
      <c r="T48" s="138">
        <v>492.3</v>
      </c>
      <c r="U48" s="138"/>
      <c r="V48" s="138">
        <v>440.2</v>
      </c>
      <c r="W48" s="138"/>
      <c r="X48" s="138"/>
      <c r="Y48" s="138"/>
      <c r="Z48" s="138"/>
      <c r="AQ48" s="498" t="s">
        <v>484</v>
      </c>
      <c r="AR48" s="103">
        <v>43</v>
      </c>
      <c r="AS48" s="103">
        <v>485.66666666666669</v>
      </c>
      <c r="AU48" s="714">
        <v>907.8</v>
      </c>
      <c r="AV48" s="103">
        <f t="shared" si="0"/>
        <v>486.55555555555554</v>
      </c>
    </row>
    <row r="49" spans="4:48" s="103" customFormat="1" ht="19.5" customHeight="1" x14ac:dyDescent="0.35">
      <c r="D49" s="136">
        <v>39</v>
      </c>
      <c r="E49" s="136">
        <v>500</v>
      </c>
      <c r="F49" s="136">
        <v>560</v>
      </c>
      <c r="G49" s="137">
        <v>632</v>
      </c>
      <c r="H49" s="137">
        <v>679.2</v>
      </c>
      <c r="I49" s="137">
        <v>683</v>
      </c>
      <c r="J49" s="138">
        <v>556.9</v>
      </c>
      <c r="K49" s="138">
        <v>568.20000000000005</v>
      </c>
      <c r="L49" s="138">
        <v>560</v>
      </c>
      <c r="M49" s="138">
        <v>561.4</v>
      </c>
      <c r="N49" s="138">
        <v>438.1</v>
      </c>
      <c r="O49" s="138">
        <v>460.3</v>
      </c>
      <c r="P49" s="138">
        <v>451.6</v>
      </c>
      <c r="Q49" s="138">
        <v>478.2</v>
      </c>
      <c r="R49" s="138">
        <v>474</v>
      </c>
      <c r="S49" s="138">
        <v>481.6</v>
      </c>
      <c r="T49" s="138">
        <v>499.1</v>
      </c>
      <c r="U49" s="138"/>
      <c r="V49" s="138">
        <v>445.5</v>
      </c>
      <c r="W49" s="138"/>
      <c r="X49" s="138"/>
      <c r="Y49" s="138"/>
      <c r="Z49" s="138"/>
      <c r="AQ49" s="498" t="s">
        <v>485</v>
      </c>
      <c r="AR49" s="103">
        <v>44</v>
      </c>
      <c r="AS49" s="103">
        <v>490.38888888888891</v>
      </c>
      <c r="AU49" s="714">
        <v>916.4</v>
      </c>
      <c r="AV49" s="103">
        <f t="shared" si="0"/>
        <v>491.33333333333331</v>
      </c>
    </row>
    <row r="50" spans="4:48" s="103" customFormat="1" ht="19.5" customHeight="1" x14ac:dyDescent="0.35">
      <c r="D50" s="430">
        <v>40</v>
      </c>
      <c r="E50" s="430">
        <v>500</v>
      </c>
      <c r="F50" s="430">
        <v>560</v>
      </c>
      <c r="G50" s="431">
        <v>635</v>
      </c>
      <c r="H50" s="431">
        <v>683.9</v>
      </c>
      <c r="I50" s="431">
        <v>688.5</v>
      </c>
      <c r="J50" s="432">
        <v>560.4</v>
      </c>
      <c r="K50" s="432">
        <v>571.4</v>
      </c>
      <c r="L50" s="432">
        <v>563.5</v>
      </c>
      <c r="M50" s="432">
        <v>564.9</v>
      </c>
      <c r="N50" s="432">
        <v>443.3</v>
      </c>
      <c r="O50" s="432">
        <v>466.1</v>
      </c>
      <c r="P50" s="432">
        <v>457.2</v>
      </c>
      <c r="Q50" s="432">
        <v>484.3</v>
      </c>
      <c r="R50" s="432">
        <v>480</v>
      </c>
      <c r="S50" s="432">
        <v>488</v>
      </c>
      <c r="T50" s="432">
        <v>505.3</v>
      </c>
      <c r="U50" s="432"/>
      <c r="V50" s="432">
        <v>450.9</v>
      </c>
      <c r="W50" s="432"/>
      <c r="X50" s="432"/>
      <c r="Y50" s="432"/>
      <c r="Z50" s="432"/>
      <c r="AQ50" s="498" t="s">
        <v>486</v>
      </c>
      <c r="AR50" s="103">
        <v>45</v>
      </c>
      <c r="AS50" s="103">
        <v>495.16666666666669</v>
      </c>
      <c r="AU50" s="714">
        <v>925</v>
      </c>
      <c r="AV50" s="103">
        <f t="shared" si="0"/>
        <v>496.11111111111109</v>
      </c>
    </row>
    <row r="51" spans="4:48" s="103" customFormat="1" ht="18.75" customHeight="1" x14ac:dyDescent="0.35">
      <c r="D51" s="136">
        <v>41</v>
      </c>
      <c r="E51" s="136">
        <v>500</v>
      </c>
      <c r="F51" s="136">
        <v>560</v>
      </c>
      <c r="G51" s="137">
        <v>638</v>
      </c>
      <c r="H51" s="137">
        <v>688.5</v>
      </c>
      <c r="I51" s="137">
        <v>693.9</v>
      </c>
      <c r="J51" s="138">
        <v>563.79999999999995</v>
      </c>
      <c r="K51" s="138">
        <v>574.6</v>
      </c>
      <c r="L51" s="138">
        <v>566.79999999999995</v>
      </c>
      <c r="M51" s="138">
        <v>568.1</v>
      </c>
      <c r="N51" s="138">
        <v>448.5</v>
      </c>
      <c r="O51" s="138">
        <v>471.7</v>
      </c>
      <c r="P51" s="138">
        <v>462.8</v>
      </c>
      <c r="Q51" s="138">
        <v>490.5</v>
      </c>
      <c r="R51" s="138">
        <v>486.2</v>
      </c>
      <c r="S51" s="138">
        <v>494.3</v>
      </c>
      <c r="T51" s="138">
        <v>511.8</v>
      </c>
      <c r="U51" s="138"/>
      <c r="V51" s="138">
        <v>457.1</v>
      </c>
      <c r="W51" s="138"/>
      <c r="X51" s="138"/>
      <c r="Y51" s="138"/>
      <c r="Z51" s="138"/>
      <c r="AQ51" s="498" t="s">
        <v>487</v>
      </c>
      <c r="AR51" s="103">
        <v>46</v>
      </c>
      <c r="AS51" s="103">
        <v>499.66666666666669</v>
      </c>
      <c r="AU51" s="714">
        <v>933.3</v>
      </c>
      <c r="AV51" s="103">
        <f t="shared" si="0"/>
        <v>500.72222222222223</v>
      </c>
    </row>
    <row r="52" spans="4:48" s="103" customFormat="1" ht="18.75" customHeight="1" x14ac:dyDescent="0.35">
      <c r="D52" s="136">
        <v>42</v>
      </c>
      <c r="E52" s="136">
        <v>500</v>
      </c>
      <c r="F52" s="136">
        <v>560</v>
      </c>
      <c r="G52" s="137">
        <v>641</v>
      </c>
      <c r="H52" s="137">
        <v>693</v>
      </c>
      <c r="I52" s="137">
        <v>700.7</v>
      </c>
      <c r="J52" s="138">
        <v>567</v>
      </c>
      <c r="K52" s="138">
        <v>577.79999999999995</v>
      </c>
      <c r="L52" s="138">
        <v>569.9</v>
      </c>
      <c r="M52" s="138">
        <v>571.20000000000005</v>
      </c>
      <c r="N52" s="138">
        <v>454.3</v>
      </c>
      <c r="O52" s="138">
        <v>477.5</v>
      </c>
      <c r="P52" s="138">
        <v>468.5</v>
      </c>
      <c r="Q52" s="138">
        <v>496.6</v>
      </c>
      <c r="R52" s="138">
        <v>492.3</v>
      </c>
      <c r="S52" s="138">
        <v>500</v>
      </c>
      <c r="T52" s="138">
        <v>518.6</v>
      </c>
      <c r="U52" s="138"/>
      <c r="V52" s="138">
        <v>464</v>
      </c>
      <c r="W52" s="138"/>
      <c r="X52" s="138"/>
      <c r="Y52" s="138"/>
      <c r="Z52" s="138"/>
      <c r="AQ52" s="498" t="s">
        <v>488</v>
      </c>
      <c r="AR52" s="103">
        <v>47</v>
      </c>
      <c r="AS52" s="103">
        <v>504.16666666666669</v>
      </c>
      <c r="AU52" s="714">
        <v>941.4</v>
      </c>
      <c r="AV52" s="103">
        <f t="shared" si="0"/>
        <v>505.22222222222223</v>
      </c>
    </row>
    <row r="53" spans="4:48" s="103" customFormat="1" ht="18.75" customHeight="1" x14ac:dyDescent="0.35">
      <c r="D53" s="136">
        <v>43</v>
      </c>
      <c r="E53" s="136">
        <v>500</v>
      </c>
      <c r="F53" s="136">
        <v>560</v>
      </c>
      <c r="G53" s="137">
        <v>644</v>
      </c>
      <c r="H53" s="137">
        <v>697.8</v>
      </c>
      <c r="I53" s="137">
        <v>708.3</v>
      </c>
      <c r="J53" s="138">
        <v>570</v>
      </c>
      <c r="K53" s="138">
        <v>580.9</v>
      </c>
      <c r="L53" s="138">
        <v>572.9</v>
      </c>
      <c r="M53" s="138">
        <v>574.20000000000005</v>
      </c>
      <c r="N53" s="138">
        <v>459.9</v>
      </c>
      <c r="O53" s="138">
        <v>483.1</v>
      </c>
      <c r="P53" s="138">
        <v>473.8</v>
      </c>
      <c r="Q53" s="138">
        <v>502</v>
      </c>
      <c r="R53" s="138">
        <v>498.2</v>
      </c>
      <c r="S53" s="138">
        <v>505.5</v>
      </c>
      <c r="T53" s="138">
        <v>525</v>
      </c>
      <c r="U53" s="138"/>
      <c r="V53" s="138">
        <v>469.5</v>
      </c>
      <c r="W53" s="138"/>
      <c r="X53" s="138"/>
      <c r="Y53" s="138"/>
      <c r="Z53" s="138"/>
      <c r="AQ53" s="498" t="s">
        <v>489</v>
      </c>
      <c r="AR53" s="103">
        <v>48</v>
      </c>
      <c r="AS53" s="103">
        <v>508.66666666666669</v>
      </c>
      <c r="AU53" s="714">
        <v>949.4</v>
      </c>
      <c r="AV53" s="103">
        <f t="shared" si="0"/>
        <v>509.66666666666669</v>
      </c>
    </row>
    <row r="54" spans="4:48" s="103" customFormat="1" ht="18.75" customHeight="1" x14ac:dyDescent="0.35">
      <c r="D54" s="136">
        <v>44</v>
      </c>
      <c r="E54" s="136">
        <v>500</v>
      </c>
      <c r="F54" s="136">
        <v>560</v>
      </c>
      <c r="G54" s="137">
        <v>647</v>
      </c>
      <c r="H54" s="137">
        <v>702.9</v>
      </c>
      <c r="I54" s="137">
        <v>721.3</v>
      </c>
      <c r="J54" s="138">
        <v>573</v>
      </c>
      <c r="K54" s="138">
        <v>584.1</v>
      </c>
      <c r="L54" s="138">
        <v>575.79999999999995</v>
      </c>
      <c r="M54" s="138">
        <v>577.20000000000005</v>
      </c>
      <c r="N54" s="138">
        <v>465.4</v>
      </c>
      <c r="O54" s="138">
        <v>488.8</v>
      </c>
      <c r="P54" s="138">
        <v>479.2</v>
      </c>
      <c r="Q54" s="138">
        <v>507.4</v>
      </c>
      <c r="R54" s="138">
        <v>503.6</v>
      </c>
      <c r="S54" s="138">
        <v>511.1</v>
      </c>
      <c r="T54" s="138">
        <v>531.1</v>
      </c>
      <c r="U54" s="138"/>
      <c r="V54" s="138">
        <v>474.7</v>
      </c>
      <c r="W54" s="138"/>
      <c r="X54" s="138"/>
      <c r="Y54" s="138"/>
      <c r="Z54" s="138"/>
      <c r="AQ54" s="498" t="s">
        <v>490</v>
      </c>
      <c r="AR54" s="103">
        <v>49</v>
      </c>
      <c r="AS54" s="103">
        <v>513.11111111111109</v>
      </c>
      <c r="AU54" s="714">
        <v>957.5</v>
      </c>
      <c r="AV54" s="103">
        <f t="shared" si="0"/>
        <v>514.16666666666663</v>
      </c>
    </row>
    <row r="55" spans="4:48" s="103" customFormat="1" ht="18.75" customHeight="1" x14ac:dyDescent="0.35">
      <c r="D55" s="136">
        <v>45</v>
      </c>
      <c r="E55" s="136">
        <v>500</v>
      </c>
      <c r="F55" s="136">
        <v>560</v>
      </c>
      <c r="G55" s="137">
        <v>650</v>
      </c>
      <c r="H55" s="137">
        <v>708.2</v>
      </c>
      <c r="I55" s="137" t="s">
        <v>17</v>
      </c>
      <c r="J55" s="138">
        <v>576.1</v>
      </c>
      <c r="K55" s="138">
        <v>587</v>
      </c>
      <c r="L55" s="138">
        <v>578.79999999999995</v>
      </c>
      <c r="M55" s="138">
        <v>580.20000000000005</v>
      </c>
      <c r="N55" s="138">
        <v>471</v>
      </c>
      <c r="O55" s="138">
        <v>494.6</v>
      </c>
      <c r="P55" s="138">
        <v>484.6</v>
      </c>
      <c r="Q55" s="138">
        <v>513</v>
      </c>
      <c r="R55" s="138">
        <v>509.1</v>
      </c>
      <c r="S55" s="138">
        <v>517</v>
      </c>
      <c r="T55" s="138">
        <v>537</v>
      </c>
      <c r="U55" s="138"/>
      <c r="V55" s="138">
        <v>480.1</v>
      </c>
      <c r="W55" s="138"/>
      <c r="X55" s="138"/>
      <c r="Y55" s="138"/>
      <c r="Z55" s="138"/>
      <c r="AQ55" s="498" t="s">
        <v>491</v>
      </c>
      <c r="AR55" s="103">
        <v>50</v>
      </c>
      <c r="AS55" s="103">
        <v>517.5</v>
      </c>
      <c r="AU55" s="714">
        <v>965.5</v>
      </c>
      <c r="AV55" s="103">
        <f t="shared" si="0"/>
        <v>518.61111111111109</v>
      </c>
    </row>
    <row r="56" spans="4:48" s="103" customFormat="1" ht="18.75" customHeight="1" x14ac:dyDescent="0.35">
      <c r="D56" s="136">
        <v>46</v>
      </c>
      <c r="E56" s="136">
        <v>500</v>
      </c>
      <c r="F56" s="136">
        <v>560</v>
      </c>
      <c r="G56" s="137">
        <v>654</v>
      </c>
      <c r="H56" s="137">
        <v>715.3</v>
      </c>
      <c r="I56" s="137" t="s">
        <v>17</v>
      </c>
      <c r="J56" s="138">
        <v>579.20000000000005</v>
      </c>
      <c r="K56" s="138">
        <v>590</v>
      </c>
      <c r="L56" s="138">
        <v>581.70000000000005</v>
      </c>
      <c r="M56" s="138">
        <v>583.1</v>
      </c>
      <c r="N56" s="138">
        <v>476.4</v>
      </c>
      <c r="O56" s="138">
        <v>499.9</v>
      </c>
      <c r="P56" s="138">
        <v>490.2</v>
      </c>
      <c r="Q56" s="138">
        <v>518.79999999999995</v>
      </c>
      <c r="R56" s="138">
        <v>514.9</v>
      </c>
      <c r="S56" s="138">
        <v>522.70000000000005</v>
      </c>
      <c r="T56" s="138">
        <v>542.6</v>
      </c>
      <c r="U56" s="138"/>
      <c r="V56" s="138">
        <v>486</v>
      </c>
      <c r="W56" s="138"/>
      <c r="X56" s="138"/>
      <c r="Y56" s="138"/>
      <c r="Z56" s="138"/>
      <c r="AQ56" s="498" t="s">
        <v>492</v>
      </c>
      <c r="AR56" s="103">
        <v>51</v>
      </c>
      <c r="AS56" s="103">
        <v>521.83333333333337</v>
      </c>
      <c r="AU56" s="714">
        <v>973.3</v>
      </c>
      <c r="AV56" s="103">
        <f t="shared" si="0"/>
        <v>522.94444444444446</v>
      </c>
    </row>
    <row r="57" spans="4:48" s="103" customFormat="1" ht="18.75" customHeight="1" x14ac:dyDescent="0.35">
      <c r="D57" s="136">
        <v>47</v>
      </c>
      <c r="E57" s="136">
        <v>500</v>
      </c>
      <c r="F57" s="136">
        <v>560</v>
      </c>
      <c r="G57" s="137">
        <v>657</v>
      </c>
      <c r="H57" s="137">
        <v>724.1</v>
      </c>
      <c r="I57" s="137" t="s">
        <v>17</v>
      </c>
      <c r="J57" s="138">
        <v>582.4</v>
      </c>
      <c r="K57" s="138">
        <v>592.9</v>
      </c>
      <c r="L57" s="138">
        <v>584.6</v>
      </c>
      <c r="M57" s="138">
        <v>586</v>
      </c>
      <c r="N57" s="138">
        <v>481.9</v>
      </c>
      <c r="O57" s="138">
        <v>504.9</v>
      </c>
      <c r="P57" s="138">
        <v>495.6</v>
      </c>
      <c r="Q57" s="138">
        <v>524.20000000000005</v>
      </c>
      <c r="R57" s="138">
        <v>520.6</v>
      </c>
      <c r="S57" s="138">
        <v>528</v>
      </c>
      <c r="T57" s="138">
        <v>548.29999999999995</v>
      </c>
      <c r="U57" s="138"/>
      <c r="V57" s="138">
        <v>492</v>
      </c>
      <c r="W57" s="138"/>
      <c r="X57" s="138"/>
      <c r="Y57" s="138"/>
      <c r="Z57" s="138"/>
      <c r="AQ57" s="498" t="s">
        <v>493</v>
      </c>
      <c r="AR57" s="103">
        <v>52</v>
      </c>
      <c r="AS57" s="103">
        <v>526.16666666666663</v>
      </c>
      <c r="AU57" s="714">
        <v>981.1</v>
      </c>
      <c r="AV57" s="103">
        <f t="shared" si="0"/>
        <v>527.27777777777783</v>
      </c>
    </row>
    <row r="58" spans="4:48" s="103" customFormat="1" ht="18.75" customHeight="1" x14ac:dyDescent="0.35">
      <c r="D58" s="136">
        <v>48</v>
      </c>
      <c r="E58" s="136">
        <v>500</v>
      </c>
      <c r="F58" s="136">
        <v>560</v>
      </c>
      <c r="G58" s="137">
        <v>661</v>
      </c>
      <c r="H58" s="137" t="s">
        <v>17</v>
      </c>
      <c r="I58" s="137" t="s">
        <v>17</v>
      </c>
      <c r="J58" s="138">
        <v>585.5</v>
      </c>
      <c r="K58" s="138">
        <v>595.70000000000005</v>
      </c>
      <c r="L58" s="138">
        <v>587.4</v>
      </c>
      <c r="M58" s="138">
        <v>588.79999999999995</v>
      </c>
      <c r="N58" s="138">
        <v>487.5</v>
      </c>
      <c r="O58" s="138">
        <v>510</v>
      </c>
      <c r="P58" s="138">
        <v>500.4</v>
      </c>
      <c r="Q58" s="138">
        <v>529.4</v>
      </c>
      <c r="R58" s="138">
        <v>525.9</v>
      </c>
      <c r="S58" s="138">
        <v>533.20000000000005</v>
      </c>
      <c r="T58" s="138">
        <v>553.9</v>
      </c>
      <c r="U58" s="138"/>
      <c r="V58" s="138">
        <v>497.6</v>
      </c>
      <c r="W58" s="138"/>
      <c r="X58" s="138"/>
      <c r="Y58" s="138"/>
      <c r="Z58" s="138"/>
      <c r="AQ58" s="498" t="s">
        <v>494</v>
      </c>
      <c r="AR58" s="103">
        <v>53</v>
      </c>
      <c r="AS58" s="103">
        <v>530.44444444444446</v>
      </c>
      <c r="AU58" s="714">
        <v>988.8</v>
      </c>
      <c r="AV58" s="103">
        <f t="shared" si="0"/>
        <v>531.55555555555554</v>
      </c>
    </row>
    <row r="59" spans="4:48" s="103" customFormat="1" ht="18.75" customHeight="1" x14ac:dyDescent="0.35">
      <c r="D59" s="136">
        <v>49</v>
      </c>
      <c r="E59" s="136">
        <v>500</v>
      </c>
      <c r="F59" s="136">
        <v>560</v>
      </c>
      <c r="G59" s="137">
        <v>664</v>
      </c>
      <c r="H59" s="137" t="s">
        <v>17</v>
      </c>
      <c r="I59" s="137" t="s">
        <v>17</v>
      </c>
      <c r="J59" s="138">
        <v>588.5</v>
      </c>
      <c r="K59" s="138">
        <v>598.6</v>
      </c>
      <c r="L59" s="138">
        <v>590.1</v>
      </c>
      <c r="M59" s="138">
        <v>591.6</v>
      </c>
      <c r="N59" s="138">
        <v>493.2</v>
      </c>
      <c r="O59" s="138">
        <v>515.4</v>
      </c>
      <c r="P59" s="138">
        <v>505.2</v>
      </c>
      <c r="Q59" s="138">
        <v>534.4</v>
      </c>
      <c r="R59" s="138">
        <v>531.1</v>
      </c>
      <c r="S59" s="138">
        <v>538.1</v>
      </c>
      <c r="T59" s="138">
        <v>559.20000000000005</v>
      </c>
      <c r="U59" s="138"/>
      <c r="V59" s="138">
        <v>502.5</v>
      </c>
      <c r="W59" s="138"/>
      <c r="X59" s="138"/>
      <c r="Y59" s="138"/>
      <c r="Z59" s="138"/>
      <c r="AQ59" s="498" t="s">
        <v>495</v>
      </c>
      <c r="AR59" s="103">
        <v>54</v>
      </c>
      <c r="AS59" s="103">
        <v>534.61111111111109</v>
      </c>
      <c r="AU59" s="714">
        <v>996.2</v>
      </c>
      <c r="AV59" s="103">
        <f t="shared" si="0"/>
        <v>535.66666666666663</v>
      </c>
    </row>
    <row r="60" spans="4:48" s="103" customFormat="1" ht="18.75" customHeight="1" x14ac:dyDescent="0.35">
      <c r="D60" s="430">
        <v>50</v>
      </c>
      <c r="E60" s="430">
        <v>500</v>
      </c>
      <c r="F60" s="430">
        <v>560</v>
      </c>
      <c r="G60" s="431">
        <v>667</v>
      </c>
      <c r="H60" s="431" t="s">
        <v>17</v>
      </c>
      <c r="I60" s="431" t="s">
        <v>17</v>
      </c>
      <c r="J60" s="432">
        <v>591.6</v>
      </c>
      <c r="K60" s="432">
        <v>601.5</v>
      </c>
      <c r="L60" s="432">
        <v>592.79999999999995</v>
      </c>
      <c r="M60" s="432">
        <v>594.29999999999995</v>
      </c>
      <c r="N60" s="432">
        <v>498.4</v>
      </c>
      <c r="O60" s="432">
        <v>520.79999999999995</v>
      </c>
      <c r="P60" s="432">
        <v>510</v>
      </c>
      <c r="Q60" s="432">
        <v>539.29999999999995</v>
      </c>
      <c r="R60" s="432">
        <v>536.1</v>
      </c>
      <c r="S60" s="432">
        <v>543</v>
      </c>
      <c r="T60" s="432">
        <v>564.29999999999995</v>
      </c>
      <c r="U60" s="432"/>
      <c r="V60" s="432">
        <v>507.4</v>
      </c>
      <c r="W60" s="432"/>
      <c r="X60" s="432"/>
      <c r="Y60" s="432"/>
      <c r="Z60" s="432"/>
      <c r="AQ60" s="498" t="s">
        <v>496</v>
      </c>
      <c r="AR60" s="103">
        <v>55</v>
      </c>
      <c r="AS60" s="103">
        <v>538.66666666666663</v>
      </c>
      <c r="AU60" s="714">
        <v>1003.3</v>
      </c>
      <c r="AV60" s="103">
        <f t="shared" si="0"/>
        <v>539.61111111111109</v>
      </c>
    </row>
    <row r="61" spans="4:48" s="103" customFormat="1" ht="18.75" customHeight="1" x14ac:dyDescent="0.35">
      <c r="D61" s="136">
        <v>51</v>
      </c>
      <c r="E61" s="136">
        <v>500</v>
      </c>
      <c r="F61" s="136">
        <v>560</v>
      </c>
      <c r="G61" s="137">
        <v>671</v>
      </c>
      <c r="H61" s="137" t="s">
        <v>17</v>
      </c>
      <c r="I61" s="137" t="s">
        <v>17</v>
      </c>
      <c r="J61" s="138">
        <v>594.70000000000005</v>
      </c>
      <c r="K61" s="138">
        <v>604.4</v>
      </c>
      <c r="L61" s="138">
        <v>595.5</v>
      </c>
      <c r="M61" s="138">
        <v>597</v>
      </c>
      <c r="N61" s="138">
        <v>503.4</v>
      </c>
      <c r="O61" s="138">
        <v>525.79999999999995</v>
      </c>
      <c r="P61" s="138">
        <v>515.1</v>
      </c>
      <c r="Q61" s="138">
        <v>544.20000000000005</v>
      </c>
      <c r="R61" s="138">
        <v>540.79999999999995</v>
      </c>
      <c r="S61" s="138">
        <v>547.79999999999995</v>
      </c>
      <c r="T61" s="138">
        <v>569.1</v>
      </c>
      <c r="U61" s="138"/>
      <c r="V61" s="138">
        <v>512.70000000000005</v>
      </c>
      <c r="W61" s="138"/>
      <c r="X61" s="138"/>
      <c r="Y61" s="138"/>
      <c r="Z61" s="138"/>
      <c r="AQ61" s="498" t="s">
        <v>497</v>
      </c>
      <c r="AR61" s="103">
        <v>56</v>
      </c>
      <c r="AS61" s="103">
        <v>542.72222222222217</v>
      </c>
      <c r="AU61" s="714">
        <v>1010.4</v>
      </c>
      <c r="AV61" s="103">
        <f t="shared" si="0"/>
        <v>543.55555555555554</v>
      </c>
    </row>
    <row r="62" spans="4:48" s="103" customFormat="1" ht="18.75" customHeight="1" x14ac:dyDescent="0.35">
      <c r="D62" s="136">
        <v>52</v>
      </c>
      <c r="E62" s="136">
        <v>500</v>
      </c>
      <c r="F62" s="136">
        <v>560</v>
      </c>
      <c r="G62" s="137">
        <v>675</v>
      </c>
      <c r="H62" s="137" t="s">
        <v>17</v>
      </c>
      <c r="I62" s="137" t="s">
        <v>17</v>
      </c>
      <c r="J62" s="138">
        <v>597.79999999999995</v>
      </c>
      <c r="K62" s="138">
        <v>607.4</v>
      </c>
      <c r="L62" s="138">
        <v>598.1</v>
      </c>
      <c r="M62" s="138">
        <v>599.79999999999995</v>
      </c>
      <c r="N62" s="138">
        <v>508.3</v>
      </c>
      <c r="O62" s="138">
        <v>530.6</v>
      </c>
      <c r="P62" s="138">
        <v>520.1</v>
      </c>
      <c r="Q62" s="138">
        <v>549</v>
      </c>
      <c r="R62" s="138">
        <v>545.6</v>
      </c>
      <c r="S62" s="138">
        <v>552.6</v>
      </c>
      <c r="T62" s="138">
        <v>573.6</v>
      </c>
      <c r="U62" s="138"/>
      <c r="V62" s="138">
        <v>518.20000000000005</v>
      </c>
      <c r="W62" s="138"/>
      <c r="X62" s="138"/>
      <c r="Y62" s="138"/>
      <c r="Z62" s="138"/>
      <c r="AQ62" s="498" t="s">
        <v>498</v>
      </c>
      <c r="AR62" s="103">
        <v>57</v>
      </c>
      <c r="AS62" s="103">
        <v>546.72222222222217</v>
      </c>
      <c r="AU62" s="714">
        <v>1017.5</v>
      </c>
      <c r="AV62" s="103">
        <f t="shared" si="0"/>
        <v>547.5</v>
      </c>
    </row>
    <row r="63" spans="4:48" s="103" customFormat="1" ht="19.5" customHeight="1" x14ac:dyDescent="0.35">
      <c r="D63" s="136">
        <v>53</v>
      </c>
      <c r="E63" s="136">
        <v>500</v>
      </c>
      <c r="F63" s="136">
        <v>560</v>
      </c>
      <c r="G63" s="137">
        <v>678</v>
      </c>
      <c r="H63" s="137" t="s">
        <v>17</v>
      </c>
      <c r="I63" s="137" t="s">
        <v>17</v>
      </c>
      <c r="J63" s="138">
        <v>601</v>
      </c>
      <c r="K63" s="138">
        <v>610.29999999999995</v>
      </c>
      <c r="L63" s="138">
        <v>600.79999999999995</v>
      </c>
      <c r="M63" s="138">
        <v>602.6</v>
      </c>
      <c r="N63" s="138">
        <v>513.70000000000005</v>
      </c>
      <c r="O63" s="138">
        <v>535.29999999999995</v>
      </c>
      <c r="P63" s="138">
        <v>524.79999999999995</v>
      </c>
      <c r="Q63" s="138">
        <v>553.70000000000005</v>
      </c>
      <c r="R63" s="138">
        <v>550.4</v>
      </c>
      <c r="S63" s="138">
        <v>557.20000000000005</v>
      </c>
      <c r="T63" s="138">
        <v>578.4</v>
      </c>
      <c r="U63" s="138"/>
      <c r="V63" s="138">
        <v>523.5</v>
      </c>
      <c r="W63" s="138"/>
      <c r="X63" s="138"/>
      <c r="Y63" s="138"/>
      <c r="Z63" s="138"/>
      <c r="AQ63" s="498" t="s">
        <v>499</v>
      </c>
      <c r="AR63" s="103">
        <v>58</v>
      </c>
      <c r="AS63" s="103">
        <v>550.88888888888891</v>
      </c>
      <c r="AU63" s="714">
        <v>1024.5999999999999</v>
      </c>
      <c r="AV63" s="103">
        <f t="shared" si="0"/>
        <v>551.44444444444446</v>
      </c>
    </row>
    <row r="64" spans="4:48" s="103" customFormat="1" ht="19.5" customHeight="1" x14ac:dyDescent="0.35">
      <c r="D64" s="136">
        <v>54</v>
      </c>
      <c r="E64" s="136">
        <v>500</v>
      </c>
      <c r="F64" s="136">
        <v>560</v>
      </c>
      <c r="G64" s="137">
        <v>682</v>
      </c>
      <c r="H64" s="137" t="s">
        <v>17</v>
      </c>
      <c r="I64" s="137" t="s">
        <v>17</v>
      </c>
      <c r="J64" s="138">
        <v>604.29999999999995</v>
      </c>
      <c r="K64" s="138">
        <v>613.29999999999995</v>
      </c>
      <c r="L64" s="138">
        <v>603.6</v>
      </c>
      <c r="M64" s="138">
        <v>605.4</v>
      </c>
      <c r="N64" s="138">
        <v>519.1</v>
      </c>
      <c r="O64" s="138">
        <v>539.9</v>
      </c>
      <c r="P64" s="138">
        <v>529.29999999999995</v>
      </c>
      <c r="Q64" s="138">
        <v>558.20000000000005</v>
      </c>
      <c r="R64" s="138">
        <v>555.20000000000005</v>
      </c>
      <c r="S64" s="138">
        <v>561.5</v>
      </c>
      <c r="T64" s="138">
        <v>583.29999999999995</v>
      </c>
      <c r="U64" s="138"/>
      <c r="V64" s="138">
        <v>528.29999999999995</v>
      </c>
      <c r="W64" s="138"/>
      <c r="X64" s="138"/>
      <c r="Y64" s="138"/>
      <c r="Z64" s="138"/>
      <c r="AQ64" s="498" t="s">
        <v>500</v>
      </c>
      <c r="AR64" s="103">
        <v>59</v>
      </c>
      <c r="AS64" s="103">
        <v>554.94444444444446</v>
      </c>
      <c r="AU64" s="714">
        <v>1031.5999999999999</v>
      </c>
      <c r="AV64" s="103">
        <f t="shared" si="0"/>
        <v>555.33333333333337</v>
      </c>
    </row>
    <row r="65" spans="4:48" s="103" customFormat="1" ht="19.5" customHeight="1" x14ac:dyDescent="0.35">
      <c r="D65" s="136">
        <v>55</v>
      </c>
      <c r="E65" s="136">
        <v>500</v>
      </c>
      <c r="F65" s="136">
        <v>560</v>
      </c>
      <c r="G65" s="137">
        <v>687</v>
      </c>
      <c r="H65" s="137" t="s">
        <v>17</v>
      </c>
      <c r="I65" s="137" t="s">
        <v>17</v>
      </c>
      <c r="J65" s="138">
        <v>607.6</v>
      </c>
      <c r="K65" s="138">
        <v>616.29999999999995</v>
      </c>
      <c r="L65" s="138">
        <v>606.29999999999995</v>
      </c>
      <c r="M65" s="138">
        <v>608.20000000000005</v>
      </c>
      <c r="N65" s="138">
        <v>524.20000000000005</v>
      </c>
      <c r="O65" s="138">
        <v>544.4</v>
      </c>
      <c r="P65" s="138">
        <v>533.70000000000005</v>
      </c>
      <c r="Q65" s="138">
        <v>562.5</v>
      </c>
      <c r="R65" s="138">
        <v>559.6</v>
      </c>
      <c r="S65" s="138">
        <v>565.79999999999995</v>
      </c>
      <c r="T65" s="138">
        <v>588.20000000000005</v>
      </c>
      <c r="U65" s="138"/>
      <c r="V65" s="138">
        <v>533</v>
      </c>
      <c r="W65" s="138"/>
      <c r="X65" s="138"/>
      <c r="Y65" s="138"/>
      <c r="Z65" s="138"/>
      <c r="AQ65" s="498" t="s">
        <v>501</v>
      </c>
      <c r="AR65" s="103">
        <v>60</v>
      </c>
      <c r="AS65" s="103">
        <v>558.83333333333337</v>
      </c>
      <c r="AU65" s="714">
        <v>1038.4000000000001</v>
      </c>
      <c r="AV65" s="103">
        <f t="shared" si="0"/>
        <v>559.11111111111109</v>
      </c>
    </row>
    <row r="66" spans="4:48" s="103" customFormat="1" ht="19.5" customHeight="1" x14ac:dyDescent="0.35">
      <c r="D66" s="136">
        <v>56</v>
      </c>
      <c r="E66" s="136">
        <v>500</v>
      </c>
      <c r="F66" s="136">
        <v>560</v>
      </c>
      <c r="G66" s="137">
        <v>691</v>
      </c>
      <c r="H66" s="137" t="s">
        <v>17</v>
      </c>
      <c r="I66" s="137" t="s">
        <v>17</v>
      </c>
      <c r="J66" s="138">
        <v>610.9</v>
      </c>
      <c r="K66" s="138">
        <v>619.4</v>
      </c>
      <c r="L66" s="138">
        <v>609</v>
      </c>
      <c r="M66" s="138">
        <v>611</v>
      </c>
      <c r="N66" s="138">
        <v>529.1</v>
      </c>
      <c r="O66" s="138">
        <v>549</v>
      </c>
      <c r="P66" s="138">
        <v>538</v>
      </c>
      <c r="Q66" s="138">
        <v>566.70000000000005</v>
      </c>
      <c r="R66" s="138">
        <v>563.9</v>
      </c>
      <c r="S66" s="138">
        <v>569.6</v>
      </c>
      <c r="T66" s="138">
        <v>593.1</v>
      </c>
      <c r="U66" s="138"/>
      <c r="V66" s="138">
        <v>537.6</v>
      </c>
      <c r="W66" s="138"/>
      <c r="X66" s="138"/>
      <c r="Y66" s="138"/>
      <c r="Z66" s="138"/>
      <c r="AQ66" s="498" t="s">
        <v>502</v>
      </c>
      <c r="AR66" s="103">
        <v>61</v>
      </c>
      <c r="AS66" s="103">
        <v>562.55555555555554</v>
      </c>
      <c r="AU66" s="714">
        <v>1044.9000000000001</v>
      </c>
      <c r="AV66" s="103">
        <f t="shared" si="0"/>
        <v>562.72222222222217</v>
      </c>
    </row>
    <row r="67" spans="4:48" s="103" customFormat="1" x14ac:dyDescent="0.35">
      <c r="D67" s="136">
        <v>57</v>
      </c>
      <c r="E67" s="136">
        <v>500</v>
      </c>
      <c r="F67" s="136">
        <v>560</v>
      </c>
      <c r="G67" s="137">
        <v>694</v>
      </c>
      <c r="H67" s="137" t="s">
        <v>17</v>
      </c>
      <c r="I67" s="137" t="s">
        <v>17</v>
      </c>
      <c r="J67" s="138">
        <v>614.29999999999995</v>
      </c>
      <c r="K67" s="138">
        <v>622.6</v>
      </c>
      <c r="L67" s="138">
        <v>611.70000000000005</v>
      </c>
      <c r="M67" s="138">
        <v>613.9</v>
      </c>
      <c r="N67" s="138">
        <v>533.9</v>
      </c>
      <c r="O67" s="138">
        <v>553.5</v>
      </c>
      <c r="P67" s="138">
        <v>542.20000000000005</v>
      </c>
      <c r="Q67" s="138">
        <v>570.6</v>
      </c>
      <c r="R67" s="138">
        <v>567.9</v>
      </c>
      <c r="S67" s="138">
        <v>573.4</v>
      </c>
      <c r="T67" s="138">
        <v>598</v>
      </c>
      <c r="U67" s="138"/>
      <c r="V67" s="138">
        <v>542.1</v>
      </c>
      <c r="W67" s="138"/>
      <c r="X67" s="138"/>
      <c r="Y67" s="138"/>
      <c r="Z67" s="138"/>
      <c r="AQ67" s="498" t="s">
        <v>503</v>
      </c>
      <c r="AR67" s="103">
        <v>62</v>
      </c>
      <c r="AS67" s="103">
        <v>566.27777777777783</v>
      </c>
      <c r="AU67" s="714">
        <v>1051.4000000000001</v>
      </c>
      <c r="AV67" s="103">
        <f t="shared" si="0"/>
        <v>566.33333333333337</v>
      </c>
    </row>
    <row r="68" spans="4:48" s="103" customFormat="1" x14ac:dyDescent="0.35">
      <c r="D68" s="136">
        <v>58</v>
      </c>
      <c r="E68" s="136">
        <v>500</v>
      </c>
      <c r="F68" s="136">
        <v>560</v>
      </c>
      <c r="G68" s="137">
        <v>698</v>
      </c>
      <c r="H68" s="137" t="s">
        <v>17</v>
      </c>
      <c r="I68" s="137" t="s">
        <v>17</v>
      </c>
      <c r="J68" s="138">
        <v>617.79999999999995</v>
      </c>
      <c r="K68" s="138">
        <v>625.70000000000005</v>
      </c>
      <c r="L68" s="138">
        <v>614.5</v>
      </c>
      <c r="M68" s="138">
        <v>616.79999999999995</v>
      </c>
      <c r="N68" s="138">
        <v>538.70000000000005</v>
      </c>
      <c r="O68" s="138">
        <v>557.79999999999995</v>
      </c>
      <c r="P68" s="138">
        <v>546.4</v>
      </c>
      <c r="Q68" s="138">
        <v>574.5</v>
      </c>
      <c r="R68" s="138">
        <v>571.9</v>
      </c>
      <c r="S68" s="138">
        <v>577.29999999999995</v>
      </c>
      <c r="T68" s="138">
        <v>603.1</v>
      </c>
      <c r="U68" s="138"/>
      <c r="V68" s="138">
        <v>546.70000000000005</v>
      </c>
      <c r="W68" s="138"/>
      <c r="X68" s="138"/>
      <c r="Y68" s="138"/>
      <c r="Z68" s="138"/>
      <c r="AQ68" s="498" t="s">
        <v>504</v>
      </c>
      <c r="AR68" s="103">
        <v>63</v>
      </c>
      <c r="AS68" s="103">
        <v>569.77777777777783</v>
      </c>
      <c r="AU68" s="714">
        <v>1057.5999999999999</v>
      </c>
      <c r="AV68" s="103">
        <f t="shared" si="0"/>
        <v>569.77777777777783</v>
      </c>
    </row>
    <row r="69" spans="4:48" s="13" customFormat="1" x14ac:dyDescent="0.35">
      <c r="D69" s="136">
        <v>59</v>
      </c>
      <c r="E69" s="136">
        <v>500</v>
      </c>
      <c r="F69" s="136">
        <v>560</v>
      </c>
      <c r="G69" s="137">
        <v>702</v>
      </c>
      <c r="H69" s="137" t="s">
        <v>17</v>
      </c>
      <c r="I69" s="137" t="s">
        <v>17</v>
      </c>
      <c r="J69" s="138">
        <v>621.4</v>
      </c>
      <c r="K69" s="138">
        <v>628.9</v>
      </c>
      <c r="L69" s="138">
        <v>617.29999999999995</v>
      </c>
      <c r="M69" s="138">
        <v>619.70000000000005</v>
      </c>
      <c r="N69" s="138">
        <v>543.29999999999995</v>
      </c>
      <c r="O69" s="138">
        <v>561.79999999999995</v>
      </c>
      <c r="P69" s="138">
        <v>550.5</v>
      </c>
      <c r="Q69" s="138">
        <v>578.5</v>
      </c>
      <c r="R69" s="138">
        <v>575.79999999999995</v>
      </c>
      <c r="S69" s="138">
        <v>581.29999999999995</v>
      </c>
      <c r="T69" s="138">
        <v>608.6</v>
      </c>
      <c r="U69" s="138"/>
      <c r="V69" s="138">
        <v>551.29999999999995</v>
      </c>
      <c r="W69" s="138"/>
      <c r="X69" s="138"/>
      <c r="Y69" s="138"/>
      <c r="Z69" s="138"/>
      <c r="AQ69" s="498" t="s">
        <v>505</v>
      </c>
      <c r="AR69" s="103">
        <v>64</v>
      </c>
      <c r="AS69" s="13">
        <v>573.22222222222217</v>
      </c>
      <c r="AU69" s="714">
        <v>1063.7</v>
      </c>
      <c r="AV69" s="103">
        <f t="shared" si="0"/>
        <v>573.16666666666663</v>
      </c>
    </row>
    <row r="70" spans="4:48" s="103" customFormat="1" x14ac:dyDescent="0.35">
      <c r="D70" s="430">
        <v>60</v>
      </c>
      <c r="E70" s="430">
        <v>500</v>
      </c>
      <c r="F70" s="430">
        <v>560</v>
      </c>
      <c r="G70" s="431">
        <v>705</v>
      </c>
      <c r="H70" s="431" t="s">
        <v>17</v>
      </c>
      <c r="I70" s="431" t="s">
        <v>17</v>
      </c>
      <c r="J70" s="432">
        <v>625</v>
      </c>
      <c r="K70" s="432">
        <v>631.9</v>
      </c>
      <c r="L70" s="432">
        <v>620.1</v>
      </c>
      <c r="M70" s="432">
        <v>622.70000000000005</v>
      </c>
      <c r="N70" s="432">
        <v>548.1</v>
      </c>
      <c r="O70" s="432">
        <v>565.79999999999995</v>
      </c>
      <c r="P70" s="432">
        <v>554.6</v>
      </c>
      <c r="Q70" s="432">
        <v>582.6</v>
      </c>
      <c r="R70" s="432">
        <v>580</v>
      </c>
      <c r="S70" s="432">
        <v>585.29999999999995</v>
      </c>
      <c r="T70" s="432">
        <v>614.1</v>
      </c>
      <c r="U70" s="432"/>
      <c r="V70" s="432">
        <v>556</v>
      </c>
      <c r="W70" s="432"/>
      <c r="X70" s="432"/>
      <c r="Y70" s="432"/>
      <c r="Z70" s="432"/>
      <c r="AQ70" s="498" t="s">
        <v>506</v>
      </c>
      <c r="AR70" s="103">
        <v>65</v>
      </c>
      <c r="AS70" s="103">
        <v>576.77777777777783</v>
      </c>
      <c r="AU70" s="714">
        <v>1069.9000000000001</v>
      </c>
      <c r="AV70" s="103">
        <f t="shared" si="0"/>
        <v>576.61111111111109</v>
      </c>
    </row>
    <row r="71" spans="4:48" s="103" customFormat="1" x14ac:dyDescent="0.35">
      <c r="D71" s="136">
        <v>61</v>
      </c>
      <c r="E71" s="136">
        <v>500</v>
      </c>
      <c r="F71" s="136">
        <v>560</v>
      </c>
      <c r="G71" s="137">
        <v>708</v>
      </c>
      <c r="H71" s="137" t="s">
        <v>17</v>
      </c>
      <c r="I71" s="137" t="s">
        <v>17</v>
      </c>
      <c r="J71" s="138">
        <v>628.6</v>
      </c>
      <c r="K71" s="138">
        <v>635.1</v>
      </c>
      <c r="L71" s="138">
        <v>623</v>
      </c>
      <c r="M71" s="138">
        <v>625.70000000000005</v>
      </c>
      <c r="N71" s="138">
        <v>552.79999999999995</v>
      </c>
      <c r="O71" s="138">
        <v>569.5</v>
      </c>
      <c r="P71" s="138">
        <v>558.5</v>
      </c>
      <c r="Q71" s="138">
        <v>586.6</v>
      </c>
      <c r="R71" s="138">
        <v>584.20000000000005</v>
      </c>
      <c r="S71" s="138">
        <v>589.29999999999995</v>
      </c>
      <c r="T71" s="138">
        <v>620.1</v>
      </c>
      <c r="U71" s="138"/>
      <c r="V71" s="138">
        <v>560.29999999999995</v>
      </c>
      <c r="W71" s="138"/>
      <c r="X71" s="138"/>
      <c r="Y71" s="138"/>
      <c r="Z71" s="138"/>
      <c r="AQ71" s="498" t="s">
        <v>507</v>
      </c>
      <c r="AR71" s="103">
        <v>66</v>
      </c>
      <c r="AS71" s="103">
        <v>580.33333333333337</v>
      </c>
      <c r="AU71" s="714">
        <v>1076.3</v>
      </c>
      <c r="AV71" s="103">
        <f t="shared" ref="AV71:AV95" si="1">(AU71-32)*5/9</f>
        <v>580.16666666666663</v>
      </c>
    </row>
    <row r="72" spans="4:48" s="103" customFormat="1" x14ac:dyDescent="0.35">
      <c r="D72" s="136">
        <v>62</v>
      </c>
      <c r="E72" s="136">
        <v>500</v>
      </c>
      <c r="F72" s="136">
        <v>560</v>
      </c>
      <c r="G72" s="137">
        <v>713</v>
      </c>
      <c r="H72" s="137" t="s">
        <v>17</v>
      </c>
      <c r="I72" s="137" t="s">
        <v>17</v>
      </c>
      <c r="J72" s="138">
        <v>632</v>
      </c>
      <c r="K72" s="138">
        <v>638.4</v>
      </c>
      <c r="L72" s="138">
        <v>625.79999999999995</v>
      </c>
      <c r="M72" s="138">
        <v>628.70000000000005</v>
      </c>
      <c r="N72" s="138">
        <v>557.4</v>
      </c>
      <c r="O72" s="138">
        <v>573.20000000000005</v>
      </c>
      <c r="P72" s="138">
        <v>562.20000000000005</v>
      </c>
      <c r="Q72" s="138">
        <v>590.70000000000005</v>
      </c>
      <c r="R72" s="138">
        <v>588.4</v>
      </c>
      <c r="S72" s="138">
        <v>593.29999999999995</v>
      </c>
      <c r="T72" s="138">
        <v>626.20000000000005</v>
      </c>
      <c r="U72" s="138"/>
      <c r="V72" s="138">
        <v>564.4</v>
      </c>
      <c r="W72" s="138"/>
      <c r="X72" s="138"/>
      <c r="Y72" s="138"/>
      <c r="Z72" s="138"/>
      <c r="AQ72" s="498" t="s">
        <v>508</v>
      </c>
      <c r="AR72" s="103">
        <v>67</v>
      </c>
      <c r="AS72" s="103">
        <v>583.94444444444446</v>
      </c>
      <c r="AU72" s="714">
        <v>1082.8</v>
      </c>
      <c r="AV72" s="103">
        <f t="shared" si="1"/>
        <v>583.77777777777783</v>
      </c>
    </row>
    <row r="73" spans="4:48" s="103" customFormat="1" x14ac:dyDescent="0.35">
      <c r="D73" s="136">
        <v>63</v>
      </c>
      <c r="E73" s="136">
        <v>500</v>
      </c>
      <c r="F73" s="136">
        <v>560</v>
      </c>
      <c r="G73" s="137">
        <v>718</v>
      </c>
      <c r="H73" s="137" t="s">
        <v>17</v>
      </c>
      <c r="I73" s="137" t="s">
        <v>17</v>
      </c>
      <c r="J73" s="138">
        <v>635.5</v>
      </c>
      <c r="K73" s="138">
        <v>641.79999999999995</v>
      </c>
      <c r="L73" s="138">
        <v>628.6</v>
      </c>
      <c r="M73" s="138">
        <v>631.6</v>
      </c>
      <c r="N73" s="138">
        <v>561.79999999999995</v>
      </c>
      <c r="O73" s="138">
        <v>577.1</v>
      </c>
      <c r="P73" s="138">
        <v>565.9</v>
      </c>
      <c r="Q73" s="138">
        <v>594.70000000000005</v>
      </c>
      <c r="R73" s="138">
        <v>592.70000000000005</v>
      </c>
      <c r="S73" s="138">
        <v>597.29999999999995</v>
      </c>
      <c r="T73" s="138">
        <v>632.5</v>
      </c>
      <c r="U73" s="138"/>
      <c r="V73" s="138">
        <v>568.4</v>
      </c>
      <c r="W73" s="138"/>
      <c r="X73" s="138"/>
      <c r="Y73" s="138"/>
      <c r="Z73" s="138"/>
      <c r="AQ73" s="498" t="s">
        <v>509</v>
      </c>
      <c r="AR73" s="103">
        <v>68</v>
      </c>
      <c r="AS73" s="103">
        <v>587.33333333333337</v>
      </c>
      <c r="AU73" s="714">
        <v>1089</v>
      </c>
      <c r="AV73" s="103">
        <f t="shared" si="1"/>
        <v>587.22222222222217</v>
      </c>
    </row>
    <row r="74" spans="4:48" s="103" customFormat="1" x14ac:dyDescent="0.35">
      <c r="D74" s="136">
        <v>64</v>
      </c>
      <c r="E74" s="136">
        <v>500</v>
      </c>
      <c r="F74" s="136">
        <v>560</v>
      </c>
      <c r="G74" s="137">
        <v>720</v>
      </c>
      <c r="H74" s="137" t="s">
        <v>17</v>
      </c>
      <c r="I74" s="137" t="s">
        <v>17</v>
      </c>
      <c r="J74" s="138">
        <v>639.29999999999995</v>
      </c>
      <c r="K74" s="138">
        <v>645.4</v>
      </c>
      <c r="L74" s="138">
        <v>631.4</v>
      </c>
      <c r="M74" s="138">
        <v>634.5</v>
      </c>
      <c r="N74" s="138">
        <v>566.1</v>
      </c>
      <c r="O74" s="138">
        <v>581</v>
      </c>
      <c r="P74" s="138">
        <v>569.29999999999995</v>
      </c>
      <c r="Q74" s="138">
        <v>598.79999999999995</v>
      </c>
      <c r="R74" s="138">
        <v>596.9</v>
      </c>
      <c r="S74" s="138">
        <v>601.5</v>
      </c>
      <c r="T74" s="138">
        <v>639.29999999999995</v>
      </c>
      <c r="U74" s="138"/>
      <c r="V74" s="138">
        <v>572.20000000000005</v>
      </c>
      <c r="W74" s="138"/>
      <c r="X74" s="138"/>
      <c r="Y74" s="138"/>
      <c r="Z74" s="138"/>
      <c r="AQ74" s="498" t="s">
        <v>510</v>
      </c>
      <c r="AR74" s="103">
        <v>69</v>
      </c>
      <c r="AS74" s="103">
        <v>590.66666666666663</v>
      </c>
      <c r="AU74" s="714">
        <v>1095.2</v>
      </c>
      <c r="AV74" s="103">
        <f t="shared" si="1"/>
        <v>590.66666666666663</v>
      </c>
    </row>
    <row r="75" spans="4:48" s="103" customFormat="1" x14ac:dyDescent="0.35">
      <c r="D75" s="136">
        <v>65</v>
      </c>
      <c r="E75" s="136">
        <v>500</v>
      </c>
      <c r="F75" s="136">
        <v>560</v>
      </c>
      <c r="G75" s="137" t="s">
        <v>17</v>
      </c>
      <c r="H75" s="137" t="s">
        <v>17</v>
      </c>
      <c r="I75" s="137" t="s">
        <v>17</v>
      </c>
      <c r="J75" s="138">
        <v>643.29999999999995</v>
      </c>
      <c r="K75" s="138">
        <v>648.9</v>
      </c>
      <c r="L75" s="138">
        <v>634.20000000000005</v>
      </c>
      <c r="M75" s="138">
        <v>637.6</v>
      </c>
      <c r="N75" s="138">
        <v>570.20000000000005</v>
      </c>
      <c r="O75" s="138">
        <v>584.9</v>
      </c>
      <c r="P75" s="138">
        <v>572.70000000000005</v>
      </c>
      <c r="Q75" s="138">
        <v>603.1</v>
      </c>
      <c r="R75" s="138">
        <v>601.29999999999995</v>
      </c>
      <c r="S75" s="138">
        <v>605.79999999999995</v>
      </c>
      <c r="T75" s="138">
        <v>647</v>
      </c>
      <c r="U75" s="138"/>
      <c r="V75" s="138">
        <v>576.20000000000005</v>
      </c>
      <c r="W75" s="138"/>
      <c r="X75" s="138"/>
      <c r="Y75" s="138"/>
      <c r="Z75" s="138"/>
      <c r="AQ75" s="498" t="s">
        <v>511</v>
      </c>
      <c r="AR75" s="103">
        <v>70</v>
      </c>
      <c r="AS75" s="103">
        <v>594.16666666666663</v>
      </c>
      <c r="AU75" s="714">
        <v>1101.5999999999999</v>
      </c>
      <c r="AV75" s="103">
        <f t="shared" si="1"/>
        <v>594.22222222222217</v>
      </c>
    </row>
    <row r="76" spans="4:48" s="103" customFormat="1" x14ac:dyDescent="0.35">
      <c r="D76" s="136">
        <v>66</v>
      </c>
      <c r="E76" s="136">
        <v>500</v>
      </c>
      <c r="F76" s="136">
        <v>560</v>
      </c>
      <c r="G76" s="137" t="s">
        <v>17</v>
      </c>
      <c r="H76" s="137" t="s">
        <v>17</v>
      </c>
      <c r="I76" s="137" t="s">
        <v>17</v>
      </c>
      <c r="J76" s="138">
        <v>647.4</v>
      </c>
      <c r="K76" s="138">
        <v>652.4</v>
      </c>
      <c r="L76" s="138">
        <v>637.1</v>
      </c>
      <c r="M76" s="138">
        <v>640.70000000000005</v>
      </c>
      <c r="N76" s="138">
        <v>574.20000000000005</v>
      </c>
      <c r="O76" s="138">
        <v>588.79999999999995</v>
      </c>
      <c r="P76" s="138">
        <v>576.20000000000005</v>
      </c>
      <c r="Q76" s="138">
        <v>607.6</v>
      </c>
      <c r="R76" s="138">
        <v>606.1</v>
      </c>
      <c r="S76" s="138">
        <v>610.29999999999995</v>
      </c>
      <c r="T76" s="138">
        <v>654.70000000000005</v>
      </c>
      <c r="U76" s="138"/>
      <c r="V76" s="138">
        <v>580.20000000000005</v>
      </c>
      <c r="W76" s="138"/>
      <c r="X76" s="138"/>
      <c r="Y76" s="138"/>
      <c r="Z76" s="138"/>
      <c r="AQ76" s="498" t="s">
        <v>512</v>
      </c>
      <c r="AR76" s="103">
        <v>71</v>
      </c>
      <c r="AS76" s="103">
        <v>597.77777777777783</v>
      </c>
      <c r="AU76" s="714">
        <v>1108.3</v>
      </c>
      <c r="AV76" s="103">
        <f t="shared" si="1"/>
        <v>597.94444444444446</v>
      </c>
    </row>
    <row r="77" spans="4:48" s="103" customFormat="1" x14ac:dyDescent="0.35">
      <c r="D77" s="136">
        <v>67</v>
      </c>
      <c r="E77" s="136">
        <v>500</v>
      </c>
      <c r="F77" s="136">
        <v>560</v>
      </c>
      <c r="G77" s="137" t="s">
        <v>17</v>
      </c>
      <c r="H77" s="137" t="s">
        <v>17</v>
      </c>
      <c r="I77" s="137" t="s">
        <v>17</v>
      </c>
      <c r="J77" s="138">
        <v>651.4</v>
      </c>
      <c r="K77" s="138">
        <v>655.8</v>
      </c>
      <c r="L77" s="138">
        <v>640</v>
      </c>
      <c r="M77" s="138">
        <v>644</v>
      </c>
      <c r="N77" s="138">
        <v>578.5</v>
      </c>
      <c r="O77" s="138">
        <v>592.79999999999995</v>
      </c>
      <c r="P77" s="138">
        <v>579.79999999999995</v>
      </c>
      <c r="Q77" s="138">
        <v>612.1</v>
      </c>
      <c r="R77" s="138">
        <v>610.79999999999995</v>
      </c>
      <c r="S77" s="138">
        <v>614.79999999999995</v>
      </c>
      <c r="T77" s="138">
        <v>664.1</v>
      </c>
      <c r="U77" s="138"/>
      <c r="V77" s="138">
        <v>584.4</v>
      </c>
      <c r="W77" s="138"/>
      <c r="X77" s="138"/>
      <c r="Y77" s="138"/>
      <c r="Z77" s="138"/>
      <c r="AQ77" s="498" t="s">
        <v>513</v>
      </c>
      <c r="AR77" s="103">
        <v>72</v>
      </c>
      <c r="AS77" s="103">
        <v>601.5</v>
      </c>
      <c r="AU77" s="714">
        <v>1115.3</v>
      </c>
      <c r="AV77" s="103">
        <f t="shared" si="1"/>
        <v>601.83333333333337</v>
      </c>
    </row>
    <row r="78" spans="4:48" s="103" customFormat="1" x14ac:dyDescent="0.35">
      <c r="D78" s="136">
        <v>68</v>
      </c>
      <c r="E78" s="136">
        <v>500</v>
      </c>
      <c r="F78" s="136">
        <v>560</v>
      </c>
      <c r="G78" s="137" t="s">
        <v>17</v>
      </c>
      <c r="H78" s="137" t="s">
        <v>17</v>
      </c>
      <c r="I78" s="137" t="s">
        <v>17</v>
      </c>
      <c r="J78" s="138">
        <v>655.20000000000005</v>
      </c>
      <c r="K78" s="138">
        <v>659.7</v>
      </c>
      <c r="L78" s="138">
        <v>643.1</v>
      </c>
      <c r="M78" s="138">
        <v>647.4</v>
      </c>
      <c r="N78" s="138">
        <v>582.9</v>
      </c>
      <c r="O78" s="138">
        <v>596.70000000000005</v>
      </c>
      <c r="P78" s="138">
        <v>583.5</v>
      </c>
      <c r="Q78" s="138">
        <v>616.79999999999995</v>
      </c>
      <c r="R78" s="138">
        <v>615.70000000000005</v>
      </c>
      <c r="S78" s="138">
        <v>619.6</v>
      </c>
      <c r="T78" s="138">
        <v>674.8</v>
      </c>
      <c r="U78" s="138"/>
      <c r="V78" s="138">
        <v>588.5</v>
      </c>
      <c r="W78" s="138"/>
      <c r="X78" s="138"/>
      <c r="Y78" s="138"/>
      <c r="Z78" s="138"/>
      <c r="AQ78" s="498" t="s">
        <v>514</v>
      </c>
      <c r="AR78" s="103">
        <v>73</v>
      </c>
      <c r="AS78" s="103">
        <v>605.33333333333337</v>
      </c>
      <c r="AU78" s="714">
        <v>1122.5</v>
      </c>
      <c r="AV78" s="103">
        <f t="shared" si="1"/>
        <v>605.83333333333337</v>
      </c>
    </row>
    <row r="79" spans="4:48" x14ac:dyDescent="0.35">
      <c r="D79" s="136">
        <v>69</v>
      </c>
      <c r="E79" s="136">
        <v>500</v>
      </c>
      <c r="F79" s="136">
        <v>560</v>
      </c>
      <c r="G79" s="137" t="s">
        <v>17</v>
      </c>
      <c r="H79" s="137" t="s">
        <v>17</v>
      </c>
      <c r="I79" s="137" t="s">
        <v>17</v>
      </c>
      <c r="J79" s="138">
        <v>659.4</v>
      </c>
      <c r="K79" s="138">
        <v>664.3</v>
      </c>
      <c r="L79" s="138">
        <v>646.20000000000005</v>
      </c>
      <c r="M79" s="138">
        <v>650.5</v>
      </c>
      <c r="N79" s="138">
        <v>587.20000000000005</v>
      </c>
      <c r="O79" s="138">
        <v>600.79999999999995</v>
      </c>
      <c r="P79" s="138">
        <v>587</v>
      </c>
      <c r="Q79" s="138">
        <v>621.9</v>
      </c>
      <c r="R79" s="138">
        <v>621.1</v>
      </c>
      <c r="S79" s="138">
        <v>624.6</v>
      </c>
      <c r="T79" s="138">
        <v>687.8</v>
      </c>
      <c r="U79" s="138"/>
      <c r="V79" s="138">
        <v>592.6</v>
      </c>
      <c r="W79" s="138"/>
      <c r="X79" s="138"/>
      <c r="Y79" s="138"/>
      <c r="Z79" s="138"/>
      <c r="AQ79" s="498" t="s">
        <v>515</v>
      </c>
      <c r="AR79" s="103">
        <v>74</v>
      </c>
      <c r="AS79" s="7">
        <v>609.22222222222217</v>
      </c>
      <c r="AU79" s="714">
        <v>1129.5999999999999</v>
      </c>
      <c r="AV79" s="103">
        <f t="shared" si="1"/>
        <v>609.77777777777783</v>
      </c>
    </row>
    <row r="80" spans="4:48" x14ac:dyDescent="0.35">
      <c r="D80" s="430">
        <v>70</v>
      </c>
      <c r="E80" s="430">
        <v>500</v>
      </c>
      <c r="F80" s="430">
        <v>560</v>
      </c>
      <c r="G80" s="431" t="s">
        <v>17</v>
      </c>
      <c r="H80" s="431" t="s">
        <v>17</v>
      </c>
      <c r="I80" s="431" t="s">
        <v>17</v>
      </c>
      <c r="J80" s="432">
        <v>664.4</v>
      </c>
      <c r="K80" s="432">
        <v>669.1</v>
      </c>
      <c r="L80" s="432">
        <v>649.20000000000005</v>
      </c>
      <c r="M80" s="432">
        <v>653.70000000000005</v>
      </c>
      <c r="N80" s="432">
        <v>591.6</v>
      </c>
      <c r="O80" s="432">
        <v>605.1</v>
      </c>
      <c r="P80" s="432">
        <v>590.6</v>
      </c>
      <c r="Q80" s="432">
        <v>626.9</v>
      </c>
      <c r="R80" s="432">
        <v>626.6</v>
      </c>
      <c r="S80" s="432">
        <v>629.6</v>
      </c>
      <c r="T80" s="432">
        <v>701.6</v>
      </c>
      <c r="U80" s="432"/>
      <c r="V80" s="432">
        <v>596.79999999999995</v>
      </c>
      <c r="W80" s="432"/>
      <c r="X80" s="432"/>
      <c r="Y80" s="432"/>
      <c r="Z80" s="432"/>
      <c r="AQ80" s="498" t="s">
        <v>516</v>
      </c>
      <c r="AR80" s="103">
        <v>75</v>
      </c>
      <c r="AS80" s="7">
        <v>612.88888888888891</v>
      </c>
      <c r="AU80" s="714">
        <v>1136.7</v>
      </c>
      <c r="AV80" s="103">
        <f t="shared" si="1"/>
        <v>613.72222222222217</v>
      </c>
    </row>
    <row r="81" spans="4:48" x14ac:dyDescent="0.35">
      <c r="D81" s="136">
        <v>71</v>
      </c>
      <c r="E81" s="136">
        <v>500</v>
      </c>
      <c r="F81" s="136">
        <v>560</v>
      </c>
      <c r="G81" s="137" t="s">
        <v>17</v>
      </c>
      <c r="H81" s="137" t="s">
        <v>17</v>
      </c>
      <c r="I81" s="137" t="s">
        <v>17</v>
      </c>
      <c r="J81" s="138">
        <v>669.7</v>
      </c>
      <c r="K81" s="138">
        <v>673.5</v>
      </c>
      <c r="L81" s="138">
        <v>652.20000000000005</v>
      </c>
      <c r="M81" s="138">
        <v>656.8</v>
      </c>
      <c r="N81" s="138">
        <v>596</v>
      </c>
      <c r="O81" s="138">
        <v>609.5</v>
      </c>
      <c r="P81" s="138">
        <v>594.29999999999995</v>
      </c>
      <c r="Q81" s="138">
        <v>632.1</v>
      </c>
      <c r="R81" s="138">
        <v>632.20000000000005</v>
      </c>
      <c r="S81" s="138">
        <v>634.79999999999995</v>
      </c>
      <c r="T81" s="138">
        <v>720.3</v>
      </c>
      <c r="U81" s="138"/>
      <c r="V81" s="138">
        <v>601.1</v>
      </c>
      <c r="W81" s="138"/>
      <c r="X81" s="138"/>
      <c r="Y81" s="138"/>
      <c r="Z81" s="138"/>
      <c r="AQ81" s="498" t="s">
        <v>517</v>
      </c>
      <c r="AR81" s="103">
        <v>76</v>
      </c>
      <c r="AS81" s="7">
        <v>616.77777777777783</v>
      </c>
      <c r="AU81" s="714">
        <v>1144.0999999999999</v>
      </c>
      <c r="AV81" s="103">
        <f t="shared" si="1"/>
        <v>617.83333333333337</v>
      </c>
    </row>
    <row r="82" spans="4:48" x14ac:dyDescent="0.35">
      <c r="D82" s="136">
        <v>72</v>
      </c>
      <c r="E82" s="136">
        <v>500</v>
      </c>
      <c r="F82" s="136">
        <v>560</v>
      </c>
      <c r="G82" s="137" t="s">
        <v>17</v>
      </c>
      <c r="H82" s="137" t="s">
        <v>17</v>
      </c>
      <c r="I82" s="137" t="s">
        <v>17</v>
      </c>
      <c r="J82" s="138">
        <v>674.4</v>
      </c>
      <c r="K82" s="138">
        <v>678.6</v>
      </c>
      <c r="L82" s="138">
        <v>655.1</v>
      </c>
      <c r="M82" s="138">
        <v>660.6</v>
      </c>
      <c r="N82" s="138">
        <v>600.5</v>
      </c>
      <c r="O82" s="138">
        <v>614</v>
      </c>
      <c r="P82" s="138">
        <v>598</v>
      </c>
      <c r="Q82" s="138">
        <v>637.6</v>
      </c>
      <c r="R82" s="138">
        <v>638.1</v>
      </c>
      <c r="S82" s="138">
        <v>640.29999999999995</v>
      </c>
      <c r="T82" s="138" t="s">
        <v>17</v>
      </c>
      <c r="U82" s="138"/>
      <c r="V82" s="138">
        <v>605.6</v>
      </c>
      <c r="W82" s="138"/>
      <c r="X82" s="138"/>
      <c r="Y82" s="138"/>
      <c r="Z82" s="138"/>
      <c r="AQ82" s="498" t="s">
        <v>518</v>
      </c>
      <c r="AR82" s="103">
        <v>77</v>
      </c>
      <c r="AS82" s="7">
        <v>620.83333333333337</v>
      </c>
      <c r="AU82" s="714">
        <v>1151.8</v>
      </c>
      <c r="AV82" s="103">
        <f t="shared" si="1"/>
        <v>622.11111111111109</v>
      </c>
    </row>
    <row r="83" spans="4:48" x14ac:dyDescent="0.35">
      <c r="D83" s="136">
        <v>73</v>
      </c>
      <c r="E83" s="136">
        <v>500</v>
      </c>
      <c r="F83" s="136">
        <v>560</v>
      </c>
      <c r="G83" s="137" t="s">
        <v>17</v>
      </c>
      <c r="H83" s="137" t="s">
        <v>17</v>
      </c>
      <c r="I83" s="137" t="s">
        <v>17</v>
      </c>
      <c r="J83" s="138">
        <v>680</v>
      </c>
      <c r="K83" s="138">
        <v>683.9</v>
      </c>
      <c r="L83" s="138">
        <v>658.1</v>
      </c>
      <c r="M83" s="138">
        <v>664.8</v>
      </c>
      <c r="N83" s="138">
        <v>605.29999999999995</v>
      </c>
      <c r="O83" s="138">
        <v>618.9</v>
      </c>
      <c r="P83" s="138">
        <v>601.79999999999995</v>
      </c>
      <c r="Q83" s="138">
        <v>643.6</v>
      </c>
      <c r="R83" s="138">
        <v>644.79999999999995</v>
      </c>
      <c r="S83" s="138">
        <v>646.29999999999995</v>
      </c>
      <c r="T83" s="138" t="s">
        <v>17</v>
      </c>
      <c r="U83" s="138"/>
      <c r="V83" s="138">
        <v>610.20000000000005</v>
      </c>
      <c r="W83" s="138"/>
      <c r="X83" s="138"/>
      <c r="Y83" s="138"/>
      <c r="Z83" s="138"/>
      <c r="AQ83" s="498" t="s">
        <v>519</v>
      </c>
      <c r="AR83" s="103">
        <v>78</v>
      </c>
      <c r="AS83" s="7">
        <v>625.16666666666663</v>
      </c>
      <c r="AU83" s="714">
        <v>1160.2</v>
      </c>
      <c r="AV83" s="103">
        <f t="shared" si="1"/>
        <v>626.77777777777783</v>
      </c>
    </row>
    <row r="84" spans="4:48" x14ac:dyDescent="0.35">
      <c r="D84" s="139">
        <v>74</v>
      </c>
      <c r="E84" s="139">
        <v>500</v>
      </c>
      <c r="F84" s="139">
        <v>560</v>
      </c>
      <c r="G84" s="140" t="s">
        <v>17</v>
      </c>
      <c r="H84" s="140" t="s">
        <v>17</v>
      </c>
      <c r="I84" s="140" t="s">
        <v>17</v>
      </c>
      <c r="J84" s="123">
        <v>685.4</v>
      </c>
      <c r="K84" s="123">
        <v>689.1</v>
      </c>
      <c r="L84" s="123">
        <v>661.9</v>
      </c>
      <c r="M84" s="123">
        <v>669.2</v>
      </c>
      <c r="N84" s="123">
        <v>610.29999999999995</v>
      </c>
      <c r="O84" s="123">
        <v>623.9</v>
      </c>
      <c r="P84" s="123">
        <v>605.79999999999995</v>
      </c>
      <c r="Q84" s="123">
        <v>650</v>
      </c>
      <c r="R84" s="123">
        <v>651.79999999999995</v>
      </c>
      <c r="S84" s="123">
        <v>652.4</v>
      </c>
      <c r="T84" s="123" t="s">
        <v>17</v>
      </c>
      <c r="U84" s="123"/>
      <c r="V84" s="123">
        <v>615</v>
      </c>
      <c r="W84" s="123"/>
      <c r="X84" s="123"/>
      <c r="Y84" s="123"/>
      <c r="Z84" s="123"/>
      <c r="AQ84" s="498" t="s">
        <v>520</v>
      </c>
      <c r="AR84" s="103">
        <v>79</v>
      </c>
      <c r="AS84" s="7">
        <v>629.61111111111109</v>
      </c>
      <c r="AU84" s="714">
        <v>1168.4000000000001</v>
      </c>
      <c r="AV84" s="103">
        <f t="shared" si="1"/>
        <v>631.33333333333337</v>
      </c>
    </row>
    <row r="85" spans="4:48" x14ac:dyDescent="0.35">
      <c r="D85" s="136">
        <v>75</v>
      </c>
      <c r="E85" s="136">
        <v>500</v>
      </c>
      <c r="F85" s="136">
        <v>560</v>
      </c>
      <c r="G85" s="141" t="s">
        <v>17</v>
      </c>
      <c r="H85" s="141" t="s">
        <v>17</v>
      </c>
      <c r="I85" s="141" t="s">
        <v>17</v>
      </c>
      <c r="J85" s="121">
        <v>691</v>
      </c>
      <c r="K85" s="121">
        <v>693.9</v>
      </c>
      <c r="L85" s="121">
        <v>665.7</v>
      </c>
      <c r="M85" s="121">
        <v>673.1</v>
      </c>
      <c r="N85" s="121">
        <v>615.29999999999995</v>
      </c>
      <c r="O85" s="121">
        <v>628.9</v>
      </c>
      <c r="P85" s="121">
        <v>609.9</v>
      </c>
      <c r="Q85" s="121">
        <v>656.4</v>
      </c>
      <c r="R85" s="121">
        <v>659</v>
      </c>
      <c r="S85" s="121">
        <v>658.5</v>
      </c>
      <c r="T85" s="121" t="s">
        <v>17</v>
      </c>
      <c r="U85" s="121"/>
      <c r="V85" s="121">
        <v>620</v>
      </c>
      <c r="W85" s="121"/>
      <c r="X85" s="121"/>
      <c r="Y85" s="121"/>
      <c r="Z85" s="121"/>
      <c r="AQ85" s="498" t="s">
        <v>521</v>
      </c>
      <c r="AR85" s="103">
        <v>80</v>
      </c>
      <c r="AS85" s="7">
        <v>633.88888888888891</v>
      </c>
      <c r="AU85" s="714">
        <v>1176.5</v>
      </c>
      <c r="AV85" s="103">
        <f t="shared" si="1"/>
        <v>635.83333333333337</v>
      </c>
    </row>
    <row r="86" spans="4:48" x14ac:dyDescent="0.35">
      <c r="D86" s="136">
        <v>76</v>
      </c>
      <c r="E86" s="136">
        <v>500</v>
      </c>
      <c r="F86" s="136">
        <v>560</v>
      </c>
      <c r="G86" s="141" t="s">
        <v>17</v>
      </c>
      <c r="H86" s="141" t="s">
        <v>17</v>
      </c>
      <c r="I86" s="141" t="s">
        <v>17</v>
      </c>
      <c r="J86" s="121">
        <v>696</v>
      </c>
      <c r="K86" s="121">
        <v>699.8</v>
      </c>
      <c r="L86" s="121">
        <v>669.7</v>
      </c>
      <c r="M86" s="121">
        <v>677.4</v>
      </c>
      <c r="N86" s="121">
        <v>620.9</v>
      </c>
      <c r="O86" s="121">
        <v>634.1</v>
      </c>
      <c r="P86" s="121">
        <v>614.1</v>
      </c>
      <c r="Q86" s="121">
        <v>664.5</v>
      </c>
      <c r="R86" s="121">
        <v>668.8</v>
      </c>
      <c r="S86" s="121">
        <v>666.5</v>
      </c>
      <c r="T86" s="121" t="s">
        <v>17</v>
      </c>
      <c r="U86" s="121"/>
      <c r="V86" s="121">
        <v>625.20000000000005</v>
      </c>
      <c r="W86" s="121"/>
      <c r="X86" s="121"/>
      <c r="Y86" s="121"/>
      <c r="Z86" s="121"/>
      <c r="AQ86" s="498" t="s">
        <v>522</v>
      </c>
      <c r="AR86" s="103">
        <v>81</v>
      </c>
      <c r="AS86" s="7">
        <v>638.44444444444446</v>
      </c>
      <c r="AU86" s="714">
        <v>1185.2</v>
      </c>
      <c r="AV86" s="103">
        <f t="shared" si="1"/>
        <v>640.66666666666663</v>
      </c>
    </row>
    <row r="87" spans="4:48" x14ac:dyDescent="0.35">
      <c r="D87" s="136">
        <v>77</v>
      </c>
      <c r="E87" s="136">
        <v>500</v>
      </c>
      <c r="F87" s="136">
        <v>560</v>
      </c>
      <c r="G87" s="141" t="s">
        <v>17</v>
      </c>
      <c r="H87" s="141" t="s">
        <v>17</v>
      </c>
      <c r="I87" s="141" t="s">
        <v>17</v>
      </c>
      <c r="J87" s="121">
        <v>702.3</v>
      </c>
      <c r="K87" s="121">
        <v>705.2</v>
      </c>
      <c r="L87" s="121">
        <v>673.1</v>
      </c>
      <c r="M87" s="121">
        <v>682.2</v>
      </c>
      <c r="N87" s="121">
        <v>626.4</v>
      </c>
      <c r="O87" s="121">
        <v>639.6</v>
      </c>
      <c r="P87" s="121">
        <v>618.6</v>
      </c>
      <c r="Q87" s="121">
        <v>673.5</v>
      </c>
      <c r="R87" s="121">
        <v>679.5</v>
      </c>
      <c r="S87" s="121">
        <v>674.3</v>
      </c>
      <c r="T87" s="121" t="s">
        <v>17</v>
      </c>
      <c r="U87" s="121"/>
      <c r="V87" s="121">
        <v>630.5</v>
      </c>
      <c r="W87" s="121"/>
      <c r="X87" s="121"/>
      <c r="Y87" s="121"/>
      <c r="Z87" s="121"/>
      <c r="AQ87" s="498" t="s">
        <v>523</v>
      </c>
      <c r="AR87" s="103">
        <v>82</v>
      </c>
      <c r="AS87" s="7">
        <v>643.33333333333337</v>
      </c>
      <c r="AU87" s="714">
        <v>1194.7</v>
      </c>
      <c r="AV87" s="103">
        <f t="shared" si="1"/>
        <v>645.94444444444446</v>
      </c>
    </row>
    <row r="88" spans="4:48" x14ac:dyDescent="0.35">
      <c r="D88" s="136">
        <v>78</v>
      </c>
      <c r="E88" s="136">
        <v>500</v>
      </c>
      <c r="F88" s="136">
        <v>560</v>
      </c>
      <c r="G88" s="141" t="s">
        <v>17</v>
      </c>
      <c r="H88" s="141" t="s">
        <v>17</v>
      </c>
      <c r="I88" s="141" t="s">
        <v>17</v>
      </c>
      <c r="J88" s="121">
        <v>708.5</v>
      </c>
      <c r="K88" s="121">
        <v>712.1</v>
      </c>
      <c r="L88" s="121">
        <v>676.9</v>
      </c>
      <c r="M88" s="121">
        <v>686.5</v>
      </c>
      <c r="N88" s="121">
        <v>632.1</v>
      </c>
      <c r="O88" s="121">
        <v>645.70000000000005</v>
      </c>
      <c r="P88" s="121">
        <v>623.20000000000005</v>
      </c>
      <c r="Q88" s="121">
        <v>684</v>
      </c>
      <c r="R88" s="121">
        <v>691.9</v>
      </c>
      <c r="S88" s="121">
        <v>683.4</v>
      </c>
      <c r="T88" s="121" t="s">
        <v>17</v>
      </c>
      <c r="U88" s="121"/>
      <c r="V88" s="121">
        <v>635.9</v>
      </c>
      <c r="W88" s="121"/>
      <c r="X88" s="121"/>
      <c r="Y88" s="121"/>
      <c r="Z88" s="121"/>
      <c r="AQ88" s="498" t="s">
        <v>524</v>
      </c>
      <c r="AR88" s="103">
        <v>83</v>
      </c>
      <c r="AS88" s="7">
        <v>648.66666666666663</v>
      </c>
      <c r="AU88" s="714">
        <v>1205</v>
      </c>
      <c r="AV88" s="103">
        <f t="shared" si="1"/>
        <v>651.66666666666663</v>
      </c>
    </row>
    <row r="89" spans="4:48" x14ac:dyDescent="0.35">
      <c r="D89" s="136">
        <v>79</v>
      </c>
      <c r="E89" s="136">
        <v>500</v>
      </c>
      <c r="F89" s="136">
        <v>560</v>
      </c>
      <c r="G89" s="141" t="s">
        <v>17</v>
      </c>
      <c r="H89" s="141" t="s">
        <v>17</v>
      </c>
      <c r="I89" s="141" t="s">
        <v>17</v>
      </c>
      <c r="J89" s="121">
        <v>716.3</v>
      </c>
      <c r="K89" s="121">
        <v>720.3</v>
      </c>
      <c r="L89" s="121">
        <v>681.3</v>
      </c>
      <c r="M89" s="121">
        <v>691.2</v>
      </c>
      <c r="N89" s="121">
        <v>638</v>
      </c>
      <c r="O89" s="121">
        <v>651.9</v>
      </c>
      <c r="P89" s="121">
        <v>628</v>
      </c>
      <c r="Q89" s="121">
        <v>694.5</v>
      </c>
      <c r="R89" s="121">
        <v>707.8</v>
      </c>
      <c r="S89" s="121">
        <v>692</v>
      </c>
      <c r="T89" s="121" t="s">
        <v>17</v>
      </c>
      <c r="U89" s="121"/>
      <c r="V89" s="121">
        <v>641.9</v>
      </c>
      <c r="W89" s="121"/>
      <c r="X89" s="121"/>
      <c r="Y89" s="121"/>
      <c r="Z89" s="121"/>
      <c r="AQ89" s="498" t="s">
        <v>525</v>
      </c>
      <c r="AR89" s="103">
        <v>84</v>
      </c>
      <c r="AS89" s="7">
        <v>654.22222222222217</v>
      </c>
      <c r="AU89" s="714">
        <v>1214.8</v>
      </c>
      <c r="AV89" s="103">
        <f t="shared" si="1"/>
        <v>657.11111111111109</v>
      </c>
    </row>
    <row r="90" spans="4:48" x14ac:dyDescent="0.35">
      <c r="D90" s="430">
        <v>80</v>
      </c>
      <c r="E90" s="430">
        <v>500</v>
      </c>
      <c r="F90" s="430">
        <v>560</v>
      </c>
      <c r="G90" s="433" t="s">
        <v>17</v>
      </c>
      <c r="H90" s="433" t="s">
        <v>17</v>
      </c>
      <c r="I90" s="433" t="s">
        <v>17</v>
      </c>
      <c r="J90" s="434" t="s">
        <v>17</v>
      </c>
      <c r="K90" s="434">
        <v>733.8</v>
      </c>
      <c r="L90" s="434">
        <v>685</v>
      </c>
      <c r="M90" s="434">
        <v>694.8</v>
      </c>
      <c r="N90" s="434">
        <v>644.6</v>
      </c>
      <c r="O90" s="434">
        <v>658</v>
      </c>
      <c r="P90" s="434">
        <v>632.79999999999995</v>
      </c>
      <c r="Q90" s="434">
        <v>706.9</v>
      </c>
      <c r="R90" s="434"/>
      <c r="S90" s="434">
        <v>700.8</v>
      </c>
      <c r="T90" s="434" t="s">
        <v>17</v>
      </c>
      <c r="U90" s="434"/>
      <c r="V90" s="434">
        <v>648.29999999999995</v>
      </c>
      <c r="W90" s="434"/>
      <c r="X90" s="434"/>
      <c r="Y90" s="434"/>
      <c r="Z90" s="434"/>
      <c r="AQ90" s="498" t="s">
        <v>526</v>
      </c>
      <c r="AR90" s="103">
        <v>85</v>
      </c>
      <c r="AS90" s="7">
        <v>659.88888888888891</v>
      </c>
      <c r="AU90" s="714">
        <v>1227</v>
      </c>
      <c r="AV90" s="103">
        <f t="shared" si="1"/>
        <v>663.88888888888891</v>
      </c>
    </row>
    <row r="91" spans="4:48" x14ac:dyDescent="0.35">
      <c r="D91" s="136">
        <v>81</v>
      </c>
      <c r="E91" s="136">
        <v>500</v>
      </c>
      <c r="F91" s="136">
        <v>560</v>
      </c>
      <c r="G91" s="141" t="s">
        <v>17</v>
      </c>
      <c r="H91" s="141" t="s">
        <v>17</v>
      </c>
      <c r="I91" s="141" t="s">
        <v>17</v>
      </c>
      <c r="J91" s="121" t="s">
        <v>17</v>
      </c>
      <c r="K91" s="121" t="s">
        <v>17</v>
      </c>
      <c r="L91" s="121">
        <v>688.9</v>
      </c>
      <c r="M91" s="121">
        <v>699.9</v>
      </c>
      <c r="N91" s="121">
        <v>651.6</v>
      </c>
      <c r="O91" s="121">
        <v>666.2</v>
      </c>
      <c r="P91" s="121">
        <v>638</v>
      </c>
      <c r="Q91" s="121">
        <v>724</v>
      </c>
      <c r="R91" s="121"/>
      <c r="S91" s="121">
        <v>709.7</v>
      </c>
      <c r="T91" s="121" t="s">
        <v>17</v>
      </c>
      <c r="U91" s="121"/>
      <c r="V91" s="121">
        <v>654.70000000000005</v>
      </c>
      <c r="W91" s="121"/>
      <c r="X91" s="121"/>
      <c r="Y91" s="121"/>
      <c r="Z91" s="121"/>
      <c r="AQ91" s="498" t="s">
        <v>527</v>
      </c>
      <c r="AR91" s="103">
        <v>86</v>
      </c>
      <c r="AS91" s="7">
        <v>667.05555555555554</v>
      </c>
      <c r="AU91" s="714">
        <v>1240.8</v>
      </c>
      <c r="AV91" s="103">
        <f t="shared" si="1"/>
        <v>671.55555555555554</v>
      </c>
    </row>
    <row r="92" spans="4:48" x14ac:dyDescent="0.35">
      <c r="D92" s="136">
        <v>82</v>
      </c>
      <c r="E92" s="136">
        <v>500</v>
      </c>
      <c r="F92" s="136">
        <v>560</v>
      </c>
      <c r="G92" s="141" t="s">
        <v>17</v>
      </c>
      <c r="H92" s="141" t="s">
        <v>17</v>
      </c>
      <c r="I92" s="141" t="s">
        <v>17</v>
      </c>
      <c r="J92" s="121" t="s">
        <v>17</v>
      </c>
      <c r="K92" s="121" t="s">
        <v>17</v>
      </c>
      <c r="L92" s="121">
        <v>692.4</v>
      </c>
      <c r="M92" s="121">
        <v>704</v>
      </c>
      <c r="N92" s="121">
        <v>658.6</v>
      </c>
      <c r="O92" s="121">
        <v>674.4</v>
      </c>
      <c r="P92" s="121">
        <v>643.70000000000005</v>
      </c>
      <c r="Q92" s="121" t="s">
        <v>17</v>
      </c>
      <c r="R92" s="121"/>
      <c r="S92" s="121">
        <v>720</v>
      </c>
      <c r="T92" s="121" t="s">
        <v>17</v>
      </c>
      <c r="U92" s="121"/>
      <c r="V92" s="121">
        <v>662.1</v>
      </c>
      <c r="W92" s="121"/>
      <c r="X92" s="121"/>
      <c r="Y92" s="121"/>
      <c r="Z92" s="121"/>
      <c r="AQ92" s="498" t="s">
        <v>528</v>
      </c>
      <c r="AR92" s="103">
        <v>87</v>
      </c>
      <c r="AS92" s="7">
        <v>674.27777777777783</v>
      </c>
      <c r="AU92" s="714">
        <v>1256.4000000000001</v>
      </c>
      <c r="AV92" s="103">
        <f t="shared" si="1"/>
        <v>680.22222222222217</v>
      </c>
    </row>
    <row r="93" spans="4:48" x14ac:dyDescent="0.35">
      <c r="D93" s="136">
        <v>83</v>
      </c>
      <c r="E93" s="136">
        <v>500</v>
      </c>
      <c r="F93" s="136">
        <v>560</v>
      </c>
      <c r="G93" s="141" t="s">
        <v>17</v>
      </c>
      <c r="H93" s="141" t="s">
        <v>17</v>
      </c>
      <c r="I93" s="141" t="s">
        <v>17</v>
      </c>
      <c r="J93" s="121" t="s">
        <v>17</v>
      </c>
      <c r="K93" s="121" t="s">
        <v>17</v>
      </c>
      <c r="L93" s="121">
        <v>695.7</v>
      </c>
      <c r="M93" s="121">
        <v>708.8</v>
      </c>
      <c r="N93" s="121">
        <v>667.9</v>
      </c>
      <c r="O93" s="121">
        <v>684</v>
      </c>
      <c r="P93" s="121">
        <v>649.70000000000005</v>
      </c>
      <c r="Q93" s="121" t="s">
        <v>17</v>
      </c>
      <c r="R93" s="121"/>
      <c r="S93" s="121">
        <v>731.5</v>
      </c>
      <c r="T93" s="121" t="s">
        <v>17</v>
      </c>
      <c r="U93" s="121"/>
      <c r="V93" s="121">
        <v>670.9</v>
      </c>
      <c r="W93" s="121"/>
      <c r="X93" s="121"/>
      <c r="Y93" s="121"/>
      <c r="Z93" s="121"/>
      <c r="AQ93" s="498" t="s">
        <v>529</v>
      </c>
      <c r="AR93" s="103">
        <v>88</v>
      </c>
      <c r="AS93" s="7">
        <v>683.27777777777783</v>
      </c>
      <c r="AU93" s="714">
        <v>1274.0999999999999</v>
      </c>
      <c r="AV93" s="103">
        <f t="shared" si="1"/>
        <v>690.05555555555554</v>
      </c>
    </row>
    <row r="94" spans="4:48" x14ac:dyDescent="0.35">
      <c r="D94" s="136">
        <v>84</v>
      </c>
      <c r="E94" s="136">
        <v>500</v>
      </c>
      <c r="F94" s="136">
        <v>560</v>
      </c>
      <c r="G94" s="141" t="s">
        <v>17</v>
      </c>
      <c r="H94" s="141" t="s">
        <v>17</v>
      </c>
      <c r="I94" s="141" t="s">
        <v>17</v>
      </c>
      <c r="J94" s="121" t="s">
        <v>17</v>
      </c>
      <c r="K94" s="121" t="s">
        <v>17</v>
      </c>
      <c r="L94" s="121">
        <v>700</v>
      </c>
      <c r="M94" s="121">
        <v>714.2</v>
      </c>
      <c r="N94" s="121">
        <v>677.4</v>
      </c>
      <c r="O94" s="121">
        <v>693</v>
      </c>
      <c r="P94" s="121">
        <v>655.7</v>
      </c>
      <c r="Q94" s="121" t="s">
        <v>17</v>
      </c>
      <c r="R94" s="121"/>
      <c r="S94" s="121"/>
      <c r="T94" s="121" t="s">
        <v>17</v>
      </c>
      <c r="U94" s="121"/>
      <c r="V94" s="121">
        <v>680.3</v>
      </c>
      <c r="W94" s="121"/>
      <c r="X94" s="121"/>
      <c r="Y94" s="121"/>
      <c r="Z94" s="121"/>
      <c r="AQ94" s="498" t="s">
        <v>530</v>
      </c>
      <c r="AR94" s="103">
        <v>89</v>
      </c>
      <c r="AS94" s="7">
        <v>692.83333333333337</v>
      </c>
      <c r="AU94" s="714">
        <v>1295.9000000000001</v>
      </c>
      <c r="AV94" s="103">
        <f t="shared" si="1"/>
        <v>702.16666666666663</v>
      </c>
    </row>
    <row r="95" spans="4:48" x14ac:dyDescent="0.35">
      <c r="D95" s="136">
        <v>85</v>
      </c>
      <c r="E95" s="136">
        <v>500</v>
      </c>
      <c r="F95" s="136">
        <v>560</v>
      </c>
      <c r="G95" s="141" t="s">
        <v>17</v>
      </c>
      <c r="H95" s="141" t="s">
        <v>17</v>
      </c>
      <c r="I95" s="141" t="s">
        <v>17</v>
      </c>
      <c r="J95" s="121" t="s">
        <v>17</v>
      </c>
      <c r="K95" s="121" t="s">
        <v>17</v>
      </c>
      <c r="L95" s="121">
        <v>703.3</v>
      </c>
      <c r="M95" s="121">
        <v>719.8</v>
      </c>
      <c r="N95" s="121">
        <v>688.1</v>
      </c>
      <c r="O95" s="121">
        <v>702.7</v>
      </c>
      <c r="P95" s="121">
        <v>662.9</v>
      </c>
      <c r="Q95" s="121" t="s">
        <v>17</v>
      </c>
      <c r="R95" s="121"/>
      <c r="S95" s="121"/>
      <c r="T95" s="121" t="s">
        <v>17</v>
      </c>
      <c r="U95" s="121"/>
      <c r="V95" s="121">
        <v>690.2</v>
      </c>
      <c r="W95" s="121"/>
      <c r="X95" s="121"/>
      <c r="Y95" s="121"/>
      <c r="Z95" s="121"/>
      <c r="AQ95" s="498" t="s">
        <v>531</v>
      </c>
      <c r="AR95" s="103">
        <v>90</v>
      </c>
      <c r="AS95" s="7">
        <v>705.27777777777783</v>
      </c>
      <c r="AU95" s="714">
        <v>1333.2</v>
      </c>
      <c r="AV95" s="103">
        <f t="shared" si="1"/>
        <v>722.88888888888891</v>
      </c>
    </row>
    <row r="96" spans="4:48" x14ac:dyDescent="0.35">
      <c r="D96" s="136">
        <v>86</v>
      </c>
      <c r="E96" s="136">
        <v>500</v>
      </c>
      <c r="F96" s="136">
        <v>560</v>
      </c>
      <c r="G96" s="141" t="s">
        <v>17</v>
      </c>
      <c r="H96" s="141" t="s">
        <v>17</v>
      </c>
      <c r="I96" s="141" t="s">
        <v>17</v>
      </c>
      <c r="J96" s="121" t="s">
        <v>17</v>
      </c>
      <c r="K96" s="121" t="s">
        <v>17</v>
      </c>
      <c r="L96" s="121">
        <v>706.7</v>
      </c>
      <c r="M96" s="121">
        <v>726.2</v>
      </c>
      <c r="N96" s="121">
        <v>698.6</v>
      </c>
      <c r="O96" s="121">
        <v>713.1</v>
      </c>
      <c r="P96" s="121">
        <v>671.4</v>
      </c>
      <c r="Q96" s="121" t="s">
        <v>17</v>
      </c>
      <c r="R96" s="121"/>
      <c r="S96" s="121"/>
      <c r="T96" s="121" t="s">
        <v>17</v>
      </c>
      <c r="U96" s="121"/>
      <c r="V96" s="121">
        <v>700.4</v>
      </c>
      <c r="W96" s="121"/>
      <c r="X96" s="121"/>
      <c r="Y96" s="121"/>
      <c r="Z96" s="121"/>
      <c r="AQ96" s="498" t="s">
        <v>532</v>
      </c>
      <c r="AR96" s="103">
        <v>91</v>
      </c>
      <c r="AS96" s="7">
        <v>726.05555555555554</v>
      </c>
    </row>
    <row r="97" spans="4:44" x14ac:dyDescent="0.35">
      <c r="D97" s="136">
        <v>87</v>
      </c>
      <c r="E97" s="136">
        <v>500</v>
      </c>
      <c r="F97" s="136">
        <v>560</v>
      </c>
      <c r="G97" s="141" t="s">
        <v>17</v>
      </c>
      <c r="H97" s="141" t="s">
        <v>17</v>
      </c>
      <c r="I97" s="141" t="s">
        <v>17</v>
      </c>
      <c r="J97" s="121" t="s">
        <v>17</v>
      </c>
      <c r="K97" s="121" t="s">
        <v>17</v>
      </c>
      <c r="L97" s="121">
        <v>710.8</v>
      </c>
      <c r="M97" s="121">
        <v>733.5</v>
      </c>
      <c r="N97" s="121">
        <v>709.6</v>
      </c>
      <c r="O97" s="121">
        <v>724.8</v>
      </c>
      <c r="P97" s="121">
        <v>680.7</v>
      </c>
      <c r="Q97" s="121" t="s">
        <v>17</v>
      </c>
      <c r="R97" s="121"/>
      <c r="S97" s="121"/>
      <c r="T97" s="121" t="s">
        <v>17</v>
      </c>
      <c r="U97" s="121"/>
      <c r="V97" s="121">
        <v>712.3</v>
      </c>
      <c r="W97" s="121"/>
      <c r="X97" s="121"/>
      <c r="Y97" s="121"/>
      <c r="Z97" s="121"/>
      <c r="AQ97" s="498" t="s">
        <v>533</v>
      </c>
      <c r="AR97" s="103">
        <v>92</v>
      </c>
    </row>
    <row r="98" spans="4:44" x14ac:dyDescent="0.35">
      <c r="D98" s="136">
        <v>88</v>
      </c>
      <c r="E98" s="136">
        <v>500</v>
      </c>
      <c r="F98" s="136">
        <v>560</v>
      </c>
      <c r="G98" s="141" t="s">
        <v>17</v>
      </c>
      <c r="H98" s="141" t="s">
        <v>17</v>
      </c>
      <c r="I98" s="141" t="s">
        <v>17</v>
      </c>
      <c r="J98" s="121" t="s">
        <v>17</v>
      </c>
      <c r="K98" s="121" t="s">
        <v>17</v>
      </c>
      <c r="L98" s="121">
        <v>714.7</v>
      </c>
      <c r="M98" s="121" t="s">
        <v>17</v>
      </c>
      <c r="N98" s="121">
        <v>722.6</v>
      </c>
      <c r="O98" s="121"/>
      <c r="P98" s="121">
        <v>690.4</v>
      </c>
      <c r="Q98" s="121" t="s">
        <v>17</v>
      </c>
      <c r="R98" s="121"/>
      <c r="S98" s="121"/>
      <c r="T98" s="121" t="s">
        <v>17</v>
      </c>
      <c r="U98" s="121"/>
      <c r="V98" s="121">
        <v>726.7</v>
      </c>
      <c r="W98" s="121"/>
      <c r="X98" s="121"/>
      <c r="Y98" s="121"/>
      <c r="Z98" s="121"/>
      <c r="AQ98" s="498" t="s">
        <v>534</v>
      </c>
      <c r="AR98" s="103">
        <v>93</v>
      </c>
    </row>
    <row r="99" spans="4:44" x14ac:dyDescent="0.35">
      <c r="D99" s="136">
        <v>89</v>
      </c>
      <c r="E99" s="136">
        <v>500</v>
      </c>
      <c r="F99" s="136">
        <v>560</v>
      </c>
      <c r="G99" s="141" t="s">
        <v>17</v>
      </c>
      <c r="H99" s="141" t="s">
        <v>17</v>
      </c>
      <c r="I99" s="141" t="s">
        <v>17</v>
      </c>
      <c r="J99" s="121" t="s">
        <v>17</v>
      </c>
      <c r="K99" s="121" t="s">
        <v>17</v>
      </c>
      <c r="L99" s="121">
        <v>718.6</v>
      </c>
      <c r="M99" s="121" t="s">
        <v>17</v>
      </c>
      <c r="N99" s="121" t="s">
        <v>17</v>
      </c>
      <c r="O99" s="121"/>
      <c r="P99" s="121">
        <v>700.8</v>
      </c>
      <c r="Q99" s="121" t="s">
        <v>17</v>
      </c>
      <c r="R99" s="121"/>
      <c r="S99" s="121"/>
      <c r="T99" s="121" t="s">
        <v>17</v>
      </c>
      <c r="U99" s="121"/>
      <c r="V99" s="121"/>
      <c r="W99" s="121"/>
      <c r="X99" s="121"/>
      <c r="Y99" s="121"/>
      <c r="Z99" s="121"/>
      <c r="AQ99" s="498" t="s">
        <v>535</v>
      </c>
      <c r="AR99" s="103">
        <v>94</v>
      </c>
    </row>
    <row r="100" spans="4:44" x14ac:dyDescent="0.35">
      <c r="D100" s="430">
        <v>90</v>
      </c>
      <c r="E100" s="430">
        <v>500</v>
      </c>
      <c r="F100" s="430">
        <v>560</v>
      </c>
      <c r="G100" s="433" t="s">
        <v>17</v>
      </c>
      <c r="H100" s="433" t="s">
        <v>17</v>
      </c>
      <c r="I100" s="433" t="s">
        <v>17</v>
      </c>
      <c r="J100" s="434" t="s">
        <v>17</v>
      </c>
      <c r="K100" s="434" t="s">
        <v>17</v>
      </c>
      <c r="L100" s="434">
        <v>722.6</v>
      </c>
      <c r="M100" s="434" t="s">
        <v>17</v>
      </c>
      <c r="N100" s="434" t="s">
        <v>17</v>
      </c>
      <c r="O100" s="434"/>
      <c r="P100" s="434">
        <v>712.8</v>
      </c>
      <c r="Q100" s="434" t="s">
        <v>17</v>
      </c>
      <c r="R100" s="434"/>
      <c r="S100" s="434"/>
      <c r="T100" s="434" t="s">
        <v>17</v>
      </c>
      <c r="U100" s="434"/>
      <c r="V100" s="434"/>
      <c r="W100" s="434"/>
      <c r="X100" s="434"/>
      <c r="Y100" s="434"/>
      <c r="Z100" s="434"/>
      <c r="AQ100" s="498" t="s">
        <v>536</v>
      </c>
      <c r="AR100" s="103">
        <v>95</v>
      </c>
    </row>
    <row r="101" spans="4:44" x14ac:dyDescent="0.35">
      <c r="D101" s="136">
        <v>91</v>
      </c>
      <c r="E101" s="136">
        <v>500</v>
      </c>
      <c r="F101" s="136">
        <v>560</v>
      </c>
      <c r="G101" s="121" t="s">
        <v>17</v>
      </c>
      <c r="H101" s="121" t="s">
        <v>17</v>
      </c>
      <c r="I101" s="121" t="s">
        <v>17</v>
      </c>
      <c r="J101" s="121" t="s">
        <v>17</v>
      </c>
      <c r="K101" s="121" t="s">
        <v>17</v>
      </c>
      <c r="L101" s="121">
        <v>726.7</v>
      </c>
      <c r="M101" s="121" t="s">
        <v>17</v>
      </c>
      <c r="N101" s="121" t="s">
        <v>17</v>
      </c>
      <c r="O101" s="121"/>
      <c r="P101" s="121">
        <v>729.3</v>
      </c>
      <c r="Q101" s="121" t="s">
        <v>17</v>
      </c>
      <c r="R101" s="121"/>
      <c r="S101" s="121"/>
      <c r="T101" s="121" t="s">
        <v>17</v>
      </c>
      <c r="U101" s="121"/>
      <c r="V101" s="121"/>
      <c r="W101" s="121"/>
      <c r="X101" s="121"/>
      <c r="Y101" s="121"/>
      <c r="Z101" s="121"/>
      <c r="AQ101" s="498" t="s">
        <v>537</v>
      </c>
      <c r="AR101" s="103">
        <v>96</v>
      </c>
    </row>
    <row r="102" spans="4:44" x14ac:dyDescent="0.35">
      <c r="D102" s="136">
        <v>92</v>
      </c>
      <c r="E102" s="136">
        <v>500</v>
      </c>
      <c r="F102" s="136">
        <v>560</v>
      </c>
      <c r="G102" s="121" t="s">
        <v>17</v>
      </c>
      <c r="H102" s="121" t="s">
        <v>17</v>
      </c>
      <c r="I102" s="121" t="s">
        <v>17</v>
      </c>
      <c r="J102" s="121" t="s">
        <v>17</v>
      </c>
      <c r="K102" s="121" t="s">
        <v>17</v>
      </c>
      <c r="L102" s="121">
        <v>730.9</v>
      </c>
      <c r="M102" s="121" t="s">
        <v>17</v>
      </c>
      <c r="N102" s="121" t="s">
        <v>17</v>
      </c>
      <c r="O102" s="121"/>
      <c r="P102" s="121"/>
      <c r="Q102" s="121" t="s">
        <v>17</v>
      </c>
      <c r="R102" s="121"/>
      <c r="S102" s="121"/>
      <c r="T102" s="121" t="s">
        <v>17</v>
      </c>
      <c r="U102" s="121"/>
      <c r="V102" s="121"/>
      <c r="W102" s="121"/>
      <c r="X102" s="121"/>
      <c r="Y102" s="121"/>
      <c r="Z102" s="121"/>
      <c r="AQ102" s="498" t="s">
        <v>538</v>
      </c>
      <c r="AR102" s="103">
        <v>97</v>
      </c>
    </row>
    <row r="103" spans="4:44" x14ac:dyDescent="0.35">
      <c r="D103" s="136">
        <v>93</v>
      </c>
      <c r="E103" s="136">
        <v>500</v>
      </c>
      <c r="F103" s="136">
        <v>560</v>
      </c>
      <c r="G103" s="121" t="s">
        <v>17</v>
      </c>
      <c r="H103" s="121" t="s">
        <v>17</v>
      </c>
      <c r="I103" s="121" t="s">
        <v>17</v>
      </c>
      <c r="J103" s="121" t="s">
        <v>17</v>
      </c>
      <c r="K103" s="121" t="s">
        <v>17</v>
      </c>
      <c r="L103" s="121" t="s">
        <v>17</v>
      </c>
      <c r="M103" s="121" t="s">
        <v>17</v>
      </c>
      <c r="N103" s="121" t="s">
        <v>17</v>
      </c>
      <c r="O103" s="121"/>
      <c r="P103" s="121"/>
      <c r="Q103" s="121" t="s">
        <v>17</v>
      </c>
      <c r="R103" s="121"/>
      <c r="S103" s="121"/>
      <c r="T103" s="121" t="s">
        <v>17</v>
      </c>
      <c r="U103" s="121"/>
      <c r="V103" s="121"/>
      <c r="W103" s="121"/>
      <c r="X103" s="121"/>
      <c r="Y103" s="121"/>
      <c r="Z103" s="121"/>
      <c r="AQ103" s="498" t="s">
        <v>539</v>
      </c>
      <c r="AR103" s="103">
        <v>98</v>
      </c>
    </row>
    <row r="104" spans="4:44" x14ac:dyDescent="0.35">
      <c r="D104" s="136">
        <v>94</v>
      </c>
      <c r="E104" s="136">
        <v>500</v>
      </c>
      <c r="F104" s="136">
        <v>560</v>
      </c>
      <c r="G104" s="121" t="s">
        <v>17</v>
      </c>
      <c r="H104" s="121" t="s">
        <v>17</v>
      </c>
      <c r="I104" s="121" t="s">
        <v>17</v>
      </c>
      <c r="J104" s="121" t="s">
        <v>17</v>
      </c>
      <c r="K104" s="121" t="s">
        <v>17</v>
      </c>
      <c r="L104" s="121" t="s">
        <v>17</v>
      </c>
      <c r="M104" s="121" t="s">
        <v>17</v>
      </c>
      <c r="N104" s="121" t="s">
        <v>17</v>
      </c>
      <c r="O104" s="121"/>
      <c r="P104" s="121"/>
      <c r="Q104" s="121" t="s">
        <v>17</v>
      </c>
      <c r="R104" s="121"/>
      <c r="S104" s="121"/>
      <c r="T104" s="121" t="s">
        <v>17</v>
      </c>
      <c r="U104" s="121"/>
      <c r="V104" s="121"/>
      <c r="W104" s="121"/>
      <c r="X104" s="121"/>
      <c r="Y104" s="121"/>
      <c r="Z104" s="121"/>
      <c r="AQ104" s="499" t="s">
        <v>540</v>
      </c>
      <c r="AR104" s="103">
        <v>99</v>
      </c>
    </row>
    <row r="105" spans="4:44" x14ac:dyDescent="0.35">
      <c r="D105" s="430">
        <v>95</v>
      </c>
      <c r="E105" s="430">
        <v>500</v>
      </c>
      <c r="F105" s="430">
        <v>560</v>
      </c>
      <c r="G105" s="434" t="s">
        <v>17</v>
      </c>
      <c r="H105" s="434" t="s">
        <v>17</v>
      </c>
      <c r="I105" s="434" t="s">
        <v>17</v>
      </c>
      <c r="J105" s="434" t="s">
        <v>17</v>
      </c>
      <c r="K105" s="434" t="s">
        <v>17</v>
      </c>
      <c r="L105" s="434" t="s">
        <v>17</v>
      </c>
      <c r="M105" s="434" t="s">
        <v>17</v>
      </c>
      <c r="N105" s="434" t="s">
        <v>17</v>
      </c>
      <c r="O105" s="434"/>
      <c r="P105" s="434"/>
      <c r="Q105" s="434" t="s">
        <v>17</v>
      </c>
      <c r="R105" s="434"/>
      <c r="S105" s="434"/>
      <c r="T105" s="434" t="s">
        <v>17</v>
      </c>
      <c r="U105" s="434"/>
      <c r="V105" s="434"/>
      <c r="W105" s="434"/>
      <c r="X105" s="434"/>
      <c r="Y105" s="434"/>
      <c r="Z105" s="434"/>
    </row>
    <row r="106" spans="4:44" x14ac:dyDescent="0.35">
      <c r="D106" s="136">
        <v>96</v>
      </c>
      <c r="E106" s="136">
        <v>500</v>
      </c>
      <c r="F106" s="136">
        <v>560</v>
      </c>
      <c r="G106" s="121" t="s">
        <v>17</v>
      </c>
      <c r="H106" s="121" t="s">
        <v>17</v>
      </c>
      <c r="I106" s="121" t="s">
        <v>17</v>
      </c>
      <c r="J106" s="121" t="s">
        <v>17</v>
      </c>
      <c r="K106" s="121" t="s">
        <v>17</v>
      </c>
      <c r="L106" s="121" t="s">
        <v>17</v>
      </c>
      <c r="M106" s="121" t="s">
        <v>17</v>
      </c>
      <c r="N106" s="121" t="s">
        <v>17</v>
      </c>
      <c r="O106" s="121"/>
      <c r="P106" s="121"/>
      <c r="Q106" s="121" t="s">
        <v>17</v>
      </c>
      <c r="R106" s="121"/>
      <c r="S106" s="121"/>
      <c r="T106" s="121" t="s">
        <v>17</v>
      </c>
      <c r="U106" s="121"/>
      <c r="V106" s="121"/>
      <c r="W106" s="121"/>
      <c r="X106" s="121"/>
      <c r="Y106" s="121"/>
      <c r="Z106" s="121"/>
    </row>
    <row r="107" spans="4:44" x14ac:dyDescent="0.35">
      <c r="D107" s="136">
        <v>97</v>
      </c>
      <c r="E107" s="136">
        <v>500</v>
      </c>
      <c r="F107" s="136">
        <v>560</v>
      </c>
      <c r="G107" s="121" t="s">
        <v>17</v>
      </c>
      <c r="H107" s="121" t="s">
        <v>17</v>
      </c>
      <c r="I107" s="121" t="s">
        <v>17</v>
      </c>
      <c r="J107" s="121" t="s">
        <v>17</v>
      </c>
      <c r="K107" s="121" t="s">
        <v>17</v>
      </c>
      <c r="L107" s="121" t="s">
        <v>17</v>
      </c>
      <c r="M107" s="121" t="s">
        <v>17</v>
      </c>
      <c r="N107" s="121" t="s">
        <v>17</v>
      </c>
      <c r="O107" s="121"/>
      <c r="P107" s="121"/>
      <c r="Q107" s="121" t="s">
        <v>17</v>
      </c>
      <c r="R107" s="121"/>
      <c r="S107" s="121"/>
      <c r="T107" s="121" t="s">
        <v>17</v>
      </c>
      <c r="U107" s="121"/>
      <c r="V107" s="121"/>
      <c r="W107" s="121"/>
      <c r="X107" s="121"/>
      <c r="Y107" s="121"/>
      <c r="Z107" s="121"/>
    </row>
    <row r="108" spans="4:44" x14ac:dyDescent="0.35">
      <c r="D108" s="136">
        <v>98</v>
      </c>
      <c r="E108" s="136">
        <v>500</v>
      </c>
      <c r="F108" s="136">
        <v>560</v>
      </c>
      <c r="G108" s="121" t="s">
        <v>17</v>
      </c>
      <c r="H108" s="121" t="s">
        <v>17</v>
      </c>
      <c r="I108" s="121" t="s">
        <v>17</v>
      </c>
      <c r="J108" s="121" t="s">
        <v>17</v>
      </c>
      <c r="K108" s="121" t="s">
        <v>17</v>
      </c>
      <c r="L108" s="121" t="s">
        <v>17</v>
      </c>
      <c r="M108" s="121" t="s">
        <v>17</v>
      </c>
      <c r="N108" s="121" t="s">
        <v>17</v>
      </c>
      <c r="O108" s="121"/>
      <c r="P108" s="121"/>
      <c r="Q108" s="121" t="s">
        <v>17</v>
      </c>
      <c r="R108" s="121"/>
      <c r="S108" s="121"/>
      <c r="T108" s="121" t="s">
        <v>17</v>
      </c>
      <c r="U108" s="121"/>
      <c r="V108" s="121"/>
      <c r="W108" s="121"/>
      <c r="X108" s="121"/>
      <c r="Y108" s="121"/>
      <c r="Z108" s="121"/>
    </row>
    <row r="109" spans="4:44" x14ac:dyDescent="0.35">
      <c r="D109" s="136">
        <v>99</v>
      </c>
      <c r="E109" s="136">
        <v>500</v>
      </c>
      <c r="F109" s="136">
        <v>560</v>
      </c>
      <c r="G109" s="121" t="s">
        <v>17</v>
      </c>
      <c r="H109" s="121" t="s">
        <v>17</v>
      </c>
      <c r="I109" s="121" t="s">
        <v>17</v>
      </c>
      <c r="J109" s="121" t="s">
        <v>17</v>
      </c>
      <c r="K109" s="121" t="s">
        <v>17</v>
      </c>
      <c r="L109" s="121" t="s">
        <v>17</v>
      </c>
      <c r="M109" s="121" t="s">
        <v>17</v>
      </c>
      <c r="N109" s="121" t="s">
        <v>17</v>
      </c>
      <c r="O109" s="121"/>
      <c r="P109" s="121"/>
      <c r="Q109" s="121" t="s">
        <v>17</v>
      </c>
      <c r="R109" s="121"/>
      <c r="S109" s="121"/>
      <c r="T109" s="121" t="s">
        <v>17</v>
      </c>
      <c r="U109" s="121"/>
      <c r="V109" s="121"/>
      <c r="W109" s="121"/>
      <c r="X109" s="121"/>
      <c r="Y109" s="121"/>
      <c r="Z109" s="121"/>
    </row>
    <row r="110" spans="4:44" x14ac:dyDescent="0.35">
      <c r="D110" s="430">
        <v>100</v>
      </c>
      <c r="E110" s="430">
        <v>500</v>
      </c>
      <c r="F110" s="430">
        <v>560</v>
      </c>
      <c r="G110" s="434" t="s">
        <v>17</v>
      </c>
      <c r="H110" s="434" t="s">
        <v>17</v>
      </c>
      <c r="I110" s="434" t="s">
        <v>17</v>
      </c>
      <c r="J110" s="434" t="s">
        <v>17</v>
      </c>
      <c r="K110" s="434" t="s">
        <v>17</v>
      </c>
      <c r="L110" s="434" t="s">
        <v>17</v>
      </c>
      <c r="M110" s="434" t="s">
        <v>17</v>
      </c>
      <c r="N110" s="434" t="s">
        <v>17</v>
      </c>
      <c r="O110" s="434"/>
      <c r="P110" s="434"/>
      <c r="Q110" s="434" t="s">
        <v>17</v>
      </c>
      <c r="R110" s="434"/>
      <c r="S110" s="434"/>
      <c r="T110" s="434" t="s">
        <v>17</v>
      </c>
      <c r="U110" s="434"/>
      <c r="V110" s="434"/>
      <c r="W110" s="434"/>
      <c r="X110" s="434"/>
      <c r="Y110" s="434"/>
      <c r="Z110" s="434"/>
    </row>
    <row r="111" spans="4:44" x14ac:dyDescent="0.35">
      <c r="J111" s="205"/>
      <c r="N111" s="205"/>
      <c r="T111" s="205"/>
    </row>
    <row r="112" spans="4:44" x14ac:dyDescent="0.35">
      <c r="J112" s="220"/>
      <c r="N112" s="220" t="s">
        <v>15</v>
      </c>
      <c r="O112" s="220" t="s">
        <v>15</v>
      </c>
      <c r="P112" s="220" t="s">
        <v>15</v>
      </c>
      <c r="Q112" s="220" t="s">
        <v>15</v>
      </c>
      <c r="R112" s="220" t="s">
        <v>15</v>
      </c>
      <c r="S112" s="220" t="s">
        <v>15</v>
      </c>
      <c r="T112" s="220"/>
    </row>
    <row r="113" spans="4:31" x14ac:dyDescent="0.35">
      <c r="J113" s="211">
        <v>1</v>
      </c>
      <c r="K113" s="212">
        <v>2</v>
      </c>
      <c r="L113" s="212">
        <v>3</v>
      </c>
      <c r="M113" s="212">
        <v>4</v>
      </c>
      <c r="N113" s="211">
        <v>5</v>
      </c>
      <c r="O113" s="212">
        <v>6</v>
      </c>
      <c r="P113" s="214">
        <v>7</v>
      </c>
      <c r="Q113" s="214">
        <v>8</v>
      </c>
      <c r="R113" s="214">
        <v>9</v>
      </c>
      <c r="S113" s="214">
        <v>10</v>
      </c>
      <c r="T113" s="217">
        <v>11</v>
      </c>
      <c r="U113" s="214">
        <v>12</v>
      </c>
      <c r="V113" s="214">
        <v>13</v>
      </c>
      <c r="W113" s="214">
        <v>14</v>
      </c>
      <c r="X113" s="214">
        <v>15</v>
      </c>
      <c r="Y113" s="214">
        <v>16</v>
      </c>
      <c r="Z113" s="2814"/>
      <c r="AA113" s="2814"/>
      <c r="AB113" s="2814"/>
      <c r="AC113" s="2814"/>
      <c r="AD113" s="2814"/>
      <c r="AE113" s="2814"/>
    </row>
    <row r="114" spans="4:31" ht="16.5" thickBot="1" x14ac:dyDescent="0.4">
      <c r="D114" s="143" t="s">
        <v>0</v>
      </c>
      <c r="J114" s="221"/>
      <c r="N114" s="221"/>
      <c r="T114" s="221"/>
    </row>
    <row r="115" spans="4:31" x14ac:dyDescent="0.35">
      <c r="D115" s="134" t="s">
        <v>92</v>
      </c>
      <c r="E115" s="135"/>
      <c r="F115" s="135"/>
      <c r="G115" s="135"/>
      <c r="H115" s="135"/>
      <c r="I115" s="135"/>
      <c r="J115" s="429">
        <v>45856</v>
      </c>
      <c r="K115" s="429">
        <v>45857</v>
      </c>
      <c r="L115" s="429">
        <v>45858</v>
      </c>
      <c r="M115" s="429">
        <v>45859</v>
      </c>
      <c r="N115" s="429">
        <v>45860</v>
      </c>
      <c r="O115" s="429">
        <v>45861</v>
      </c>
      <c r="P115" s="429">
        <v>45862</v>
      </c>
      <c r="Q115" s="429">
        <v>45863</v>
      </c>
      <c r="R115" s="429">
        <v>45864</v>
      </c>
      <c r="S115" s="429">
        <v>45865</v>
      </c>
      <c r="T115" s="429">
        <v>45866</v>
      </c>
      <c r="U115" s="429">
        <v>45867</v>
      </c>
      <c r="V115" s="429">
        <v>45868</v>
      </c>
      <c r="W115" s="429">
        <v>45869</v>
      </c>
      <c r="X115" s="429">
        <v>45870</v>
      </c>
      <c r="Y115" s="429">
        <v>45871</v>
      </c>
      <c r="Z115" s="429">
        <v>45872</v>
      </c>
      <c r="AA115" s="12"/>
      <c r="AB115" s="12"/>
      <c r="AC115" s="12"/>
      <c r="AD115" s="12"/>
      <c r="AE115" s="12"/>
    </row>
    <row r="116" spans="4:31" x14ac:dyDescent="0.35">
      <c r="D116" s="136">
        <v>0</v>
      </c>
      <c r="E116" s="437"/>
      <c r="F116" s="437"/>
      <c r="G116" s="438"/>
      <c r="H116" s="438"/>
      <c r="I116" s="438"/>
      <c r="J116" s="138">
        <v>56.4</v>
      </c>
      <c r="K116" s="138">
        <v>24.9</v>
      </c>
      <c r="L116" s="138">
        <v>6.2</v>
      </c>
      <c r="M116" s="138">
        <v>34.299999999999997</v>
      </c>
      <c r="N116" s="138">
        <v>83.8</v>
      </c>
      <c r="O116" s="138">
        <v>96.6</v>
      </c>
      <c r="P116" s="138">
        <v>106</v>
      </c>
      <c r="Q116" s="138">
        <v>112.2</v>
      </c>
      <c r="R116" s="138"/>
      <c r="S116" s="138"/>
      <c r="T116" s="138">
        <v>35.200000000000003</v>
      </c>
      <c r="U116" s="138"/>
      <c r="V116" s="138"/>
      <c r="W116" s="138"/>
      <c r="X116" s="138"/>
      <c r="Y116" s="138"/>
      <c r="Z116" s="138"/>
      <c r="AA116" s="12"/>
      <c r="AB116" s="12"/>
      <c r="AC116" s="12"/>
      <c r="AD116" s="12"/>
      <c r="AE116" s="12"/>
    </row>
    <row r="117" spans="4:31" x14ac:dyDescent="0.35">
      <c r="D117" s="136">
        <v>1</v>
      </c>
      <c r="E117" s="437"/>
      <c r="F117" s="437"/>
      <c r="G117" s="438"/>
      <c r="H117" s="438"/>
      <c r="I117" s="438"/>
      <c r="J117" s="138">
        <v>68.400000000000006</v>
      </c>
      <c r="K117" s="138">
        <v>35.5</v>
      </c>
      <c r="L117" s="138">
        <v>24.8</v>
      </c>
      <c r="M117" s="138">
        <v>36</v>
      </c>
      <c r="N117" s="138">
        <v>120.1</v>
      </c>
      <c r="O117" s="138">
        <v>124.3</v>
      </c>
      <c r="P117" s="138">
        <v>138.5</v>
      </c>
      <c r="Q117" s="138">
        <v>134.4</v>
      </c>
      <c r="R117" s="138"/>
      <c r="S117" s="138"/>
      <c r="T117" s="138">
        <v>55.4</v>
      </c>
      <c r="U117" s="138"/>
      <c r="V117" s="138"/>
      <c r="W117" s="138"/>
      <c r="X117" s="138"/>
      <c r="Y117" s="138"/>
      <c r="Z117" s="138"/>
      <c r="AA117" s="180"/>
      <c r="AB117" s="180"/>
      <c r="AC117" s="180"/>
      <c r="AD117" s="180"/>
      <c r="AE117" s="180"/>
    </row>
    <row r="118" spans="4:31" x14ac:dyDescent="0.35">
      <c r="D118" s="136">
        <v>2</v>
      </c>
      <c r="E118" s="437"/>
      <c r="F118" s="437"/>
      <c r="G118" s="438"/>
      <c r="H118" s="438"/>
      <c r="I118" s="438"/>
      <c r="J118" s="138">
        <v>89.8</v>
      </c>
      <c r="K118" s="138">
        <v>56.2</v>
      </c>
      <c r="L118" s="138">
        <v>35.799999999999997</v>
      </c>
      <c r="M118" s="138">
        <v>57.3</v>
      </c>
      <c r="N118" s="138">
        <v>152.69999999999999</v>
      </c>
      <c r="O118" s="138">
        <v>152.1</v>
      </c>
      <c r="P118" s="138">
        <v>164.7</v>
      </c>
      <c r="Q118" s="138">
        <v>161.5</v>
      </c>
      <c r="R118" s="138"/>
      <c r="S118" s="138"/>
      <c r="T118" s="138">
        <v>67</v>
      </c>
      <c r="U118" s="138"/>
      <c r="V118" s="138"/>
      <c r="W118" s="138"/>
      <c r="X118" s="138"/>
      <c r="Y118" s="138"/>
      <c r="Z118" s="138"/>
      <c r="AA118" s="180"/>
      <c r="AB118" s="180"/>
      <c r="AC118" s="180"/>
      <c r="AD118" s="180"/>
      <c r="AE118" s="180"/>
    </row>
    <row r="119" spans="4:31" x14ac:dyDescent="0.35">
      <c r="D119" s="136">
        <v>3</v>
      </c>
      <c r="E119" s="437"/>
      <c r="F119" s="437"/>
      <c r="G119" s="438"/>
      <c r="H119" s="438"/>
      <c r="I119" s="438"/>
      <c r="J119" s="138">
        <v>97.9</v>
      </c>
      <c r="K119" s="138">
        <v>67.599999999999994</v>
      </c>
      <c r="L119" s="138">
        <v>55.7</v>
      </c>
      <c r="M119" s="138">
        <v>68.2</v>
      </c>
      <c r="N119" s="138">
        <v>175.8</v>
      </c>
      <c r="O119" s="138">
        <v>173.7</v>
      </c>
      <c r="P119" s="138">
        <v>182.9</v>
      </c>
      <c r="Q119" s="138">
        <v>179.5</v>
      </c>
      <c r="R119" s="138"/>
      <c r="S119" s="138"/>
      <c r="T119" s="138">
        <v>68.400000000000006</v>
      </c>
      <c r="U119" s="138"/>
      <c r="V119" s="138"/>
      <c r="W119" s="138"/>
      <c r="X119" s="138"/>
      <c r="Y119" s="138"/>
      <c r="Z119" s="138"/>
      <c r="AA119" s="180"/>
      <c r="AB119" s="180"/>
      <c r="AC119" s="180"/>
      <c r="AD119" s="180"/>
      <c r="AE119" s="180"/>
    </row>
    <row r="120" spans="4:31" x14ac:dyDescent="0.35">
      <c r="D120" s="136">
        <v>4</v>
      </c>
      <c r="E120" s="437"/>
      <c r="F120" s="437"/>
      <c r="G120" s="438"/>
      <c r="H120" s="438"/>
      <c r="I120" s="438"/>
      <c r="J120" s="138">
        <v>98.3</v>
      </c>
      <c r="K120" s="138">
        <v>68.7</v>
      </c>
      <c r="L120" s="138">
        <v>60.8</v>
      </c>
      <c r="M120" s="138">
        <v>69.099999999999994</v>
      </c>
      <c r="N120" s="138">
        <v>191.3</v>
      </c>
      <c r="O120" s="138">
        <v>191.4</v>
      </c>
      <c r="P120" s="138">
        <v>198.3</v>
      </c>
      <c r="Q120" s="138">
        <v>194.5</v>
      </c>
      <c r="R120" s="138"/>
      <c r="S120" s="138"/>
      <c r="T120" s="138">
        <v>74.5</v>
      </c>
      <c r="U120" s="138"/>
      <c r="V120" s="138"/>
      <c r="W120" s="138"/>
      <c r="X120" s="138"/>
      <c r="Y120" s="138"/>
      <c r="Z120" s="138"/>
      <c r="AA120" s="180"/>
      <c r="AB120" s="180"/>
      <c r="AC120" s="180"/>
      <c r="AD120" s="180"/>
      <c r="AE120" s="180"/>
    </row>
    <row r="121" spans="4:31" x14ac:dyDescent="0.35">
      <c r="D121" s="430">
        <v>5</v>
      </c>
      <c r="E121" s="437"/>
      <c r="F121" s="437"/>
      <c r="G121" s="438"/>
      <c r="H121" s="438"/>
      <c r="I121" s="438"/>
      <c r="J121" s="432">
        <v>98.6</v>
      </c>
      <c r="K121" s="432">
        <v>74.8</v>
      </c>
      <c r="L121" s="432">
        <v>68.099999999999994</v>
      </c>
      <c r="M121" s="432">
        <v>83.2</v>
      </c>
      <c r="N121" s="432">
        <v>205.8</v>
      </c>
      <c r="O121" s="432">
        <v>205.2</v>
      </c>
      <c r="P121" s="432">
        <v>211.5</v>
      </c>
      <c r="Q121" s="432">
        <v>208.9</v>
      </c>
      <c r="R121" s="432"/>
      <c r="S121" s="432"/>
      <c r="T121" s="432">
        <v>86.6</v>
      </c>
      <c r="U121" s="432"/>
      <c r="V121" s="432"/>
      <c r="W121" s="432"/>
      <c r="X121" s="432"/>
      <c r="Y121" s="432"/>
      <c r="Z121" s="432"/>
      <c r="AA121" s="180"/>
      <c r="AB121" s="180"/>
      <c r="AC121" s="180"/>
      <c r="AD121" s="180"/>
      <c r="AE121" s="180"/>
    </row>
    <row r="122" spans="4:31" x14ac:dyDescent="0.35">
      <c r="D122" s="136">
        <v>6</v>
      </c>
      <c r="E122" s="437"/>
      <c r="F122" s="437"/>
      <c r="G122" s="438"/>
      <c r="H122" s="438"/>
      <c r="I122" s="438"/>
      <c r="J122" s="138">
        <v>98.9</v>
      </c>
      <c r="K122" s="138">
        <v>86.7</v>
      </c>
      <c r="L122" s="138">
        <v>68.8</v>
      </c>
      <c r="M122" s="138">
        <v>88</v>
      </c>
      <c r="N122" s="138">
        <v>216.5</v>
      </c>
      <c r="O122" s="138">
        <v>218.2</v>
      </c>
      <c r="P122" s="138">
        <v>223.1</v>
      </c>
      <c r="Q122" s="138">
        <v>220.4</v>
      </c>
      <c r="R122" s="138"/>
      <c r="S122" s="138"/>
      <c r="T122" s="138">
        <v>88.3</v>
      </c>
      <c r="U122" s="138"/>
      <c r="V122" s="138"/>
      <c r="W122" s="138"/>
      <c r="X122" s="138"/>
      <c r="Y122" s="138"/>
      <c r="Z122" s="138"/>
      <c r="AA122" s="180"/>
      <c r="AB122" s="180"/>
      <c r="AC122" s="180"/>
      <c r="AD122" s="180"/>
      <c r="AE122" s="180"/>
    </row>
    <row r="123" spans="4:31" x14ac:dyDescent="0.35">
      <c r="D123" s="136">
        <v>7</v>
      </c>
      <c r="E123" s="437"/>
      <c r="F123" s="437"/>
      <c r="G123" s="438"/>
      <c r="H123" s="438"/>
      <c r="I123" s="438"/>
      <c r="J123" s="138">
        <v>99.1</v>
      </c>
      <c r="K123" s="138">
        <v>89.4</v>
      </c>
      <c r="L123" s="138">
        <v>74.599999999999994</v>
      </c>
      <c r="M123" s="138">
        <v>90.7</v>
      </c>
      <c r="N123" s="138">
        <v>229.2</v>
      </c>
      <c r="O123" s="138">
        <v>229.6</v>
      </c>
      <c r="P123" s="138">
        <v>233.5</v>
      </c>
      <c r="Q123" s="138">
        <v>231.9</v>
      </c>
      <c r="R123" s="138"/>
      <c r="S123" s="138"/>
      <c r="T123" s="138">
        <v>90.5</v>
      </c>
      <c r="U123" s="138"/>
      <c r="V123" s="138"/>
      <c r="W123" s="138"/>
      <c r="X123" s="138"/>
      <c r="Y123" s="138"/>
      <c r="Z123" s="138"/>
      <c r="AA123" s="181"/>
      <c r="AB123" s="181"/>
      <c r="AC123" s="181"/>
      <c r="AD123" s="181"/>
      <c r="AE123" s="181"/>
    </row>
    <row r="124" spans="4:31" x14ac:dyDescent="0.35">
      <c r="D124" s="136">
        <v>8</v>
      </c>
      <c r="E124" s="437"/>
      <c r="F124" s="437"/>
      <c r="G124" s="438"/>
      <c r="H124" s="438"/>
      <c r="I124" s="438"/>
      <c r="J124" s="138">
        <v>99.3</v>
      </c>
      <c r="K124" s="138">
        <v>92.1</v>
      </c>
      <c r="L124" s="138">
        <v>83.5</v>
      </c>
      <c r="M124" s="138">
        <v>98.1</v>
      </c>
      <c r="N124" s="138">
        <v>237.9</v>
      </c>
      <c r="O124" s="138">
        <v>239.8</v>
      </c>
      <c r="P124" s="138">
        <v>244</v>
      </c>
      <c r="Q124" s="138">
        <v>242.9</v>
      </c>
      <c r="R124" s="138"/>
      <c r="S124" s="138"/>
      <c r="T124" s="138">
        <v>97.5</v>
      </c>
      <c r="U124" s="138"/>
      <c r="V124" s="138"/>
      <c r="W124" s="138"/>
      <c r="X124" s="138"/>
      <c r="Y124" s="138"/>
      <c r="Z124" s="138"/>
      <c r="AA124" s="18"/>
      <c r="AB124" s="18"/>
      <c r="AC124" s="18"/>
      <c r="AD124" s="18"/>
      <c r="AE124" s="18"/>
    </row>
    <row r="125" spans="4:31" x14ac:dyDescent="0.35">
      <c r="D125" s="136">
        <v>9</v>
      </c>
      <c r="E125" s="437"/>
      <c r="F125" s="437"/>
      <c r="G125" s="438"/>
      <c r="H125" s="438"/>
      <c r="I125" s="438"/>
      <c r="J125" s="138">
        <v>99.4</v>
      </c>
      <c r="K125" s="138">
        <v>98</v>
      </c>
      <c r="L125" s="138">
        <v>87.7</v>
      </c>
      <c r="M125" s="138">
        <v>98.7</v>
      </c>
      <c r="N125" s="138">
        <v>247.6</v>
      </c>
      <c r="O125" s="138">
        <v>250.7</v>
      </c>
      <c r="P125" s="138">
        <v>252.5</v>
      </c>
      <c r="Q125" s="138">
        <v>252</v>
      </c>
      <c r="R125" s="138"/>
      <c r="S125" s="138"/>
      <c r="T125" s="138">
        <v>98.1</v>
      </c>
      <c r="U125" s="138"/>
      <c r="V125" s="138"/>
      <c r="W125" s="138"/>
      <c r="X125" s="138"/>
      <c r="Y125" s="138"/>
      <c r="Z125" s="138"/>
    </row>
    <row r="126" spans="4:31" x14ac:dyDescent="0.35">
      <c r="D126" s="430">
        <v>10</v>
      </c>
      <c r="E126" s="437"/>
      <c r="F126" s="437"/>
      <c r="G126" s="438"/>
      <c r="H126" s="438"/>
      <c r="I126" s="438"/>
      <c r="J126" s="432">
        <v>99.6</v>
      </c>
      <c r="K126" s="432">
        <v>98.5</v>
      </c>
      <c r="L126" s="432">
        <v>90.3</v>
      </c>
      <c r="M126" s="432">
        <v>101.7</v>
      </c>
      <c r="N126" s="432">
        <v>256.10000000000002</v>
      </c>
      <c r="O126" s="432">
        <v>260</v>
      </c>
      <c r="P126" s="432">
        <v>262.60000000000002</v>
      </c>
      <c r="Q126" s="432">
        <v>262.7</v>
      </c>
      <c r="R126" s="432"/>
      <c r="S126" s="432"/>
      <c r="T126" s="432">
        <v>98.5</v>
      </c>
      <c r="U126" s="432"/>
      <c r="V126" s="432"/>
      <c r="W126" s="432"/>
      <c r="X126" s="432"/>
      <c r="Y126" s="432"/>
      <c r="Z126" s="432"/>
    </row>
    <row r="127" spans="4:31" x14ac:dyDescent="0.35">
      <c r="D127" s="136">
        <v>11</v>
      </c>
      <c r="E127" s="437"/>
      <c r="F127" s="437"/>
      <c r="G127" s="438"/>
      <c r="H127" s="438"/>
      <c r="I127" s="438"/>
      <c r="J127" s="138">
        <v>99.7</v>
      </c>
      <c r="K127" s="138">
        <v>99.1</v>
      </c>
      <c r="L127" s="138">
        <v>97.5</v>
      </c>
      <c r="M127" s="138">
        <v>102.8</v>
      </c>
      <c r="N127" s="138">
        <v>264.8</v>
      </c>
      <c r="O127" s="138">
        <v>269.8</v>
      </c>
      <c r="P127" s="138">
        <v>271.3</v>
      </c>
      <c r="Q127" s="138">
        <v>272.3</v>
      </c>
      <c r="R127" s="138"/>
      <c r="S127" s="138"/>
      <c r="T127" s="138">
        <v>101.5</v>
      </c>
      <c r="U127" s="138"/>
      <c r="V127" s="138"/>
      <c r="W127" s="138"/>
      <c r="X127" s="138"/>
      <c r="Y127" s="138"/>
      <c r="Z127" s="138"/>
    </row>
    <row r="128" spans="4:31" x14ac:dyDescent="0.35">
      <c r="D128" s="136">
        <v>12</v>
      </c>
      <c r="E128" s="437"/>
      <c r="F128" s="437"/>
      <c r="G128" s="438"/>
      <c r="H128" s="438"/>
      <c r="I128" s="438"/>
      <c r="J128" s="138">
        <v>99.9</v>
      </c>
      <c r="K128" s="138">
        <v>102.3</v>
      </c>
      <c r="L128" s="138">
        <v>98.3</v>
      </c>
      <c r="M128" s="138">
        <v>112.8</v>
      </c>
      <c r="N128" s="138">
        <v>272.7</v>
      </c>
      <c r="O128" s="138">
        <v>278.8</v>
      </c>
      <c r="P128" s="138">
        <v>281.2</v>
      </c>
      <c r="Q128" s="138">
        <v>282.7</v>
      </c>
      <c r="R128" s="138"/>
      <c r="S128" s="138"/>
      <c r="T128" s="138">
        <v>102.4</v>
      </c>
      <c r="U128" s="138"/>
      <c r="V128" s="138"/>
      <c r="W128" s="138"/>
      <c r="X128" s="138"/>
      <c r="Y128" s="138"/>
      <c r="Z128" s="138"/>
    </row>
    <row r="129" spans="4:26" x14ac:dyDescent="0.35">
      <c r="D129" s="136">
        <v>13</v>
      </c>
      <c r="E129" s="437"/>
      <c r="F129" s="437"/>
      <c r="G129" s="438"/>
      <c r="H129" s="438"/>
      <c r="I129" s="438"/>
      <c r="J129" s="138">
        <v>100</v>
      </c>
      <c r="K129" s="138">
        <v>112</v>
      </c>
      <c r="L129" s="138">
        <v>98.7</v>
      </c>
      <c r="M129" s="138">
        <v>116.9</v>
      </c>
      <c r="N129" s="138">
        <v>281</v>
      </c>
      <c r="O129" s="138">
        <v>287</v>
      </c>
      <c r="P129" s="138">
        <v>289.7</v>
      </c>
      <c r="Q129" s="138">
        <v>287.39999999999998</v>
      </c>
      <c r="R129" s="138"/>
      <c r="S129" s="138"/>
      <c r="T129" s="138">
        <v>112</v>
      </c>
      <c r="U129" s="138"/>
      <c r="V129" s="138"/>
      <c r="W129" s="138"/>
      <c r="X129" s="138"/>
      <c r="Y129" s="138"/>
      <c r="Z129" s="138"/>
    </row>
    <row r="130" spans="4:26" x14ac:dyDescent="0.35">
      <c r="D130" s="136">
        <v>14</v>
      </c>
      <c r="E130" s="437"/>
      <c r="F130" s="437"/>
      <c r="G130" s="438"/>
      <c r="H130" s="438"/>
      <c r="I130" s="438"/>
      <c r="J130" s="138">
        <v>100.1</v>
      </c>
      <c r="K130" s="138">
        <v>115.5</v>
      </c>
      <c r="L130" s="138">
        <v>101.8</v>
      </c>
      <c r="M130" s="138">
        <v>117.9</v>
      </c>
      <c r="N130" s="138">
        <v>288.3</v>
      </c>
      <c r="O130" s="138">
        <v>295.8</v>
      </c>
      <c r="P130" s="138">
        <v>297.89999999999998</v>
      </c>
      <c r="Q130" s="138">
        <v>289.89999999999998</v>
      </c>
      <c r="R130" s="138"/>
      <c r="S130" s="138"/>
      <c r="T130" s="138">
        <v>115.2</v>
      </c>
      <c r="U130" s="138"/>
      <c r="V130" s="138"/>
      <c r="W130" s="138"/>
      <c r="X130" s="138"/>
      <c r="Y130" s="138"/>
      <c r="Z130" s="138"/>
    </row>
    <row r="131" spans="4:26" x14ac:dyDescent="0.35">
      <c r="D131" s="430">
        <v>15</v>
      </c>
      <c r="E131" s="437"/>
      <c r="F131" s="437"/>
      <c r="G131" s="438"/>
      <c r="H131" s="438"/>
      <c r="I131" s="438"/>
      <c r="J131" s="432">
        <v>100.2</v>
      </c>
      <c r="K131" s="432">
        <v>117.3</v>
      </c>
      <c r="L131" s="432">
        <v>105.3</v>
      </c>
      <c r="M131" s="432">
        <v>119.7</v>
      </c>
      <c r="N131" s="432">
        <v>296.10000000000002</v>
      </c>
      <c r="O131" s="432">
        <v>303</v>
      </c>
      <c r="P131" s="432">
        <v>305</v>
      </c>
      <c r="Q131" s="432">
        <v>292.7</v>
      </c>
      <c r="R131" s="432"/>
      <c r="S131" s="432"/>
      <c r="T131" s="432">
        <v>117.1</v>
      </c>
      <c r="U131" s="432"/>
      <c r="V131" s="432"/>
      <c r="W131" s="432"/>
      <c r="X131" s="432"/>
      <c r="Y131" s="432"/>
      <c r="Z131" s="432"/>
    </row>
    <row r="132" spans="4:26" x14ac:dyDescent="0.35">
      <c r="D132" s="136">
        <v>16</v>
      </c>
      <c r="E132" s="437"/>
      <c r="F132" s="437"/>
      <c r="G132" s="438"/>
      <c r="H132" s="438"/>
      <c r="I132" s="438"/>
      <c r="J132" s="138">
        <v>100.3</v>
      </c>
      <c r="K132" s="138">
        <v>118.9</v>
      </c>
      <c r="L132" s="138">
        <v>112.7</v>
      </c>
      <c r="M132" s="138">
        <v>126.1</v>
      </c>
      <c r="N132" s="138">
        <v>303.2</v>
      </c>
      <c r="O132" s="138">
        <v>311.39999999999998</v>
      </c>
      <c r="P132" s="138">
        <v>312.89999999999998</v>
      </c>
      <c r="Q132" s="138">
        <v>296.5</v>
      </c>
      <c r="R132" s="138"/>
      <c r="S132" s="138"/>
      <c r="T132" s="138">
        <v>117.8</v>
      </c>
      <c r="U132" s="138"/>
      <c r="V132" s="138"/>
      <c r="W132" s="138"/>
      <c r="X132" s="138"/>
      <c r="Y132" s="138"/>
      <c r="Z132" s="138"/>
    </row>
    <row r="133" spans="4:26" x14ac:dyDescent="0.35">
      <c r="D133" s="136">
        <v>17</v>
      </c>
      <c r="E133" s="437"/>
      <c r="F133" s="437"/>
      <c r="G133" s="438"/>
      <c r="H133" s="438"/>
      <c r="I133" s="438"/>
      <c r="J133" s="138">
        <v>100.4</v>
      </c>
      <c r="K133" s="138">
        <v>124</v>
      </c>
      <c r="L133" s="138">
        <v>116.8</v>
      </c>
      <c r="M133" s="138">
        <v>126.8</v>
      </c>
      <c r="N133" s="138">
        <v>310.3</v>
      </c>
      <c r="O133" s="138">
        <v>318.3</v>
      </c>
      <c r="P133" s="138">
        <v>319.60000000000002</v>
      </c>
      <c r="Q133" s="138">
        <v>300.2</v>
      </c>
      <c r="R133" s="138"/>
      <c r="S133" s="138"/>
      <c r="T133" s="138">
        <v>119</v>
      </c>
      <c r="U133" s="138"/>
      <c r="V133" s="138"/>
      <c r="W133" s="138"/>
      <c r="X133" s="138"/>
      <c r="Y133" s="138"/>
      <c r="Z133" s="138"/>
    </row>
    <row r="134" spans="4:26" x14ac:dyDescent="0.35">
      <c r="D134" s="136">
        <v>18</v>
      </c>
      <c r="E134" s="437"/>
      <c r="F134" s="437"/>
      <c r="G134" s="438"/>
      <c r="H134" s="438"/>
      <c r="I134" s="438"/>
      <c r="J134" s="138">
        <v>100.5</v>
      </c>
      <c r="K134" s="138">
        <v>126.6</v>
      </c>
      <c r="L134" s="138">
        <v>117.7</v>
      </c>
      <c r="M134" s="138">
        <v>127.6</v>
      </c>
      <c r="N134" s="138">
        <v>316.89999999999998</v>
      </c>
      <c r="O134" s="138">
        <v>326.39999999999998</v>
      </c>
      <c r="P134" s="138">
        <v>327.2</v>
      </c>
      <c r="Q134" s="138">
        <v>305.60000000000002</v>
      </c>
      <c r="R134" s="138"/>
      <c r="S134" s="138"/>
      <c r="T134" s="138">
        <v>122.7</v>
      </c>
      <c r="U134" s="138"/>
      <c r="V134" s="138"/>
      <c r="W134" s="138"/>
      <c r="X134" s="138"/>
      <c r="Y134" s="138"/>
      <c r="Z134" s="138"/>
    </row>
    <row r="135" spans="4:26" x14ac:dyDescent="0.35">
      <c r="D135" s="136">
        <v>19</v>
      </c>
      <c r="E135" s="437"/>
      <c r="F135" s="437"/>
      <c r="G135" s="438"/>
      <c r="H135" s="438"/>
      <c r="I135" s="438"/>
      <c r="J135" s="138">
        <v>100.6</v>
      </c>
      <c r="K135" s="138">
        <v>127.1</v>
      </c>
      <c r="L135" s="138">
        <v>119.2</v>
      </c>
      <c r="M135" s="138">
        <v>133.4</v>
      </c>
      <c r="N135" s="138">
        <v>323.60000000000002</v>
      </c>
      <c r="O135" s="138">
        <v>333.1</v>
      </c>
      <c r="P135" s="138">
        <v>333.8</v>
      </c>
      <c r="Q135" s="138">
        <v>311.39999999999998</v>
      </c>
      <c r="R135" s="138"/>
      <c r="S135" s="138"/>
      <c r="T135" s="138">
        <v>126.3</v>
      </c>
      <c r="U135" s="138"/>
      <c r="V135" s="138"/>
      <c r="W135" s="138"/>
      <c r="X135" s="138"/>
      <c r="Y135" s="138"/>
      <c r="Z135" s="138"/>
    </row>
    <row r="136" spans="4:26" x14ac:dyDescent="0.35">
      <c r="D136" s="430">
        <v>20</v>
      </c>
      <c r="E136" s="437"/>
      <c r="F136" s="437"/>
      <c r="G136" s="438"/>
      <c r="H136" s="438"/>
      <c r="I136" s="438"/>
      <c r="J136" s="432">
        <v>100.7</v>
      </c>
      <c r="K136" s="432">
        <v>132.9</v>
      </c>
      <c r="L136" s="432">
        <v>125.8</v>
      </c>
      <c r="M136" s="432">
        <v>137.69999999999999</v>
      </c>
      <c r="N136" s="432">
        <v>330.4</v>
      </c>
      <c r="O136" s="432">
        <v>340.8</v>
      </c>
      <c r="P136" s="432">
        <v>341</v>
      </c>
      <c r="Q136" s="432">
        <v>316.5</v>
      </c>
      <c r="R136" s="432"/>
      <c r="S136" s="432"/>
      <c r="T136" s="432">
        <v>126.8</v>
      </c>
      <c r="U136" s="432"/>
      <c r="V136" s="432"/>
      <c r="W136" s="432"/>
      <c r="X136" s="432"/>
      <c r="Y136" s="432"/>
      <c r="Z136" s="432"/>
    </row>
    <row r="137" spans="4:26" x14ac:dyDescent="0.35">
      <c r="D137" s="136">
        <v>21</v>
      </c>
      <c r="E137" s="437"/>
      <c r="F137" s="437"/>
      <c r="G137" s="438"/>
      <c r="H137" s="438"/>
      <c r="I137" s="438"/>
      <c r="J137" s="138">
        <v>100.9</v>
      </c>
      <c r="K137" s="138">
        <v>135.80000000000001</v>
      </c>
      <c r="L137" s="138">
        <v>126.8</v>
      </c>
      <c r="M137" s="138">
        <v>140.4</v>
      </c>
      <c r="N137" s="138">
        <v>336</v>
      </c>
      <c r="O137" s="138">
        <v>347.4</v>
      </c>
      <c r="P137" s="138">
        <v>347.6</v>
      </c>
      <c r="Q137" s="138">
        <v>322.7</v>
      </c>
      <c r="R137" s="138"/>
      <c r="S137" s="138"/>
      <c r="T137" s="138">
        <v>127.1</v>
      </c>
      <c r="U137" s="138"/>
      <c r="V137" s="138"/>
      <c r="W137" s="138"/>
      <c r="X137" s="138"/>
      <c r="Y137" s="138"/>
      <c r="Z137" s="138"/>
    </row>
    <row r="138" spans="4:26" x14ac:dyDescent="0.35">
      <c r="D138" s="136">
        <v>22</v>
      </c>
      <c r="E138" s="437"/>
      <c r="F138" s="437"/>
      <c r="G138" s="438"/>
      <c r="H138" s="438"/>
      <c r="I138" s="438"/>
      <c r="J138" s="138">
        <v>112.1</v>
      </c>
      <c r="K138" s="138">
        <v>140.19999999999999</v>
      </c>
      <c r="L138" s="138">
        <v>127.2</v>
      </c>
      <c r="M138" s="138">
        <v>142.9</v>
      </c>
      <c r="N138" s="138">
        <v>342.3</v>
      </c>
      <c r="O138" s="138">
        <v>354.7</v>
      </c>
      <c r="P138" s="138">
        <v>354.2</v>
      </c>
      <c r="Q138" s="138">
        <v>328.1</v>
      </c>
      <c r="R138" s="138"/>
      <c r="S138" s="138"/>
      <c r="T138" s="138">
        <v>130.9</v>
      </c>
      <c r="U138" s="138"/>
      <c r="V138" s="138"/>
      <c r="W138" s="138"/>
      <c r="X138" s="138"/>
      <c r="Y138" s="138"/>
      <c r="Z138" s="138"/>
    </row>
    <row r="139" spans="4:26" x14ac:dyDescent="0.35">
      <c r="D139" s="136">
        <v>23</v>
      </c>
      <c r="E139" s="437"/>
      <c r="F139" s="437"/>
      <c r="G139" s="438"/>
      <c r="H139" s="438"/>
      <c r="I139" s="438"/>
      <c r="J139" s="138">
        <v>116.9</v>
      </c>
      <c r="K139" s="138">
        <v>142.6</v>
      </c>
      <c r="L139" s="138">
        <v>133</v>
      </c>
      <c r="M139" s="138">
        <v>144.69999999999999</v>
      </c>
      <c r="N139" s="138">
        <v>347.3</v>
      </c>
      <c r="O139" s="138">
        <v>360.8</v>
      </c>
      <c r="P139" s="138">
        <v>360.4</v>
      </c>
      <c r="Q139" s="138">
        <v>334.9</v>
      </c>
      <c r="R139" s="138"/>
      <c r="S139" s="138"/>
      <c r="T139" s="138">
        <v>133.30000000000001</v>
      </c>
      <c r="U139" s="138"/>
      <c r="V139" s="138"/>
      <c r="W139" s="138"/>
      <c r="X139" s="138"/>
      <c r="Y139" s="138"/>
      <c r="Z139" s="138"/>
    </row>
    <row r="140" spans="4:26" x14ac:dyDescent="0.35">
      <c r="D140" s="136">
        <v>24</v>
      </c>
      <c r="E140" s="437"/>
      <c r="F140" s="437"/>
      <c r="G140" s="438"/>
      <c r="H140" s="438"/>
      <c r="I140" s="438"/>
      <c r="J140" s="138">
        <v>123</v>
      </c>
      <c r="K140" s="138">
        <v>144.6</v>
      </c>
      <c r="L140" s="138">
        <v>136</v>
      </c>
      <c r="M140" s="138">
        <v>146.80000000000001</v>
      </c>
      <c r="N140" s="138">
        <v>352.9</v>
      </c>
      <c r="O140" s="138">
        <v>367.9</v>
      </c>
      <c r="P140" s="138">
        <v>366.8</v>
      </c>
      <c r="Q140" s="138">
        <v>340.8</v>
      </c>
      <c r="R140" s="138"/>
      <c r="S140" s="138"/>
      <c r="T140" s="138">
        <v>135.1</v>
      </c>
      <c r="U140" s="138"/>
      <c r="V140" s="138"/>
      <c r="W140" s="138"/>
      <c r="X140" s="138"/>
      <c r="Y140" s="138"/>
      <c r="Z140" s="138"/>
    </row>
    <row r="141" spans="4:26" x14ac:dyDescent="0.35">
      <c r="D141" s="136">
        <v>25</v>
      </c>
      <c r="E141" s="437"/>
      <c r="F141" s="437"/>
      <c r="G141" s="438"/>
      <c r="H141" s="438"/>
      <c r="I141" s="438"/>
      <c r="J141" s="138">
        <v>126.7</v>
      </c>
      <c r="K141" s="138">
        <v>146.5</v>
      </c>
      <c r="L141" s="138">
        <v>140.30000000000001</v>
      </c>
      <c r="M141" s="138">
        <v>151.5</v>
      </c>
      <c r="N141" s="138">
        <v>357.5</v>
      </c>
      <c r="O141" s="138">
        <v>373.9</v>
      </c>
      <c r="P141" s="138">
        <v>373.1</v>
      </c>
      <c r="Q141" s="138">
        <v>348</v>
      </c>
      <c r="R141" s="138"/>
      <c r="S141" s="138"/>
      <c r="T141" s="138">
        <v>138.30000000000001</v>
      </c>
      <c r="U141" s="138"/>
      <c r="V141" s="138"/>
      <c r="W141" s="138"/>
      <c r="X141" s="138"/>
      <c r="Y141" s="138"/>
      <c r="Z141" s="138"/>
    </row>
    <row r="142" spans="4:26" x14ac:dyDescent="0.35">
      <c r="D142" s="136">
        <v>26</v>
      </c>
      <c r="E142" s="437"/>
      <c r="F142" s="437"/>
      <c r="G142" s="438"/>
      <c r="H142" s="438"/>
      <c r="I142" s="438"/>
      <c r="J142" s="138">
        <v>137</v>
      </c>
      <c r="K142" s="138">
        <v>151.4</v>
      </c>
      <c r="L142" s="138">
        <v>142.6</v>
      </c>
      <c r="M142" s="138">
        <v>152</v>
      </c>
      <c r="N142" s="138">
        <v>363.2</v>
      </c>
      <c r="O142" s="138">
        <v>380</v>
      </c>
      <c r="P142" s="138">
        <v>378.8</v>
      </c>
      <c r="Q142" s="138">
        <v>354</v>
      </c>
      <c r="R142" s="138"/>
      <c r="S142" s="138"/>
      <c r="T142" s="138">
        <v>140.6</v>
      </c>
      <c r="U142" s="138"/>
      <c r="V142" s="138"/>
      <c r="W142" s="138"/>
      <c r="X142" s="138"/>
      <c r="Y142" s="138"/>
      <c r="Z142" s="138"/>
    </row>
    <row r="143" spans="4:26" x14ac:dyDescent="0.35">
      <c r="D143" s="136">
        <v>27</v>
      </c>
      <c r="E143" s="437"/>
      <c r="F143" s="437"/>
      <c r="G143" s="438"/>
      <c r="H143" s="438"/>
      <c r="I143" s="438"/>
      <c r="J143" s="138">
        <v>140.4</v>
      </c>
      <c r="K143" s="138">
        <v>152.1</v>
      </c>
      <c r="L143" s="138">
        <v>144.5</v>
      </c>
      <c r="M143" s="138">
        <v>154</v>
      </c>
      <c r="N143" s="138">
        <v>368.4</v>
      </c>
      <c r="O143" s="138">
        <v>386.5</v>
      </c>
      <c r="P143" s="138">
        <v>385.1</v>
      </c>
      <c r="Q143" s="138">
        <v>360.9</v>
      </c>
      <c r="R143" s="138"/>
      <c r="S143" s="138"/>
      <c r="T143" s="138">
        <v>142.80000000000001</v>
      </c>
      <c r="U143" s="138"/>
      <c r="V143" s="138"/>
      <c r="W143" s="138"/>
      <c r="X143" s="138"/>
      <c r="Y143" s="138"/>
      <c r="Z143" s="138"/>
    </row>
    <row r="144" spans="4:26" x14ac:dyDescent="0.35">
      <c r="D144" s="136">
        <v>28</v>
      </c>
      <c r="E144" s="437"/>
      <c r="F144" s="437"/>
      <c r="G144" s="438"/>
      <c r="H144" s="438"/>
      <c r="I144" s="438"/>
      <c r="J144" s="138">
        <v>144.80000000000001</v>
      </c>
      <c r="K144" s="138">
        <v>154.1</v>
      </c>
      <c r="L144" s="138">
        <v>146.30000000000001</v>
      </c>
      <c r="M144" s="138">
        <v>158.6</v>
      </c>
      <c r="N144" s="138">
        <v>374.4</v>
      </c>
      <c r="O144" s="138">
        <v>392.4</v>
      </c>
      <c r="P144" s="138">
        <v>390.8</v>
      </c>
      <c r="Q144" s="138">
        <v>367</v>
      </c>
      <c r="R144" s="138"/>
      <c r="S144" s="138"/>
      <c r="T144" s="138">
        <v>144.19999999999999</v>
      </c>
      <c r="U144" s="138"/>
      <c r="V144" s="138"/>
      <c r="W144" s="138"/>
      <c r="X144" s="138"/>
      <c r="Y144" s="138"/>
      <c r="Z144" s="138"/>
    </row>
    <row r="145" spans="4:26" x14ac:dyDescent="0.35">
      <c r="D145" s="136">
        <v>29</v>
      </c>
      <c r="E145" s="437"/>
      <c r="F145" s="437"/>
      <c r="G145" s="438"/>
      <c r="H145" s="438"/>
      <c r="I145" s="438"/>
      <c r="J145" s="138">
        <v>150.69999999999999</v>
      </c>
      <c r="K145" s="138">
        <v>159</v>
      </c>
      <c r="L145" s="138">
        <v>151.4</v>
      </c>
      <c r="M145" s="138">
        <v>160.9</v>
      </c>
      <c r="N145" s="138">
        <v>381.3</v>
      </c>
      <c r="O145" s="138">
        <v>398.9</v>
      </c>
      <c r="P145" s="138">
        <v>397.1</v>
      </c>
      <c r="Q145" s="138">
        <v>373.7</v>
      </c>
      <c r="R145" s="138"/>
      <c r="S145" s="138"/>
      <c r="T145" s="138">
        <v>145.4</v>
      </c>
      <c r="U145" s="138"/>
      <c r="V145" s="138"/>
      <c r="W145" s="138"/>
      <c r="X145" s="138"/>
      <c r="Y145" s="138"/>
      <c r="Z145" s="138"/>
    </row>
    <row r="146" spans="4:26" x14ac:dyDescent="0.35">
      <c r="D146" s="430">
        <v>30</v>
      </c>
      <c r="E146" s="437"/>
      <c r="F146" s="437"/>
      <c r="G146" s="438"/>
      <c r="H146" s="438"/>
      <c r="I146" s="438"/>
      <c r="J146" s="432">
        <v>152.9</v>
      </c>
      <c r="K146" s="432">
        <v>160.9</v>
      </c>
      <c r="L146" s="432">
        <v>152.1</v>
      </c>
      <c r="M146" s="432">
        <v>162.80000000000001</v>
      </c>
      <c r="N146" s="432">
        <v>387.3</v>
      </c>
      <c r="O146" s="432">
        <v>404.9</v>
      </c>
      <c r="P146" s="432">
        <v>402.8</v>
      </c>
      <c r="Q146" s="432">
        <v>379.7</v>
      </c>
      <c r="R146" s="432"/>
      <c r="S146" s="432"/>
      <c r="T146" s="432">
        <v>147</v>
      </c>
      <c r="U146" s="432"/>
      <c r="V146" s="432"/>
      <c r="W146" s="432"/>
      <c r="X146" s="432"/>
      <c r="Y146" s="432"/>
      <c r="Z146" s="432"/>
    </row>
    <row r="147" spans="4:26" x14ac:dyDescent="0.35">
      <c r="D147" s="136">
        <v>31</v>
      </c>
      <c r="E147" s="437"/>
      <c r="F147" s="437"/>
      <c r="G147" s="438"/>
      <c r="H147" s="438"/>
      <c r="I147" s="438"/>
      <c r="J147" s="138">
        <v>158.5</v>
      </c>
      <c r="K147" s="138">
        <v>162.6</v>
      </c>
      <c r="L147" s="138">
        <v>153.9</v>
      </c>
      <c r="M147" s="138">
        <v>165.8</v>
      </c>
      <c r="N147" s="138">
        <v>393.2</v>
      </c>
      <c r="O147" s="138">
        <v>411.2</v>
      </c>
      <c r="P147" s="138">
        <v>408.9</v>
      </c>
      <c r="Q147" s="138">
        <v>386.4</v>
      </c>
      <c r="R147" s="138"/>
      <c r="S147" s="138"/>
      <c r="T147" s="138">
        <v>151.4</v>
      </c>
      <c r="U147" s="138"/>
      <c r="V147" s="138"/>
      <c r="W147" s="138"/>
      <c r="X147" s="138"/>
      <c r="Y147" s="138"/>
      <c r="Z147" s="138"/>
    </row>
    <row r="148" spans="4:26" x14ac:dyDescent="0.35">
      <c r="D148" s="136">
        <v>32</v>
      </c>
      <c r="E148" s="437"/>
      <c r="F148" s="437"/>
      <c r="G148" s="438"/>
      <c r="H148" s="438"/>
      <c r="I148" s="438"/>
      <c r="J148" s="138">
        <v>160.69999999999999</v>
      </c>
      <c r="K148" s="138">
        <v>163.19999999999999</v>
      </c>
      <c r="L148" s="138">
        <v>158.30000000000001</v>
      </c>
      <c r="M148" s="138">
        <v>166.7</v>
      </c>
      <c r="N148" s="138">
        <v>397.9</v>
      </c>
      <c r="O148" s="138">
        <v>416.8</v>
      </c>
      <c r="P148" s="138">
        <v>414.3</v>
      </c>
      <c r="Q148" s="138">
        <v>392.3</v>
      </c>
      <c r="R148" s="138"/>
      <c r="S148" s="138"/>
      <c r="T148" s="138">
        <v>152</v>
      </c>
      <c r="U148" s="138"/>
      <c r="V148" s="138"/>
      <c r="W148" s="138"/>
      <c r="X148" s="138"/>
      <c r="Y148" s="138"/>
      <c r="Z148" s="138"/>
    </row>
    <row r="149" spans="4:26" x14ac:dyDescent="0.35">
      <c r="D149" s="136">
        <v>33</v>
      </c>
      <c r="E149" s="437"/>
      <c r="F149" s="437"/>
      <c r="G149" s="438"/>
      <c r="H149" s="438"/>
      <c r="I149" s="438"/>
      <c r="J149" s="138">
        <v>161.4</v>
      </c>
      <c r="K149" s="138">
        <v>163.6</v>
      </c>
      <c r="L149" s="138">
        <v>160.9</v>
      </c>
      <c r="M149" s="138">
        <v>169.1</v>
      </c>
      <c r="N149" s="138">
        <v>403</v>
      </c>
      <c r="O149" s="138">
        <v>422.2</v>
      </c>
      <c r="P149" s="138">
        <v>419.8</v>
      </c>
      <c r="Q149" s="138">
        <v>398.5</v>
      </c>
      <c r="R149" s="138"/>
      <c r="S149" s="138"/>
      <c r="T149" s="138">
        <v>152.30000000000001</v>
      </c>
      <c r="U149" s="138"/>
      <c r="V149" s="138"/>
      <c r="W149" s="138"/>
      <c r="X149" s="138"/>
      <c r="Y149" s="138"/>
      <c r="Z149" s="138"/>
    </row>
    <row r="150" spans="4:26" x14ac:dyDescent="0.35">
      <c r="D150" s="136">
        <v>34</v>
      </c>
      <c r="E150" s="437"/>
      <c r="F150" s="437"/>
      <c r="G150" s="438"/>
      <c r="H150" s="438"/>
      <c r="I150" s="438"/>
      <c r="J150" s="138">
        <v>162.6</v>
      </c>
      <c r="K150" s="138">
        <v>164.4</v>
      </c>
      <c r="L150" s="138">
        <v>162.69999999999999</v>
      </c>
      <c r="M150" s="138">
        <v>170.7</v>
      </c>
      <c r="N150" s="138">
        <v>407.7</v>
      </c>
      <c r="O150" s="138">
        <v>428.1</v>
      </c>
      <c r="P150" s="138">
        <v>425.2</v>
      </c>
      <c r="Q150" s="138">
        <v>404.9</v>
      </c>
      <c r="R150" s="138"/>
      <c r="S150" s="138"/>
      <c r="T150" s="138">
        <v>153.6</v>
      </c>
      <c r="U150" s="138"/>
      <c r="V150" s="138"/>
      <c r="W150" s="138"/>
      <c r="X150" s="138"/>
      <c r="Y150" s="138"/>
      <c r="Z150" s="138"/>
    </row>
    <row r="151" spans="4:26" x14ac:dyDescent="0.35">
      <c r="D151" s="136">
        <v>35</v>
      </c>
      <c r="E151" s="437"/>
      <c r="F151" s="437"/>
      <c r="G151" s="438"/>
      <c r="H151" s="438"/>
      <c r="I151" s="438"/>
      <c r="J151" s="138">
        <v>163.1</v>
      </c>
      <c r="K151" s="138">
        <v>166.2</v>
      </c>
      <c r="L151" s="138">
        <v>163.30000000000001</v>
      </c>
      <c r="M151" s="138">
        <v>174.6</v>
      </c>
      <c r="N151" s="138">
        <v>412.7</v>
      </c>
      <c r="O151" s="138">
        <v>433.6</v>
      </c>
      <c r="P151" s="138">
        <v>430.3</v>
      </c>
      <c r="Q151" s="138">
        <v>410.7</v>
      </c>
      <c r="R151" s="138"/>
      <c r="S151" s="138"/>
      <c r="T151" s="138">
        <v>157.30000000000001</v>
      </c>
      <c r="U151" s="138"/>
      <c r="V151" s="138"/>
      <c r="W151" s="138"/>
      <c r="X151" s="138"/>
      <c r="Y151" s="138"/>
      <c r="Z151" s="138"/>
    </row>
    <row r="152" spans="4:26" x14ac:dyDescent="0.35">
      <c r="D152" s="136">
        <v>36</v>
      </c>
      <c r="E152" s="437"/>
      <c r="F152" s="437"/>
      <c r="G152" s="438"/>
      <c r="H152" s="438"/>
      <c r="I152" s="438"/>
      <c r="J152" s="138">
        <v>163.4</v>
      </c>
      <c r="K152" s="138">
        <v>166.9</v>
      </c>
      <c r="L152" s="138">
        <v>164.8</v>
      </c>
      <c r="M152" s="138">
        <v>175.2</v>
      </c>
      <c r="N152" s="138">
        <v>418.2</v>
      </c>
      <c r="O152" s="138">
        <v>439.5</v>
      </c>
      <c r="P152" s="138">
        <v>436</v>
      </c>
      <c r="Q152" s="138">
        <v>417</v>
      </c>
      <c r="R152" s="138"/>
      <c r="S152" s="138"/>
      <c r="T152" s="138">
        <v>159.9</v>
      </c>
      <c r="U152" s="138"/>
      <c r="V152" s="138"/>
      <c r="W152" s="138"/>
      <c r="X152" s="138"/>
      <c r="Y152" s="138"/>
      <c r="Z152" s="138"/>
    </row>
    <row r="153" spans="4:26" x14ac:dyDescent="0.35">
      <c r="D153" s="136">
        <v>37</v>
      </c>
      <c r="E153" s="437"/>
      <c r="F153" s="437"/>
      <c r="G153" s="438"/>
      <c r="H153" s="438"/>
      <c r="I153" s="438"/>
      <c r="J153" s="138">
        <v>163.6</v>
      </c>
      <c r="K153" s="138">
        <v>168.2</v>
      </c>
      <c r="L153" s="138">
        <v>166.6</v>
      </c>
      <c r="M153" s="138">
        <v>176.9</v>
      </c>
      <c r="N153" s="138">
        <v>424</v>
      </c>
      <c r="O153" s="138">
        <v>445</v>
      </c>
      <c r="P153" s="138">
        <v>441.2</v>
      </c>
      <c r="Q153" s="138">
        <v>422.6</v>
      </c>
      <c r="R153" s="138"/>
      <c r="S153" s="138"/>
      <c r="T153" s="138">
        <v>161.69999999999999</v>
      </c>
      <c r="U153" s="138"/>
      <c r="V153" s="138"/>
      <c r="W153" s="138"/>
      <c r="X153" s="138"/>
      <c r="Y153" s="138"/>
      <c r="Z153" s="138"/>
    </row>
    <row r="154" spans="4:26" x14ac:dyDescent="0.35">
      <c r="D154" s="136">
        <v>38</v>
      </c>
      <c r="E154" s="437"/>
      <c r="F154" s="437"/>
      <c r="G154" s="438"/>
      <c r="H154" s="438"/>
      <c r="I154" s="438"/>
      <c r="J154" s="138">
        <v>163.9</v>
      </c>
      <c r="K154" s="138">
        <v>170.2</v>
      </c>
      <c r="L154" s="138">
        <v>167.9</v>
      </c>
      <c r="M154" s="138">
        <v>179.9</v>
      </c>
      <c r="N154" s="138">
        <v>429.3</v>
      </c>
      <c r="O154" s="138">
        <v>450.4</v>
      </c>
      <c r="P154" s="138">
        <v>446.6</v>
      </c>
      <c r="Q154" s="138">
        <v>428.2</v>
      </c>
      <c r="R154" s="138"/>
      <c r="S154" s="138"/>
      <c r="T154" s="138">
        <v>163.1</v>
      </c>
      <c r="U154" s="138"/>
      <c r="V154" s="138"/>
      <c r="W154" s="138"/>
      <c r="X154" s="138"/>
      <c r="Y154" s="138"/>
      <c r="Z154" s="138"/>
    </row>
    <row r="155" spans="4:26" x14ac:dyDescent="0.35">
      <c r="D155" s="136">
        <v>39</v>
      </c>
      <c r="E155" s="437"/>
      <c r="F155" s="437"/>
      <c r="G155" s="438"/>
      <c r="H155" s="438"/>
      <c r="I155" s="438"/>
      <c r="J155" s="138">
        <v>164.1</v>
      </c>
      <c r="K155" s="138">
        <v>170.7</v>
      </c>
      <c r="L155" s="138">
        <v>170.1</v>
      </c>
      <c r="M155" s="138">
        <v>182.5</v>
      </c>
      <c r="N155" s="138">
        <v>434.6</v>
      </c>
      <c r="O155" s="138">
        <v>456.3</v>
      </c>
      <c r="P155" s="138">
        <v>451.9</v>
      </c>
      <c r="Q155" s="138">
        <v>434.3</v>
      </c>
      <c r="R155" s="138"/>
      <c r="S155" s="138"/>
      <c r="T155" s="138">
        <v>165.7</v>
      </c>
      <c r="U155" s="138"/>
      <c r="V155" s="138"/>
      <c r="W155" s="138"/>
      <c r="X155" s="138"/>
      <c r="Y155" s="138"/>
      <c r="Z155" s="138"/>
    </row>
    <row r="156" spans="4:26" x14ac:dyDescent="0.35">
      <c r="D156" s="430">
        <v>40</v>
      </c>
      <c r="E156" s="437"/>
      <c r="F156" s="437"/>
      <c r="G156" s="438"/>
      <c r="H156" s="438"/>
      <c r="I156" s="438"/>
      <c r="J156" s="432">
        <v>164.2</v>
      </c>
      <c r="K156" s="432">
        <v>171</v>
      </c>
      <c r="L156" s="432">
        <v>170.6</v>
      </c>
      <c r="M156" s="432">
        <v>184.6</v>
      </c>
      <c r="N156" s="432">
        <v>439.3</v>
      </c>
      <c r="O156" s="432">
        <v>461.8</v>
      </c>
      <c r="P156" s="432">
        <v>457.1</v>
      </c>
      <c r="Q156" s="432">
        <v>440</v>
      </c>
      <c r="R156" s="432"/>
      <c r="S156" s="432"/>
      <c r="T156" s="432">
        <v>166.6</v>
      </c>
      <c r="U156" s="432"/>
      <c r="V156" s="432"/>
      <c r="W156" s="432"/>
      <c r="X156" s="432"/>
      <c r="Y156" s="432"/>
      <c r="Z156" s="432"/>
    </row>
    <row r="157" spans="4:26" x14ac:dyDescent="0.35">
      <c r="D157" s="136">
        <v>41</v>
      </c>
      <c r="E157" s="437"/>
      <c r="F157" s="437"/>
      <c r="G157" s="438"/>
      <c r="H157" s="438"/>
      <c r="I157" s="438"/>
      <c r="J157" s="138">
        <v>164.4</v>
      </c>
      <c r="K157" s="138">
        <v>173.9</v>
      </c>
      <c r="L157" s="138">
        <v>174.4</v>
      </c>
      <c r="M157" s="138">
        <v>187.9</v>
      </c>
      <c r="N157" s="138">
        <v>444.2</v>
      </c>
      <c r="O157" s="138">
        <v>467.4</v>
      </c>
      <c r="P157" s="138">
        <v>462.6</v>
      </c>
      <c r="Q157" s="138">
        <v>445.7</v>
      </c>
      <c r="R157" s="138"/>
      <c r="S157" s="138"/>
      <c r="T157" s="138">
        <v>167.3</v>
      </c>
      <c r="U157" s="138"/>
      <c r="V157" s="138"/>
      <c r="W157" s="138"/>
      <c r="X157" s="138"/>
      <c r="Y157" s="138"/>
      <c r="Z157" s="138"/>
    </row>
    <row r="158" spans="4:26" x14ac:dyDescent="0.35">
      <c r="D158" s="136">
        <v>42</v>
      </c>
      <c r="E158" s="437"/>
      <c r="F158" s="437"/>
      <c r="G158" s="438"/>
      <c r="H158" s="438"/>
      <c r="I158" s="438"/>
      <c r="J158" s="138">
        <v>164.7</v>
      </c>
      <c r="K158" s="138">
        <v>175.3</v>
      </c>
      <c r="L158" s="138">
        <v>175.3</v>
      </c>
      <c r="M158" s="138">
        <v>189.3</v>
      </c>
      <c r="N158" s="138">
        <v>449</v>
      </c>
      <c r="O158" s="138">
        <v>473</v>
      </c>
      <c r="P158" s="138">
        <v>467.8</v>
      </c>
      <c r="Q158" s="138">
        <v>451.7</v>
      </c>
      <c r="R158" s="138"/>
      <c r="S158" s="138"/>
      <c r="T158" s="138">
        <v>169.7</v>
      </c>
      <c r="U158" s="138"/>
      <c r="V158" s="138"/>
      <c r="W158" s="138"/>
      <c r="X158" s="138"/>
      <c r="Y158" s="138"/>
      <c r="Z158" s="138"/>
    </row>
    <row r="159" spans="4:26" x14ac:dyDescent="0.35">
      <c r="D159" s="136">
        <v>43</v>
      </c>
      <c r="E159" s="437"/>
      <c r="F159" s="437"/>
      <c r="G159" s="438"/>
      <c r="H159" s="438"/>
      <c r="I159" s="438"/>
      <c r="J159" s="138">
        <v>165.3</v>
      </c>
      <c r="K159" s="138">
        <v>176.1</v>
      </c>
      <c r="L159" s="138">
        <v>176.5</v>
      </c>
      <c r="M159" s="138">
        <v>192.5</v>
      </c>
      <c r="N159" s="138">
        <v>454.5</v>
      </c>
      <c r="O159" s="138">
        <v>478.6</v>
      </c>
      <c r="P159" s="138">
        <v>473</v>
      </c>
      <c r="Q159" s="138">
        <v>457.4</v>
      </c>
      <c r="R159" s="138"/>
      <c r="S159" s="138"/>
      <c r="T159" s="138">
        <v>171.1</v>
      </c>
      <c r="U159" s="138"/>
      <c r="V159" s="138"/>
      <c r="W159" s="138"/>
      <c r="X159" s="138"/>
      <c r="Y159" s="138"/>
      <c r="Z159" s="138"/>
    </row>
    <row r="160" spans="4:26" x14ac:dyDescent="0.35">
      <c r="D160" s="136">
        <v>44</v>
      </c>
      <c r="E160" s="437"/>
      <c r="F160" s="437"/>
      <c r="G160" s="438"/>
      <c r="H160" s="438"/>
      <c r="I160" s="438"/>
      <c r="J160" s="138">
        <v>165.7</v>
      </c>
      <c r="K160" s="138">
        <v>178.2</v>
      </c>
      <c r="L160" s="138">
        <v>179.6</v>
      </c>
      <c r="M160" s="138">
        <v>195.7</v>
      </c>
      <c r="N160" s="138">
        <v>459.7</v>
      </c>
      <c r="O160" s="138">
        <v>484.1</v>
      </c>
      <c r="P160" s="138">
        <v>478.3</v>
      </c>
      <c r="Q160" s="138">
        <v>463</v>
      </c>
      <c r="R160" s="138"/>
      <c r="S160" s="138"/>
      <c r="T160" s="138">
        <v>174.6</v>
      </c>
      <c r="U160" s="138"/>
      <c r="V160" s="138"/>
      <c r="W160" s="138"/>
      <c r="X160" s="138"/>
      <c r="Y160" s="138"/>
      <c r="Z160" s="138"/>
    </row>
    <row r="161" spans="4:26" x14ac:dyDescent="0.35">
      <c r="D161" s="136">
        <v>45</v>
      </c>
      <c r="E161" s="437"/>
      <c r="F161" s="437"/>
      <c r="G161" s="438"/>
      <c r="H161" s="438"/>
      <c r="I161" s="438"/>
      <c r="J161" s="138">
        <v>166.9</v>
      </c>
      <c r="K161" s="138">
        <v>181</v>
      </c>
      <c r="L161" s="138">
        <v>182.4</v>
      </c>
      <c r="M161" s="138">
        <v>196.9</v>
      </c>
      <c r="N161" s="138">
        <v>465</v>
      </c>
      <c r="O161" s="138">
        <v>489.7</v>
      </c>
      <c r="P161" s="138">
        <v>483.4</v>
      </c>
      <c r="Q161" s="138">
        <v>469</v>
      </c>
      <c r="R161" s="138"/>
      <c r="S161" s="138"/>
      <c r="T161" s="138">
        <v>175.2</v>
      </c>
      <c r="U161" s="138"/>
      <c r="V161" s="138"/>
      <c r="W161" s="138"/>
      <c r="X161" s="138"/>
      <c r="Y161" s="138"/>
      <c r="Z161" s="138"/>
    </row>
    <row r="162" spans="4:26" x14ac:dyDescent="0.35">
      <c r="D162" s="136">
        <v>46</v>
      </c>
      <c r="E162" s="437"/>
      <c r="F162" s="437"/>
      <c r="G162" s="438"/>
      <c r="H162" s="438"/>
      <c r="I162" s="438"/>
      <c r="J162" s="138">
        <v>167.3</v>
      </c>
      <c r="K162" s="138">
        <v>183.8</v>
      </c>
      <c r="L162" s="138">
        <v>184.7</v>
      </c>
      <c r="M162" s="138">
        <v>197.6</v>
      </c>
      <c r="N162" s="138">
        <v>470.1</v>
      </c>
      <c r="O162" s="138">
        <v>495.3</v>
      </c>
      <c r="P162" s="138">
        <v>488.6</v>
      </c>
      <c r="Q162" s="138">
        <v>474.6</v>
      </c>
      <c r="R162" s="138"/>
      <c r="S162" s="138"/>
      <c r="T162" s="138">
        <v>175.7</v>
      </c>
      <c r="U162" s="138"/>
      <c r="V162" s="138"/>
      <c r="W162" s="138"/>
      <c r="X162" s="138"/>
      <c r="Y162" s="138"/>
      <c r="Z162" s="138"/>
    </row>
    <row r="163" spans="4:26" x14ac:dyDescent="0.35">
      <c r="D163" s="136">
        <v>47</v>
      </c>
      <c r="E163" s="437"/>
      <c r="F163" s="437"/>
      <c r="G163" s="438"/>
      <c r="H163" s="438"/>
      <c r="I163" s="438"/>
      <c r="J163" s="138">
        <v>167.7</v>
      </c>
      <c r="K163" s="138">
        <v>186.7</v>
      </c>
      <c r="L163" s="138">
        <v>188.2</v>
      </c>
      <c r="M163" s="138">
        <v>201.3</v>
      </c>
      <c r="N163" s="138">
        <v>474.9</v>
      </c>
      <c r="O163" s="138">
        <v>500.3</v>
      </c>
      <c r="P163" s="138">
        <v>493.8</v>
      </c>
      <c r="Q163" s="138">
        <v>480.3</v>
      </c>
      <c r="R163" s="138"/>
      <c r="S163" s="138"/>
      <c r="T163" s="138">
        <v>177.4</v>
      </c>
      <c r="U163" s="138"/>
      <c r="V163" s="138"/>
      <c r="W163" s="138"/>
      <c r="X163" s="138"/>
      <c r="Y163" s="138"/>
      <c r="Z163" s="138"/>
    </row>
    <row r="164" spans="4:26" x14ac:dyDescent="0.35">
      <c r="D164" s="136">
        <v>48</v>
      </c>
      <c r="E164" s="437"/>
      <c r="F164" s="437"/>
      <c r="G164" s="438"/>
      <c r="H164" s="438"/>
      <c r="I164" s="438"/>
      <c r="J164" s="138">
        <v>170</v>
      </c>
      <c r="K164" s="138">
        <v>189.1</v>
      </c>
      <c r="L164" s="138">
        <v>189.8</v>
      </c>
      <c r="M164" s="138">
        <v>203.4</v>
      </c>
      <c r="N164" s="138">
        <v>479.9</v>
      </c>
      <c r="O164" s="138">
        <v>505.2</v>
      </c>
      <c r="P164" s="138">
        <v>498.7</v>
      </c>
      <c r="Q164" s="138">
        <v>486</v>
      </c>
      <c r="R164" s="138"/>
      <c r="S164" s="138"/>
      <c r="T164" s="138">
        <v>180</v>
      </c>
      <c r="U164" s="138"/>
      <c r="V164" s="138"/>
      <c r="W164" s="138"/>
      <c r="X164" s="138"/>
      <c r="Y164" s="138"/>
      <c r="Z164" s="138"/>
    </row>
    <row r="165" spans="4:26" x14ac:dyDescent="0.35">
      <c r="D165" s="136">
        <v>49</v>
      </c>
      <c r="E165" s="437"/>
      <c r="F165" s="437"/>
      <c r="G165" s="438"/>
      <c r="H165" s="438"/>
      <c r="I165" s="438"/>
      <c r="J165" s="138">
        <v>170.5</v>
      </c>
      <c r="K165" s="138">
        <v>191.8</v>
      </c>
      <c r="L165" s="138">
        <v>193.7</v>
      </c>
      <c r="M165" s="138">
        <v>205.5</v>
      </c>
      <c r="N165" s="138">
        <v>485</v>
      </c>
      <c r="O165" s="138">
        <v>510.2</v>
      </c>
      <c r="P165" s="138">
        <v>503.3</v>
      </c>
      <c r="Q165" s="138">
        <v>491.8</v>
      </c>
      <c r="R165" s="138"/>
      <c r="S165" s="138"/>
      <c r="T165" s="138">
        <v>182</v>
      </c>
      <c r="U165" s="138"/>
      <c r="V165" s="138"/>
      <c r="W165" s="138"/>
      <c r="X165" s="138"/>
      <c r="Y165" s="138"/>
      <c r="Z165" s="138"/>
    </row>
    <row r="166" spans="4:26" x14ac:dyDescent="0.35">
      <c r="D166" s="430">
        <v>50</v>
      </c>
      <c r="E166" s="437"/>
      <c r="F166" s="437"/>
      <c r="G166" s="438"/>
      <c r="H166" s="438"/>
      <c r="I166" s="438"/>
      <c r="J166" s="432">
        <v>170.9</v>
      </c>
      <c r="K166" s="432">
        <v>195.8</v>
      </c>
      <c r="L166" s="432">
        <v>196.6</v>
      </c>
      <c r="M166" s="432">
        <v>208.1</v>
      </c>
      <c r="N166" s="432">
        <v>490.4</v>
      </c>
      <c r="O166" s="432">
        <v>515.5</v>
      </c>
      <c r="P166" s="432">
        <v>507.9</v>
      </c>
      <c r="Q166" s="432">
        <v>497.3</v>
      </c>
      <c r="R166" s="432"/>
      <c r="S166" s="432"/>
      <c r="T166" s="432">
        <v>183.8</v>
      </c>
      <c r="U166" s="432"/>
      <c r="V166" s="432"/>
      <c r="W166" s="432"/>
      <c r="X166" s="432"/>
      <c r="Y166" s="432"/>
      <c r="Z166" s="432"/>
    </row>
    <row r="167" spans="4:26" x14ac:dyDescent="0.35">
      <c r="D167" s="136">
        <v>51</v>
      </c>
      <c r="E167" s="437"/>
      <c r="F167" s="437"/>
      <c r="G167" s="438"/>
      <c r="H167" s="438"/>
      <c r="I167" s="438"/>
      <c r="J167" s="138">
        <v>171.1</v>
      </c>
      <c r="K167" s="138">
        <v>197.1</v>
      </c>
      <c r="L167" s="138">
        <v>197.3</v>
      </c>
      <c r="M167" s="138">
        <v>210.6</v>
      </c>
      <c r="N167" s="138">
        <v>495.8</v>
      </c>
      <c r="O167" s="138">
        <v>520.79999999999995</v>
      </c>
      <c r="P167" s="138">
        <v>512.70000000000005</v>
      </c>
      <c r="Q167" s="138">
        <v>502.3</v>
      </c>
      <c r="R167" s="138"/>
      <c r="S167" s="138"/>
      <c r="T167" s="138">
        <v>185.9</v>
      </c>
      <c r="U167" s="138"/>
      <c r="V167" s="138"/>
      <c r="W167" s="138"/>
      <c r="X167" s="138"/>
      <c r="Y167" s="138"/>
      <c r="Z167" s="138"/>
    </row>
    <row r="168" spans="4:26" x14ac:dyDescent="0.35">
      <c r="D168" s="136">
        <v>52</v>
      </c>
      <c r="E168" s="437"/>
      <c r="F168" s="437"/>
      <c r="G168" s="438"/>
      <c r="H168" s="438"/>
      <c r="I168" s="438"/>
      <c r="J168" s="138">
        <v>171.3</v>
      </c>
      <c r="K168" s="138">
        <v>199</v>
      </c>
      <c r="L168" s="138">
        <v>200.3</v>
      </c>
      <c r="M168" s="138">
        <v>213.4</v>
      </c>
      <c r="N168" s="138">
        <v>500.3</v>
      </c>
      <c r="O168" s="138">
        <v>525.70000000000005</v>
      </c>
      <c r="P168" s="138">
        <v>517.6</v>
      </c>
      <c r="Q168" s="138">
        <v>507.4</v>
      </c>
      <c r="R168" s="138"/>
      <c r="S168" s="138"/>
      <c r="T168" s="138">
        <v>188.5</v>
      </c>
      <c r="U168" s="138"/>
      <c r="V168" s="138"/>
      <c r="W168" s="138"/>
      <c r="X168" s="138"/>
      <c r="Y168" s="138"/>
      <c r="Z168" s="138"/>
    </row>
    <row r="169" spans="4:26" x14ac:dyDescent="0.35">
      <c r="D169" s="136">
        <v>53</v>
      </c>
      <c r="E169" s="437"/>
      <c r="F169" s="437"/>
      <c r="G169" s="438"/>
      <c r="H169" s="438"/>
      <c r="I169" s="438"/>
      <c r="J169" s="138">
        <v>171.5</v>
      </c>
      <c r="K169" s="138">
        <v>202.6</v>
      </c>
      <c r="L169" s="138">
        <v>203</v>
      </c>
      <c r="M169" s="138">
        <v>216.2</v>
      </c>
      <c r="N169" s="138">
        <v>504.8</v>
      </c>
      <c r="O169" s="138">
        <v>530.4</v>
      </c>
      <c r="P169" s="138">
        <v>522.4</v>
      </c>
      <c r="Q169" s="138">
        <v>512.70000000000005</v>
      </c>
      <c r="R169" s="138"/>
      <c r="S169" s="138"/>
      <c r="T169" s="138">
        <v>189.6</v>
      </c>
      <c r="U169" s="138"/>
      <c r="V169" s="138"/>
      <c r="W169" s="138"/>
      <c r="X169" s="138"/>
      <c r="Y169" s="138"/>
      <c r="Z169" s="138"/>
    </row>
    <row r="170" spans="4:26" x14ac:dyDescent="0.35">
      <c r="D170" s="136">
        <v>54</v>
      </c>
      <c r="E170" s="437"/>
      <c r="F170" s="437"/>
      <c r="G170" s="438"/>
      <c r="H170" s="438"/>
      <c r="I170" s="438"/>
      <c r="J170" s="138">
        <v>171.7</v>
      </c>
      <c r="K170" s="138">
        <v>204.8</v>
      </c>
      <c r="L170" s="138">
        <v>205.3</v>
      </c>
      <c r="M170" s="138">
        <v>217.1</v>
      </c>
      <c r="N170" s="138">
        <v>509.4</v>
      </c>
      <c r="O170" s="138">
        <v>535.1</v>
      </c>
      <c r="P170" s="138">
        <v>526.79999999999995</v>
      </c>
      <c r="Q170" s="138">
        <v>518</v>
      </c>
      <c r="R170" s="138"/>
      <c r="S170" s="138"/>
      <c r="T170" s="138">
        <v>191.8</v>
      </c>
      <c r="U170" s="138"/>
      <c r="V170" s="138"/>
      <c r="W170" s="138"/>
      <c r="X170" s="138"/>
      <c r="Y170" s="138"/>
      <c r="Z170" s="138"/>
    </row>
    <row r="171" spans="4:26" x14ac:dyDescent="0.35">
      <c r="D171" s="136">
        <v>55</v>
      </c>
      <c r="E171" s="437"/>
      <c r="F171" s="437"/>
      <c r="G171" s="438"/>
      <c r="H171" s="438"/>
      <c r="I171" s="438"/>
      <c r="J171" s="138">
        <v>171.9</v>
      </c>
      <c r="K171" s="138">
        <v>207.7</v>
      </c>
      <c r="L171" s="138">
        <v>208.2</v>
      </c>
      <c r="M171" s="138">
        <v>219.4</v>
      </c>
      <c r="N171" s="138">
        <v>514.5</v>
      </c>
      <c r="O171" s="138">
        <v>539.6</v>
      </c>
      <c r="P171" s="138">
        <v>531.20000000000005</v>
      </c>
      <c r="Q171" s="138">
        <v>523.20000000000005</v>
      </c>
      <c r="R171" s="138"/>
      <c r="S171" s="138"/>
      <c r="T171" s="138">
        <v>194.9</v>
      </c>
      <c r="U171" s="138"/>
      <c r="V171" s="138"/>
      <c r="W171" s="138"/>
      <c r="X171" s="138"/>
      <c r="Y171" s="138"/>
      <c r="Z171" s="138"/>
    </row>
    <row r="172" spans="4:26" x14ac:dyDescent="0.35">
      <c r="D172" s="136">
        <v>56</v>
      </c>
      <c r="E172" s="437"/>
      <c r="F172" s="437"/>
      <c r="G172" s="438"/>
      <c r="H172" s="438"/>
      <c r="I172" s="438"/>
      <c r="J172" s="138">
        <v>172.1</v>
      </c>
      <c r="K172" s="138">
        <v>210.7</v>
      </c>
      <c r="L172" s="138">
        <v>211.1</v>
      </c>
      <c r="M172" s="138">
        <v>222.1</v>
      </c>
      <c r="N172" s="138">
        <v>519.70000000000005</v>
      </c>
      <c r="O172" s="138">
        <v>544.1</v>
      </c>
      <c r="P172" s="138">
        <v>535.4</v>
      </c>
      <c r="Q172" s="138">
        <v>528.1</v>
      </c>
      <c r="R172" s="138"/>
      <c r="S172" s="138"/>
      <c r="T172" s="138">
        <v>196.9</v>
      </c>
      <c r="U172" s="138"/>
      <c r="V172" s="138"/>
      <c r="W172" s="138"/>
      <c r="X172" s="138"/>
      <c r="Y172" s="138"/>
      <c r="Z172" s="138"/>
    </row>
    <row r="173" spans="4:26" x14ac:dyDescent="0.35">
      <c r="D173" s="136">
        <v>57</v>
      </c>
      <c r="E173" s="437"/>
      <c r="F173" s="437"/>
      <c r="G173" s="438"/>
      <c r="H173" s="438"/>
      <c r="I173" s="438"/>
      <c r="J173" s="138">
        <v>175</v>
      </c>
      <c r="K173" s="138">
        <v>213.9</v>
      </c>
      <c r="L173" s="138">
        <v>214.1</v>
      </c>
      <c r="M173" s="138">
        <v>225.2</v>
      </c>
      <c r="N173" s="138">
        <v>524.5</v>
      </c>
      <c r="O173" s="138">
        <v>548.5</v>
      </c>
      <c r="P173" s="138">
        <v>539.5</v>
      </c>
      <c r="Q173" s="138">
        <v>532.79999999999995</v>
      </c>
      <c r="R173" s="138"/>
      <c r="S173" s="138"/>
      <c r="T173" s="138">
        <v>197.4</v>
      </c>
      <c r="U173" s="138"/>
      <c r="V173" s="138"/>
      <c r="W173" s="138"/>
      <c r="X173" s="138"/>
      <c r="Y173" s="138"/>
      <c r="Z173" s="138"/>
    </row>
    <row r="174" spans="4:26" x14ac:dyDescent="0.35">
      <c r="D174" s="136">
        <v>58</v>
      </c>
      <c r="E174" s="437"/>
      <c r="F174" s="437"/>
      <c r="G174" s="438"/>
      <c r="H174" s="438"/>
      <c r="I174" s="438"/>
      <c r="J174" s="138">
        <v>176.2</v>
      </c>
      <c r="K174" s="138">
        <v>216.7</v>
      </c>
      <c r="L174" s="138">
        <v>216.8</v>
      </c>
      <c r="M174" s="138">
        <v>227.8</v>
      </c>
      <c r="N174" s="138">
        <v>529.1</v>
      </c>
      <c r="O174" s="138">
        <v>553</v>
      </c>
      <c r="P174" s="138">
        <v>543.5</v>
      </c>
      <c r="Q174" s="138">
        <v>537.4</v>
      </c>
      <c r="R174" s="138"/>
      <c r="S174" s="138"/>
      <c r="T174" s="138">
        <v>198.7</v>
      </c>
      <c r="U174" s="138"/>
      <c r="V174" s="138"/>
      <c r="W174" s="138"/>
      <c r="X174" s="138"/>
      <c r="Y174" s="138"/>
      <c r="Z174" s="138"/>
    </row>
    <row r="175" spans="4:26" x14ac:dyDescent="0.35">
      <c r="D175" s="136">
        <v>59</v>
      </c>
      <c r="E175" s="437"/>
      <c r="F175" s="437"/>
      <c r="G175" s="438"/>
      <c r="H175" s="438"/>
      <c r="I175" s="438"/>
      <c r="J175" s="138">
        <v>176.8</v>
      </c>
      <c r="K175" s="138">
        <v>218.3</v>
      </c>
      <c r="L175" s="138">
        <v>218.4</v>
      </c>
      <c r="M175" s="138">
        <v>230.1</v>
      </c>
      <c r="N175" s="138">
        <v>533.6</v>
      </c>
      <c r="O175" s="138">
        <v>557.29999999999995</v>
      </c>
      <c r="P175" s="138">
        <v>547.6</v>
      </c>
      <c r="Q175" s="138">
        <v>541.9</v>
      </c>
      <c r="R175" s="138"/>
      <c r="S175" s="138"/>
      <c r="T175" s="138">
        <v>202</v>
      </c>
      <c r="U175" s="138"/>
      <c r="V175" s="138"/>
      <c r="W175" s="138"/>
      <c r="X175" s="138"/>
      <c r="Y175" s="138"/>
      <c r="Z175" s="138"/>
    </row>
    <row r="176" spans="4:26" x14ac:dyDescent="0.35">
      <c r="D176" s="430">
        <v>60</v>
      </c>
      <c r="E176" s="437"/>
      <c r="F176" s="437"/>
      <c r="G176" s="438"/>
      <c r="H176" s="438"/>
      <c r="I176" s="438"/>
      <c r="J176" s="432">
        <v>179.6</v>
      </c>
      <c r="K176" s="432">
        <v>221.3</v>
      </c>
      <c r="L176" s="432">
        <v>221.3</v>
      </c>
      <c r="M176" s="432">
        <v>232.8</v>
      </c>
      <c r="N176" s="432">
        <v>538</v>
      </c>
      <c r="O176" s="432">
        <v>561.4</v>
      </c>
      <c r="P176" s="432">
        <v>551.70000000000005</v>
      </c>
      <c r="Q176" s="432">
        <v>546.4</v>
      </c>
      <c r="R176" s="432"/>
      <c r="S176" s="432"/>
      <c r="T176" s="432">
        <v>203.6</v>
      </c>
      <c r="U176" s="432"/>
      <c r="V176" s="432"/>
      <c r="W176" s="432"/>
      <c r="X176" s="432"/>
      <c r="Y176" s="432"/>
      <c r="Z176" s="432"/>
    </row>
    <row r="177" spans="4:26" x14ac:dyDescent="0.35">
      <c r="D177" s="136">
        <v>61</v>
      </c>
      <c r="E177" s="437"/>
      <c r="F177" s="437"/>
      <c r="G177" s="438"/>
      <c r="H177" s="438"/>
      <c r="I177" s="438"/>
      <c r="J177" s="138">
        <v>183.6</v>
      </c>
      <c r="K177" s="138">
        <v>225.1</v>
      </c>
      <c r="L177" s="138">
        <v>224.9</v>
      </c>
      <c r="M177" s="138">
        <v>235.6</v>
      </c>
      <c r="N177" s="138">
        <v>542.5</v>
      </c>
      <c r="O177" s="138">
        <v>565.29999999999995</v>
      </c>
      <c r="P177" s="138">
        <v>555.70000000000005</v>
      </c>
      <c r="Q177" s="138">
        <v>550.9</v>
      </c>
      <c r="R177" s="138"/>
      <c r="S177" s="138"/>
      <c r="T177" s="138">
        <v>205.4</v>
      </c>
      <c r="U177" s="138"/>
      <c r="V177" s="138"/>
      <c r="W177" s="138"/>
      <c r="X177" s="138"/>
      <c r="Y177" s="138"/>
      <c r="Z177" s="138"/>
    </row>
    <row r="178" spans="4:26" x14ac:dyDescent="0.35">
      <c r="D178" s="136">
        <v>62</v>
      </c>
      <c r="E178" s="437"/>
      <c r="F178" s="437"/>
      <c r="G178" s="438"/>
      <c r="H178" s="438"/>
      <c r="I178" s="438"/>
      <c r="J178" s="138">
        <v>188</v>
      </c>
      <c r="K178" s="138">
        <v>228.1</v>
      </c>
      <c r="L178" s="138">
        <v>227.9</v>
      </c>
      <c r="M178" s="138">
        <v>236.7</v>
      </c>
      <c r="N178" s="138">
        <v>547</v>
      </c>
      <c r="O178" s="138">
        <v>569</v>
      </c>
      <c r="P178" s="138">
        <v>559.4</v>
      </c>
      <c r="Q178" s="138">
        <v>555.29999999999995</v>
      </c>
      <c r="R178" s="138"/>
      <c r="S178" s="138"/>
      <c r="T178" s="138">
        <v>207.9</v>
      </c>
      <c r="U178" s="138"/>
      <c r="V178" s="138"/>
      <c r="W178" s="138"/>
      <c r="X178" s="138"/>
      <c r="Y178" s="138"/>
      <c r="Z178" s="138"/>
    </row>
    <row r="179" spans="4:26" x14ac:dyDescent="0.35">
      <c r="D179" s="136">
        <v>63</v>
      </c>
      <c r="E179" s="437"/>
      <c r="F179" s="437"/>
      <c r="G179" s="438"/>
      <c r="H179" s="438"/>
      <c r="I179" s="438"/>
      <c r="J179" s="138">
        <v>190.6</v>
      </c>
      <c r="K179" s="138">
        <v>230.7</v>
      </c>
      <c r="L179" s="138">
        <v>230.4</v>
      </c>
      <c r="M179" s="138">
        <v>239.9</v>
      </c>
      <c r="N179" s="138">
        <v>551.6</v>
      </c>
      <c r="O179" s="138">
        <v>572.5</v>
      </c>
      <c r="P179" s="138">
        <v>563</v>
      </c>
      <c r="Q179" s="138">
        <v>559.4</v>
      </c>
      <c r="R179" s="138"/>
      <c r="S179" s="138"/>
      <c r="T179" s="138">
        <v>210.2</v>
      </c>
      <c r="U179" s="138"/>
      <c r="V179" s="138"/>
      <c r="W179" s="138"/>
      <c r="X179" s="138"/>
      <c r="Y179" s="138"/>
      <c r="Z179" s="138"/>
    </row>
    <row r="180" spans="4:26" x14ac:dyDescent="0.35">
      <c r="D180" s="136">
        <v>64</v>
      </c>
      <c r="E180" s="437"/>
      <c r="F180" s="437"/>
      <c r="G180" s="438"/>
      <c r="H180" s="438"/>
      <c r="I180" s="438"/>
      <c r="J180" s="138">
        <v>196.6</v>
      </c>
      <c r="K180" s="138">
        <v>234.9</v>
      </c>
      <c r="L180" s="138">
        <v>234</v>
      </c>
      <c r="M180" s="138">
        <v>243.5</v>
      </c>
      <c r="N180" s="138">
        <v>556.20000000000005</v>
      </c>
      <c r="O180" s="138">
        <v>576.20000000000005</v>
      </c>
      <c r="P180" s="138">
        <v>566.5</v>
      </c>
      <c r="Q180" s="138">
        <v>563.4</v>
      </c>
      <c r="R180" s="138"/>
      <c r="S180" s="138"/>
      <c r="T180" s="138">
        <v>212.8</v>
      </c>
      <c r="U180" s="138"/>
      <c r="V180" s="138"/>
      <c r="W180" s="138"/>
      <c r="X180" s="138"/>
      <c r="Y180" s="138"/>
      <c r="Z180" s="138"/>
    </row>
    <row r="181" spans="4:26" x14ac:dyDescent="0.35">
      <c r="D181" s="136">
        <v>65</v>
      </c>
      <c r="E181" s="437"/>
      <c r="F181" s="437"/>
      <c r="G181" s="438"/>
      <c r="H181" s="438"/>
      <c r="I181" s="438"/>
      <c r="J181" s="138">
        <v>199.7</v>
      </c>
      <c r="K181" s="138">
        <v>236.3</v>
      </c>
      <c r="L181" s="138">
        <v>236.1</v>
      </c>
      <c r="M181" s="138">
        <v>246.6</v>
      </c>
      <c r="N181" s="138">
        <v>560.4</v>
      </c>
      <c r="O181" s="138">
        <v>580</v>
      </c>
      <c r="P181" s="138">
        <v>569.79999999999995</v>
      </c>
      <c r="Q181" s="138">
        <v>567.29999999999995</v>
      </c>
      <c r="R181" s="138"/>
      <c r="S181" s="138"/>
      <c r="T181" s="138">
        <v>215.6</v>
      </c>
      <c r="U181" s="138"/>
      <c r="V181" s="138"/>
      <c r="W181" s="138"/>
      <c r="X181" s="138"/>
      <c r="Y181" s="138"/>
      <c r="Z181" s="138"/>
    </row>
    <row r="182" spans="4:26" x14ac:dyDescent="0.35">
      <c r="D182" s="136">
        <v>66</v>
      </c>
      <c r="E182" s="437"/>
      <c r="F182" s="437"/>
      <c r="G182" s="438"/>
      <c r="H182" s="438"/>
      <c r="I182" s="438"/>
      <c r="J182" s="138">
        <v>204.5</v>
      </c>
      <c r="K182" s="138">
        <v>239.4</v>
      </c>
      <c r="L182" s="138">
        <v>238.4</v>
      </c>
      <c r="M182" s="138">
        <v>249.5</v>
      </c>
      <c r="N182" s="138">
        <v>564.5</v>
      </c>
      <c r="O182" s="138">
        <v>583.70000000000005</v>
      </c>
      <c r="P182" s="138">
        <v>573.1</v>
      </c>
      <c r="Q182" s="138">
        <v>570.9</v>
      </c>
      <c r="R182" s="138"/>
      <c r="S182" s="138"/>
      <c r="T182" s="138">
        <v>217</v>
      </c>
      <c r="U182" s="138"/>
      <c r="V182" s="138"/>
      <c r="W182" s="138"/>
      <c r="X182" s="138"/>
      <c r="Y182" s="138"/>
      <c r="Z182" s="138"/>
    </row>
    <row r="183" spans="4:26" x14ac:dyDescent="0.35">
      <c r="D183" s="136">
        <v>67</v>
      </c>
      <c r="E183" s="437"/>
      <c r="F183" s="437"/>
      <c r="G183" s="438"/>
      <c r="H183" s="438"/>
      <c r="I183" s="438"/>
      <c r="J183" s="138">
        <v>209.8</v>
      </c>
      <c r="K183" s="138">
        <v>243.5</v>
      </c>
      <c r="L183" s="138">
        <v>242.6</v>
      </c>
      <c r="M183" s="138">
        <v>253.1</v>
      </c>
      <c r="N183" s="138">
        <v>568.4</v>
      </c>
      <c r="O183" s="138">
        <v>587.5</v>
      </c>
      <c r="P183" s="138">
        <v>576.5</v>
      </c>
      <c r="Q183" s="138">
        <v>574.5</v>
      </c>
      <c r="R183" s="138"/>
      <c r="S183" s="138"/>
      <c r="T183" s="138">
        <v>217.9</v>
      </c>
      <c r="U183" s="138"/>
      <c r="V183" s="138"/>
      <c r="W183" s="138"/>
      <c r="X183" s="138"/>
      <c r="Y183" s="138"/>
      <c r="Z183" s="138"/>
    </row>
    <row r="184" spans="4:26" x14ac:dyDescent="0.35">
      <c r="D184" s="136">
        <v>68</v>
      </c>
      <c r="E184" s="437"/>
      <c r="F184" s="437"/>
      <c r="G184" s="438"/>
      <c r="H184" s="438"/>
      <c r="I184" s="438"/>
      <c r="J184" s="138">
        <v>215.5</v>
      </c>
      <c r="K184" s="138">
        <v>247.2</v>
      </c>
      <c r="L184" s="138">
        <v>246.2</v>
      </c>
      <c r="M184" s="138">
        <v>254.9</v>
      </c>
      <c r="N184" s="138">
        <v>572.1</v>
      </c>
      <c r="O184" s="138">
        <v>591.29999999999995</v>
      </c>
      <c r="P184" s="138">
        <v>579.9</v>
      </c>
      <c r="Q184" s="138">
        <v>578.29999999999995</v>
      </c>
      <c r="R184" s="138"/>
      <c r="S184" s="138"/>
      <c r="T184" s="138">
        <v>220.2</v>
      </c>
      <c r="U184" s="138"/>
      <c r="V184" s="138"/>
      <c r="W184" s="138"/>
      <c r="X184" s="138"/>
      <c r="Y184" s="138"/>
      <c r="Z184" s="138"/>
    </row>
    <row r="185" spans="4:26" x14ac:dyDescent="0.35">
      <c r="D185" s="136">
        <v>69</v>
      </c>
      <c r="E185" s="437"/>
      <c r="F185" s="437"/>
      <c r="G185" s="438"/>
      <c r="H185" s="438"/>
      <c r="I185" s="438"/>
      <c r="J185" s="138">
        <v>219</v>
      </c>
      <c r="K185" s="138">
        <v>250.7</v>
      </c>
      <c r="L185" s="138">
        <v>249.6</v>
      </c>
      <c r="M185" s="138">
        <v>257.10000000000002</v>
      </c>
      <c r="N185" s="138">
        <v>575.9</v>
      </c>
      <c r="O185" s="138">
        <v>595</v>
      </c>
      <c r="P185" s="138">
        <v>583.4</v>
      </c>
      <c r="Q185" s="138">
        <v>582.1</v>
      </c>
      <c r="R185" s="138"/>
      <c r="S185" s="138"/>
      <c r="T185" s="138">
        <v>223.2</v>
      </c>
      <c r="U185" s="138"/>
      <c r="V185" s="138"/>
      <c r="W185" s="138"/>
      <c r="X185" s="138"/>
      <c r="Y185" s="138"/>
      <c r="Z185" s="138"/>
    </row>
    <row r="186" spans="4:26" x14ac:dyDescent="0.35">
      <c r="D186" s="430">
        <v>70</v>
      </c>
      <c r="E186" s="437"/>
      <c r="F186" s="437"/>
      <c r="G186" s="438"/>
      <c r="H186" s="438"/>
      <c r="I186" s="438"/>
      <c r="J186" s="432">
        <v>225</v>
      </c>
      <c r="K186" s="432">
        <v>254.5</v>
      </c>
      <c r="L186" s="432">
        <v>253.6</v>
      </c>
      <c r="M186" s="432">
        <v>260.89999999999998</v>
      </c>
      <c r="N186" s="432">
        <v>579.70000000000005</v>
      </c>
      <c r="O186" s="432">
        <v>598.70000000000005</v>
      </c>
      <c r="P186" s="432">
        <v>586.9</v>
      </c>
      <c r="Q186" s="432">
        <v>586</v>
      </c>
      <c r="R186" s="432"/>
      <c r="S186" s="432"/>
      <c r="T186" s="432">
        <v>226</v>
      </c>
      <c r="U186" s="432"/>
      <c r="V186" s="432"/>
      <c r="W186" s="432"/>
      <c r="X186" s="432"/>
      <c r="Y186" s="432"/>
      <c r="Z186" s="432"/>
    </row>
    <row r="187" spans="4:26" x14ac:dyDescent="0.35">
      <c r="D187" s="136">
        <v>71</v>
      </c>
      <c r="E187" s="437"/>
      <c r="F187" s="437"/>
      <c r="G187" s="438"/>
      <c r="H187" s="438"/>
      <c r="I187" s="438"/>
      <c r="J187" s="138">
        <v>230.1</v>
      </c>
      <c r="K187" s="138">
        <v>256.2</v>
      </c>
      <c r="L187" s="138">
        <v>255.3</v>
      </c>
      <c r="M187" s="138">
        <v>264.2</v>
      </c>
      <c r="N187" s="138">
        <v>583.5</v>
      </c>
      <c r="O187" s="138">
        <v>602.6</v>
      </c>
      <c r="P187" s="138">
        <v>590.5</v>
      </c>
      <c r="Q187" s="138">
        <v>589.79999999999995</v>
      </c>
      <c r="R187" s="138"/>
      <c r="S187" s="138"/>
      <c r="T187" s="138">
        <v>228.7</v>
      </c>
      <c r="U187" s="138"/>
      <c r="V187" s="138"/>
      <c r="W187" s="138"/>
      <c r="X187" s="138"/>
      <c r="Y187" s="138"/>
      <c r="Z187" s="138"/>
    </row>
    <row r="188" spans="4:26" x14ac:dyDescent="0.35">
      <c r="D188" s="136">
        <v>72</v>
      </c>
      <c r="E188" s="437"/>
      <c r="F188" s="437"/>
      <c r="G188" s="438"/>
      <c r="H188" s="438"/>
      <c r="I188" s="438"/>
      <c r="J188" s="138">
        <v>235.7</v>
      </c>
      <c r="K188" s="138">
        <v>260.39999999999998</v>
      </c>
      <c r="L188" s="138">
        <v>258.7</v>
      </c>
      <c r="M188" s="138">
        <v>266.8</v>
      </c>
      <c r="N188" s="138">
        <v>587.29999999999995</v>
      </c>
      <c r="O188" s="138">
        <v>606.70000000000005</v>
      </c>
      <c r="P188" s="138">
        <v>594</v>
      </c>
      <c r="Q188" s="138">
        <v>593.70000000000005</v>
      </c>
      <c r="R188" s="138"/>
      <c r="S188" s="138"/>
      <c r="T188" s="138">
        <v>230.8</v>
      </c>
      <c r="U188" s="138"/>
      <c r="V188" s="138"/>
      <c r="W188" s="138"/>
      <c r="X188" s="138"/>
      <c r="Y188" s="138"/>
      <c r="Z188" s="138"/>
    </row>
    <row r="189" spans="4:26" x14ac:dyDescent="0.35">
      <c r="D189" s="136">
        <v>73</v>
      </c>
      <c r="E189" s="437"/>
      <c r="F189" s="437"/>
      <c r="G189" s="438"/>
      <c r="H189" s="438"/>
      <c r="I189" s="438"/>
      <c r="J189" s="138">
        <v>240</v>
      </c>
      <c r="K189" s="138">
        <v>264.39999999999998</v>
      </c>
      <c r="L189" s="138">
        <v>263</v>
      </c>
      <c r="M189" s="138">
        <v>270.7</v>
      </c>
      <c r="N189" s="138">
        <v>591</v>
      </c>
      <c r="O189" s="138">
        <v>610.79999999999995</v>
      </c>
      <c r="P189" s="138">
        <v>597.5</v>
      </c>
      <c r="Q189" s="138">
        <v>597.6</v>
      </c>
      <c r="R189" s="138"/>
      <c r="S189" s="138"/>
      <c r="T189" s="138">
        <v>234.3</v>
      </c>
      <c r="U189" s="138"/>
      <c r="V189" s="138"/>
      <c r="W189" s="138"/>
      <c r="X189" s="138"/>
      <c r="Y189" s="138"/>
      <c r="Z189" s="138"/>
    </row>
    <row r="190" spans="4:26" x14ac:dyDescent="0.35">
      <c r="D190" s="139">
        <v>74</v>
      </c>
      <c r="E190" s="439"/>
      <c r="F190" s="439"/>
      <c r="G190" s="440"/>
      <c r="H190" s="440"/>
      <c r="I190" s="440"/>
      <c r="J190" s="123">
        <v>246.8</v>
      </c>
      <c r="K190" s="123">
        <v>267.60000000000002</v>
      </c>
      <c r="L190" s="123">
        <v>265.89999999999998</v>
      </c>
      <c r="M190" s="123">
        <v>272.39999999999998</v>
      </c>
      <c r="N190" s="123">
        <v>594.79999999999995</v>
      </c>
      <c r="O190" s="123">
        <v>614.9</v>
      </c>
      <c r="P190" s="123">
        <v>601.20000000000005</v>
      </c>
      <c r="Q190" s="123">
        <v>601.70000000000005</v>
      </c>
      <c r="R190" s="123"/>
      <c r="S190" s="123"/>
      <c r="T190" s="123">
        <v>236.1</v>
      </c>
      <c r="U190" s="123"/>
      <c r="V190" s="123"/>
      <c r="W190" s="123"/>
      <c r="X190" s="123"/>
      <c r="Y190" s="123"/>
      <c r="Z190" s="123"/>
    </row>
    <row r="191" spans="4:26" x14ac:dyDescent="0.35">
      <c r="D191" s="136">
        <v>75</v>
      </c>
      <c r="E191" s="437"/>
      <c r="F191" s="437"/>
      <c r="G191" s="441"/>
      <c r="H191" s="441"/>
      <c r="I191" s="441"/>
      <c r="J191" s="121">
        <v>253.2</v>
      </c>
      <c r="K191" s="121">
        <v>271.60000000000002</v>
      </c>
      <c r="L191" s="121">
        <v>269.89999999999998</v>
      </c>
      <c r="M191" s="121">
        <v>276.39999999999998</v>
      </c>
      <c r="N191" s="121">
        <v>598.5</v>
      </c>
      <c r="O191" s="121">
        <v>619.4</v>
      </c>
      <c r="P191" s="121">
        <v>605.1</v>
      </c>
      <c r="Q191" s="121">
        <v>606</v>
      </c>
      <c r="R191" s="121"/>
      <c r="S191" s="121"/>
      <c r="T191" s="121">
        <v>237.5</v>
      </c>
      <c r="U191" s="121"/>
      <c r="V191" s="121"/>
      <c r="W191" s="121"/>
      <c r="X191" s="121"/>
      <c r="Y191" s="121"/>
      <c r="Z191" s="121"/>
    </row>
    <row r="192" spans="4:26" x14ac:dyDescent="0.35">
      <c r="D192" s="136">
        <v>76</v>
      </c>
      <c r="E192" s="437"/>
      <c r="F192" s="437"/>
      <c r="G192" s="441"/>
      <c r="H192" s="441"/>
      <c r="I192" s="441"/>
      <c r="J192" s="121">
        <v>257</v>
      </c>
      <c r="K192" s="121">
        <v>274.39999999999998</v>
      </c>
      <c r="L192" s="121">
        <v>272.3</v>
      </c>
      <c r="M192" s="121">
        <v>280.2</v>
      </c>
      <c r="N192" s="121">
        <v>602.4</v>
      </c>
      <c r="O192" s="121">
        <v>623.9</v>
      </c>
      <c r="P192" s="121">
        <v>609</v>
      </c>
      <c r="Q192" s="121">
        <v>610.5</v>
      </c>
      <c r="R192" s="121"/>
      <c r="S192" s="121"/>
      <c r="T192" s="121">
        <v>241</v>
      </c>
      <c r="U192" s="121"/>
      <c r="V192" s="121"/>
      <c r="W192" s="121"/>
      <c r="X192" s="121"/>
      <c r="Y192" s="121"/>
      <c r="Z192" s="121"/>
    </row>
    <row r="193" spans="4:26" x14ac:dyDescent="0.35">
      <c r="D193" s="136">
        <v>77</v>
      </c>
      <c r="E193" s="437"/>
      <c r="F193" s="437"/>
      <c r="G193" s="441"/>
      <c r="H193" s="441"/>
      <c r="I193" s="441"/>
      <c r="J193" s="121">
        <v>264</v>
      </c>
      <c r="K193" s="121">
        <v>279.3</v>
      </c>
      <c r="L193" s="121">
        <v>276.60000000000002</v>
      </c>
      <c r="M193" s="121">
        <v>283.60000000000002</v>
      </c>
      <c r="N193" s="121">
        <v>606.29999999999995</v>
      </c>
      <c r="O193" s="121">
        <v>628.5</v>
      </c>
      <c r="P193" s="121">
        <v>613</v>
      </c>
      <c r="Q193" s="121">
        <v>615</v>
      </c>
      <c r="R193" s="121"/>
      <c r="S193" s="121"/>
      <c r="T193" s="121">
        <v>245.2</v>
      </c>
      <c r="U193" s="121"/>
      <c r="V193" s="121"/>
      <c r="W193" s="121"/>
      <c r="X193" s="121"/>
      <c r="Y193" s="121"/>
      <c r="Z193" s="121"/>
    </row>
    <row r="194" spans="4:26" x14ac:dyDescent="0.35">
      <c r="D194" s="136">
        <v>78</v>
      </c>
      <c r="E194" s="437"/>
      <c r="F194" s="437"/>
      <c r="G194" s="441"/>
      <c r="H194" s="441"/>
      <c r="I194" s="441"/>
      <c r="J194" s="121">
        <v>269.39999999999998</v>
      </c>
      <c r="K194" s="121">
        <v>283.10000000000002</v>
      </c>
      <c r="L194" s="121">
        <v>280.89999999999998</v>
      </c>
      <c r="M194" s="121">
        <v>287.39999999999998</v>
      </c>
      <c r="N194" s="121">
        <v>610.29999999999995</v>
      </c>
      <c r="O194" s="121">
        <v>633</v>
      </c>
      <c r="P194" s="121">
        <v>617.20000000000005</v>
      </c>
      <c r="Q194" s="121">
        <v>620</v>
      </c>
      <c r="R194" s="121"/>
      <c r="S194" s="121"/>
      <c r="T194" s="121">
        <v>248.4</v>
      </c>
      <c r="U194" s="121"/>
      <c r="V194" s="121"/>
      <c r="W194" s="121"/>
      <c r="X194" s="121"/>
      <c r="Y194" s="121"/>
      <c r="Z194" s="121"/>
    </row>
    <row r="195" spans="4:26" x14ac:dyDescent="0.35">
      <c r="D195" s="136">
        <v>79</v>
      </c>
      <c r="E195" s="437"/>
      <c r="F195" s="437"/>
      <c r="G195" s="441"/>
      <c r="H195" s="441"/>
      <c r="I195" s="441"/>
      <c r="J195" s="121">
        <v>274.39999999999998</v>
      </c>
      <c r="K195" s="121">
        <v>287.5</v>
      </c>
      <c r="L195" s="121">
        <v>285.10000000000002</v>
      </c>
      <c r="M195" s="121">
        <v>290.39999999999998</v>
      </c>
      <c r="N195" s="121">
        <v>614.4</v>
      </c>
      <c r="O195" s="121">
        <v>637.9</v>
      </c>
      <c r="P195" s="121">
        <v>621.6</v>
      </c>
      <c r="Q195" s="121">
        <v>625.1</v>
      </c>
      <c r="R195" s="121"/>
      <c r="S195" s="121"/>
      <c r="T195" s="121">
        <v>251.8</v>
      </c>
      <c r="U195" s="121"/>
      <c r="V195" s="121"/>
      <c r="W195" s="121"/>
      <c r="X195" s="121"/>
      <c r="Y195" s="121"/>
      <c r="Z195" s="121"/>
    </row>
    <row r="196" spans="4:26" x14ac:dyDescent="0.35">
      <c r="D196" s="430">
        <v>80</v>
      </c>
      <c r="E196" s="437"/>
      <c r="F196" s="437"/>
      <c r="G196" s="441"/>
      <c r="H196" s="441"/>
      <c r="I196" s="441"/>
      <c r="J196" s="434">
        <v>281.7</v>
      </c>
      <c r="K196" s="434">
        <v>291.2</v>
      </c>
      <c r="L196" s="434">
        <v>288.2</v>
      </c>
      <c r="M196" s="434">
        <v>295.10000000000002</v>
      </c>
      <c r="N196" s="434">
        <v>618.6</v>
      </c>
      <c r="O196" s="434">
        <v>643.20000000000005</v>
      </c>
      <c r="P196" s="434">
        <v>626.1</v>
      </c>
      <c r="Q196" s="434">
        <v>630.29999999999995</v>
      </c>
      <c r="R196" s="434"/>
      <c r="S196" s="434"/>
      <c r="T196" s="434">
        <v>254.8</v>
      </c>
      <c r="U196" s="434"/>
      <c r="V196" s="434"/>
      <c r="W196" s="434"/>
      <c r="X196" s="434"/>
      <c r="Y196" s="434"/>
      <c r="Z196" s="434"/>
    </row>
    <row r="197" spans="4:26" x14ac:dyDescent="0.35">
      <c r="D197" s="136">
        <v>81</v>
      </c>
      <c r="E197" s="437"/>
      <c r="F197" s="437"/>
      <c r="G197" s="441"/>
      <c r="H197" s="441"/>
      <c r="I197" s="441"/>
      <c r="J197" s="121">
        <v>287.89999999999998</v>
      </c>
      <c r="K197" s="121">
        <v>296</v>
      </c>
      <c r="L197" s="121">
        <v>293.3</v>
      </c>
      <c r="M197" s="121">
        <v>298.8</v>
      </c>
      <c r="N197" s="121">
        <v>623</v>
      </c>
      <c r="O197" s="121">
        <v>648.70000000000005</v>
      </c>
      <c r="P197" s="121">
        <v>630.70000000000005</v>
      </c>
      <c r="Q197" s="121">
        <v>635.70000000000005</v>
      </c>
      <c r="R197" s="121"/>
      <c r="S197" s="121"/>
      <c r="T197" s="121">
        <v>256.7</v>
      </c>
      <c r="U197" s="121"/>
      <c r="V197" s="121"/>
      <c r="W197" s="121"/>
      <c r="X197" s="121"/>
      <c r="Y197" s="121"/>
      <c r="Z197" s="121"/>
    </row>
    <row r="198" spans="4:26" x14ac:dyDescent="0.35">
      <c r="D198" s="136">
        <v>82</v>
      </c>
      <c r="E198" s="437"/>
      <c r="F198" s="437"/>
      <c r="G198" s="441"/>
      <c r="H198" s="441"/>
      <c r="I198" s="441"/>
      <c r="J198" s="121">
        <v>294.7</v>
      </c>
      <c r="K198" s="121">
        <v>301.10000000000002</v>
      </c>
      <c r="L198" s="121">
        <v>297.60000000000002</v>
      </c>
      <c r="M198" s="121">
        <v>302.7</v>
      </c>
      <c r="N198" s="121">
        <v>627.29999999999995</v>
      </c>
      <c r="O198" s="121">
        <v>654.1</v>
      </c>
      <c r="P198" s="121">
        <v>635.29999999999995</v>
      </c>
      <c r="Q198" s="121">
        <v>641.79999999999995</v>
      </c>
      <c r="R198" s="121"/>
      <c r="S198" s="121"/>
      <c r="T198" s="121">
        <v>261.2</v>
      </c>
      <c r="U198" s="121"/>
      <c r="V198" s="121"/>
      <c r="W198" s="121"/>
      <c r="X198" s="121"/>
      <c r="Y198" s="121"/>
      <c r="Z198" s="121"/>
    </row>
    <row r="199" spans="4:26" x14ac:dyDescent="0.35">
      <c r="D199" s="136">
        <v>83</v>
      </c>
      <c r="E199" s="437"/>
      <c r="F199" s="437"/>
      <c r="G199" s="441"/>
      <c r="H199" s="441"/>
      <c r="I199" s="441"/>
      <c r="J199" s="121">
        <v>301.8</v>
      </c>
      <c r="K199" s="121">
        <v>304.39999999999998</v>
      </c>
      <c r="L199" s="121">
        <v>302.5</v>
      </c>
      <c r="M199" s="121">
        <v>306.5</v>
      </c>
      <c r="N199" s="121">
        <v>631.70000000000005</v>
      </c>
      <c r="O199" s="121">
        <v>659.8</v>
      </c>
      <c r="P199" s="121">
        <v>640.4</v>
      </c>
      <c r="Q199" s="121">
        <v>648.5</v>
      </c>
      <c r="R199" s="121"/>
      <c r="S199" s="121"/>
      <c r="T199" s="121">
        <v>265.10000000000002</v>
      </c>
      <c r="U199" s="121"/>
      <c r="V199" s="121"/>
      <c r="W199" s="121"/>
      <c r="X199" s="121"/>
      <c r="Y199" s="121"/>
      <c r="Z199" s="121"/>
    </row>
    <row r="200" spans="4:26" x14ac:dyDescent="0.35">
      <c r="D200" s="136">
        <v>84</v>
      </c>
      <c r="E200" s="437"/>
      <c r="F200" s="437"/>
      <c r="G200" s="441"/>
      <c r="H200" s="441"/>
      <c r="I200" s="441"/>
      <c r="J200" s="121">
        <v>308.10000000000002</v>
      </c>
      <c r="K200" s="121">
        <v>309.89999999999998</v>
      </c>
      <c r="L200" s="121">
        <v>306.10000000000002</v>
      </c>
      <c r="M200" s="121">
        <v>311</v>
      </c>
      <c r="N200" s="121">
        <v>636.20000000000005</v>
      </c>
      <c r="O200" s="121">
        <v>667</v>
      </c>
      <c r="P200" s="121">
        <v>646</v>
      </c>
      <c r="Q200" s="121">
        <v>655.20000000000005</v>
      </c>
      <c r="R200" s="121"/>
      <c r="S200" s="121"/>
      <c r="T200" s="121">
        <v>269</v>
      </c>
      <c r="U200" s="121"/>
      <c r="V200" s="121"/>
      <c r="W200" s="121"/>
      <c r="X200" s="121"/>
      <c r="Y200" s="121"/>
      <c r="Z200" s="121"/>
    </row>
    <row r="201" spans="4:26" x14ac:dyDescent="0.35">
      <c r="D201" s="136">
        <v>85</v>
      </c>
      <c r="E201" s="437"/>
      <c r="F201" s="437"/>
      <c r="G201" s="441"/>
      <c r="H201" s="441"/>
      <c r="I201" s="441"/>
      <c r="J201" s="121">
        <v>315.8</v>
      </c>
      <c r="K201" s="121">
        <v>315.39999999999998</v>
      </c>
      <c r="L201" s="121">
        <v>311.3</v>
      </c>
      <c r="M201" s="121">
        <v>315.89999999999998</v>
      </c>
      <c r="N201" s="121">
        <v>641.1</v>
      </c>
      <c r="O201" s="121">
        <v>673.9</v>
      </c>
      <c r="P201" s="121">
        <v>651.70000000000005</v>
      </c>
      <c r="Q201" s="121">
        <v>663.5</v>
      </c>
      <c r="R201" s="121"/>
      <c r="S201" s="121"/>
      <c r="T201" s="121">
        <v>272.10000000000002</v>
      </c>
      <c r="U201" s="121"/>
      <c r="V201" s="121"/>
      <c r="W201" s="121"/>
      <c r="X201" s="121"/>
      <c r="Y201" s="121"/>
      <c r="Z201" s="121"/>
    </row>
    <row r="202" spans="4:26" x14ac:dyDescent="0.35">
      <c r="D202" s="136">
        <v>86</v>
      </c>
      <c r="E202" s="437"/>
      <c r="F202" s="437"/>
      <c r="G202" s="441"/>
      <c r="H202" s="441"/>
      <c r="I202" s="441"/>
      <c r="J202" s="121">
        <v>322.2</v>
      </c>
      <c r="K202" s="121">
        <v>319.60000000000002</v>
      </c>
      <c r="L202" s="121">
        <v>316.5</v>
      </c>
      <c r="M202" s="121">
        <v>319.8</v>
      </c>
      <c r="N202" s="121">
        <v>646.29999999999995</v>
      </c>
      <c r="O202" s="121">
        <v>682.1</v>
      </c>
      <c r="P202" s="121">
        <v>657.5</v>
      </c>
      <c r="Q202" s="121">
        <v>673.4</v>
      </c>
      <c r="R202" s="121"/>
      <c r="S202" s="121"/>
      <c r="T202" s="121">
        <v>276.7</v>
      </c>
      <c r="U202" s="121"/>
      <c r="V202" s="121"/>
      <c r="W202" s="121"/>
      <c r="X202" s="121"/>
      <c r="Y202" s="121"/>
      <c r="Z202" s="121"/>
    </row>
    <row r="203" spans="4:26" x14ac:dyDescent="0.35">
      <c r="D203" s="136">
        <v>87</v>
      </c>
      <c r="E203" s="437"/>
      <c r="F203" s="437"/>
      <c r="G203" s="441"/>
      <c r="H203" s="441"/>
      <c r="I203" s="441"/>
      <c r="J203" s="121">
        <v>330.3</v>
      </c>
      <c r="K203" s="121">
        <v>325.7</v>
      </c>
      <c r="L203" s="121">
        <v>321.39999999999998</v>
      </c>
      <c r="M203" s="121">
        <v>325.2</v>
      </c>
      <c r="N203" s="121">
        <v>651.4</v>
      </c>
      <c r="O203" s="121">
        <v>689.8</v>
      </c>
      <c r="P203" s="121">
        <v>665.3</v>
      </c>
      <c r="Q203" s="121">
        <v>685.9</v>
      </c>
      <c r="R203" s="121"/>
      <c r="S203" s="121"/>
      <c r="T203" s="121">
        <v>281.8</v>
      </c>
      <c r="U203" s="121"/>
      <c r="V203" s="121"/>
      <c r="W203" s="121"/>
      <c r="X203" s="121"/>
      <c r="Y203" s="121"/>
      <c r="Z203" s="121"/>
    </row>
    <row r="204" spans="4:26" x14ac:dyDescent="0.35">
      <c r="D204" s="136">
        <v>88</v>
      </c>
      <c r="E204" s="437"/>
      <c r="F204" s="437"/>
      <c r="G204" s="441"/>
      <c r="H204" s="441"/>
      <c r="I204" s="441"/>
      <c r="J204" s="121">
        <v>337.5</v>
      </c>
      <c r="K204" s="121">
        <v>331.2</v>
      </c>
      <c r="L204" s="121">
        <v>327.3</v>
      </c>
      <c r="M204" s="121">
        <v>330.5</v>
      </c>
      <c r="N204" s="121">
        <v>656.4</v>
      </c>
      <c r="O204" s="121">
        <v>697</v>
      </c>
      <c r="P204" s="121">
        <v>673.5</v>
      </c>
      <c r="Q204" s="121">
        <v>703.1</v>
      </c>
      <c r="R204" s="121"/>
      <c r="S204" s="121"/>
      <c r="T204" s="121">
        <v>287.3</v>
      </c>
      <c r="U204" s="121"/>
      <c r="V204" s="121"/>
      <c r="W204" s="121"/>
      <c r="X204" s="121"/>
      <c r="Y204" s="121"/>
      <c r="Z204" s="121"/>
    </row>
    <row r="205" spans="4:26" x14ac:dyDescent="0.35">
      <c r="D205" s="136">
        <v>89</v>
      </c>
      <c r="E205" s="437"/>
      <c r="F205" s="437"/>
      <c r="G205" s="441"/>
      <c r="H205" s="441"/>
      <c r="I205" s="441"/>
      <c r="J205" s="121">
        <v>345.3</v>
      </c>
      <c r="K205" s="121">
        <v>338</v>
      </c>
      <c r="L205" s="121">
        <v>332.8</v>
      </c>
      <c r="M205" s="121">
        <v>336.4</v>
      </c>
      <c r="N205" s="121">
        <v>662.9</v>
      </c>
      <c r="O205" s="121">
        <v>705</v>
      </c>
      <c r="P205" s="121">
        <v>683.4</v>
      </c>
      <c r="Q205" s="121"/>
      <c r="R205" s="121"/>
      <c r="S205" s="121"/>
      <c r="T205" s="121">
        <v>291.39999999999998</v>
      </c>
      <c r="U205" s="121"/>
      <c r="V205" s="121"/>
      <c r="W205" s="121"/>
      <c r="X205" s="121"/>
      <c r="Y205" s="121"/>
      <c r="Z205" s="121"/>
    </row>
    <row r="206" spans="4:26" x14ac:dyDescent="0.35">
      <c r="D206" s="430">
        <v>90</v>
      </c>
      <c r="E206" s="437"/>
      <c r="F206" s="437"/>
      <c r="G206" s="441"/>
      <c r="H206" s="441"/>
      <c r="I206" s="441"/>
      <c r="J206" s="434">
        <v>352.8</v>
      </c>
      <c r="K206" s="434">
        <v>344.7</v>
      </c>
      <c r="L206" s="434">
        <v>340</v>
      </c>
      <c r="M206" s="434">
        <v>343.1</v>
      </c>
      <c r="N206" s="434">
        <v>670.2</v>
      </c>
      <c r="O206" s="434">
        <v>713.3</v>
      </c>
      <c r="P206" s="434">
        <v>693.3</v>
      </c>
      <c r="Q206" s="434"/>
      <c r="R206" s="434"/>
      <c r="S206" s="434"/>
      <c r="T206" s="434">
        <v>297.5</v>
      </c>
      <c r="U206" s="434"/>
      <c r="V206" s="434"/>
      <c r="W206" s="434"/>
      <c r="X206" s="434"/>
      <c r="Y206" s="434"/>
      <c r="Z206" s="434"/>
    </row>
    <row r="207" spans="4:26" x14ac:dyDescent="0.35">
      <c r="D207" s="136">
        <v>91</v>
      </c>
      <c r="E207" s="437"/>
      <c r="F207" s="437"/>
      <c r="G207" s="442"/>
      <c r="H207" s="442"/>
      <c r="I207" s="442"/>
      <c r="J207" s="121">
        <v>359.7</v>
      </c>
      <c r="K207" s="121">
        <v>351.5</v>
      </c>
      <c r="L207" s="121">
        <v>346.4</v>
      </c>
      <c r="M207" s="121">
        <v>349</v>
      </c>
      <c r="N207" s="121">
        <v>677.2</v>
      </c>
      <c r="O207" s="121">
        <v>721.8</v>
      </c>
      <c r="P207" s="121">
        <v>705.2</v>
      </c>
      <c r="Q207" s="121"/>
      <c r="R207" s="121"/>
      <c r="S207" s="121"/>
      <c r="T207" s="121">
        <v>303</v>
      </c>
      <c r="U207" s="121"/>
      <c r="V207" s="121"/>
      <c r="W207" s="121"/>
      <c r="X207" s="121"/>
      <c r="Y207" s="121"/>
      <c r="Z207" s="121"/>
    </row>
    <row r="208" spans="4:26" x14ac:dyDescent="0.35">
      <c r="D208" s="136">
        <v>92</v>
      </c>
      <c r="E208" s="437"/>
      <c r="F208" s="437"/>
      <c r="G208" s="442"/>
      <c r="H208" s="442"/>
      <c r="I208" s="442"/>
      <c r="J208" s="121">
        <v>368.2</v>
      </c>
      <c r="K208" s="121">
        <v>358.3</v>
      </c>
      <c r="L208" s="121">
        <v>354.1</v>
      </c>
      <c r="M208" s="121">
        <v>356.2</v>
      </c>
      <c r="N208" s="121">
        <v>685.2</v>
      </c>
      <c r="O208" s="121">
        <v>730.5</v>
      </c>
      <c r="P208" s="121">
        <v>724.8</v>
      </c>
      <c r="Q208" s="121"/>
      <c r="R208" s="121"/>
      <c r="S208" s="121"/>
      <c r="T208" s="121">
        <v>309.7</v>
      </c>
      <c r="U208" s="121"/>
      <c r="V208" s="121"/>
      <c r="W208" s="121"/>
      <c r="X208" s="121"/>
      <c r="Y208" s="121"/>
      <c r="Z208" s="121"/>
    </row>
    <row r="209" spans="4:31" x14ac:dyDescent="0.35">
      <c r="D209" s="136">
        <v>93</v>
      </c>
      <c r="E209" s="437"/>
      <c r="F209" s="437"/>
      <c r="G209" s="442"/>
      <c r="H209" s="442"/>
      <c r="I209" s="442"/>
      <c r="J209" s="121">
        <v>375.8</v>
      </c>
      <c r="K209" s="121">
        <v>366.7</v>
      </c>
      <c r="L209" s="121">
        <v>361.9</v>
      </c>
      <c r="M209" s="121">
        <v>363.6</v>
      </c>
      <c r="N209" s="121">
        <v>692.9</v>
      </c>
      <c r="O209" s="121"/>
      <c r="P209" s="121"/>
      <c r="Q209" s="121"/>
      <c r="R209" s="121"/>
      <c r="S209" s="121"/>
      <c r="T209" s="121">
        <v>316.8</v>
      </c>
      <c r="U209" s="121"/>
      <c r="V209" s="121"/>
      <c r="W209" s="121"/>
      <c r="X209" s="121"/>
      <c r="Y209" s="121"/>
      <c r="Z209" s="121"/>
    </row>
    <row r="210" spans="4:31" x14ac:dyDescent="0.35">
      <c r="D210" s="136">
        <v>94</v>
      </c>
      <c r="E210" s="437"/>
      <c r="F210" s="437"/>
      <c r="G210" s="442"/>
      <c r="H210" s="442"/>
      <c r="I210" s="442"/>
      <c r="J210" s="121">
        <v>384.1</v>
      </c>
      <c r="K210" s="121">
        <v>375.1</v>
      </c>
      <c r="L210" s="121">
        <v>370.1</v>
      </c>
      <c r="M210" s="121">
        <v>371.8</v>
      </c>
      <c r="N210" s="121">
        <v>701.1</v>
      </c>
      <c r="O210" s="121"/>
      <c r="P210" s="121"/>
      <c r="Q210" s="121"/>
      <c r="R210" s="121"/>
      <c r="S210" s="121"/>
      <c r="T210" s="121">
        <v>325.3</v>
      </c>
      <c r="U210" s="121"/>
      <c r="V210" s="121"/>
      <c r="W210" s="121"/>
      <c r="X210" s="121"/>
      <c r="Y210" s="121"/>
      <c r="Z210" s="121"/>
    </row>
    <row r="211" spans="4:31" x14ac:dyDescent="0.35">
      <c r="D211" s="430">
        <v>95</v>
      </c>
      <c r="E211" s="437"/>
      <c r="F211" s="437"/>
      <c r="G211" s="442"/>
      <c r="H211" s="442"/>
      <c r="I211" s="442"/>
      <c r="J211" s="434">
        <v>393.3</v>
      </c>
      <c r="K211" s="434">
        <v>384.6</v>
      </c>
      <c r="L211" s="434">
        <v>380.3</v>
      </c>
      <c r="M211" s="434">
        <v>381.3</v>
      </c>
      <c r="N211" s="434">
        <v>709.2</v>
      </c>
      <c r="O211" s="434"/>
      <c r="P211" s="434"/>
      <c r="Q211" s="434"/>
      <c r="R211" s="434"/>
      <c r="S211" s="434"/>
      <c r="T211" s="434">
        <v>334.9</v>
      </c>
      <c r="U211" s="434"/>
      <c r="V211" s="434"/>
      <c r="W211" s="434"/>
      <c r="X211" s="434"/>
      <c r="Y211" s="434"/>
      <c r="Z211" s="434"/>
    </row>
    <row r="212" spans="4:31" x14ac:dyDescent="0.35">
      <c r="D212" s="136">
        <v>96</v>
      </c>
      <c r="E212" s="437"/>
      <c r="F212" s="437"/>
      <c r="G212" s="442"/>
      <c r="H212" s="442"/>
      <c r="I212" s="442"/>
      <c r="J212" s="121">
        <v>403.9</v>
      </c>
      <c r="K212" s="121">
        <v>395.5</v>
      </c>
      <c r="L212" s="121">
        <v>391.4</v>
      </c>
      <c r="M212" s="121">
        <v>392.4</v>
      </c>
      <c r="N212" s="121">
        <v>718.8</v>
      </c>
      <c r="O212" s="121"/>
      <c r="P212" s="121"/>
      <c r="Q212" s="121"/>
      <c r="R212" s="121"/>
      <c r="S212" s="121"/>
      <c r="T212" s="121">
        <v>346.4</v>
      </c>
      <c r="U212" s="121"/>
      <c r="V212" s="121"/>
      <c r="W212" s="121"/>
      <c r="X212" s="121"/>
      <c r="Y212" s="121"/>
      <c r="Z212" s="121"/>
    </row>
    <row r="213" spans="4:31" x14ac:dyDescent="0.35">
      <c r="D213" s="136">
        <v>97</v>
      </c>
      <c r="E213" s="437"/>
      <c r="F213" s="437"/>
      <c r="G213" s="442"/>
      <c r="H213" s="442"/>
      <c r="I213" s="442"/>
      <c r="J213" s="121">
        <v>416.6</v>
      </c>
      <c r="K213" s="121">
        <v>408.7</v>
      </c>
      <c r="L213" s="121">
        <v>404.6</v>
      </c>
      <c r="M213" s="121">
        <v>405.8</v>
      </c>
      <c r="N213" s="121">
        <v>729.2</v>
      </c>
      <c r="O213" s="121"/>
      <c r="P213" s="121"/>
      <c r="Q213" s="121"/>
      <c r="R213" s="121"/>
      <c r="S213" s="121"/>
      <c r="T213" s="121">
        <v>361</v>
      </c>
      <c r="U213" s="121"/>
      <c r="V213" s="121"/>
      <c r="W213" s="121"/>
      <c r="X213" s="121"/>
      <c r="Y213" s="121"/>
      <c r="Z213" s="121"/>
    </row>
    <row r="214" spans="4:31" x14ac:dyDescent="0.35">
      <c r="D214" s="136">
        <v>98</v>
      </c>
      <c r="E214" s="437"/>
      <c r="F214" s="437"/>
      <c r="G214" s="442"/>
      <c r="H214" s="442"/>
      <c r="I214" s="442"/>
      <c r="J214" s="121">
        <v>432.3</v>
      </c>
      <c r="K214" s="121">
        <v>425.2</v>
      </c>
      <c r="L214" s="121">
        <v>421.7</v>
      </c>
      <c r="M214" s="121">
        <v>422.8</v>
      </c>
      <c r="N214" s="121"/>
      <c r="O214" s="121"/>
      <c r="P214" s="121"/>
      <c r="Q214" s="121"/>
      <c r="R214" s="121"/>
      <c r="S214" s="121"/>
      <c r="T214" s="121">
        <v>380.1</v>
      </c>
      <c r="U214" s="121"/>
      <c r="V214" s="121"/>
      <c r="W214" s="121"/>
      <c r="X214" s="121"/>
      <c r="Y214" s="121"/>
      <c r="Z214" s="121"/>
    </row>
    <row r="215" spans="4:31" x14ac:dyDescent="0.35">
      <c r="D215" s="136">
        <v>99</v>
      </c>
      <c r="E215" s="437"/>
      <c r="F215" s="437"/>
      <c r="G215" s="442"/>
      <c r="H215" s="442"/>
      <c r="I215" s="442"/>
      <c r="J215" s="121">
        <v>454.8</v>
      </c>
      <c r="K215" s="121">
        <v>449.4</v>
      </c>
      <c r="L215" s="121">
        <v>446.5</v>
      </c>
      <c r="M215" s="121">
        <v>447.9</v>
      </c>
      <c r="N215" s="121"/>
      <c r="O215" s="121"/>
      <c r="P215" s="121"/>
      <c r="Q215" s="121"/>
      <c r="R215" s="121"/>
      <c r="S215" s="121"/>
      <c r="T215" s="121">
        <v>408.7</v>
      </c>
      <c r="U215" s="121"/>
      <c r="V215" s="121"/>
      <c r="W215" s="121"/>
      <c r="X215" s="121"/>
      <c r="Y215" s="121"/>
      <c r="Z215" s="121"/>
    </row>
    <row r="216" spans="4:31" x14ac:dyDescent="0.35">
      <c r="D216" s="430">
        <v>100</v>
      </c>
      <c r="E216" s="437"/>
      <c r="F216" s="437"/>
      <c r="G216" s="442"/>
      <c r="H216" s="442"/>
      <c r="I216" s="442"/>
      <c r="J216" s="434">
        <v>473</v>
      </c>
      <c r="K216" s="434">
        <v>468.4</v>
      </c>
      <c r="L216" s="434">
        <v>465.6</v>
      </c>
      <c r="M216" s="434">
        <v>466.8</v>
      </c>
      <c r="N216" s="434"/>
      <c r="O216" s="434"/>
      <c r="P216" s="434"/>
      <c r="Q216" s="434"/>
      <c r="R216" s="434"/>
      <c r="S216" s="434"/>
      <c r="T216" s="434">
        <v>432.2</v>
      </c>
      <c r="U216" s="434"/>
      <c r="V216" s="434"/>
      <c r="W216" s="434"/>
      <c r="X216" s="434"/>
      <c r="Y216" s="434"/>
      <c r="Z216" s="434"/>
    </row>
    <row r="219" spans="4:31" x14ac:dyDescent="0.35">
      <c r="J219" s="218" t="s">
        <v>94</v>
      </c>
      <c r="K219" s="13"/>
      <c r="L219" s="13"/>
      <c r="M219" s="129" t="s">
        <v>441</v>
      </c>
      <c r="N219" s="219" t="s">
        <v>356</v>
      </c>
      <c r="O219" s="13"/>
      <c r="P219" s="13"/>
      <c r="Q219" s="13"/>
      <c r="R219" s="503" t="s">
        <v>441</v>
      </c>
      <c r="S219" s="13"/>
      <c r="T219" s="218" t="s">
        <v>357</v>
      </c>
      <c r="U219" s="13"/>
      <c r="V219" s="13"/>
      <c r="W219" s="13"/>
      <c r="X219" s="13"/>
      <c r="Y219" s="13"/>
      <c r="Z219" s="103"/>
    </row>
    <row r="220" spans="4:31" x14ac:dyDescent="0.35">
      <c r="J220" s="211">
        <v>1</v>
      </c>
      <c r="K220" s="212">
        <v>2</v>
      </c>
      <c r="L220" s="212">
        <v>3</v>
      </c>
      <c r="M220" s="212">
        <v>4</v>
      </c>
      <c r="N220" s="211">
        <v>5</v>
      </c>
      <c r="O220" s="212">
        <v>6</v>
      </c>
      <c r="P220" s="214">
        <v>7</v>
      </c>
      <c r="Q220" s="214">
        <v>8</v>
      </c>
      <c r="R220" s="214">
        <v>9</v>
      </c>
      <c r="S220" s="214">
        <v>10</v>
      </c>
      <c r="T220" s="217">
        <v>11</v>
      </c>
      <c r="U220" s="214">
        <v>12</v>
      </c>
      <c r="V220" s="214">
        <v>13</v>
      </c>
      <c r="W220" s="214">
        <v>14</v>
      </c>
      <c r="X220" s="214">
        <v>15</v>
      </c>
      <c r="Y220" s="214">
        <v>16</v>
      </c>
      <c r="Z220" s="2814"/>
      <c r="AA220" s="2814"/>
      <c r="AB220" s="2814"/>
      <c r="AC220" s="2814"/>
      <c r="AD220" s="2814"/>
      <c r="AE220" s="2814"/>
    </row>
    <row r="221" spans="4:31" ht="16.5" thickBot="1" x14ac:dyDescent="0.4">
      <c r="D221" s="436" t="s">
        <v>390</v>
      </c>
      <c r="J221" s="221"/>
      <c r="N221" s="221"/>
      <c r="T221" s="221"/>
    </row>
    <row r="222" spans="4:31" x14ac:dyDescent="0.35">
      <c r="D222" s="134" t="s">
        <v>92</v>
      </c>
      <c r="E222" s="135"/>
      <c r="F222" s="135"/>
      <c r="G222" s="135"/>
      <c r="H222" s="135"/>
      <c r="I222" s="135"/>
      <c r="J222" s="429">
        <v>45856</v>
      </c>
      <c r="K222" s="429">
        <v>45857</v>
      </c>
      <c r="L222" s="429">
        <v>45858</v>
      </c>
      <c r="M222" s="429">
        <v>45859</v>
      </c>
      <c r="N222" s="429">
        <v>45860</v>
      </c>
      <c r="O222" s="429">
        <v>45861</v>
      </c>
      <c r="P222" s="429">
        <v>45862</v>
      </c>
      <c r="Q222" s="429">
        <v>45863</v>
      </c>
      <c r="R222" s="429">
        <v>45864</v>
      </c>
      <c r="S222" s="429">
        <v>45865</v>
      </c>
      <c r="T222" s="429">
        <v>45866</v>
      </c>
      <c r="U222" s="429">
        <v>45867</v>
      </c>
      <c r="V222" s="429">
        <v>45868</v>
      </c>
      <c r="W222" s="429">
        <v>45869</v>
      </c>
      <c r="X222" s="429">
        <v>45870</v>
      </c>
      <c r="Y222" s="429">
        <v>45871</v>
      </c>
      <c r="Z222" s="429">
        <v>45872</v>
      </c>
      <c r="AA222" s="12"/>
      <c r="AB222" s="12"/>
      <c r="AC222" s="12"/>
      <c r="AD222" s="12"/>
      <c r="AE222" s="12"/>
    </row>
    <row r="223" spans="4:31" x14ac:dyDescent="0.35">
      <c r="D223" s="136">
        <v>0</v>
      </c>
      <c r="E223" s="437"/>
      <c r="F223" s="437"/>
      <c r="G223" s="438"/>
      <c r="H223" s="438"/>
      <c r="I223" s="438"/>
      <c r="J223" s="138">
        <v>94.5</v>
      </c>
      <c r="K223" s="138">
        <v>89.7</v>
      </c>
      <c r="L223" s="138">
        <v>166</v>
      </c>
      <c r="M223" s="138"/>
      <c r="N223" s="138">
        <v>118.8</v>
      </c>
      <c r="O223" s="138">
        <v>114.7</v>
      </c>
      <c r="P223" s="138">
        <v>139.9</v>
      </c>
      <c r="Q223" s="138">
        <v>135.1</v>
      </c>
      <c r="R223" s="138"/>
      <c r="S223" s="138"/>
      <c r="T223" s="138"/>
      <c r="U223" s="138"/>
      <c r="V223" s="138"/>
      <c r="W223" s="138"/>
      <c r="X223" s="138"/>
      <c r="Y223" s="138"/>
      <c r="Z223" s="138"/>
      <c r="AA223" s="12"/>
      <c r="AB223" s="12"/>
      <c r="AC223" s="12"/>
      <c r="AD223" s="12"/>
      <c r="AE223" s="12"/>
    </row>
    <row r="224" spans="4:31" x14ac:dyDescent="0.35">
      <c r="D224" s="136">
        <v>1</v>
      </c>
      <c r="E224" s="437"/>
      <c r="F224" s="437"/>
      <c r="G224" s="438"/>
      <c r="H224" s="438"/>
      <c r="I224" s="438"/>
      <c r="J224" s="138">
        <v>94.8</v>
      </c>
      <c r="K224" s="138">
        <v>121.1</v>
      </c>
      <c r="L224" s="138">
        <v>216.8</v>
      </c>
      <c r="M224" s="138"/>
      <c r="N224" s="138">
        <v>176.6</v>
      </c>
      <c r="O224" s="138">
        <v>170.3</v>
      </c>
      <c r="P224" s="138">
        <v>174</v>
      </c>
      <c r="Q224" s="138">
        <v>173.5</v>
      </c>
      <c r="R224" s="138"/>
      <c r="S224" s="138"/>
      <c r="T224" s="138"/>
      <c r="U224" s="138"/>
      <c r="V224" s="138"/>
      <c r="W224" s="138"/>
      <c r="X224" s="138"/>
      <c r="Y224" s="138"/>
      <c r="Z224" s="138"/>
      <c r="AA224" s="180"/>
      <c r="AB224" s="180"/>
      <c r="AC224" s="180"/>
      <c r="AD224" s="180"/>
      <c r="AE224" s="180"/>
    </row>
    <row r="225" spans="4:31" x14ac:dyDescent="0.35">
      <c r="D225" s="136">
        <v>2</v>
      </c>
      <c r="E225" s="437"/>
      <c r="F225" s="437"/>
      <c r="G225" s="438"/>
      <c r="H225" s="438"/>
      <c r="I225" s="438"/>
      <c r="J225" s="138">
        <v>95.4</v>
      </c>
      <c r="K225" s="138">
        <v>121.5</v>
      </c>
      <c r="L225" s="138">
        <v>281.5</v>
      </c>
      <c r="M225" s="138"/>
      <c r="N225" s="138">
        <v>244.2</v>
      </c>
      <c r="O225" s="138">
        <v>234.5</v>
      </c>
      <c r="P225" s="138">
        <v>217</v>
      </c>
      <c r="Q225" s="138">
        <v>220.6</v>
      </c>
      <c r="R225" s="138"/>
      <c r="S225" s="138"/>
      <c r="T225" s="138"/>
      <c r="U225" s="138"/>
      <c r="V225" s="138"/>
      <c r="W225" s="138"/>
      <c r="X225" s="138"/>
      <c r="Y225" s="138"/>
      <c r="Z225" s="138"/>
      <c r="AA225" s="180"/>
      <c r="AB225" s="180"/>
      <c r="AC225" s="180"/>
      <c r="AD225" s="180"/>
      <c r="AE225" s="180"/>
    </row>
    <row r="226" spans="4:31" x14ac:dyDescent="0.35">
      <c r="D226" s="136">
        <v>3</v>
      </c>
      <c r="E226" s="437"/>
      <c r="F226" s="437"/>
      <c r="G226" s="438"/>
      <c r="H226" s="438"/>
      <c r="I226" s="438"/>
      <c r="J226" s="138">
        <v>108.5</v>
      </c>
      <c r="K226" s="138">
        <v>132.1</v>
      </c>
      <c r="L226" s="138">
        <v>322.10000000000002</v>
      </c>
      <c r="M226" s="138"/>
      <c r="N226" s="138">
        <v>281</v>
      </c>
      <c r="O226" s="138">
        <v>270</v>
      </c>
      <c r="P226" s="138">
        <v>250</v>
      </c>
      <c r="Q226" s="138">
        <v>255</v>
      </c>
      <c r="R226" s="138"/>
      <c r="S226" s="138"/>
      <c r="T226" s="138"/>
      <c r="U226" s="138"/>
      <c r="V226" s="138"/>
      <c r="W226" s="138"/>
      <c r="X226" s="138"/>
      <c r="Y226" s="138"/>
      <c r="Z226" s="138"/>
      <c r="AA226" s="180"/>
      <c r="AB226" s="180"/>
      <c r="AC226" s="180"/>
      <c r="AD226" s="180"/>
      <c r="AE226" s="180"/>
    </row>
    <row r="227" spans="4:31" x14ac:dyDescent="0.35">
      <c r="D227" s="136">
        <v>4</v>
      </c>
      <c r="E227" s="437"/>
      <c r="F227" s="437"/>
      <c r="G227" s="438"/>
      <c r="H227" s="438"/>
      <c r="I227" s="438"/>
      <c r="J227" s="138">
        <v>108.8</v>
      </c>
      <c r="K227" s="138">
        <v>184</v>
      </c>
      <c r="L227" s="138">
        <v>350.2</v>
      </c>
      <c r="M227" s="138"/>
      <c r="N227" s="138">
        <v>309</v>
      </c>
      <c r="O227" s="138">
        <v>300.2</v>
      </c>
      <c r="P227" s="138">
        <v>276.39999999999998</v>
      </c>
      <c r="Q227" s="138">
        <v>284.5</v>
      </c>
      <c r="R227" s="138"/>
      <c r="S227" s="138"/>
      <c r="T227" s="138"/>
      <c r="U227" s="138"/>
      <c r="V227" s="138"/>
      <c r="W227" s="138"/>
      <c r="X227" s="138"/>
      <c r="Y227" s="138"/>
      <c r="Z227" s="138"/>
      <c r="AA227" s="180"/>
      <c r="AB227" s="180"/>
      <c r="AC227" s="180"/>
      <c r="AD227" s="180"/>
      <c r="AE227" s="180"/>
    </row>
    <row r="228" spans="4:31" x14ac:dyDescent="0.35">
      <c r="D228" s="430">
        <v>5</v>
      </c>
      <c r="E228" s="437"/>
      <c r="F228" s="437"/>
      <c r="G228" s="438"/>
      <c r="H228" s="438"/>
      <c r="I228" s="438"/>
      <c r="J228" s="432">
        <v>109</v>
      </c>
      <c r="K228" s="432">
        <v>243.5</v>
      </c>
      <c r="L228" s="432">
        <v>371.1</v>
      </c>
      <c r="M228" s="432"/>
      <c r="N228" s="432">
        <v>330.2</v>
      </c>
      <c r="O228" s="432">
        <v>322.8</v>
      </c>
      <c r="P228" s="432">
        <v>299.60000000000002</v>
      </c>
      <c r="Q228" s="432">
        <v>310.7</v>
      </c>
      <c r="R228" s="432"/>
      <c r="S228" s="432"/>
      <c r="T228" s="432"/>
      <c r="U228" s="432"/>
      <c r="V228" s="432"/>
      <c r="W228" s="432"/>
      <c r="X228" s="432"/>
      <c r="Y228" s="432"/>
      <c r="Z228" s="432"/>
      <c r="AA228" s="180"/>
      <c r="AB228" s="180"/>
      <c r="AC228" s="180"/>
      <c r="AD228" s="180"/>
      <c r="AE228" s="180"/>
    </row>
    <row r="229" spans="4:31" x14ac:dyDescent="0.35">
      <c r="D229" s="136">
        <v>6</v>
      </c>
      <c r="E229" s="437"/>
      <c r="F229" s="437"/>
      <c r="G229" s="438"/>
      <c r="H229" s="438"/>
      <c r="I229" s="438"/>
      <c r="J229" s="138">
        <v>109.2</v>
      </c>
      <c r="K229" s="138">
        <v>297.8</v>
      </c>
      <c r="L229" s="138">
        <v>392</v>
      </c>
      <c r="M229" s="138"/>
      <c r="N229" s="138">
        <v>348.9</v>
      </c>
      <c r="O229" s="138">
        <v>342.8</v>
      </c>
      <c r="P229" s="138">
        <v>319.2</v>
      </c>
      <c r="Q229" s="138">
        <v>332.1</v>
      </c>
      <c r="R229" s="138"/>
      <c r="S229" s="138"/>
      <c r="T229" s="138"/>
      <c r="U229" s="138"/>
      <c r="V229" s="138"/>
      <c r="W229" s="138"/>
      <c r="X229" s="138"/>
      <c r="Y229" s="138"/>
      <c r="Z229" s="138"/>
      <c r="AA229" s="180"/>
      <c r="AB229" s="180"/>
      <c r="AC229" s="180"/>
      <c r="AD229" s="180"/>
      <c r="AE229" s="180"/>
    </row>
    <row r="230" spans="4:31" x14ac:dyDescent="0.35">
      <c r="D230" s="136">
        <v>7</v>
      </c>
      <c r="E230" s="437"/>
      <c r="F230" s="437"/>
      <c r="G230" s="438"/>
      <c r="H230" s="438"/>
      <c r="I230" s="438"/>
      <c r="J230" s="138">
        <v>109.3</v>
      </c>
      <c r="K230" s="138">
        <v>334.9</v>
      </c>
      <c r="L230" s="138">
        <v>406.2</v>
      </c>
      <c r="M230" s="138"/>
      <c r="N230" s="138">
        <v>364.2</v>
      </c>
      <c r="O230" s="138">
        <v>360.1</v>
      </c>
      <c r="P230" s="138">
        <v>337.7</v>
      </c>
      <c r="Q230" s="138">
        <v>352.3</v>
      </c>
      <c r="R230" s="138"/>
      <c r="S230" s="138"/>
      <c r="T230" s="138"/>
      <c r="U230" s="138"/>
      <c r="V230" s="138"/>
      <c r="W230" s="138"/>
      <c r="X230" s="138"/>
      <c r="Y230" s="138"/>
      <c r="Z230" s="138"/>
      <c r="AA230" s="181"/>
      <c r="AB230" s="181"/>
      <c r="AC230" s="181"/>
      <c r="AD230" s="181"/>
      <c r="AE230" s="181"/>
    </row>
    <row r="231" spans="4:31" x14ac:dyDescent="0.35">
      <c r="D231" s="136">
        <v>8</v>
      </c>
      <c r="E231" s="437"/>
      <c r="F231" s="437"/>
      <c r="G231" s="438"/>
      <c r="H231" s="438"/>
      <c r="I231" s="438"/>
      <c r="J231" s="138">
        <v>109.4</v>
      </c>
      <c r="K231" s="138">
        <v>359.9</v>
      </c>
      <c r="L231" s="138">
        <v>419.9</v>
      </c>
      <c r="M231" s="138"/>
      <c r="N231" s="138">
        <v>377.3</v>
      </c>
      <c r="O231" s="138">
        <v>375.4</v>
      </c>
      <c r="P231" s="138">
        <v>354.3</v>
      </c>
      <c r="Q231" s="138">
        <v>370.1</v>
      </c>
      <c r="R231" s="138"/>
      <c r="S231" s="138"/>
      <c r="T231" s="138"/>
      <c r="U231" s="138"/>
      <c r="V231" s="138"/>
      <c r="W231" s="138"/>
      <c r="X231" s="138"/>
      <c r="Y231" s="138"/>
      <c r="Z231" s="138"/>
      <c r="AA231" s="18"/>
      <c r="AB231" s="18"/>
      <c r="AC231" s="18"/>
      <c r="AD231" s="18"/>
      <c r="AE231" s="18"/>
    </row>
    <row r="232" spans="4:31" x14ac:dyDescent="0.35">
      <c r="D232" s="136">
        <v>9</v>
      </c>
      <c r="E232" s="437"/>
      <c r="F232" s="437"/>
      <c r="G232" s="438"/>
      <c r="H232" s="438"/>
      <c r="I232" s="438"/>
      <c r="J232" s="138">
        <v>109.5</v>
      </c>
      <c r="K232" s="138">
        <v>382</v>
      </c>
      <c r="L232" s="138">
        <v>433.6</v>
      </c>
      <c r="M232" s="138"/>
      <c r="N232" s="138">
        <v>388.8</v>
      </c>
      <c r="O232" s="138">
        <v>389.1</v>
      </c>
      <c r="P232" s="138">
        <v>369.8</v>
      </c>
      <c r="Q232" s="138">
        <v>386.7</v>
      </c>
      <c r="R232" s="138"/>
      <c r="S232" s="138"/>
      <c r="T232" s="138"/>
      <c r="U232" s="138"/>
      <c r="V232" s="138"/>
      <c r="W232" s="138"/>
      <c r="X232" s="138"/>
      <c r="Y232" s="138"/>
      <c r="Z232" s="138"/>
    </row>
    <row r="233" spans="4:31" x14ac:dyDescent="0.35">
      <c r="D233" s="430">
        <v>10</v>
      </c>
      <c r="E233" s="437"/>
      <c r="F233" s="437"/>
      <c r="G233" s="438"/>
      <c r="H233" s="438"/>
      <c r="I233" s="438"/>
      <c r="J233" s="432">
        <v>109.6</v>
      </c>
      <c r="K233" s="432">
        <v>399.6</v>
      </c>
      <c r="L233" s="432">
        <v>445.2</v>
      </c>
      <c r="M233" s="432"/>
      <c r="N233" s="432">
        <v>399.5</v>
      </c>
      <c r="O233" s="432">
        <v>401.5</v>
      </c>
      <c r="P233" s="432">
        <v>383.9</v>
      </c>
      <c r="Q233" s="432">
        <v>402</v>
      </c>
      <c r="R233" s="432"/>
      <c r="S233" s="432"/>
      <c r="T233" s="432"/>
      <c r="U233" s="432"/>
      <c r="V233" s="432"/>
      <c r="W233" s="432"/>
      <c r="X233" s="432"/>
      <c r="Y233" s="432"/>
      <c r="Z233" s="432"/>
    </row>
    <row r="234" spans="4:31" x14ac:dyDescent="0.35">
      <c r="D234" s="136">
        <v>11</v>
      </c>
      <c r="E234" s="437"/>
      <c r="F234" s="437"/>
      <c r="G234" s="438"/>
      <c r="H234" s="438"/>
      <c r="I234" s="438"/>
      <c r="J234" s="138">
        <v>109.7</v>
      </c>
      <c r="K234" s="138">
        <v>413.3</v>
      </c>
      <c r="L234" s="138">
        <v>457.3</v>
      </c>
      <c r="M234" s="138"/>
      <c r="N234" s="138">
        <v>409.9</v>
      </c>
      <c r="O234" s="138">
        <v>413.6</v>
      </c>
      <c r="P234" s="138">
        <v>397.5</v>
      </c>
      <c r="Q234" s="138">
        <v>416.6</v>
      </c>
      <c r="R234" s="138"/>
      <c r="S234" s="138"/>
      <c r="T234" s="138"/>
      <c r="U234" s="138"/>
      <c r="V234" s="138"/>
      <c r="W234" s="138"/>
      <c r="X234" s="138"/>
      <c r="Y234" s="138"/>
      <c r="Z234" s="138"/>
    </row>
    <row r="235" spans="4:31" x14ac:dyDescent="0.35">
      <c r="D235" s="136">
        <v>12</v>
      </c>
      <c r="E235" s="437"/>
      <c r="F235" s="437"/>
      <c r="G235" s="438"/>
      <c r="H235" s="438"/>
      <c r="I235" s="438"/>
      <c r="J235" s="138">
        <v>109.8</v>
      </c>
      <c r="K235" s="138">
        <v>428.1</v>
      </c>
      <c r="L235" s="138">
        <v>468.9</v>
      </c>
      <c r="M235" s="138"/>
      <c r="N235" s="138">
        <v>419.8</v>
      </c>
      <c r="O235" s="138">
        <v>425</v>
      </c>
      <c r="P235" s="138">
        <v>410.1</v>
      </c>
      <c r="Q235" s="138">
        <v>429.7</v>
      </c>
      <c r="R235" s="138"/>
      <c r="S235" s="138"/>
      <c r="T235" s="138"/>
      <c r="U235" s="138"/>
      <c r="V235" s="138"/>
      <c r="W235" s="138"/>
      <c r="X235" s="138"/>
      <c r="Y235" s="138"/>
      <c r="Z235" s="138"/>
    </row>
    <row r="236" spans="4:31" x14ac:dyDescent="0.35">
      <c r="D236" s="136">
        <v>13</v>
      </c>
      <c r="E236" s="437"/>
      <c r="F236" s="437"/>
      <c r="G236" s="438"/>
      <c r="H236" s="438"/>
      <c r="I236" s="438"/>
      <c r="J236" s="138">
        <v>109.9</v>
      </c>
      <c r="K236" s="138">
        <v>440.6</v>
      </c>
      <c r="L236" s="138">
        <v>479.4</v>
      </c>
      <c r="M236" s="138"/>
      <c r="N236" s="138">
        <v>428.9</v>
      </c>
      <c r="O236" s="138">
        <v>435.9</v>
      </c>
      <c r="P236" s="138">
        <v>421.9</v>
      </c>
      <c r="Q236" s="138">
        <v>442.8</v>
      </c>
      <c r="R236" s="138"/>
      <c r="S236" s="138"/>
      <c r="T236" s="138"/>
      <c r="U236" s="138"/>
      <c r="V236" s="138"/>
      <c r="W236" s="138"/>
      <c r="X236" s="138"/>
      <c r="Y236" s="138"/>
      <c r="Z236" s="138"/>
    </row>
    <row r="237" spans="4:31" x14ac:dyDescent="0.35">
      <c r="D237" s="136">
        <v>14</v>
      </c>
      <c r="E237" s="437"/>
      <c r="F237" s="437"/>
      <c r="G237" s="438"/>
      <c r="H237" s="438"/>
      <c r="I237" s="438"/>
      <c r="J237" s="138">
        <v>110</v>
      </c>
      <c r="K237" s="138">
        <v>452.4</v>
      </c>
      <c r="L237" s="138">
        <v>490.1</v>
      </c>
      <c r="M237" s="138"/>
      <c r="N237" s="138">
        <v>438.1</v>
      </c>
      <c r="O237" s="138">
        <v>446.4</v>
      </c>
      <c r="P237" s="138">
        <v>433.1</v>
      </c>
      <c r="Q237" s="138">
        <v>455.2</v>
      </c>
      <c r="R237" s="138"/>
      <c r="S237" s="138"/>
      <c r="T237" s="138"/>
      <c r="U237" s="138"/>
      <c r="V237" s="138"/>
      <c r="W237" s="138"/>
      <c r="X237" s="138"/>
      <c r="Y237" s="138"/>
      <c r="Z237" s="138"/>
    </row>
    <row r="238" spans="4:31" x14ac:dyDescent="0.35">
      <c r="D238" s="430">
        <v>15</v>
      </c>
      <c r="E238" s="437"/>
      <c r="F238" s="437"/>
      <c r="G238" s="438"/>
      <c r="H238" s="438"/>
      <c r="I238" s="438"/>
      <c r="J238" s="432">
        <v>110.1</v>
      </c>
      <c r="K238" s="432">
        <v>464.9</v>
      </c>
      <c r="L238" s="432">
        <v>499.8</v>
      </c>
      <c r="M238" s="432"/>
      <c r="N238" s="432">
        <v>446.9</v>
      </c>
      <c r="O238" s="432">
        <v>456.6</v>
      </c>
      <c r="P238" s="432">
        <v>444.1</v>
      </c>
      <c r="Q238" s="432">
        <v>467.3</v>
      </c>
      <c r="R238" s="432"/>
      <c r="S238" s="432"/>
      <c r="T238" s="432"/>
      <c r="U238" s="432"/>
      <c r="V238" s="432"/>
      <c r="W238" s="432"/>
      <c r="X238" s="432"/>
      <c r="Y238" s="432"/>
      <c r="Z238" s="432"/>
    </row>
    <row r="239" spans="4:31" x14ac:dyDescent="0.35">
      <c r="D239" s="136">
        <v>16</v>
      </c>
      <c r="E239" s="437"/>
      <c r="F239" s="437"/>
      <c r="G239" s="438"/>
      <c r="H239" s="438"/>
      <c r="I239" s="438"/>
      <c r="J239" s="138">
        <v>110.2</v>
      </c>
      <c r="K239" s="138">
        <v>475.9</v>
      </c>
      <c r="L239" s="138">
        <v>508</v>
      </c>
      <c r="M239" s="138"/>
      <c r="N239" s="138">
        <v>455.4</v>
      </c>
      <c r="O239" s="138">
        <v>466.6</v>
      </c>
      <c r="P239" s="138">
        <v>454.8</v>
      </c>
      <c r="Q239" s="138">
        <v>478.7</v>
      </c>
      <c r="R239" s="138"/>
      <c r="S239" s="138"/>
      <c r="T239" s="138"/>
      <c r="U239" s="138"/>
      <c r="V239" s="138"/>
      <c r="W239" s="138"/>
      <c r="X239" s="138"/>
      <c r="Y239" s="138"/>
      <c r="Z239" s="138"/>
    </row>
    <row r="240" spans="4:31" x14ac:dyDescent="0.35">
      <c r="D240" s="136">
        <v>17</v>
      </c>
      <c r="E240" s="437"/>
      <c r="F240" s="437"/>
      <c r="G240" s="438"/>
      <c r="H240" s="438"/>
      <c r="I240" s="438"/>
      <c r="J240" s="138">
        <v>110.3</v>
      </c>
      <c r="K240" s="138">
        <v>486.8</v>
      </c>
      <c r="L240" s="138">
        <v>516.70000000000005</v>
      </c>
      <c r="M240" s="138"/>
      <c r="N240" s="138">
        <v>463.7</v>
      </c>
      <c r="O240" s="138">
        <v>476.2</v>
      </c>
      <c r="P240" s="138">
        <v>465</v>
      </c>
      <c r="Q240" s="138">
        <v>489.8</v>
      </c>
      <c r="R240" s="138"/>
      <c r="S240" s="138"/>
      <c r="T240" s="138"/>
      <c r="U240" s="138"/>
      <c r="V240" s="138"/>
      <c r="W240" s="138"/>
      <c r="X240" s="138"/>
      <c r="Y240" s="138"/>
      <c r="Z240" s="138"/>
    </row>
    <row r="241" spans="4:26" x14ac:dyDescent="0.35">
      <c r="D241" s="136">
        <v>18</v>
      </c>
      <c r="E241" s="437"/>
      <c r="F241" s="437"/>
      <c r="G241" s="438"/>
      <c r="H241" s="438"/>
      <c r="I241" s="438"/>
      <c r="J241" s="138">
        <v>110.3</v>
      </c>
      <c r="K241" s="138">
        <v>497.6</v>
      </c>
      <c r="L241" s="138">
        <v>524.6</v>
      </c>
      <c r="M241" s="138"/>
      <c r="N241" s="138">
        <v>471.7</v>
      </c>
      <c r="O241" s="138">
        <v>485.5</v>
      </c>
      <c r="P241" s="138">
        <v>475</v>
      </c>
      <c r="Q241" s="138">
        <v>499.7</v>
      </c>
      <c r="R241" s="138"/>
      <c r="S241" s="138"/>
      <c r="T241" s="138"/>
      <c r="U241" s="138"/>
      <c r="V241" s="138"/>
      <c r="W241" s="138"/>
      <c r="X241" s="138"/>
      <c r="Y241" s="138"/>
      <c r="Z241" s="138"/>
    </row>
    <row r="242" spans="4:26" x14ac:dyDescent="0.35">
      <c r="D242" s="136">
        <v>19</v>
      </c>
      <c r="E242" s="437"/>
      <c r="F242" s="437"/>
      <c r="G242" s="438"/>
      <c r="H242" s="438"/>
      <c r="I242" s="438"/>
      <c r="J242" s="138">
        <v>110.4</v>
      </c>
      <c r="K242" s="138">
        <v>506.5</v>
      </c>
      <c r="L242" s="138">
        <v>531.29999999999995</v>
      </c>
      <c r="M242" s="138"/>
      <c r="N242" s="138">
        <v>479.4</v>
      </c>
      <c r="O242" s="138">
        <v>494.3</v>
      </c>
      <c r="P242" s="138">
        <v>484.6</v>
      </c>
      <c r="Q242" s="138">
        <v>508.5</v>
      </c>
      <c r="R242" s="138"/>
      <c r="S242" s="138"/>
      <c r="T242" s="138"/>
      <c r="U242" s="138"/>
      <c r="V242" s="138"/>
      <c r="W242" s="138"/>
      <c r="X242" s="138"/>
      <c r="Y242" s="138"/>
      <c r="Z242" s="138"/>
    </row>
    <row r="243" spans="4:26" x14ac:dyDescent="0.35">
      <c r="D243" s="430">
        <v>20</v>
      </c>
      <c r="E243" s="437"/>
      <c r="F243" s="437"/>
      <c r="G243" s="438"/>
      <c r="H243" s="438"/>
      <c r="I243" s="438"/>
      <c r="J243" s="432">
        <v>110.5</v>
      </c>
      <c r="K243" s="432">
        <v>515.6</v>
      </c>
      <c r="L243" s="432">
        <v>537.5</v>
      </c>
      <c r="M243" s="432"/>
      <c r="N243" s="432">
        <v>486.8</v>
      </c>
      <c r="O243" s="432">
        <v>502.1</v>
      </c>
      <c r="P243" s="432">
        <v>493.8</v>
      </c>
      <c r="Q243" s="432">
        <v>517.29999999999995</v>
      </c>
      <c r="R243" s="432"/>
      <c r="S243" s="432"/>
      <c r="T243" s="432"/>
      <c r="U243" s="432"/>
      <c r="V243" s="432"/>
      <c r="W243" s="432"/>
      <c r="X243" s="432"/>
      <c r="Y243" s="432"/>
      <c r="Z243" s="432"/>
    </row>
    <row r="244" spans="4:26" x14ac:dyDescent="0.35">
      <c r="D244" s="136">
        <v>21</v>
      </c>
      <c r="E244" s="437"/>
      <c r="F244" s="437"/>
      <c r="G244" s="438"/>
      <c r="H244" s="438"/>
      <c r="I244" s="438"/>
      <c r="J244" s="138">
        <v>110.6</v>
      </c>
      <c r="K244" s="138">
        <v>524.20000000000005</v>
      </c>
      <c r="L244" s="138">
        <v>543.20000000000005</v>
      </c>
      <c r="M244" s="138"/>
      <c r="N244" s="138">
        <v>493.8</v>
      </c>
      <c r="O244" s="138">
        <v>509.1</v>
      </c>
      <c r="P244" s="138">
        <v>502</v>
      </c>
      <c r="Q244" s="138">
        <v>525.1</v>
      </c>
      <c r="R244" s="138"/>
      <c r="S244" s="138"/>
      <c r="T244" s="138"/>
      <c r="U244" s="138"/>
      <c r="V244" s="138"/>
      <c r="W244" s="138"/>
      <c r="X244" s="138"/>
      <c r="Y244" s="138"/>
      <c r="Z244" s="138"/>
    </row>
    <row r="245" spans="4:26" x14ac:dyDescent="0.35">
      <c r="D245" s="136">
        <v>22</v>
      </c>
      <c r="E245" s="437"/>
      <c r="F245" s="437"/>
      <c r="G245" s="438"/>
      <c r="H245" s="438"/>
      <c r="I245" s="438"/>
      <c r="J245" s="138">
        <v>110.6</v>
      </c>
      <c r="K245" s="138">
        <v>531.5</v>
      </c>
      <c r="L245" s="138">
        <v>548.70000000000005</v>
      </c>
      <c r="M245" s="138"/>
      <c r="N245" s="138">
        <v>500</v>
      </c>
      <c r="O245" s="138">
        <v>516.29999999999995</v>
      </c>
      <c r="P245" s="138">
        <v>509.5</v>
      </c>
      <c r="Q245" s="138">
        <v>531.9</v>
      </c>
      <c r="R245" s="138"/>
      <c r="S245" s="138"/>
      <c r="T245" s="138"/>
      <c r="U245" s="138"/>
      <c r="V245" s="138"/>
      <c r="W245" s="138"/>
      <c r="X245" s="138"/>
      <c r="Y245" s="138"/>
      <c r="Z245" s="138"/>
    </row>
    <row r="246" spans="4:26" x14ac:dyDescent="0.35">
      <c r="D246" s="136">
        <v>23</v>
      </c>
      <c r="E246" s="437"/>
      <c r="F246" s="437"/>
      <c r="G246" s="438"/>
      <c r="H246" s="438"/>
      <c r="I246" s="438"/>
      <c r="J246" s="138">
        <v>110.7</v>
      </c>
      <c r="K246" s="138">
        <v>538.20000000000005</v>
      </c>
      <c r="L246" s="138">
        <v>553.79999999999995</v>
      </c>
      <c r="M246" s="138"/>
      <c r="N246" s="138">
        <v>505.7</v>
      </c>
      <c r="O246" s="138">
        <v>523</v>
      </c>
      <c r="P246" s="138">
        <v>517.20000000000005</v>
      </c>
      <c r="Q246" s="138">
        <v>537.9</v>
      </c>
      <c r="R246" s="138"/>
      <c r="S246" s="138"/>
      <c r="T246" s="138"/>
      <c r="U246" s="138"/>
      <c r="V246" s="138"/>
      <c r="W246" s="138"/>
      <c r="X246" s="138"/>
      <c r="Y246" s="138"/>
      <c r="Z246" s="138"/>
    </row>
    <row r="247" spans="4:26" x14ac:dyDescent="0.35">
      <c r="D247" s="136">
        <v>24</v>
      </c>
      <c r="E247" s="437"/>
      <c r="F247" s="437"/>
      <c r="G247" s="438"/>
      <c r="H247" s="438"/>
      <c r="I247" s="438"/>
      <c r="J247" s="138">
        <v>110.8</v>
      </c>
      <c r="K247" s="138">
        <v>544.4</v>
      </c>
      <c r="L247" s="138">
        <v>558.4</v>
      </c>
      <c r="M247" s="138"/>
      <c r="N247" s="138">
        <v>511.2</v>
      </c>
      <c r="O247" s="138">
        <v>528.70000000000005</v>
      </c>
      <c r="P247" s="138">
        <v>524.20000000000005</v>
      </c>
      <c r="Q247" s="138">
        <v>543.20000000000005</v>
      </c>
      <c r="R247" s="138"/>
      <c r="S247" s="138"/>
      <c r="T247" s="138"/>
      <c r="U247" s="138"/>
      <c r="V247" s="138"/>
      <c r="W247" s="138"/>
      <c r="X247" s="138"/>
      <c r="Y247" s="138"/>
      <c r="Z247" s="138"/>
    </row>
    <row r="248" spans="4:26" x14ac:dyDescent="0.35">
      <c r="D248" s="136">
        <v>25</v>
      </c>
      <c r="E248" s="437"/>
      <c r="F248" s="437"/>
      <c r="G248" s="438"/>
      <c r="H248" s="438"/>
      <c r="I248" s="438"/>
      <c r="J248" s="138">
        <v>110.8</v>
      </c>
      <c r="K248" s="138">
        <v>550.29999999999995</v>
      </c>
      <c r="L248" s="138">
        <v>562.5</v>
      </c>
      <c r="M248" s="138"/>
      <c r="N248" s="138">
        <v>516.6</v>
      </c>
      <c r="O248" s="138">
        <v>534</v>
      </c>
      <c r="P248" s="138">
        <v>530.4</v>
      </c>
      <c r="Q248" s="138">
        <v>548.29999999999995</v>
      </c>
      <c r="R248" s="138"/>
      <c r="S248" s="138"/>
      <c r="T248" s="138"/>
      <c r="U248" s="138"/>
      <c r="V248" s="138"/>
      <c r="W248" s="138"/>
      <c r="X248" s="138"/>
      <c r="Y248" s="138"/>
      <c r="Z248" s="138"/>
    </row>
    <row r="249" spans="4:26" x14ac:dyDescent="0.35">
      <c r="D249" s="136">
        <v>26</v>
      </c>
      <c r="E249" s="437"/>
      <c r="F249" s="437"/>
      <c r="G249" s="438"/>
      <c r="H249" s="438"/>
      <c r="I249" s="438"/>
      <c r="J249" s="138">
        <v>110.9</v>
      </c>
      <c r="K249" s="138">
        <v>555.79999999999995</v>
      </c>
      <c r="L249" s="138">
        <v>566.29999999999995</v>
      </c>
      <c r="M249" s="138"/>
      <c r="N249" s="138">
        <v>521.6</v>
      </c>
      <c r="O249" s="138">
        <v>538.79999999999995</v>
      </c>
      <c r="P249" s="138">
        <v>536</v>
      </c>
      <c r="Q249" s="138">
        <v>553.1</v>
      </c>
      <c r="R249" s="138"/>
      <c r="S249" s="138"/>
      <c r="T249" s="138"/>
      <c r="U249" s="138"/>
      <c r="V249" s="138"/>
      <c r="W249" s="138"/>
      <c r="X249" s="138"/>
      <c r="Y249" s="138"/>
      <c r="Z249" s="138"/>
    </row>
    <row r="250" spans="4:26" x14ac:dyDescent="0.35">
      <c r="D250" s="136">
        <v>27</v>
      </c>
      <c r="E250" s="437"/>
      <c r="F250" s="437"/>
      <c r="G250" s="438"/>
      <c r="H250" s="438"/>
      <c r="I250" s="438"/>
      <c r="J250" s="138">
        <v>110.9</v>
      </c>
      <c r="K250" s="138">
        <v>560.4</v>
      </c>
      <c r="L250" s="138">
        <v>569.70000000000005</v>
      </c>
      <c r="M250" s="138"/>
      <c r="N250" s="138">
        <v>526.1</v>
      </c>
      <c r="O250" s="138">
        <v>543.29999999999995</v>
      </c>
      <c r="P250" s="138">
        <v>541.1</v>
      </c>
      <c r="Q250" s="138">
        <v>557.4</v>
      </c>
      <c r="R250" s="138"/>
      <c r="S250" s="138"/>
      <c r="T250" s="138"/>
      <c r="U250" s="138"/>
      <c r="V250" s="138"/>
      <c r="W250" s="138"/>
      <c r="X250" s="138"/>
      <c r="Y250" s="138"/>
      <c r="Z250" s="138"/>
    </row>
    <row r="251" spans="4:26" x14ac:dyDescent="0.35">
      <c r="D251" s="136">
        <v>28</v>
      </c>
      <c r="E251" s="437"/>
      <c r="F251" s="437"/>
      <c r="G251" s="438"/>
      <c r="H251" s="438"/>
      <c r="I251" s="438"/>
      <c r="J251" s="138">
        <v>111</v>
      </c>
      <c r="K251" s="138">
        <v>564.70000000000005</v>
      </c>
      <c r="L251" s="138">
        <v>573</v>
      </c>
      <c r="M251" s="138"/>
      <c r="N251" s="138">
        <v>530.20000000000005</v>
      </c>
      <c r="O251" s="138">
        <v>547.6</v>
      </c>
      <c r="P251" s="138">
        <v>545.79999999999995</v>
      </c>
      <c r="Q251" s="138">
        <v>561.4</v>
      </c>
      <c r="R251" s="138"/>
      <c r="S251" s="138"/>
      <c r="T251" s="138"/>
      <c r="U251" s="138"/>
      <c r="V251" s="138"/>
      <c r="W251" s="138"/>
      <c r="X251" s="138"/>
      <c r="Y251" s="138"/>
      <c r="Z251" s="138"/>
    </row>
    <row r="252" spans="4:26" x14ac:dyDescent="0.35">
      <c r="D252" s="136">
        <v>29</v>
      </c>
      <c r="E252" s="437"/>
      <c r="F252" s="437"/>
      <c r="G252" s="438"/>
      <c r="H252" s="438"/>
      <c r="I252" s="438"/>
      <c r="J252" s="138">
        <v>111</v>
      </c>
      <c r="K252" s="138">
        <v>568.6</v>
      </c>
      <c r="L252" s="138">
        <v>576.20000000000005</v>
      </c>
      <c r="M252" s="138"/>
      <c r="N252" s="138">
        <v>534</v>
      </c>
      <c r="O252" s="138">
        <v>551.79999999999995</v>
      </c>
      <c r="P252" s="138">
        <v>550.29999999999995</v>
      </c>
      <c r="Q252" s="138">
        <v>565.1</v>
      </c>
      <c r="R252" s="138"/>
      <c r="S252" s="138"/>
      <c r="T252" s="138"/>
      <c r="U252" s="138"/>
      <c r="V252" s="138"/>
      <c r="W252" s="138"/>
      <c r="X252" s="138"/>
      <c r="Y252" s="138"/>
      <c r="Z252" s="138"/>
    </row>
    <row r="253" spans="4:26" x14ac:dyDescent="0.35">
      <c r="D253" s="430">
        <v>30</v>
      </c>
      <c r="E253" s="437"/>
      <c r="F253" s="437"/>
      <c r="G253" s="438"/>
      <c r="H253" s="438"/>
      <c r="I253" s="438"/>
      <c r="J253" s="432">
        <v>111.1</v>
      </c>
      <c r="K253" s="432">
        <v>572.20000000000005</v>
      </c>
      <c r="L253" s="432">
        <v>579.29999999999995</v>
      </c>
      <c r="M253" s="432"/>
      <c r="N253" s="432">
        <v>537.6</v>
      </c>
      <c r="O253" s="432">
        <v>555.70000000000005</v>
      </c>
      <c r="P253" s="432">
        <v>554.6</v>
      </c>
      <c r="Q253" s="432">
        <v>568.5</v>
      </c>
      <c r="R253" s="432"/>
      <c r="S253" s="432"/>
      <c r="T253" s="432"/>
      <c r="U253" s="432"/>
      <c r="V253" s="432"/>
      <c r="W253" s="432"/>
      <c r="X253" s="432"/>
      <c r="Y253" s="432"/>
      <c r="Z253" s="432"/>
    </row>
    <row r="254" spans="4:26" x14ac:dyDescent="0.35">
      <c r="D254" s="136">
        <v>31</v>
      </c>
      <c r="E254" s="437"/>
      <c r="F254" s="437"/>
      <c r="G254" s="438"/>
      <c r="H254" s="438"/>
      <c r="I254" s="438"/>
      <c r="J254" s="138">
        <v>111.2</v>
      </c>
      <c r="K254" s="138">
        <v>575.6</v>
      </c>
      <c r="L254" s="138">
        <v>582.4</v>
      </c>
      <c r="M254" s="138"/>
      <c r="N254" s="138">
        <v>541</v>
      </c>
      <c r="O254" s="138">
        <v>559.29999999999995</v>
      </c>
      <c r="P254" s="138">
        <v>558.4</v>
      </c>
      <c r="Q254" s="138">
        <v>571.70000000000005</v>
      </c>
      <c r="R254" s="138"/>
      <c r="S254" s="138"/>
      <c r="T254" s="138"/>
      <c r="U254" s="138"/>
      <c r="V254" s="138"/>
      <c r="W254" s="138"/>
      <c r="X254" s="138"/>
      <c r="Y254" s="138"/>
      <c r="Z254" s="138"/>
    </row>
    <row r="255" spans="4:26" x14ac:dyDescent="0.35">
      <c r="D255" s="136">
        <v>32</v>
      </c>
      <c r="E255" s="437"/>
      <c r="F255" s="437"/>
      <c r="G255" s="438"/>
      <c r="H255" s="438"/>
      <c r="I255" s="438"/>
      <c r="J255" s="138">
        <v>111.2</v>
      </c>
      <c r="K255" s="138">
        <v>579</v>
      </c>
      <c r="L255" s="138">
        <v>585.29999999999995</v>
      </c>
      <c r="M255" s="138"/>
      <c r="N255" s="138">
        <v>544.20000000000005</v>
      </c>
      <c r="O255" s="138">
        <v>562.6</v>
      </c>
      <c r="P255" s="138">
        <v>561.9</v>
      </c>
      <c r="Q255" s="138">
        <v>574.9</v>
      </c>
      <c r="R255" s="138"/>
      <c r="S255" s="138"/>
      <c r="T255" s="138"/>
      <c r="U255" s="138"/>
      <c r="V255" s="138"/>
      <c r="W255" s="138"/>
      <c r="X255" s="138"/>
      <c r="Y255" s="138"/>
      <c r="Z255" s="138"/>
    </row>
    <row r="256" spans="4:26" x14ac:dyDescent="0.35">
      <c r="D256" s="136">
        <v>33</v>
      </c>
      <c r="E256" s="437"/>
      <c r="F256" s="437"/>
      <c r="G256" s="438"/>
      <c r="H256" s="438"/>
      <c r="I256" s="438"/>
      <c r="J256" s="138">
        <v>111.3</v>
      </c>
      <c r="K256" s="138">
        <v>582.29999999999995</v>
      </c>
      <c r="L256" s="138">
        <v>588.1</v>
      </c>
      <c r="M256" s="138"/>
      <c r="N256" s="138">
        <v>547.4</v>
      </c>
      <c r="O256" s="138">
        <v>565.9</v>
      </c>
      <c r="P256" s="138">
        <v>565.29999999999995</v>
      </c>
      <c r="Q256" s="138">
        <v>578.20000000000005</v>
      </c>
      <c r="R256" s="138"/>
      <c r="S256" s="138"/>
      <c r="T256" s="138"/>
      <c r="U256" s="138"/>
      <c r="V256" s="138"/>
      <c r="W256" s="138"/>
      <c r="X256" s="138"/>
      <c r="Y256" s="138"/>
      <c r="Z256" s="138"/>
    </row>
    <row r="257" spans="4:26" x14ac:dyDescent="0.35">
      <c r="D257" s="136">
        <v>34</v>
      </c>
      <c r="E257" s="437"/>
      <c r="F257" s="437"/>
      <c r="G257" s="438"/>
      <c r="H257" s="438"/>
      <c r="I257" s="438"/>
      <c r="J257" s="138">
        <v>111.3</v>
      </c>
      <c r="K257" s="138">
        <v>585.4</v>
      </c>
      <c r="L257" s="138">
        <v>590.9</v>
      </c>
      <c r="M257" s="138"/>
      <c r="N257" s="138">
        <v>550.5</v>
      </c>
      <c r="O257" s="138">
        <v>568.9</v>
      </c>
      <c r="P257" s="138">
        <v>568.5</v>
      </c>
      <c r="Q257" s="138">
        <v>581.4</v>
      </c>
      <c r="R257" s="138"/>
      <c r="S257" s="138"/>
      <c r="T257" s="138"/>
      <c r="U257" s="138"/>
      <c r="V257" s="138"/>
      <c r="W257" s="138"/>
      <c r="X257" s="138"/>
      <c r="Y257" s="138"/>
      <c r="Z257" s="138"/>
    </row>
    <row r="258" spans="4:26" x14ac:dyDescent="0.35">
      <c r="D258" s="136">
        <v>35</v>
      </c>
      <c r="E258" s="437"/>
      <c r="F258" s="437"/>
      <c r="G258" s="438"/>
      <c r="H258" s="438"/>
      <c r="I258" s="438"/>
      <c r="J258" s="138">
        <v>111.4</v>
      </c>
      <c r="K258" s="138">
        <v>588.4</v>
      </c>
      <c r="L258" s="138">
        <v>593.6</v>
      </c>
      <c r="M258" s="138"/>
      <c r="N258" s="138">
        <v>553.5</v>
      </c>
      <c r="O258" s="138">
        <v>571.70000000000005</v>
      </c>
      <c r="P258" s="138">
        <v>571.4</v>
      </c>
      <c r="Q258" s="138">
        <v>584.6</v>
      </c>
      <c r="R258" s="138"/>
      <c r="S258" s="138"/>
      <c r="T258" s="138"/>
      <c r="U258" s="138"/>
      <c r="V258" s="138"/>
      <c r="W258" s="138"/>
      <c r="X258" s="138"/>
      <c r="Y258" s="138"/>
      <c r="Z258" s="138"/>
    </row>
    <row r="259" spans="4:26" x14ac:dyDescent="0.35">
      <c r="D259" s="136">
        <v>36</v>
      </c>
      <c r="E259" s="437"/>
      <c r="F259" s="437"/>
      <c r="G259" s="438"/>
      <c r="H259" s="438"/>
      <c r="I259" s="438"/>
      <c r="J259" s="138">
        <v>150.80000000000001</v>
      </c>
      <c r="K259" s="138">
        <v>591.4</v>
      </c>
      <c r="L259" s="138">
        <v>596.20000000000005</v>
      </c>
      <c r="M259" s="138"/>
      <c r="N259" s="138">
        <v>556.29999999999995</v>
      </c>
      <c r="O259" s="138">
        <v>574.6</v>
      </c>
      <c r="P259" s="138">
        <v>574.29999999999995</v>
      </c>
      <c r="Q259" s="138">
        <v>587.79999999999995</v>
      </c>
      <c r="R259" s="138"/>
      <c r="S259" s="138"/>
      <c r="T259" s="138"/>
      <c r="U259" s="138"/>
      <c r="V259" s="138"/>
      <c r="W259" s="138"/>
      <c r="X259" s="138"/>
      <c r="Y259" s="138"/>
      <c r="Z259" s="138"/>
    </row>
    <row r="260" spans="4:26" x14ac:dyDescent="0.35">
      <c r="D260" s="136">
        <v>37</v>
      </c>
      <c r="E260" s="437"/>
      <c r="F260" s="437"/>
      <c r="G260" s="438"/>
      <c r="H260" s="438"/>
      <c r="I260" s="438"/>
      <c r="J260" s="138">
        <v>157.5</v>
      </c>
      <c r="K260" s="138">
        <v>594.20000000000005</v>
      </c>
      <c r="L260" s="138">
        <v>598.9</v>
      </c>
      <c r="M260" s="138"/>
      <c r="N260" s="138">
        <v>559</v>
      </c>
      <c r="O260" s="138">
        <v>577.5</v>
      </c>
      <c r="P260" s="138">
        <v>577.29999999999995</v>
      </c>
      <c r="Q260" s="138">
        <v>590.9</v>
      </c>
      <c r="R260" s="138"/>
      <c r="S260" s="138"/>
      <c r="T260" s="138"/>
      <c r="U260" s="138"/>
      <c r="V260" s="138"/>
      <c r="W260" s="138"/>
      <c r="X260" s="138"/>
      <c r="Y260" s="138"/>
      <c r="Z260" s="138"/>
    </row>
    <row r="261" spans="4:26" x14ac:dyDescent="0.35">
      <c r="D261" s="136">
        <v>38</v>
      </c>
      <c r="E261" s="437"/>
      <c r="F261" s="437"/>
      <c r="G261" s="438"/>
      <c r="H261" s="438"/>
      <c r="I261" s="438"/>
      <c r="J261" s="138">
        <v>158.6</v>
      </c>
      <c r="K261" s="138">
        <v>597</v>
      </c>
      <c r="L261" s="138">
        <v>601.5</v>
      </c>
      <c r="M261" s="138"/>
      <c r="N261" s="138">
        <v>561.5</v>
      </c>
      <c r="O261" s="138">
        <v>580.4</v>
      </c>
      <c r="P261" s="138">
        <v>580.20000000000005</v>
      </c>
      <c r="Q261" s="138">
        <v>593.9</v>
      </c>
      <c r="R261" s="138"/>
      <c r="S261" s="138"/>
      <c r="T261" s="138"/>
      <c r="U261" s="138"/>
      <c r="V261" s="138"/>
      <c r="W261" s="138"/>
      <c r="X261" s="138"/>
      <c r="Y261" s="138"/>
      <c r="Z261" s="138"/>
    </row>
    <row r="262" spans="4:26" x14ac:dyDescent="0.35">
      <c r="D262" s="136">
        <v>39</v>
      </c>
      <c r="E262" s="437"/>
      <c r="F262" s="437"/>
      <c r="G262" s="438"/>
      <c r="H262" s="438"/>
      <c r="I262" s="438"/>
      <c r="J262" s="138">
        <v>158.80000000000001</v>
      </c>
      <c r="K262" s="138">
        <v>599.79999999999995</v>
      </c>
      <c r="L262" s="138">
        <v>604.20000000000005</v>
      </c>
      <c r="M262" s="138"/>
      <c r="N262" s="138">
        <v>564</v>
      </c>
      <c r="O262" s="138">
        <v>583.29999999999995</v>
      </c>
      <c r="P262" s="138">
        <v>583.20000000000005</v>
      </c>
      <c r="Q262" s="138">
        <v>597</v>
      </c>
      <c r="R262" s="138"/>
      <c r="S262" s="138"/>
      <c r="T262" s="138"/>
      <c r="U262" s="138"/>
      <c r="V262" s="138"/>
      <c r="W262" s="138"/>
      <c r="X262" s="138"/>
      <c r="Y262" s="138"/>
      <c r="Z262" s="138"/>
    </row>
    <row r="263" spans="4:26" x14ac:dyDescent="0.35">
      <c r="D263" s="430">
        <v>40</v>
      </c>
      <c r="E263" s="437"/>
      <c r="F263" s="437"/>
      <c r="G263" s="438"/>
      <c r="H263" s="438"/>
      <c r="I263" s="438"/>
      <c r="J263" s="432">
        <v>159</v>
      </c>
      <c r="K263" s="432">
        <v>602.6</v>
      </c>
      <c r="L263" s="432">
        <v>606.9</v>
      </c>
      <c r="M263" s="432"/>
      <c r="N263" s="432">
        <v>566.4</v>
      </c>
      <c r="O263" s="432">
        <v>586.1</v>
      </c>
      <c r="P263" s="432">
        <v>586.1</v>
      </c>
      <c r="Q263" s="432">
        <v>600</v>
      </c>
      <c r="R263" s="432"/>
      <c r="S263" s="432"/>
      <c r="T263" s="432"/>
      <c r="U263" s="432"/>
      <c r="V263" s="432"/>
      <c r="W263" s="432"/>
      <c r="X263" s="432"/>
      <c r="Y263" s="432"/>
      <c r="Z263" s="432"/>
    </row>
    <row r="264" spans="4:26" x14ac:dyDescent="0.35">
      <c r="D264" s="136">
        <v>41</v>
      </c>
      <c r="E264" s="437"/>
      <c r="F264" s="437"/>
      <c r="G264" s="438"/>
      <c r="H264" s="438"/>
      <c r="I264" s="438"/>
      <c r="J264" s="138">
        <v>159.30000000000001</v>
      </c>
      <c r="K264" s="138">
        <v>605.5</v>
      </c>
      <c r="L264" s="138">
        <v>609.5</v>
      </c>
      <c r="M264" s="138"/>
      <c r="N264" s="138">
        <v>568.6</v>
      </c>
      <c r="O264" s="138">
        <v>588.9</v>
      </c>
      <c r="P264" s="138">
        <v>589</v>
      </c>
      <c r="Q264" s="138">
        <v>603.20000000000005</v>
      </c>
      <c r="R264" s="138"/>
      <c r="S264" s="138"/>
      <c r="T264" s="138"/>
      <c r="U264" s="138"/>
      <c r="V264" s="138"/>
      <c r="W264" s="138"/>
      <c r="X264" s="138"/>
      <c r="Y264" s="138"/>
      <c r="Z264" s="138"/>
    </row>
    <row r="265" spans="4:26" x14ac:dyDescent="0.35">
      <c r="D265" s="136">
        <v>42</v>
      </c>
      <c r="E265" s="437"/>
      <c r="F265" s="437"/>
      <c r="G265" s="438"/>
      <c r="H265" s="438"/>
      <c r="I265" s="438"/>
      <c r="J265" s="138">
        <v>160.19999999999999</v>
      </c>
      <c r="K265" s="138">
        <v>608.29999999999995</v>
      </c>
      <c r="L265" s="138">
        <v>612.1</v>
      </c>
      <c r="M265" s="138"/>
      <c r="N265" s="138">
        <v>570.79999999999995</v>
      </c>
      <c r="O265" s="138">
        <v>591.79999999999995</v>
      </c>
      <c r="P265" s="138">
        <v>591.9</v>
      </c>
      <c r="Q265" s="138">
        <v>606.5</v>
      </c>
      <c r="R265" s="138"/>
      <c r="S265" s="138"/>
      <c r="T265" s="138"/>
      <c r="U265" s="138"/>
      <c r="V265" s="138"/>
      <c r="W265" s="138"/>
      <c r="X265" s="138"/>
      <c r="Y265" s="138"/>
      <c r="Z265" s="138"/>
    </row>
    <row r="266" spans="4:26" x14ac:dyDescent="0.35">
      <c r="D266" s="136">
        <v>43</v>
      </c>
      <c r="E266" s="437"/>
      <c r="F266" s="437"/>
      <c r="G266" s="438"/>
      <c r="H266" s="438"/>
      <c r="I266" s="438"/>
      <c r="J266" s="138">
        <v>161</v>
      </c>
      <c r="K266" s="138">
        <v>611</v>
      </c>
      <c r="L266" s="138">
        <v>614.70000000000005</v>
      </c>
      <c r="M266" s="138"/>
      <c r="N266" s="138">
        <v>572.9</v>
      </c>
      <c r="O266" s="138">
        <v>594.5</v>
      </c>
      <c r="P266" s="138">
        <v>594.70000000000005</v>
      </c>
      <c r="Q266" s="138">
        <v>609.70000000000005</v>
      </c>
      <c r="R266" s="138"/>
      <c r="S266" s="138"/>
      <c r="T266" s="138"/>
      <c r="U266" s="138"/>
      <c r="V266" s="138"/>
      <c r="W266" s="138"/>
      <c r="X266" s="138"/>
      <c r="Y266" s="138"/>
      <c r="Z266" s="138"/>
    </row>
    <row r="267" spans="4:26" x14ac:dyDescent="0.35">
      <c r="D267" s="136">
        <v>44</v>
      </c>
      <c r="E267" s="437"/>
      <c r="F267" s="437"/>
      <c r="G267" s="438"/>
      <c r="H267" s="438"/>
      <c r="I267" s="438"/>
      <c r="J267" s="138">
        <v>162.30000000000001</v>
      </c>
      <c r="K267" s="138">
        <v>613.79999999999995</v>
      </c>
      <c r="L267" s="138">
        <v>617.4</v>
      </c>
      <c r="M267" s="138"/>
      <c r="N267" s="138">
        <v>575</v>
      </c>
      <c r="O267" s="138">
        <v>597.29999999999995</v>
      </c>
      <c r="P267" s="138">
        <v>597.5</v>
      </c>
      <c r="Q267" s="138">
        <v>613</v>
      </c>
      <c r="R267" s="138"/>
      <c r="S267" s="138"/>
      <c r="T267" s="138"/>
      <c r="U267" s="138"/>
      <c r="V267" s="138"/>
      <c r="W267" s="138"/>
      <c r="X267" s="138"/>
      <c r="Y267" s="138"/>
      <c r="Z267" s="138"/>
    </row>
    <row r="268" spans="4:26" x14ac:dyDescent="0.35">
      <c r="D268" s="136">
        <v>45</v>
      </c>
      <c r="E268" s="437"/>
      <c r="F268" s="437"/>
      <c r="G268" s="438"/>
      <c r="H268" s="438"/>
      <c r="I268" s="438"/>
      <c r="J268" s="138">
        <v>165.2</v>
      </c>
      <c r="K268" s="138">
        <v>616.6</v>
      </c>
      <c r="L268" s="138">
        <v>620.20000000000005</v>
      </c>
      <c r="M268" s="138"/>
      <c r="N268" s="138">
        <v>577.20000000000005</v>
      </c>
      <c r="O268" s="138">
        <v>600.1</v>
      </c>
      <c r="P268" s="138">
        <v>600.29999999999995</v>
      </c>
      <c r="Q268" s="138">
        <v>616.29999999999995</v>
      </c>
      <c r="R268" s="138"/>
      <c r="S268" s="138"/>
      <c r="T268" s="138"/>
      <c r="U268" s="138"/>
      <c r="V268" s="138"/>
      <c r="W268" s="138"/>
      <c r="X268" s="138"/>
      <c r="Y268" s="138"/>
      <c r="Z268" s="138"/>
    </row>
    <row r="269" spans="4:26" x14ac:dyDescent="0.35">
      <c r="D269" s="136">
        <v>46</v>
      </c>
      <c r="E269" s="437"/>
      <c r="F269" s="437"/>
      <c r="G269" s="438"/>
      <c r="H269" s="438"/>
      <c r="I269" s="438"/>
      <c r="J269" s="138">
        <v>165.5</v>
      </c>
      <c r="K269" s="138">
        <v>619.4</v>
      </c>
      <c r="L269" s="138">
        <v>622.9</v>
      </c>
      <c r="M269" s="138"/>
      <c r="N269" s="138">
        <v>579.4</v>
      </c>
      <c r="O269" s="138">
        <v>603</v>
      </c>
      <c r="P269" s="138">
        <v>603.4</v>
      </c>
      <c r="Q269" s="138">
        <v>619.79999999999995</v>
      </c>
      <c r="R269" s="138"/>
      <c r="S269" s="138"/>
      <c r="T269" s="138"/>
      <c r="U269" s="138"/>
      <c r="V269" s="138"/>
      <c r="W269" s="138"/>
      <c r="X269" s="138"/>
      <c r="Y269" s="138"/>
      <c r="Z269" s="138"/>
    </row>
    <row r="270" spans="4:26" x14ac:dyDescent="0.35">
      <c r="D270" s="136">
        <v>47</v>
      </c>
      <c r="E270" s="437"/>
      <c r="F270" s="437"/>
      <c r="G270" s="438"/>
      <c r="H270" s="438"/>
      <c r="I270" s="438"/>
      <c r="J270" s="138">
        <v>165.8</v>
      </c>
      <c r="K270" s="138">
        <v>622.29999999999995</v>
      </c>
      <c r="L270" s="138">
        <v>625.5</v>
      </c>
      <c r="M270" s="138"/>
      <c r="N270" s="138">
        <v>581.6</v>
      </c>
      <c r="O270" s="138">
        <v>606</v>
      </c>
      <c r="P270" s="138">
        <v>606.4</v>
      </c>
      <c r="Q270" s="138">
        <v>623.4</v>
      </c>
      <c r="R270" s="138"/>
      <c r="S270" s="138"/>
      <c r="T270" s="138"/>
      <c r="U270" s="138"/>
      <c r="V270" s="138"/>
      <c r="W270" s="138"/>
      <c r="X270" s="138"/>
      <c r="Y270" s="138"/>
      <c r="Z270" s="138"/>
    </row>
    <row r="271" spans="4:26" x14ac:dyDescent="0.35">
      <c r="D271" s="136">
        <v>48</v>
      </c>
      <c r="E271" s="437"/>
      <c r="F271" s="437"/>
      <c r="G271" s="438"/>
      <c r="H271" s="438"/>
      <c r="I271" s="438"/>
      <c r="J271" s="138">
        <v>166</v>
      </c>
      <c r="K271" s="138">
        <v>625.1</v>
      </c>
      <c r="L271" s="138">
        <v>628.20000000000005</v>
      </c>
      <c r="M271" s="138"/>
      <c r="N271" s="138">
        <v>583.79999999999995</v>
      </c>
      <c r="O271" s="138">
        <v>608.9</v>
      </c>
      <c r="P271" s="138">
        <v>609.4</v>
      </c>
      <c r="Q271" s="138">
        <v>626.79999999999995</v>
      </c>
      <c r="R271" s="138"/>
      <c r="S271" s="138"/>
      <c r="T271" s="138"/>
      <c r="U271" s="138"/>
      <c r="V271" s="138"/>
      <c r="W271" s="138"/>
      <c r="X271" s="138"/>
      <c r="Y271" s="138"/>
      <c r="Z271" s="138"/>
    </row>
    <row r="272" spans="4:26" x14ac:dyDescent="0.35">
      <c r="D272" s="136">
        <v>49</v>
      </c>
      <c r="E272" s="437"/>
      <c r="F272" s="437"/>
      <c r="G272" s="438"/>
      <c r="H272" s="438"/>
      <c r="I272" s="438"/>
      <c r="J272" s="138">
        <v>166.1</v>
      </c>
      <c r="K272" s="138">
        <v>627.9</v>
      </c>
      <c r="L272" s="138">
        <v>630.79999999999995</v>
      </c>
      <c r="M272" s="138"/>
      <c r="N272" s="138">
        <v>585.9</v>
      </c>
      <c r="O272" s="138">
        <v>611.79999999999995</v>
      </c>
      <c r="P272" s="138">
        <v>612.4</v>
      </c>
      <c r="Q272" s="138">
        <v>630.29999999999995</v>
      </c>
      <c r="R272" s="138"/>
      <c r="S272" s="138"/>
      <c r="T272" s="138"/>
      <c r="U272" s="138"/>
      <c r="V272" s="138"/>
      <c r="W272" s="138"/>
      <c r="X272" s="138"/>
      <c r="Y272" s="138"/>
      <c r="Z272" s="138"/>
    </row>
    <row r="273" spans="4:26" x14ac:dyDescent="0.35">
      <c r="D273" s="430">
        <v>50</v>
      </c>
      <c r="E273" s="437"/>
      <c r="F273" s="437"/>
      <c r="G273" s="438"/>
      <c r="H273" s="438"/>
      <c r="I273" s="438"/>
      <c r="J273" s="432">
        <v>166.3</v>
      </c>
      <c r="K273" s="432">
        <v>630.70000000000005</v>
      </c>
      <c r="L273" s="432">
        <v>633.5</v>
      </c>
      <c r="M273" s="432"/>
      <c r="N273" s="432">
        <v>588</v>
      </c>
      <c r="O273" s="432">
        <v>614.79999999999995</v>
      </c>
      <c r="P273" s="432">
        <v>615.5</v>
      </c>
      <c r="Q273" s="432">
        <v>633.70000000000005</v>
      </c>
      <c r="R273" s="432"/>
      <c r="S273" s="432"/>
      <c r="T273" s="432"/>
      <c r="U273" s="432"/>
      <c r="V273" s="432"/>
      <c r="W273" s="432"/>
      <c r="X273" s="432"/>
      <c r="Y273" s="432"/>
      <c r="Z273" s="432"/>
    </row>
    <row r="274" spans="4:26" x14ac:dyDescent="0.35">
      <c r="D274" s="136">
        <v>51</v>
      </c>
      <c r="E274" s="437"/>
      <c r="F274" s="437"/>
      <c r="G274" s="438"/>
      <c r="H274" s="438"/>
      <c r="I274" s="438"/>
      <c r="J274" s="138">
        <v>169.9</v>
      </c>
      <c r="K274" s="138">
        <v>633.4</v>
      </c>
      <c r="L274" s="138">
        <v>636.1</v>
      </c>
      <c r="M274" s="138"/>
      <c r="N274" s="138">
        <v>590.1</v>
      </c>
      <c r="O274" s="138">
        <v>617.9</v>
      </c>
      <c r="P274" s="138">
        <v>618.79999999999995</v>
      </c>
      <c r="Q274" s="138">
        <v>637.4</v>
      </c>
      <c r="R274" s="138"/>
      <c r="S274" s="138"/>
      <c r="T274" s="138"/>
      <c r="U274" s="138"/>
      <c r="V274" s="138"/>
      <c r="W274" s="138"/>
      <c r="X274" s="138"/>
      <c r="Y274" s="138"/>
      <c r="Z274" s="138"/>
    </row>
    <row r="275" spans="4:26" x14ac:dyDescent="0.35">
      <c r="D275" s="136">
        <v>52</v>
      </c>
      <c r="E275" s="437"/>
      <c r="F275" s="437"/>
      <c r="G275" s="438"/>
      <c r="H275" s="438"/>
      <c r="I275" s="438"/>
      <c r="J275" s="138">
        <v>171.1</v>
      </c>
      <c r="K275" s="138">
        <v>636.20000000000005</v>
      </c>
      <c r="L275" s="138">
        <v>638.9</v>
      </c>
      <c r="M275" s="138"/>
      <c r="N275" s="138">
        <v>592.29999999999995</v>
      </c>
      <c r="O275" s="138">
        <v>621.1</v>
      </c>
      <c r="P275" s="138">
        <v>622.1</v>
      </c>
      <c r="Q275" s="138">
        <v>641.20000000000005</v>
      </c>
      <c r="R275" s="138"/>
      <c r="S275" s="138"/>
      <c r="T275" s="138"/>
      <c r="U275" s="138"/>
      <c r="V275" s="138"/>
      <c r="W275" s="138"/>
      <c r="X275" s="138"/>
      <c r="Y275" s="138"/>
      <c r="Z275" s="138"/>
    </row>
    <row r="276" spans="4:26" x14ac:dyDescent="0.35">
      <c r="D276" s="136">
        <v>53</v>
      </c>
      <c r="E276" s="437"/>
      <c r="F276" s="437"/>
      <c r="G276" s="438"/>
      <c r="H276" s="438"/>
      <c r="I276" s="438"/>
      <c r="J276" s="138">
        <v>179.4</v>
      </c>
      <c r="K276" s="138">
        <v>639.1</v>
      </c>
      <c r="L276" s="138">
        <v>641.70000000000005</v>
      </c>
      <c r="M276" s="138"/>
      <c r="N276" s="138">
        <v>594.29999999999995</v>
      </c>
      <c r="O276" s="138">
        <v>624.20000000000005</v>
      </c>
      <c r="P276" s="138">
        <v>625.29999999999995</v>
      </c>
      <c r="Q276" s="138">
        <v>645.29999999999995</v>
      </c>
      <c r="R276" s="138"/>
      <c r="S276" s="138"/>
      <c r="T276" s="138"/>
      <c r="U276" s="138"/>
      <c r="V276" s="138"/>
      <c r="W276" s="138"/>
      <c r="X276" s="138"/>
      <c r="Y276" s="138"/>
      <c r="Z276" s="138"/>
    </row>
    <row r="277" spans="4:26" x14ac:dyDescent="0.35">
      <c r="D277" s="136">
        <v>54</v>
      </c>
      <c r="E277" s="437"/>
      <c r="F277" s="437"/>
      <c r="G277" s="438"/>
      <c r="H277" s="438"/>
      <c r="I277" s="438"/>
      <c r="J277" s="138">
        <v>191.7</v>
      </c>
      <c r="K277" s="138">
        <v>642.1</v>
      </c>
      <c r="L277" s="138">
        <v>644.6</v>
      </c>
      <c r="M277" s="138"/>
      <c r="N277" s="138">
        <v>596.4</v>
      </c>
      <c r="O277" s="138">
        <v>627.29999999999995</v>
      </c>
      <c r="P277" s="138">
        <v>628.6</v>
      </c>
      <c r="Q277" s="138">
        <v>649.29999999999995</v>
      </c>
      <c r="R277" s="138"/>
      <c r="S277" s="138"/>
      <c r="T277" s="138"/>
      <c r="U277" s="138"/>
      <c r="V277" s="138"/>
      <c r="W277" s="138"/>
      <c r="X277" s="138"/>
      <c r="Y277" s="138"/>
      <c r="Z277" s="138"/>
    </row>
    <row r="278" spans="4:26" x14ac:dyDescent="0.35">
      <c r="D278" s="136">
        <v>55</v>
      </c>
      <c r="E278" s="437"/>
      <c r="F278" s="437"/>
      <c r="G278" s="438"/>
      <c r="H278" s="438"/>
      <c r="I278" s="438"/>
      <c r="J278" s="138">
        <v>251.2</v>
      </c>
      <c r="K278" s="138">
        <v>645.1</v>
      </c>
      <c r="L278" s="138">
        <v>647.5</v>
      </c>
      <c r="M278" s="138"/>
      <c r="N278" s="138">
        <v>598.5</v>
      </c>
      <c r="O278" s="138">
        <v>630.29999999999995</v>
      </c>
      <c r="P278" s="138">
        <v>631.79999999999995</v>
      </c>
      <c r="Q278" s="138">
        <v>653.29999999999995</v>
      </c>
      <c r="R278" s="138"/>
      <c r="S278" s="138"/>
      <c r="T278" s="138"/>
      <c r="U278" s="138"/>
      <c r="V278" s="138"/>
      <c r="W278" s="138"/>
      <c r="X278" s="138"/>
      <c r="Y278" s="138"/>
      <c r="Z278" s="138"/>
    </row>
    <row r="279" spans="4:26" x14ac:dyDescent="0.35">
      <c r="D279" s="136">
        <v>56</v>
      </c>
      <c r="E279" s="437"/>
      <c r="F279" s="437"/>
      <c r="G279" s="438"/>
      <c r="H279" s="438"/>
      <c r="I279" s="438"/>
      <c r="J279" s="138">
        <v>303.60000000000002</v>
      </c>
      <c r="K279" s="138">
        <v>648.20000000000005</v>
      </c>
      <c r="L279" s="138">
        <v>650.29999999999995</v>
      </c>
      <c r="M279" s="138"/>
      <c r="N279" s="138">
        <v>600.6</v>
      </c>
      <c r="O279" s="138">
        <v>633.4</v>
      </c>
      <c r="P279" s="138">
        <v>635.1</v>
      </c>
      <c r="Q279" s="138">
        <v>657.1</v>
      </c>
      <c r="R279" s="138"/>
      <c r="S279" s="138"/>
      <c r="T279" s="138"/>
      <c r="U279" s="138"/>
      <c r="V279" s="138"/>
      <c r="W279" s="138"/>
      <c r="X279" s="138"/>
      <c r="Y279" s="138"/>
      <c r="Z279" s="138"/>
    </row>
    <row r="280" spans="4:26" x14ac:dyDescent="0.35">
      <c r="D280" s="136">
        <v>57</v>
      </c>
      <c r="E280" s="437"/>
      <c r="F280" s="437"/>
      <c r="G280" s="438"/>
      <c r="H280" s="438"/>
      <c r="I280" s="438"/>
      <c r="J280" s="138">
        <v>342.9</v>
      </c>
      <c r="K280" s="138">
        <v>651.1</v>
      </c>
      <c r="L280" s="138">
        <v>653.1</v>
      </c>
      <c r="M280" s="138"/>
      <c r="N280" s="138">
        <v>602.79999999999995</v>
      </c>
      <c r="O280" s="138">
        <v>636.5</v>
      </c>
      <c r="P280" s="138">
        <v>638.70000000000005</v>
      </c>
      <c r="Q280" s="138">
        <v>661.9</v>
      </c>
      <c r="R280" s="138"/>
      <c r="S280" s="138"/>
      <c r="T280" s="138"/>
      <c r="U280" s="138"/>
      <c r="V280" s="138"/>
      <c r="W280" s="138"/>
      <c r="X280" s="138"/>
      <c r="Y280" s="138"/>
      <c r="Z280" s="138"/>
    </row>
    <row r="281" spans="4:26" x14ac:dyDescent="0.35">
      <c r="D281" s="136">
        <v>58</v>
      </c>
      <c r="E281" s="437"/>
      <c r="F281" s="437"/>
      <c r="G281" s="438"/>
      <c r="H281" s="438"/>
      <c r="I281" s="438"/>
      <c r="J281" s="138">
        <v>371.7</v>
      </c>
      <c r="K281" s="138">
        <v>654</v>
      </c>
      <c r="L281" s="138">
        <v>655.7</v>
      </c>
      <c r="M281" s="138"/>
      <c r="N281" s="138">
        <v>605</v>
      </c>
      <c r="O281" s="138">
        <v>639.79999999999995</v>
      </c>
      <c r="P281" s="138">
        <v>642.4</v>
      </c>
      <c r="Q281" s="138">
        <v>667.2</v>
      </c>
      <c r="R281" s="138"/>
      <c r="S281" s="138"/>
      <c r="T281" s="138"/>
      <c r="U281" s="138"/>
      <c r="V281" s="138"/>
      <c r="W281" s="138"/>
      <c r="X281" s="138"/>
      <c r="Y281" s="138"/>
      <c r="Z281" s="138"/>
    </row>
    <row r="282" spans="4:26" x14ac:dyDescent="0.35">
      <c r="D282" s="136">
        <v>59</v>
      </c>
      <c r="E282" s="437"/>
      <c r="F282" s="437"/>
      <c r="G282" s="438"/>
      <c r="H282" s="438"/>
      <c r="I282" s="438"/>
      <c r="J282" s="138">
        <v>393.3</v>
      </c>
      <c r="K282" s="138">
        <v>656.9</v>
      </c>
      <c r="L282" s="138">
        <v>658.6</v>
      </c>
      <c r="M282" s="138"/>
      <c r="N282" s="138">
        <v>607.29999999999995</v>
      </c>
      <c r="O282" s="138">
        <v>643.20000000000005</v>
      </c>
      <c r="P282" s="138">
        <v>646.4</v>
      </c>
      <c r="Q282" s="138">
        <v>672.2</v>
      </c>
      <c r="R282" s="138"/>
      <c r="S282" s="138"/>
      <c r="T282" s="138"/>
      <c r="U282" s="138"/>
      <c r="V282" s="138"/>
      <c r="W282" s="138"/>
      <c r="X282" s="138"/>
      <c r="Y282" s="138"/>
      <c r="Z282" s="138"/>
    </row>
    <row r="283" spans="4:26" x14ac:dyDescent="0.35">
      <c r="D283" s="430">
        <v>60</v>
      </c>
      <c r="E283" s="437"/>
      <c r="F283" s="437"/>
      <c r="G283" s="438"/>
      <c r="H283" s="438"/>
      <c r="I283" s="438"/>
      <c r="J283" s="432">
        <v>412.8</v>
      </c>
      <c r="K283" s="432">
        <v>660.4</v>
      </c>
      <c r="L283" s="432">
        <v>662.2</v>
      </c>
      <c r="M283" s="432"/>
      <c r="N283" s="432">
        <v>609.5</v>
      </c>
      <c r="O283" s="432">
        <v>646.70000000000005</v>
      </c>
      <c r="P283" s="432">
        <v>650.20000000000005</v>
      </c>
      <c r="Q283" s="432">
        <v>677.6</v>
      </c>
      <c r="R283" s="432"/>
      <c r="S283" s="432"/>
      <c r="T283" s="432"/>
      <c r="U283" s="432"/>
      <c r="V283" s="432"/>
      <c r="W283" s="432"/>
      <c r="X283" s="432"/>
      <c r="Y283" s="432"/>
      <c r="Z283" s="432"/>
    </row>
    <row r="284" spans="4:26" x14ac:dyDescent="0.35">
      <c r="D284" s="136">
        <v>61</v>
      </c>
      <c r="E284" s="437"/>
      <c r="F284" s="437"/>
      <c r="G284" s="438"/>
      <c r="H284" s="438"/>
      <c r="I284" s="438"/>
      <c r="J284" s="138">
        <v>430.1</v>
      </c>
      <c r="K284" s="138">
        <v>664.2</v>
      </c>
      <c r="L284" s="138">
        <v>665.8</v>
      </c>
      <c r="M284" s="138"/>
      <c r="N284" s="138">
        <v>611.70000000000005</v>
      </c>
      <c r="O284" s="138">
        <v>650.1</v>
      </c>
      <c r="P284" s="138">
        <v>654.1</v>
      </c>
      <c r="Q284" s="138">
        <v>683.6</v>
      </c>
      <c r="R284" s="138"/>
      <c r="S284" s="138"/>
      <c r="T284" s="138"/>
      <c r="U284" s="138"/>
      <c r="V284" s="138"/>
      <c r="W284" s="138"/>
      <c r="X284" s="138"/>
      <c r="Y284" s="138"/>
      <c r="Z284" s="138"/>
    </row>
    <row r="285" spans="4:26" x14ac:dyDescent="0.35">
      <c r="D285" s="136">
        <v>62</v>
      </c>
      <c r="E285" s="437"/>
      <c r="F285" s="437"/>
      <c r="G285" s="438"/>
      <c r="H285" s="438"/>
      <c r="I285" s="438"/>
      <c r="J285" s="138">
        <v>447.1</v>
      </c>
      <c r="K285" s="138">
        <v>668.1</v>
      </c>
      <c r="L285" s="138">
        <v>669.4</v>
      </c>
      <c r="M285" s="138"/>
      <c r="N285" s="138">
        <v>613.9</v>
      </c>
      <c r="O285" s="138">
        <v>653.5</v>
      </c>
      <c r="P285" s="138">
        <v>657.9</v>
      </c>
      <c r="Q285" s="138">
        <v>689.4</v>
      </c>
      <c r="R285" s="138"/>
      <c r="S285" s="138"/>
      <c r="T285" s="138"/>
      <c r="U285" s="138"/>
      <c r="V285" s="138"/>
      <c r="W285" s="138"/>
      <c r="X285" s="138"/>
      <c r="Y285" s="138"/>
      <c r="Z285" s="138"/>
    </row>
    <row r="286" spans="4:26" x14ac:dyDescent="0.35">
      <c r="D286" s="136">
        <v>63</v>
      </c>
      <c r="E286" s="437"/>
      <c r="F286" s="437"/>
      <c r="G286" s="438"/>
      <c r="H286" s="438"/>
      <c r="I286" s="438"/>
      <c r="J286" s="138">
        <v>463.6</v>
      </c>
      <c r="K286" s="138">
        <v>671.8</v>
      </c>
      <c r="L286" s="138">
        <v>672.7</v>
      </c>
      <c r="M286" s="138"/>
      <c r="N286" s="138">
        <v>616.20000000000005</v>
      </c>
      <c r="O286" s="138">
        <v>656.7</v>
      </c>
      <c r="P286" s="138">
        <v>663</v>
      </c>
      <c r="Q286" s="138">
        <v>694.7</v>
      </c>
      <c r="R286" s="138"/>
      <c r="S286" s="138"/>
      <c r="T286" s="138"/>
      <c r="U286" s="138"/>
      <c r="V286" s="138"/>
      <c r="W286" s="138"/>
      <c r="X286" s="138"/>
      <c r="Y286" s="138"/>
      <c r="Z286" s="138"/>
    </row>
    <row r="287" spans="4:26" x14ac:dyDescent="0.35">
      <c r="D287" s="136">
        <v>64</v>
      </c>
      <c r="E287" s="437"/>
      <c r="F287" s="437"/>
      <c r="G287" s="438"/>
      <c r="H287" s="438"/>
      <c r="I287" s="438"/>
      <c r="J287" s="138">
        <v>479.8</v>
      </c>
      <c r="K287" s="138">
        <v>675.3</v>
      </c>
      <c r="L287" s="138">
        <v>676.1</v>
      </c>
      <c r="M287" s="138"/>
      <c r="N287" s="138">
        <v>618.6</v>
      </c>
      <c r="O287" s="138">
        <v>660.6</v>
      </c>
      <c r="P287" s="138">
        <v>668.4</v>
      </c>
      <c r="Q287" s="138">
        <v>701.5</v>
      </c>
      <c r="R287" s="138"/>
      <c r="S287" s="138"/>
      <c r="T287" s="138"/>
      <c r="U287" s="138"/>
      <c r="V287" s="138"/>
      <c r="W287" s="138"/>
      <c r="X287" s="138"/>
      <c r="Y287" s="138"/>
      <c r="Z287" s="138"/>
    </row>
    <row r="288" spans="4:26" x14ac:dyDescent="0.35">
      <c r="D288" s="136">
        <v>65</v>
      </c>
      <c r="E288" s="437"/>
      <c r="F288" s="437"/>
      <c r="G288" s="438"/>
      <c r="H288" s="438"/>
      <c r="I288" s="438"/>
      <c r="J288" s="138">
        <v>495.6</v>
      </c>
      <c r="K288" s="138">
        <v>679.8</v>
      </c>
      <c r="L288" s="138">
        <v>680.2</v>
      </c>
      <c r="M288" s="138"/>
      <c r="N288" s="138">
        <v>621</v>
      </c>
      <c r="O288" s="138">
        <v>665</v>
      </c>
      <c r="P288" s="138">
        <v>673.5</v>
      </c>
      <c r="Q288" s="138">
        <v>708.4</v>
      </c>
      <c r="R288" s="138"/>
      <c r="S288" s="138"/>
      <c r="T288" s="138"/>
      <c r="U288" s="138"/>
      <c r="V288" s="138"/>
      <c r="W288" s="138"/>
      <c r="X288" s="138"/>
      <c r="Y288" s="138"/>
      <c r="Z288" s="138"/>
    </row>
    <row r="289" spans="4:26" x14ac:dyDescent="0.35">
      <c r="D289" s="136">
        <v>66</v>
      </c>
      <c r="E289" s="437"/>
      <c r="F289" s="437"/>
      <c r="G289" s="438"/>
      <c r="H289" s="438"/>
      <c r="I289" s="438"/>
      <c r="J289" s="138">
        <v>509.5</v>
      </c>
      <c r="K289" s="138">
        <v>683.8</v>
      </c>
      <c r="L289" s="138">
        <v>683.8</v>
      </c>
      <c r="M289" s="138"/>
      <c r="N289" s="138">
        <v>623.4</v>
      </c>
      <c r="O289" s="138">
        <v>669.5</v>
      </c>
      <c r="P289" s="138">
        <v>679.5</v>
      </c>
      <c r="Q289" s="138">
        <v>717.6</v>
      </c>
      <c r="R289" s="138"/>
      <c r="S289" s="138"/>
      <c r="T289" s="138"/>
      <c r="U289" s="138"/>
      <c r="V289" s="138"/>
      <c r="W289" s="138"/>
      <c r="X289" s="138"/>
      <c r="Y289" s="138"/>
      <c r="Z289" s="138"/>
    </row>
    <row r="290" spans="4:26" x14ac:dyDescent="0.35">
      <c r="D290" s="136">
        <v>67</v>
      </c>
      <c r="E290" s="437"/>
      <c r="F290" s="437"/>
      <c r="G290" s="438"/>
      <c r="H290" s="438"/>
      <c r="I290" s="438"/>
      <c r="J290" s="138">
        <v>522.9</v>
      </c>
      <c r="K290" s="138">
        <v>687.8</v>
      </c>
      <c r="L290" s="138">
        <v>687.5</v>
      </c>
      <c r="M290" s="138"/>
      <c r="N290" s="138">
        <v>625.70000000000005</v>
      </c>
      <c r="O290" s="138">
        <v>673.4</v>
      </c>
      <c r="P290" s="138">
        <v>685.5</v>
      </c>
      <c r="Q290" s="138">
        <v>733.4</v>
      </c>
      <c r="R290" s="138"/>
      <c r="S290" s="138"/>
      <c r="T290" s="138"/>
      <c r="U290" s="138"/>
      <c r="V290" s="138"/>
      <c r="W290" s="138"/>
      <c r="X290" s="138"/>
      <c r="Y290" s="138"/>
      <c r="Z290" s="138"/>
    </row>
    <row r="291" spans="4:26" x14ac:dyDescent="0.35">
      <c r="D291" s="136">
        <v>68</v>
      </c>
      <c r="E291" s="437"/>
      <c r="F291" s="437"/>
      <c r="G291" s="438"/>
      <c r="H291" s="438"/>
      <c r="I291" s="438"/>
      <c r="J291" s="138">
        <v>534.1</v>
      </c>
      <c r="K291" s="138">
        <v>691.8</v>
      </c>
      <c r="L291" s="138">
        <v>691.3</v>
      </c>
      <c r="M291" s="138"/>
      <c r="N291" s="138">
        <v>628</v>
      </c>
      <c r="O291" s="138">
        <v>678</v>
      </c>
      <c r="P291" s="138">
        <v>691.7</v>
      </c>
      <c r="Q291" s="138" t="s">
        <v>17</v>
      </c>
      <c r="R291" s="138"/>
      <c r="S291" s="138"/>
      <c r="T291" s="138"/>
      <c r="U291" s="138"/>
      <c r="V291" s="138"/>
      <c r="W291" s="138"/>
      <c r="X291" s="138"/>
      <c r="Y291" s="138"/>
      <c r="Z291" s="138"/>
    </row>
    <row r="292" spans="4:26" x14ac:dyDescent="0.35">
      <c r="D292" s="136">
        <v>69</v>
      </c>
      <c r="E292" s="437"/>
      <c r="F292" s="437"/>
      <c r="G292" s="438"/>
      <c r="H292" s="438"/>
      <c r="I292" s="438"/>
      <c r="J292" s="138">
        <v>543.9</v>
      </c>
      <c r="K292" s="138">
        <v>695.2</v>
      </c>
      <c r="L292" s="138">
        <v>694.3</v>
      </c>
      <c r="M292" s="138"/>
      <c r="N292" s="138">
        <v>630.29999999999995</v>
      </c>
      <c r="O292" s="138">
        <v>682.8</v>
      </c>
      <c r="P292" s="138">
        <v>697.9</v>
      </c>
      <c r="Q292" s="138" t="s">
        <v>17</v>
      </c>
      <c r="R292" s="138"/>
      <c r="S292" s="138"/>
      <c r="T292" s="138"/>
      <c r="U292" s="138"/>
      <c r="V292" s="138"/>
      <c r="W292" s="138"/>
      <c r="X292" s="138"/>
      <c r="Y292" s="138"/>
      <c r="Z292" s="138"/>
    </row>
    <row r="293" spans="4:26" x14ac:dyDescent="0.35">
      <c r="D293" s="430">
        <v>70</v>
      </c>
      <c r="E293" s="437"/>
      <c r="F293" s="437"/>
      <c r="G293" s="438"/>
      <c r="H293" s="438"/>
      <c r="I293" s="438"/>
      <c r="J293" s="432">
        <v>553.1</v>
      </c>
      <c r="K293" s="432">
        <v>700</v>
      </c>
      <c r="L293" s="432">
        <v>698.2</v>
      </c>
      <c r="M293" s="432"/>
      <c r="N293" s="432">
        <v>632.6</v>
      </c>
      <c r="O293" s="432">
        <v>687.2</v>
      </c>
      <c r="P293" s="432">
        <v>705.1</v>
      </c>
      <c r="Q293" s="432" t="s">
        <v>17</v>
      </c>
      <c r="R293" s="432"/>
      <c r="S293" s="432"/>
      <c r="T293" s="432"/>
      <c r="U293" s="432"/>
      <c r="V293" s="432"/>
      <c r="W293" s="432"/>
      <c r="X293" s="432"/>
      <c r="Y293" s="432"/>
      <c r="Z293" s="432"/>
    </row>
    <row r="294" spans="4:26" x14ac:dyDescent="0.35">
      <c r="D294" s="136">
        <v>71</v>
      </c>
      <c r="E294" s="437"/>
      <c r="F294" s="437"/>
      <c r="G294" s="438"/>
      <c r="H294" s="438"/>
      <c r="I294" s="438"/>
      <c r="J294" s="138">
        <v>561.20000000000005</v>
      </c>
      <c r="K294" s="138">
        <v>703.8</v>
      </c>
      <c r="L294" s="138">
        <v>701.9</v>
      </c>
      <c r="M294" s="138"/>
      <c r="N294" s="138">
        <v>634.9</v>
      </c>
      <c r="O294" s="138">
        <v>691.6</v>
      </c>
      <c r="P294" s="138">
        <v>714.2</v>
      </c>
      <c r="Q294" s="138" t="s">
        <v>17</v>
      </c>
      <c r="R294" s="138"/>
      <c r="S294" s="138"/>
      <c r="T294" s="138"/>
      <c r="U294" s="138"/>
      <c r="V294" s="138"/>
      <c r="W294" s="138"/>
      <c r="X294" s="138"/>
      <c r="Y294" s="138"/>
      <c r="Z294" s="138"/>
    </row>
    <row r="295" spans="4:26" x14ac:dyDescent="0.35">
      <c r="D295" s="136">
        <v>72</v>
      </c>
      <c r="E295" s="437"/>
      <c r="F295" s="437"/>
      <c r="G295" s="438"/>
      <c r="H295" s="438"/>
      <c r="I295" s="438"/>
      <c r="J295" s="138">
        <v>568.4</v>
      </c>
      <c r="K295" s="138">
        <v>708.1</v>
      </c>
      <c r="L295" s="138">
        <v>705.4</v>
      </c>
      <c r="M295" s="138"/>
      <c r="N295" s="138">
        <v>637.4</v>
      </c>
      <c r="O295" s="138">
        <v>695.3</v>
      </c>
      <c r="P295" s="138">
        <v>729.7</v>
      </c>
      <c r="Q295" s="138" t="s">
        <v>17</v>
      </c>
      <c r="R295" s="138"/>
      <c r="S295" s="138"/>
      <c r="T295" s="138"/>
      <c r="U295" s="138"/>
      <c r="V295" s="138"/>
      <c r="W295" s="138"/>
      <c r="X295" s="138"/>
      <c r="Y295" s="138"/>
      <c r="Z295" s="138"/>
    </row>
    <row r="296" spans="4:26" x14ac:dyDescent="0.35">
      <c r="D296" s="136">
        <v>73</v>
      </c>
      <c r="E296" s="437"/>
      <c r="F296" s="437"/>
      <c r="G296" s="438"/>
      <c r="H296" s="438"/>
      <c r="I296" s="438"/>
      <c r="J296" s="138">
        <v>575</v>
      </c>
      <c r="K296" s="138">
        <v>713.2</v>
      </c>
      <c r="L296" s="138">
        <v>709.3</v>
      </c>
      <c r="M296" s="138"/>
      <c r="N296" s="138">
        <v>639.9</v>
      </c>
      <c r="O296" s="138">
        <v>700.2</v>
      </c>
      <c r="P296" s="138" t="s">
        <v>17</v>
      </c>
      <c r="Q296" s="138" t="s">
        <v>17</v>
      </c>
      <c r="R296" s="138"/>
      <c r="S296" s="138"/>
      <c r="T296" s="138"/>
      <c r="U296" s="138"/>
      <c r="V296" s="138"/>
      <c r="W296" s="138"/>
      <c r="X296" s="138"/>
      <c r="Y296" s="138"/>
      <c r="Z296" s="138"/>
    </row>
    <row r="297" spans="4:26" x14ac:dyDescent="0.35">
      <c r="D297" s="139">
        <v>74</v>
      </c>
      <c r="E297" s="439"/>
      <c r="F297" s="439"/>
      <c r="G297" s="440"/>
      <c r="H297" s="440"/>
      <c r="I297" s="440"/>
      <c r="J297" s="123">
        <v>581.79999999999995</v>
      </c>
      <c r="K297" s="123">
        <v>718.4</v>
      </c>
      <c r="L297" s="123">
        <v>713.7</v>
      </c>
      <c r="M297" s="123"/>
      <c r="N297" s="123">
        <v>642.4</v>
      </c>
      <c r="O297" s="123">
        <v>704.3</v>
      </c>
      <c r="P297" s="123" t="s">
        <v>17</v>
      </c>
      <c r="Q297" s="123" t="s">
        <v>17</v>
      </c>
      <c r="R297" s="123"/>
      <c r="S297" s="123"/>
      <c r="T297" s="123"/>
      <c r="U297" s="123"/>
      <c r="V297" s="123"/>
      <c r="W297" s="123"/>
      <c r="X297" s="123"/>
      <c r="Y297" s="123"/>
      <c r="Z297" s="123"/>
    </row>
    <row r="298" spans="4:26" x14ac:dyDescent="0.35">
      <c r="D298" s="136">
        <v>75</v>
      </c>
      <c r="E298" s="437"/>
      <c r="F298" s="437"/>
      <c r="G298" s="441"/>
      <c r="H298" s="441"/>
      <c r="I298" s="441"/>
      <c r="J298" s="121">
        <v>588.29999999999995</v>
      </c>
      <c r="K298" s="121">
        <v>724.1</v>
      </c>
      <c r="L298" s="121">
        <v>717.9</v>
      </c>
      <c r="M298" s="121"/>
      <c r="N298" s="121">
        <v>645.1</v>
      </c>
      <c r="O298" s="121">
        <v>708.6</v>
      </c>
      <c r="P298" s="121" t="s">
        <v>17</v>
      </c>
      <c r="Q298" s="121" t="s">
        <v>17</v>
      </c>
      <c r="R298" s="121"/>
      <c r="S298" s="121"/>
      <c r="T298" s="121"/>
      <c r="U298" s="121"/>
      <c r="V298" s="121"/>
      <c r="W298" s="121"/>
      <c r="X298" s="121"/>
      <c r="Y298" s="121"/>
      <c r="Z298" s="121"/>
    </row>
    <row r="299" spans="4:26" x14ac:dyDescent="0.35">
      <c r="D299" s="136">
        <v>76</v>
      </c>
      <c r="E299" s="437"/>
      <c r="F299" s="437"/>
      <c r="G299" s="441"/>
      <c r="H299" s="441"/>
      <c r="I299" s="441"/>
      <c r="J299" s="121">
        <v>594.79999999999995</v>
      </c>
      <c r="K299" s="121">
        <v>730.7</v>
      </c>
      <c r="L299" s="121">
        <v>722.5</v>
      </c>
      <c r="M299" s="121"/>
      <c r="N299" s="121">
        <v>647.79999999999995</v>
      </c>
      <c r="O299" s="121">
        <v>713.4</v>
      </c>
      <c r="P299" s="121" t="s">
        <v>17</v>
      </c>
      <c r="Q299" s="121" t="s">
        <v>17</v>
      </c>
      <c r="R299" s="121"/>
      <c r="S299" s="121"/>
      <c r="T299" s="121"/>
      <c r="U299" s="121"/>
      <c r="V299" s="121"/>
      <c r="W299" s="121"/>
      <c r="X299" s="121"/>
      <c r="Y299" s="121"/>
      <c r="Z299" s="121"/>
    </row>
    <row r="300" spans="4:26" x14ac:dyDescent="0.35">
      <c r="D300" s="136">
        <v>77</v>
      </c>
      <c r="E300" s="437"/>
      <c r="F300" s="437"/>
      <c r="G300" s="441"/>
      <c r="H300" s="441"/>
      <c r="I300" s="441"/>
      <c r="J300" s="121">
        <v>601.20000000000005</v>
      </c>
      <c r="K300" s="121" t="s">
        <v>17</v>
      </c>
      <c r="L300" s="121">
        <v>727.4</v>
      </c>
      <c r="M300" s="121"/>
      <c r="N300" s="121">
        <v>650.29999999999995</v>
      </c>
      <c r="O300" s="121">
        <v>718</v>
      </c>
      <c r="P300" s="121" t="s">
        <v>17</v>
      </c>
      <c r="Q300" s="121" t="s">
        <v>17</v>
      </c>
      <c r="R300" s="121"/>
      <c r="S300" s="121"/>
      <c r="T300" s="121"/>
      <c r="U300" s="121"/>
      <c r="V300" s="121"/>
      <c r="W300" s="121"/>
      <c r="X300" s="121"/>
      <c r="Y300" s="121"/>
      <c r="Z300" s="121"/>
    </row>
    <row r="301" spans="4:26" x14ac:dyDescent="0.35">
      <c r="D301" s="136">
        <v>78</v>
      </c>
      <c r="E301" s="437"/>
      <c r="F301" s="437"/>
      <c r="G301" s="441"/>
      <c r="H301" s="441"/>
      <c r="I301" s="441"/>
      <c r="J301" s="121">
        <v>607.9</v>
      </c>
      <c r="K301" s="121" t="s">
        <v>17</v>
      </c>
      <c r="L301" s="121">
        <v>732.7</v>
      </c>
      <c r="M301" s="121"/>
      <c r="N301" s="121">
        <v>652.9</v>
      </c>
      <c r="O301" s="121">
        <v>722.9</v>
      </c>
      <c r="P301" s="121" t="s">
        <v>17</v>
      </c>
      <c r="Q301" s="121" t="s">
        <v>17</v>
      </c>
      <c r="R301" s="121"/>
      <c r="S301" s="121"/>
      <c r="T301" s="121"/>
      <c r="U301" s="121"/>
      <c r="V301" s="121"/>
      <c r="W301" s="121"/>
      <c r="X301" s="121"/>
      <c r="Y301" s="121"/>
      <c r="Z301" s="121"/>
    </row>
    <row r="302" spans="4:26" x14ac:dyDescent="0.35">
      <c r="D302" s="136">
        <v>79</v>
      </c>
      <c r="E302" s="437"/>
      <c r="F302" s="437"/>
      <c r="G302" s="441"/>
      <c r="H302" s="441"/>
      <c r="I302" s="441"/>
      <c r="J302" s="121">
        <v>614.5</v>
      </c>
      <c r="K302" s="121" t="s">
        <v>17</v>
      </c>
      <c r="L302" s="121" t="s">
        <v>17</v>
      </c>
      <c r="M302" s="121"/>
      <c r="N302" s="121">
        <v>655.29999999999995</v>
      </c>
      <c r="O302" s="121">
        <v>727.9</v>
      </c>
      <c r="P302" s="121" t="s">
        <v>17</v>
      </c>
      <c r="Q302" s="121" t="s">
        <v>17</v>
      </c>
      <c r="R302" s="121"/>
      <c r="S302" s="121"/>
      <c r="T302" s="121"/>
      <c r="U302" s="121"/>
      <c r="V302" s="121"/>
      <c r="W302" s="121"/>
      <c r="X302" s="121"/>
      <c r="Y302" s="121"/>
      <c r="Z302" s="121"/>
    </row>
    <row r="303" spans="4:26" x14ac:dyDescent="0.35">
      <c r="D303" s="430">
        <v>80</v>
      </c>
      <c r="E303" s="437"/>
      <c r="F303" s="437"/>
      <c r="G303" s="441"/>
      <c r="H303" s="441"/>
      <c r="I303" s="441"/>
      <c r="J303" s="434">
        <v>621.4</v>
      </c>
      <c r="K303" s="434" t="s">
        <v>17</v>
      </c>
      <c r="L303" s="434" t="s">
        <v>17</v>
      </c>
      <c r="M303" s="434"/>
      <c r="N303" s="434">
        <v>657.8</v>
      </c>
      <c r="O303" s="434">
        <v>733.1</v>
      </c>
      <c r="P303" s="434" t="s">
        <v>17</v>
      </c>
      <c r="Q303" s="434" t="s">
        <v>17</v>
      </c>
      <c r="R303" s="434"/>
      <c r="S303" s="434"/>
      <c r="T303" s="434"/>
      <c r="U303" s="434"/>
      <c r="V303" s="434"/>
      <c r="W303" s="434"/>
      <c r="X303" s="434"/>
      <c r="Y303" s="434"/>
      <c r="Z303" s="434"/>
    </row>
    <row r="304" spans="4:26" x14ac:dyDescent="0.35">
      <c r="D304" s="136">
        <v>81</v>
      </c>
      <c r="E304" s="437"/>
      <c r="F304" s="437"/>
      <c r="G304" s="441"/>
      <c r="H304" s="441"/>
      <c r="I304" s="441"/>
      <c r="J304" s="121">
        <v>628.4</v>
      </c>
      <c r="K304" s="121" t="s">
        <v>17</v>
      </c>
      <c r="L304" s="121" t="s">
        <v>17</v>
      </c>
      <c r="M304" s="121"/>
      <c r="N304" s="121">
        <v>661</v>
      </c>
      <c r="O304" s="121" t="s">
        <v>17</v>
      </c>
      <c r="P304" s="121" t="s">
        <v>17</v>
      </c>
      <c r="Q304" s="121" t="s">
        <v>17</v>
      </c>
      <c r="R304" s="121"/>
      <c r="S304" s="121"/>
      <c r="T304" s="121"/>
      <c r="U304" s="121"/>
      <c r="V304" s="121"/>
      <c r="W304" s="121"/>
      <c r="X304" s="121"/>
      <c r="Y304" s="121"/>
      <c r="Z304" s="121"/>
    </row>
    <row r="305" spans="4:26" x14ac:dyDescent="0.35">
      <c r="D305" s="136">
        <v>82</v>
      </c>
      <c r="E305" s="437"/>
      <c r="F305" s="437"/>
      <c r="G305" s="441"/>
      <c r="H305" s="441"/>
      <c r="I305" s="441"/>
      <c r="J305" s="121">
        <v>634.9</v>
      </c>
      <c r="K305" s="121" t="s">
        <v>17</v>
      </c>
      <c r="L305" s="121" t="s">
        <v>17</v>
      </c>
      <c r="M305" s="121"/>
      <c r="N305" s="121">
        <v>664.3</v>
      </c>
      <c r="O305" s="121" t="s">
        <v>17</v>
      </c>
      <c r="P305" s="121" t="s">
        <v>17</v>
      </c>
      <c r="Q305" s="121" t="s">
        <v>17</v>
      </c>
      <c r="R305" s="121"/>
      <c r="S305" s="121"/>
      <c r="T305" s="121"/>
      <c r="U305" s="121"/>
      <c r="V305" s="121"/>
      <c r="W305" s="121"/>
      <c r="X305" s="121"/>
      <c r="Y305" s="121"/>
      <c r="Z305" s="121"/>
    </row>
    <row r="306" spans="4:26" x14ac:dyDescent="0.35">
      <c r="D306" s="136">
        <v>83</v>
      </c>
      <c r="E306" s="437"/>
      <c r="F306" s="437"/>
      <c r="G306" s="441"/>
      <c r="H306" s="441"/>
      <c r="I306" s="441"/>
      <c r="J306" s="121">
        <v>642.1</v>
      </c>
      <c r="K306" s="121" t="s">
        <v>17</v>
      </c>
      <c r="L306" s="121" t="s">
        <v>17</v>
      </c>
      <c r="M306" s="121"/>
      <c r="N306" s="121">
        <v>667.7</v>
      </c>
      <c r="O306" s="121" t="s">
        <v>17</v>
      </c>
      <c r="P306" s="121" t="s">
        <v>17</v>
      </c>
      <c r="Q306" s="121" t="s">
        <v>17</v>
      </c>
      <c r="R306" s="121"/>
      <c r="S306" s="121"/>
      <c r="T306" s="121"/>
      <c r="U306" s="121"/>
      <c r="V306" s="121"/>
      <c r="W306" s="121"/>
      <c r="X306" s="121"/>
      <c r="Y306" s="121"/>
      <c r="Z306" s="121"/>
    </row>
    <row r="307" spans="4:26" x14ac:dyDescent="0.35">
      <c r="D307" s="136">
        <v>84</v>
      </c>
      <c r="E307" s="437"/>
      <c r="F307" s="437"/>
      <c r="G307" s="441"/>
      <c r="H307" s="441"/>
      <c r="I307" s="441"/>
      <c r="J307" s="121">
        <v>649.5</v>
      </c>
      <c r="K307" s="121" t="s">
        <v>17</v>
      </c>
      <c r="L307" s="121" t="s">
        <v>17</v>
      </c>
      <c r="M307" s="121"/>
      <c r="N307" s="121">
        <v>671</v>
      </c>
      <c r="O307" s="121" t="s">
        <v>17</v>
      </c>
      <c r="P307" s="121" t="s">
        <v>17</v>
      </c>
      <c r="Q307" s="121" t="s">
        <v>17</v>
      </c>
      <c r="R307" s="121"/>
      <c r="S307" s="121"/>
      <c r="T307" s="121"/>
      <c r="U307" s="121"/>
      <c r="V307" s="121"/>
      <c r="W307" s="121"/>
      <c r="X307" s="121"/>
      <c r="Y307" s="121"/>
      <c r="Z307" s="121"/>
    </row>
    <row r="308" spans="4:26" x14ac:dyDescent="0.35">
      <c r="D308" s="136">
        <v>85</v>
      </c>
      <c r="E308" s="437"/>
      <c r="F308" s="437"/>
      <c r="G308" s="441"/>
      <c r="H308" s="441"/>
      <c r="I308" s="441"/>
      <c r="J308" s="121">
        <v>656.5</v>
      </c>
      <c r="K308" s="121" t="s">
        <v>17</v>
      </c>
      <c r="L308" s="121" t="s">
        <v>17</v>
      </c>
      <c r="M308" s="121"/>
      <c r="N308" s="121">
        <v>674</v>
      </c>
      <c r="O308" s="121" t="s">
        <v>17</v>
      </c>
      <c r="P308" s="121" t="s">
        <v>17</v>
      </c>
      <c r="Q308" s="121" t="s">
        <v>17</v>
      </c>
      <c r="R308" s="121"/>
      <c r="S308" s="121"/>
      <c r="T308" s="121"/>
      <c r="U308" s="121"/>
      <c r="V308" s="121"/>
      <c r="W308" s="121"/>
      <c r="X308" s="121"/>
      <c r="Y308" s="121"/>
      <c r="Z308" s="121"/>
    </row>
    <row r="309" spans="4:26" x14ac:dyDescent="0.35">
      <c r="D309" s="136">
        <v>86</v>
      </c>
      <c r="E309" s="437"/>
      <c r="F309" s="437"/>
      <c r="G309" s="441"/>
      <c r="H309" s="441"/>
      <c r="I309" s="441"/>
      <c r="J309" s="121">
        <v>665</v>
      </c>
      <c r="K309" s="121" t="s">
        <v>17</v>
      </c>
      <c r="L309" s="121" t="s">
        <v>17</v>
      </c>
      <c r="M309" s="121"/>
      <c r="N309" s="121">
        <v>677.6</v>
      </c>
      <c r="O309" s="121" t="s">
        <v>17</v>
      </c>
      <c r="P309" s="121" t="s">
        <v>17</v>
      </c>
      <c r="Q309" s="121" t="s">
        <v>17</v>
      </c>
      <c r="R309" s="121"/>
      <c r="S309" s="121"/>
      <c r="T309" s="121"/>
      <c r="U309" s="121"/>
      <c r="V309" s="121"/>
      <c r="W309" s="121"/>
      <c r="X309" s="121"/>
      <c r="Y309" s="121"/>
      <c r="Z309" s="121"/>
    </row>
    <row r="310" spans="4:26" x14ac:dyDescent="0.35">
      <c r="D310" s="136">
        <v>87</v>
      </c>
      <c r="E310" s="437"/>
      <c r="F310" s="437"/>
      <c r="G310" s="441"/>
      <c r="H310" s="441"/>
      <c r="I310" s="441"/>
      <c r="J310" s="121">
        <v>673.5</v>
      </c>
      <c r="K310" s="121" t="s">
        <v>17</v>
      </c>
      <c r="L310" s="121" t="s">
        <v>17</v>
      </c>
      <c r="M310" s="121"/>
      <c r="N310" s="121">
        <v>681.5</v>
      </c>
      <c r="O310" s="121" t="s">
        <v>17</v>
      </c>
      <c r="P310" s="121" t="s">
        <v>17</v>
      </c>
      <c r="Q310" s="121" t="s">
        <v>17</v>
      </c>
      <c r="R310" s="121"/>
      <c r="S310" s="121"/>
      <c r="T310" s="121"/>
      <c r="U310" s="121"/>
      <c r="V310" s="121"/>
      <c r="W310" s="121"/>
      <c r="X310" s="121"/>
      <c r="Y310" s="121"/>
      <c r="Z310" s="121"/>
    </row>
    <row r="311" spans="4:26" x14ac:dyDescent="0.35">
      <c r="D311" s="136">
        <v>88</v>
      </c>
      <c r="E311" s="437"/>
      <c r="F311" s="437"/>
      <c r="G311" s="441"/>
      <c r="H311" s="441"/>
      <c r="I311" s="441"/>
      <c r="J311" s="121">
        <v>682.5</v>
      </c>
      <c r="K311" s="121" t="s">
        <v>17</v>
      </c>
      <c r="L311" s="121" t="s">
        <v>17</v>
      </c>
      <c r="M311" s="121"/>
      <c r="N311" s="121">
        <v>684.9</v>
      </c>
      <c r="O311" s="121" t="s">
        <v>17</v>
      </c>
      <c r="P311" s="121" t="s">
        <v>17</v>
      </c>
      <c r="Q311" s="121" t="s">
        <v>17</v>
      </c>
      <c r="R311" s="121"/>
      <c r="S311" s="121"/>
      <c r="T311" s="121"/>
      <c r="U311" s="121"/>
      <c r="V311" s="121"/>
      <c r="W311" s="121"/>
      <c r="X311" s="121"/>
      <c r="Y311" s="121"/>
      <c r="Z311" s="121"/>
    </row>
    <row r="312" spans="4:26" x14ac:dyDescent="0.35">
      <c r="D312" s="136">
        <v>89</v>
      </c>
      <c r="E312" s="437"/>
      <c r="F312" s="437"/>
      <c r="G312" s="441"/>
      <c r="H312" s="441"/>
      <c r="I312" s="441"/>
      <c r="J312" s="121">
        <v>690.8</v>
      </c>
      <c r="K312" s="121" t="s">
        <v>17</v>
      </c>
      <c r="L312" s="121" t="s">
        <v>17</v>
      </c>
      <c r="M312" s="121"/>
      <c r="N312" s="121">
        <v>688.4</v>
      </c>
      <c r="O312" s="121" t="s">
        <v>17</v>
      </c>
      <c r="P312" s="121" t="s">
        <v>17</v>
      </c>
      <c r="Q312" s="121" t="s">
        <v>17</v>
      </c>
      <c r="R312" s="121"/>
      <c r="S312" s="121"/>
      <c r="T312" s="121"/>
      <c r="U312" s="121"/>
      <c r="V312" s="121"/>
      <c r="W312" s="121"/>
      <c r="X312" s="121"/>
      <c r="Y312" s="121"/>
      <c r="Z312" s="121"/>
    </row>
    <row r="313" spans="4:26" x14ac:dyDescent="0.35">
      <c r="D313" s="430">
        <v>90</v>
      </c>
      <c r="E313" s="437"/>
      <c r="F313" s="437"/>
      <c r="G313" s="441"/>
      <c r="H313" s="441"/>
      <c r="I313" s="441"/>
      <c r="J313" s="434">
        <v>698.3</v>
      </c>
      <c r="K313" s="434" t="s">
        <v>17</v>
      </c>
      <c r="L313" s="434" t="s">
        <v>17</v>
      </c>
      <c r="M313" s="434"/>
      <c r="N313" s="434">
        <v>691.8</v>
      </c>
      <c r="O313" s="434" t="s">
        <v>17</v>
      </c>
      <c r="P313" s="434" t="s">
        <v>17</v>
      </c>
      <c r="Q313" s="434" t="s">
        <v>17</v>
      </c>
      <c r="R313" s="434"/>
      <c r="S313" s="434"/>
      <c r="T313" s="434"/>
      <c r="U313" s="434"/>
      <c r="V313" s="434"/>
      <c r="W313" s="434"/>
      <c r="X313" s="434"/>
      <c r="Y313" s="434"/>
      <c r="Z313" s="434"/>
    </row>
    <row r="314" spans="4:26" x14ac:dyDescent="0.35">
      <c r="D314" s="136">
        <v>91</v>
      </c>
      <c r="E314" s="437"/>
      <c r="F314" s="437"/>
      <c r="G314" s="442"/>
      <c r="H314" s="442"/>
      <c r="I314" s="442"/>
      <c r="J314" s="121">
        <v>705.6</v>
      </c>
      <c r="K314" s="121" t="s">
        <v>17</v>
      </c>
      <c r="L314" s="121" t="s">
        <v>17</v>
      </c>
      <c r="M314" s="121"/>
      <c r="N314" s="121">
        <v>694.7</v>
      </c>
      <c r="O314" s="121" t="s">
        <v>17</v>
      </c>
      <c r="P314" s="121" t="s">
        <v>17</v>
      </c>
      <c r="Q314" s="121" t="s">
        <v>17</v>
      </c>
      <c r="R314" s="121"/>
      <c r="S314" s="121"/>
      <c r="T314" s="121"/>
      <c r="U314" s="121"/>
      <c r="V314" s="121"/>
      <c r="W314" s="121"/>
      <c r="X314" s="121"/>
      <c r="Y314" s="121"/>
      <c r="Z314" s="121"/>
    </row>
    <row r="315" spans="4:26" x14ac:dyDescent="0.35">
      <c r="D315" s="136">
        <v>92</v>
      </c>
      <c r="E315" s="437"/>
      <c r="F315" s="437"/>
      <c r="G315" s="442"/>
      <c r="H315" s="442"/>
      <c r="I315" s="442"/>
      <c r="J315" s="121">
        <v>713.5</v>
      </c>
      <c r="K315" s="121" t="s">
        <v>17</v>
      </c>
      <c r="L315" s="121" t="s">
        <v>17</v>
      </c>
      <c r="M315" s="121"/>
      <c r="N315" s="121">
        <v>698.8</v>
      </c>
      <c r="O315" s="121" t="s">
        <v>17</v>
      </c>
      <c r="P315" s="121" t="s">
        <v>17</v>
      </c>
      <c r="Q315" s="121" t="s">
        <v>17</v>
      </c>
      <c r="R315" s="121"/>
      <c r="S315" s="121"/>
      <c r="T315" s="121"/>
      <c r="U315" s="121"/>
      <c r="V315" s="121"/>
      <c r="W315" s="121"/>
      <c r="X315" s="121"/>
      <c r="Y315" s="121"/>
      <c r="Z315" s="121"/>
    </row>
    <row r="316" spans="4:26" x14ac:dyDescent="0.35">
      <c r="D316" s="136">
        <v>93</v>
      </c>
      <c r="E316" s="437"/>
      <c r="F316" s="437"/>
      <c r="G316" s="442"/>
      <c r="H316" s="442"/>
      <c r="I316" s="442"/>
      <c r="J316" s="121" t="s">
        <v>17</v>
      </c>
      <c r="K316" s="121" t="s">
        <v>17</v>
      </c>
      <c r="L316" s="121" t="s">
        <v>17</v>
      </c>
      <c r="M316" s="121"/>
      <c r="N316" s="121">
        <v>702.4</v>
      </c>
      <c r="O316" s="121" t="s">
        <v>17</v>
      </c>
      <c r="P316" s="121" t="s">
        <v>17</v>
      </c>
      <c r="Q316" s="121" t="s">
        <v>17</v>
      </c>
      <c r="R316" s="121"/>
      <c r="S316" s="121"/>
      <c r="T316" s="121"/>
      <c r="U316" s="121"/>
      <c r="V316" s="121"/>
      <c r="W316" s="121"/>
      <c r="X316" s="121"/>
      <c r="Y316" s="121"/>
      <c r="Z316" s="121"/>
    </row>
    <row r="317" spans="4:26" x14ac:dyDescent="0.35">
      <c r="D317" s="136">
        <v>94</v>
      </c>
      <c r="E317" s="437"/>
      <c r="F317" s="437"/>
      <c r="G317" s="442"/>
      <c r="H317" s="442"/>
      <c r="I317" s="442"/>
      <c r="J317" s="121" t="s">
        <v>17</v>
      </c>
      <c r="K317" s="121" t="s">
        <v>17</v>
      </c>
      <c r="L317" s="121" t="s">
        <v>17</v>
      </c>
      <c r="M317" s="121"/>
      <c r="N317" s="121">
        <v>706</v>
      </c>
      <c r="O317" s="121" t="s">
        <v>17</v>
      </c>
      <c r="P317" s="121" t="s">
        <v>17</v>
      </c>
      <c r="Q317" s="121" t="s">
        <v>17</v>
      </c>
      <c r="R317" s="121"/>
      <c r="S317" s="121"/>
      <c r="T317" s="121"/>
      <c r="U317" s="121"/>
      <c r="V317" s="121"/>
      <c r="W317" s="121"/>
      <c r="X317" s="121"/>
      <c r="Y317" s="121"/>
      <c r="Z317" s="121"/>
    </row>
    <row r="318" spans="4:26" x14ac:dyDescent="0.35">
      <c r="D318" s="430">
        <v>95</v>
      </c>
      <c r="E318" s="437"/>
      <c r="F318" s="437"/>
      <c r="G318" s="442"/>
      <c r="H318" s="442"/>
      <c r="I318" s="442"/>
      <c r="J318" s="434" t="s">
        <v>17</v>
      </c>
      <c r="K318" s="434" t="s">
        <v>17</v>
      </c>
      <c r="L318" s="434" t="s">
        <v>17</v>
      </c>
      <c r="M318" s="434"/>
      <c r="N318" s="434">
        <v>710</v>
      </c>
      <c r="O318" s="434" t="s">
        <v>17</v>
      </c>
      <c r="P318" s="434" t="s">
        <v>17</v>
      </c>
      <c r="Q318" s="434" t="s">
        <v>17</v>
      </c>
      <c r="R318" s="434"/>
      <c r="S318" s="434"/>
      <c r="T318" s="434"/>
      <c r="U318" s="434"/>
      <c r="V318" s="434"/>
      <c r="W318" s="434"/>
      <c r="X318" s="434"/>
      <c r="Y318" s="434"/>
      <c r="Z318" s="434"/>
    </row>
    <row r="319" spans="4:26" x14ac:dyDescent="0.35">
      <c r="D319" s="136">
        <v>96</v>
      </c>
      <c r="E319" s="437"/>
      <c r="F319" s="437"/>
      <c r="G319" s="442"/>
      <c r="H319" s="442"/>
      <c r="I319" s="442"/>
      <c r="J319" s="121" t="s">
        <v>17</v>
      </c>
      <c r="K319" s="121" t="s">
        <v>17</v>
      </c>
      <c r="L319" s="121" t="s">
        <v>17</v>
      </c>
      <c r="M319" s="121"/>
      <c r="N319" s="121">
        <v>714.3</v>
      </c>
      <c r="O319" s="121" t="s">
        <v>17</v>
      </c>
      <c r="P319" s="121" t="s">
        <v>17</v>
      </c>
      <c r="Q319" s="121" t="s">
        <v>17</v>
      </c>
      <c r="R319" s="121"/>
      <c r="S319" s="121"/>
      <c r="T319" s="121"/>
      <c r="U319" s="121"/>
      <c r="V319" s="121"/>
      <c r="W319" s="121"/>
      <c r="X319" s="121"/>
      <c r="Y319" s="121"/>
      <c r="Z319" s="121"/>
    </row>
    <row r="320" spans="4:26" x14ac:dyDescent="0.35">
      <c r="D320" s="136">
        <v>97</v>
      </c>
      <c r="E320" s="437"/>
      <c r="F320" s="437"/>
      <c r="G320" s="442"/>
      <c r="H320" s="442"/>
      <c r="I320" s="442"/>
      <c r="J320" s="121" t="s">
        <v>17</v>
      </c>
      <c r="K320" s="121" t="s">
        <v>17</v>
      </c>
      <c r="L320" s="121" t="s">
        <v>17</v>
      </c>
      <c r="M320" s="121"/>
      <c r="N320" s="121">
        <v>718.8</v>
      </c>
      <c r="O320" s="121" t="s">
        <v>17</v>
      </c>
      <c r="P320" s="121" t="s">
        <v>17</v>
      </c>
      <c r="Q320" s="121" t="s">
        <v>17</v>
      </c>
      <c r="R320" s="121"/>
      <c r="S320" s="121"/>
      <c r="T320" s="121"/>
      <c r="U320" s="121"/>
      <c r="V320" s="121"/>
      <c r="W320" s="121"/>
      <c r="X320" s="121"/>
      <c r="Y320" s="121"/>
      <c r="Z320" s="121"/>
    </row>
    <row r="321" spans="4:26" x14ac:dyDescent="0.35">
      <c r="D321" s="136">
        <v>98</v>
      </c>
      <c r="E321" s="437"/>
      <c r="F321" s="437"/>
      <c r="G321" s="442"/>
      <c r="H321" s="442"/>
      <c r="I321" s="442"/>
      <c r="J321" s="121" t="s">
        <v>17</v>
      </c>
      <c r="K321" s="121" t="s">
        <v>17</v>
      </c>
      <c r="L321" s="121" t="s">
        <v>17</v>
      </c>
      <c r="M321" s="121"/>
      <c r="N321" s="121">
        <v>723.7</v>
      </c>
      <c r="O321" s="121" t="s">
        <v>17</v>
      </c>
      <c r="P321" s="121" t="s">
        <v>17</v>
      </c>
      <c r="Q321" s="121" t="s">
        <v>17</v>
      </c>
      <c r="R321" s="121"/>
      <c r="S321" s="121"/>
      <c r="T321" s="121"/>
      <c r="U321" s="121"/>
      <c r="V321" s="121"/>
      <c r="W321" s="121"/>
      <c r="X321" s="121"/>
      <c r="Y321" s="121"/>
      <c r="Z321" s="121"/>
    </row>
    <row r="322" spans="4:26" x14ac:dyDescent="0.35">
      <c r="D322" s="136">
        <v>99</v>
      </c>
      <c r="E322" s="437"/>
      <c r="F322" s="437"/>
      <c r="G322" s="442"/>
      <c r="H322" s="442"/>
      <c r="I322" s="442"/>
      <c r="J322" s="121" t="s">
        <v>17</v>
      </c>
      <c r="K322" s="121" t="s">
        <v>17</v>
      </c>
      <c r="L322" s="121" t="s">
        <v>17</v>
      </c>
      <c r="M322" s="121"/>
      <c r="N322" s="121">
        <v>729</v>
      </c>
      <c r="O322" s="121" t="s">
        <v>17</v>
      </c>
      <c r="P322" s="121" t="s">
        <v>17</v>
      </c>
      <c r="Q322" s="121" t="s">
        <v>17</v>
      </c>
      <c r="R322" s="121"/>
      <c r="S322" s="121"/>
      <c r="T322" s="121"/>
      <c r="U322" s="121"/>
      <c r="V322" s="121"/>
      <c r="W322" s="121"/>
      <c r="X322" s="121"/>
      <c r="Y322" s="121"/>
      <c r="Z322" s="121"/>
    </row>
    <row r="323" spans="4:26" x14ac:dyDescent="0.35">
      <c r="D323" s="430">
        <v>100</v>
      </c>
      <c r="E323" s="437"/>
      <c r="F323" s="437"/>
      <c r="G323" s="442"/>
      <c r="H323" s="442"/>
      <c r="I323" s="442"/>
      <c r="J323" s="434" t="s">
        <v>17</v>
      </c>
      <c r="K323" s="434" t="s">
        <v>17</v>
      </c>
      <c r="L323" s="434" t="s">
        <v>17</v>
      </c>
      <c r="M323" s="434"/>
      <c r="N323" s="434">
        <v>731.8</v>
      </c>
      <c r="O323" s="434" t="s">
        <v>17</v>
      </c>
      <c r="P323" s="434" t="s">
        <v>17</v>
      </c>
      <c r="Q323" s="434" t="s">
        <v>17</v>
      </c>
      <c r="R323" s="434"/>
      <c r="S323" s="434"/>
      <c r="T323" s="434"/>
      <c r="U323" s="434"/>
      <c r="V323" s="434"/>
      <c r="W323" s="434"/>
      <c r="X323" s="434"/>
      <c r="Y323" s="434"/>
      <c r="Z323" s="434"/>
    </row>
  </sheetData>
  <mergeCells count="3">
    <mergeCell ref="D1:M1"/>
    <mergeCell ref="Z113:AE113"/>
    <mergeCell ref="Z220:AE220"/>
  </mergeCells>
  <printOptions horizontalCentered="1"/>
  <pageMargins left="0.24" right="0.17" top="0.52" bottom="0.38" header="0.31496062992126" footer="0.16"/>
  <pageSetup paperSize="9" scale="37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C22F9-932E-4305-86B3-C5A68749CDCD}">
  <sheetPr codeName="Sheet27">
    <tabColor rgb="FF3333FF"/>
  </sheetPr>
  <dimension ref="A1:X63"/>
  <sheetViews>
    <sheetView showGridLines="0" zoomScale="48" zoomScaleNormal="70" zoomScaleSheetLayoutView="55" workbookViewId="0">
      <pane xSplit="3" ySplit="6" topLeftCell="D22" activePane="bottomRight" state="frozen"/>
      <selection activeCell="X25" sqref="X25"/>
      <selection pane="topRight" activeCell="X25" sqref="X25"/>
      <selection pane="bottomLeft" activeCell="X25" sqref="X25"/>
      <selection pane="bottomRight" activeCell="J76" sqref="J76"/>
    </sheetView>
  </sheetViews>
  <sheetFormatPr defaultColWidth="8.81640625" defaultRowHeight="16" x14ac:dyDescent="0.4"/>
  <cols>
    <col min="1" max="1" width="28.1796875" style="718" bestFit="1" customWidth="1"/>
    <col min="2" max="2" width="26.81640625" style="718" customWidth="1"/>
    <col min="3" max="3" width="14.7265625" style="718" customWidth="1"/>
    <col min="4" max="4" width="19.54296875" style="718" customWidth="1"/>
    <col min="5" max="5" width="14" style="718" customWidth="1"/>
    <col min="6" max="8" width="11.453125" style="718" customWidth="1"/>
    <col min="9" max="11" width="12.453125" style="718" customWidth="1"/>
    <col min="12" max="12" width="12.1796875" style="718" customWidth="1"/>
    <col min="13" max="13" width="14.7265625" style="718" customWidth="1"/>
    <col min="14" max="16" width="12.1796875" style="718" customWidth="1"/>
    <col min="17" max="17" width="1.54296875" style="841" customWidth="1"/>
    <col min="18" max="18" width="13" style="717" customWidth="1"/>
    <col min="19" max="19" width="1.7265625" style="719" customWidth="1"/>
    <col min="20" max="20" width="23.81640625" style="719" customWidth="1"/>
    <col min="21" max="21" width="11.81640625" style="719" customWidth="1"/>
    <col min="22" max="22" width="59.1796875" style="719" customWidth="1"/>
    <col min="23" max="23" width="2.7265625" style="716" hidden="1" customWidth="1"/>
    <col min="24" max="29" width="0" style="717" hidden="1" customWidth="1"/>
    <col min="30" max="16384" width="8.81640625" style="717"/>
  </cols>
  <sheetData>
    <row r="1" spans="1:24" ht="28.5" x14ac:dyDescent="0.65">
      <c r="A1" s="2773" t="s">
        <v>647</v>
      </c>
      <c r="B1" s="2773"/>
      <c r="C1" s="2773"/>
      <c r="D1" s="2773"/>
      <c r="E1" s="2773"/>
      <c r="F1" s="2773"/>
      <c r="G1" s="2773"/>
      <c r="H1" s="2773"/>
      <c r="I1" s="2773"/>
      <c r="J1" s="2773"/>
      <c r="K1" s="2773"/>
      <c r="L1" s="2773"/>
      <c r="M1" s="2773"/>
      <c r="N1" s="2773"/>
      <c r="O1" s="2773"/>
      <c r="P1" s="2773"/>
      <c r="Q1" s="2773"/>
      <c r="R1" s="2773"/>
      <c r="S1" s="2773"/>
      <c r="T1" s="2773"/>
      <c r="U1" s="2773"/>
      <c r="V1" s="838"/>
    </row>
    <row r="2" spans="1:24" x14ac:dyDescent="0.4">
      <c r="A2" s="839"/>
      <c r="B2" s="840"/>
      <c r="C2" s="719"/>
      <c r="D2" s="719"/>
      <c r="E2" s="719"/>
      <c r="F2" s="719"/>
      <c r="G2" s="839"/>
      <c r="H2" s="839"/>
      <c r="I2" s="839"/>
      <c r="J2" s="839"/>
      <c r="K2" s="839"/>
      <c r="L2" s="719"/>
      <c r="M2" s="719"/>
      <c r="N2" s="719"/>
      <c r="O2" s="719"/>
      <c r="P2" s="719"/>
      <c r="R2" s="841"/>
      <c r="T2" s="842" t="s">
        <v>648</v>
      </c>
      <c r="U2" s="843" t="s">
        <v>649</v>
      </c>
      <c r="V2" s="843"/>
    </row>
    <row r="3" spans="1:24" x14ac:dyDescent="0.4">
      <c r="A3" s="839"/>
      <c r="B3" s="844"/>
      <c r="C3" s="719"/>
      <c r="D3" s="719"/>
      <c r="E3" s="719"/>
      <c r="F3" s="719"/>
      <c r="G3" s="839"/>
      <c r="H3" s="839"/>
      <c r="I3" s="839"/>
      <c r="J3" s="839"/>
      <c r="K3" s="839"/>
      <c r="L3" s="719"/>
      <c r="M3" s="719"/>
      <c r="N3" s="843"/>
      <c r="O3" s="719"/>
      <c r="P3" s="719"/>
      <c r="R3" s="841"/>
      <c r="T3" s="842" t="s">
        <v>650</v>
      </c>
      <c r="U3" s="845">
        <v>45684</v>
      </c>
      <c r="V3" s="845"/>
    </row>
    <row r="4" spans="1:24" ht="16.5" thickBot="1" x14ac:dyDescent="0.45">
      <c r="A4" s="839"/>
      <c r="B4" s="844"/>
      <c r="C4" s="719"/>
      <c r="D4" s="719"/>
      <c r="E4" s="719"/>
      <c r="F4" s="719"/>
      <c r="G4" s="839"/>
      <c r="H4" s="839"/>
      <c r="I4" s="839"/>
      <c r="J4" s="839"/>
      <c r="K4" s="839"/>
      <c r="L4" s="719"/>
      <c r="M4" s="719"/>
      <c r="N4" s="843"/>
      <c r="O4" s="719"/>
      <c r="P4" s="719"/>
      <c r="R4" s="841"/>
      <c r="T4" s="842"/>
      <c r="U4" s="846"/>
      <c r="V4" s="846"/>
    </row>
    <row r="5" spans="1:24" ht="18.5" thickBot="1" x14ac:dyDescent="0.45">
      <c r="A5" s="746" t="s">
        <v>11</v>
      </c>
      <c r="B5" s="747" t="s">
        <v>12</v>
      </c>
      <c r="C5" s="747" t="s">
        <v>13</v>
      </c>
      <c r="D5" s="747" t="s">
        <v>651</v>
      </c>
      <c r="E5" s="747" t="s">
        <v>652</v>
      </c>
      <c r="F5" s="747" t="s">
        <v>295</v>
      </c>
      <c r="G5" s="747" t="s">
        <v>653</v>
      </c>
      <c r="H5" s="747" t="s">
        <v>654</v>
      </c>
      <c r="I5" s="747" t="s">
        <v>655</v>
      </c>
      <c r="J5" s="747" t="s">
        <v>656</v>
      </c>
      <c r="K5" s="747" t="s">
        <v>657</v>
      </c>
      <c r="L5" s="747" t="s">
        <v>657</v>
      </c>
      <c r="M5" s="747" t="s">
        <v>658</v>
      </c>
      <c r="N5" s="747" t="s">
        <v>659</v>
      </c>
      <c r="O5" s="747" t="s">
        <v>660</v>
      </c>
      <c r="P5" s="748" t="s">
        <v>661</v>
      </c>
      <c r="Q5" s="847"/>
      <c r="R5" s="752" t="s">
        <v>655</v>
      </c>
      <c r="T5" s="2774" t="s">
        <v>662</v>
      </c>
      <c r="U5" s="2775"/>
      <c r="V5" s="849"/>
    </row>
    <row r="6" spans="1:24" ht="16.5" thickBot="1" x14ac:dyDescent="0.45">
      <c r="A6" s="749" t="s">
        <v>663</v>
      </c>
      <c r="B6" s="750"/>
      <c r="C6" s="750"/>
      <c r="D6" s="750"/>
      <c r="E6" s="750"/>
      <c r="F6" s="750" t="s">
        <v>664</v>
      </c>
      <c r="G6" s="750" t="s">
        <v>665</v>
      </c>
      <c r="H6" s="750" t="s">
        <v>666</v>
      </c>
      <c r="I6" s="750" t="s">
        <v>667</v>
      </c>
      <c r="J6" s="750" t="s">
        <v>668</v>
      </c>
      <c r="K6" s="750" t="s">
        <v>669</v>
      </c>
      <c r="L6" s="750" t="s">
        <v>670</v>
      </c>
      <c r="M6" s="750" t="s">
        <v>671</v>
      </c>
      <c r="N6" s="750" t="s">
        <v>672</v>
      </c>
      <c r="O6" s="750" t="s">
        <v>673</v>
      </c>
      <c r="P6" s="751" t="s">
        <v>639</v>
      </c>
      <c r="Q6" s="848"/>
      <c r="R6" s="753" t="s">
        <v>674</v>
      </c>
      <c r="S6" s="841"/>
      <c r="T6" s="2776" t="s">
        <v>675</v>
      </c>
      <c r="U6" s="2777"/>
      <c r="V6" s="722"/>
      <c r="X6" s="720" t="s">
        <v>676</v>
      </c>
    </row>
    <row r="7" spans="1:24" x14ac:dyDescent="0.4">
      <c r="A7" s="796" t="s">
        <v>677</v>
      </c>
      <c r="B7" s="804" t="s">
        <v>678</v>
      </c>
      <c r="C7" s="804" t="s">
        <v>18</v>
      </c>
      <c r="D7" s="787"/>
      <c r="E7" s="823" t="s">
        <v>679</v>
      </c>
      <c r="F7" s="823" t="s">
        <v>679</v>
      </c>
      <c r="G7" s="823" t="s">
        <v>679</v>
      </c>
      <c r="H7" s="823" t="s">
        <v>679</v>
      </c>
      <c r="I7" s="823" t="s">
        <v>679</v>
      </c>
      <c r="J7" s="823" t="s">
        <v>679</v>
      </c>
      <c r="K7" s="823" t="s">
        <v>679</v>
      </c>
      <c r="L7" s="823" t="s">
        <v>679</v>
      </c>
      <c r="M7" s="804"/>
      <c r="N7" s="823" t="s">
        <v>679</v>
      </c>
      <c r="O7" s="823" t="s">
        <v>679</v>
      </c>
      <c r="P7" s="824" t="s">
        <v>679</v>
      </c>
      <c r="R7" s="827"/>
      <c r="S7" s="722"/>
      <c r="T7" s="723" t="s">
        <v>680</v>
      </c>
      <c r="U7" s="832" t="s">
        <v>679</v>
      </c>
      <c r="V7" s="722"/>
      <c r="X7" s="724">
        <v>98.4</v>
      </c>
    </row>
    <row r="8" spans="1:24" ht="16.5" thickBot="1" x14ac:dyDescent="0.45">
      <c r="A8" s="797" t="s">
        <v>681</v>
      </c>
      <c r="B8" s="805" t="s">
        <v>682</v>
      </c>
      <c r="C8" s="805" t="s">
        <v>18</v>
      </c>
      <c r="D8" s="741"/>
      <c r="E8" s="820" t="s">
        <v>679</v>
      </c>
      <c r="F8" s="820" t="s">
        <v>679</v>
      </c>
      <c r="G8" s="820" t="s">
        <v>679</v>
      </c>
      <c r="H8" s="820" t="s">
        <v>679</v>
      </c>
      <c r="I8" s="820" t="s">
        <v>679</v>
      </c>
      <c r="J8" s="820" t="s">
        <v>679</v>
      </c>
      <c r="K8" s="820" t="s">
        <v>679</v>
      </c>
      <c r="L8" s="820" t="s">
        <v>679</v>
      </c>
      <c r="M8" s="825"/>
      <c r="N8" s="820" t="s">
        <v>679</v>
      </c>
      <c r="O8" s="820" t="s">
        <v>679</v>
      </c>
      <c r="P8" s="826" t="s">
        <v>679</v>
      </c>
      <c r="R8" s="828" t="s">
        <v>679</v>
      </c>
      <c r="S8" s="722"/>
      <c r="T8" s="725" t="s">
        <v>683</v>
      </c>
      <c r="U8" s="833" t="s">
        <v>679</v>
      </c>
      <c r="V8" s="722"/>
      <c r="X8" s="724">
        <v>125.1</v>
      </c>
    </row>
    <row r="9" spans="1:24" x14ac:dyDescent="0.4">
      <c r="A9" s="2778" t="s">
        <v>21</v>
      </c>
      <c r="B9" s="804" t="s">
        <v>684</v>
      </c>
      <c r="C9" s="804" t="s">
        <v>685</v>
      </c>
      <c r="D9" s="756"/>
      <c r="E9" s="756"/>
      <c r="F9" s="818" t="s">
        <v>679</v>
      </c>
      <c r="G9" s="818" t="s">
        <v>679</v>
      </c>
      <c r="H9" s="818" t="s">
        <v>679</v>
      </c>
      <c r="I9" s="818" t="s">
        <v>679</v>
      </c>
      <c r="J9" s="818" t="s">
        <v>679</v>
      </c>
      <c r="K9" s="818" t="s">
        <v>679</v>
      </c>
      <c r="L9" s="818" t="s">
        <v>679</v>
      </c>
      <c r="M9" s="818" t="s">
        <v>679</v>
      </c>
      <c r="N9" s="822"/>
      <c r="O9" s="822"/>
      <c r="P9" s="744"/>
      <c r="R9" s="828" t="s">
        <v>679</v>
      </c>
      <c r="T9" s="725" t="s">
        <v>686</v>
      </c>
      <c r="U9" s="833" t="s">
        <v>679</v>
      </c>
      <c r="V9" s="722"/>
      <c r="X9" s="724">
        <v>150.80000000000001</v>
      </c>
    </row>
    <row r="10" spans="1:24" x14ac:dyDescent="0.4">
      <c r="A10" s="2779"/>
      <c r="B10" s="806" t="s">
        <v>687</v>
      </c>
      <c r="C10" s="806" t="s">
        <v>685</v>
      </c>
      <c r="D10" s="742"/>
      <c r="E10" s="742"/>
      <c r="F10" s="743"/>
      <c r="G10" s="743"/>
      <c r="H10" s="743"/>
      <c r="I10" s="743"/>
      <c r="J10" s="743"/>
      <c r="K10" s="743"/>
      <c r="L10" s="743"/>
      <c r="M10" s="743"/>
      <c r="N10" s="742"/>
      <c r="O10" s="742"/>
      <c r="P10" s="745"/>
      <c r="R10" s="789"/>
      <c r="T10" s="725" t="s">
        <v>688</v>
      </c>
      <c r="U10" s="833" t="s">
        <v>679</v>
      </c>
      <c r="V10" s="722"/>
      <c r="X10" s="724">
        <v>174.1</v>
      </c>
    </row>
    <row r="11" spans="1:24" ht="18.5" thickBot="1" x14ac:dyDescent="0.45">
      <c r="A11" s="798" t="s">
        <v>689</v>
      </c>
      <c r="B11" s="768" t="s">
        <v>690</v>
      </c>
      <c r="C11" s="805"/>
      <c r="D11" s="741"/>
      <c r="E11" s="741"/>
      <c r="F11" s="741"/>
      <c r="G11" s="741"/>
      <c r="H11" s="741"/>
      <c r="I11" s="741"/>
      <c r="J11" s="741"/>
      <c r="K11" s="741"/>
      <c r="L11" s="741"/>
      <c r="M11" s="741"/>
      <c r="N11" s="741"/>
      <c r="O11" s="741"/>
      <c r="P11" s="784" t="s">
        <v>679</v>
      </c>
      <c r="R11" s="789"/>
      <c r="T11" s="726" t="s">
        <v>691</v>
      </c>
      <c r="U11" s="833" t="s">
        <v>679</v>
      </c>
      <c r="V11" s="722"/>
      <c r="X11" s="724">
        <v>195.9</v>
      </c>
    </row>
    <row r="12" spans="1:24" ht="16.5" thickBot="1" x14ac:dyDescent="0.45">
      <c r="A12" s="799" t="s">
        <v>692</v>
      </c>
      <c r="B12" s="772" t="s">
        <v>693</v>
      </c>
      <c r="C12" s="807" t="s">
        <v>694</v>
      </c>
      <c r="D12" s="776" t="s">
        <v>679</v>
      </c>
      <c r="E12" s="754"/>
      <c r="F12" s="754"/>
      <c r="G12" s="754"/>
      <c r="H12" s="754"/>
      <c r="I12" s="754"/>
      <c r="J12" s="754"/>
      <c r="K12" s="754"/>
      <c r="L12" s="754"/>
      <c r="M12" s="754"/>
      <c r="N12" s="754"/>
      <c r="O12" s="754"/>
      <c r="P12" s="755"/>
      <c r="R12" s="789"/>
      <c r="S12" s="727"/>
      <c r="T12" s="726" t="s">
        <v>695</v>
      </c>
      <c r="U12" s="833" t="s">
        <v>679</v>
      </c>
      <c r="V12" s="722"/>
      <c r="X12" s="724">
        <v>216.3</v>
      </c>
    </row>
    <row r="13" spans="1:24" ht="18" x14ac:dyDescent="0.4">
      <c r="A13" s="796" t="s">
        <v>696</v>
      </c>
      <c r="B13" s="2780" t="s">
        <v>697</v>
      </c>
      <c r="C13" s="2780" t="s">
        <v>28</v>
      </c>
      <c r="D13" s="756"/>
      <c r="E13" s="756"/>
      <c r="F13" s="756"/>
      <c r="G13" s="756"/>
      <c r="H13" s="756"/>
      <c r="I13" s="818" t="s">
        <v>679</v>
      </c>
      <c r="J13" s="818" t="s">
        <v>679</v>
      </c>
      <c r="K13" s="756"/>
      <c r="L13" s="756"/>
      <c r="M13" s="756"/>
      <c r="N13" s="756"/>
      <c r="O13" s="756"/>
      <c r="P13" s="744"/>
      <c r="R13" s="789"/>
      <c r="S13" s="727"/>
      <c r="T13" s="726" t="s">
        <v>698</v>
      </c>
      <c r="U13" s="833" t="s">
        <v>679</v>
      </c>
      <c r="V13" s="722"/>
      <c r="X13" s="724">
        <v>234.8</v>
      </c>
    </row>
    <row r="14" spans="1:24" ht="18" x14ac:dyDescent="0.4">
      <c r="A14" s="800" t="s">
        <v>699</v>
      </c>
      <c r="B14" s="2781"/>
      <c r="C14" s="2781"/>
      <c r="D14" s="813" t="s">
        <v>679</v>
      </c>
      <c r="E14" s="743"/>
      <c r="F14" s="743"/>
      <c r="G14" s="743"/>
      <c r="H14" s="743"/>
      <c r="I14" s="743"/>
      <c r="J14" s="743"/>
      <c r="K14" s="813" t="s">
        <v>679</v>
      </c>
      <c r="L14" s="813" t="s">
        <v>679</v>
      </c>
      <c r="M14" s="743"/>
      <c r="N14" s="743"/>
      <c r="O14" s="743"/>
      <c r="P14" s="745"/>
      <c r="R14" s="789"/>
      <c r="S14" s="727"/>
      <c r="T14" s="728" t="s">
        <v>700</v>
      </c>
      <c r="U14" s="833" t="s">
        <v>679</v>
      </c>
      <c r="V14" s="722"/>
      <c r="X14" s="724">
        <v>252</v>
      </c>
    </row>
    <row r="15" spans="1:24" ht="18" x14ac:dyDescent="0.4">
      <c r="A15" s="800" t="s">
        <v>701</v>
      </c>
      <c r="B15" s="2781"/>
      <c r="C15" s="2781"/>
      <c r="D15" s="743"/>
      <c r="E15" s="743"/>
      <c r="F15" s="743"/>
      <c r="G15" s="743"/>
      <c r="H15" s="743"/>
      <c r="I15" s="743"/>
      <c r="J15" s="743"/>
      <c r="K15" s="743"/>
      <c r="L15" s="743"/>
      <c r="M15" s="743"/>
      <c r="N15" s="743"/>
      <c r="O15" s="743"/>
      <c r="P15" s="745"/>
      <c r="R15" s="789"/>
      <c r="S15" s="729"/>
      <c r="T15" s="726" t="s">
        <v>702</v>
      </c>
      <c r="U15" s="833" t="s">
        <v>679</v>
      </c>
      <c r="V15" s="722"/>
      <c r="X15" s="724">
        <v>267</v>
      </c>
    </row>
    <row r="16" spans="1:24" ht="18" x14ac:dyDescent="0.4">
      <c r="A16" s="800" t="s">
        <v>703</v>
      </c>
      <c r="B16" s="2781"/>
      <c r="C16" s="2781"/>
      <c r="D16" s="743"/>
      <c r="E16" s="743"/>
      <c r="F16" s="743"/>
      <c r="G16" s="743"/>
      <c r="H16" s="743"/>
      <c r="I16" s="743"/>
      <c r="J16" s="743"/>
      <c r="K16" s="743"/>
      <c r="L16" s="743"/>
      <c r="M16" s="743"/>
      <c r="N16" s="743"/>
      <c r="O16" s="813" t="s">
        <v>679</v>
      </c>
      <c r="P16" s="815" t="s">
        <v>679</v>
      </c>
      <c r="R16" s="789"/>
      <c r="S16" s="729"/>
      <c r="T16" s="730" t="s">
        <v>704</v>
      </c>
      <c r="U16" s="833" t="s">
        <v>679</v>
      </c>
      <c r="V16" s="722"/>
      <c r="X16" s="724">
        <v>287</v>
      </c>
    </row>
    <row r="17" spans="1:24" ht="18.5" thickBot="1" x14ac:dyDescent="0.45">
      <c r="A17" s="800" t="s">
        <v>705</v>
      </c>
      <c r="B17" s="2781"/>
      <c r="C17" s="2781"/>
      <c r="D17" s="743"/>
      <c r="E17" s="743"/>
      <c r="F17" s="743"/>
      <c r="G17" s="743"/>
      <c r="H17" s="743"/>
      <c r="I17" s="743"/>
      <c r="J17" s="743"/>
      <c r="K17" s="743"/>
      <c r="L17" s="743"/>
      <c r="M17" s="743"/>
      <c r="N17" s="743"/>
      <c r="O17" s="743"/>
      <c r="P17" s="743"/>
      <c r="R17" s="789"/>
      <c r="S17" s="727"/>
      <c r="T17" s="726" t="s">
        <v>706</v>
      </c>
      <c r="U17" s="833" t="s">
        <v>679</v>
      </c>
      <c r="V17" s="722"/>
    </row>
    <row r="18" spans="1:24" ht="16.5" thickBot="1" x14ac:dyDescent="0.45">
      <c r="A18" s="2778" t="s">
        <v>34</v>
      </c>
      <c r="B18" s="804" t="s">
        <v>707</v>
      </c>
      <c r="C18" s="804" t="s">
        <v>36</v>
      </c>
      <c r="D18" s="818" t="s">
        <v>679</v>
      </c>
      <c r="E18" s="756"/>
      <c r="F18" s="756"/>
      <c r="G18" s="756"/>
      <c r="H18" s="756"/>
      <c r="I18" s="756"/>
      <c r="J18" s="756"/>
      <c r="K18" s="756"/>
      <c r="L18" s="756"/>
      <c r="M18" s="756"/>
      <c r="N18" s="818" t="s">
        <v>679</v>
      </c>
      <c r="O18" s="818" t="s">
        <v>679</v>
      </c>
      <c r="P18" s="829" t="s">
        <v>679</v>
      </c>
      <c r="R18" s="792"/>
      <c r="S18" s="727"/>
      <c r="T18" s="731" t="s">
        <v>708</v>
      </c>
      <c r="U18" s="834" t="s">
        <v>679</v>
      </c>
      <c r="V18" s="727"/>
    </row>
    <row r="19" spans="1:24" x14ac:dyDescent="0.4">
      <c r="A19" s="2779"/>
      <c r="B19" s="2781" t="s">
        <v>709</v>
      </c>
      <c r="C19" s="806" t="s">
        <v>36</v>
      </c>
      <c r="D19" s="743"/>
      <c r="E19" s="743"/>
      <c r="F19" s="743"/>
      <c r="G19" s="743"/>
      <c r="H19" s="813" t="s">
        <v>679</v>
      </c>
      <c r="I19" s="813" t="s">
        <v>679</v>
      </c>
      <c r="J19" s="813" t="s">
        <v>679</v>
      </c>
      <c r="K19" s="813" t="s">
        <v>679</v>
      </c>
      <c r="L19" s="813" t="s">
        <v>679</v>
      </c>
      <c r="M19" s="743"/>
      <c r="N19" s="743"/>
      <c r="O19" s="743"/>
      <c r="P19" s="745"/>
      <c r="R19" s="828" t="s">
        <v>679</v>
      </c>
      <c r="S19" s="727"/>
      <c r="T19" s="732"/>
      <c r="U19" s="727"/>
      <c r="V19" s="850"/>
    </row>
    <row r="20" spans="1:24" ht="16.5" thickBot="1" x14ac:dyDescent="0.45">
      <c r="A20" s="2782"/>
      <c r="B20" s="2787"/>
      <c r="C20" s="805" t="s">
        <v>710</v>
      </c>
      <c r="D20" s="741"/>
      <c r="E20" s="741"/>
      <c r="F20" s="741"/>
      <c r="G20" s="741"/>
      <c r="H20" s="741"/>
      <c r="I20" s="741"/>
      <c r="J20" s="741"/>
      <c r="K20" s="741"/>
      <c r="L20" s="741"/>
      <c r="M20" s="741"/>
      <c r="N20" s="741"/>
      <c r="O20" s="741"/>
      <c r="P20" s="757"/>
      <c r="R20" s="791"/>
      <c r="S20" s="727"/>
      <c r="T20" s="732"/>
      <c r="U20" s="727"/>
      <c r="V20" s="850"/>
    </row>
    <row r="21" spans="1:24" ht="16.5" thickBot="1" x14ac:dyDescent="0.45">
      <c r="A21" s="799" t="s">
        <v>711</v>
      </c>
      <c r="B21" s="781" t="s">
        <v>712</v>
      </c>
      <c r="C21" s="807" t="s">
        <v>710</v>
      </c>
      <c r="D21" s="782" t="s">
        <v>679</v>
      </c>
      <c r="E21" s="754"/>
      <c r="F21" s="782" t="s">
        <v>679</v>
      </c>
      <c r="G21" s="754"/>
      <c r="H21" s="782" t="s">
        <v>679</v>
      </c>
      <c r="I21" s="782" t="s">
        <v>679</v>
      </c>
      <c r="J21" s="782" t="s">
        <v>679</v>
      </c>
      <c r="K21" s="782" t="s">
        <v>679</v>
      </c>
      <c r="L21" s="754"/>
      <c r="M21" s="754"/>
      <c r="N21" s="754"/>
      <c r="O21" s="754"/>
      <c r="P21" s="755"/>
      <c r="R21" s="788" t="s">
        <v>679</v>
      </c>
      <c r="S21" s="727"/>
      <c r="T21" s="2783" t="s">
        <v>713</v>
      </c>
      <c r="U21" s="2784"/>
      <c r="V21" s="727"/>
    </row>
    <row r="22" spans="1:24" ht="16.5" thickBot="1" x14ac:dyDescent="0.45">
      <c r="A22" s="799" t="s">
        <v>714</v>
      </c>
      <c r="B22" s="772" t="s">
        <v>715</v>
      </c>
      <c r="C22" s="808" t="s">
        <v>716</v>
      </c>
      <c r="D22" s="754"/>
      <c r="E22" s="754"/>
      <c r="F22" s="754"/>
      <c r="G22" s="754"/>
      <c r="H22" s="776" t="s">
        <v>679</v>
      </c>
      <c r="I22" s="776" t="s">
        <v>679</v>
      </c>
      <c r="J22" s="776" t="s">
        <v>679</v>
      </c>
      <c r="K22" s="776" t="s">
        <v>679</v>
      </c>
      <c r="L22" s="754"/>
      <c r="M22" s="754"/>
      <c r="N22" s="754"/>
      <c r="O22" s="754"/>
      <c r="P22" s="755"/>
      <c r="R22" s="789"/>
      <c r="S22" s="727"/>
      <c r="T22" s="785" t="s">
        <v>819</v>
      </c>
      <c r="U22" s="795" t="s">
        <v>717</v>
      </c>
      <c r="V22" s="727"/>
      <c r="X22" s="733" t="s">
        <v>718</v>
      </c>
    </row>
    <row r="23" spans="1:24" x14ac:dyDescent="0.4">
      <c r="A23" s="2785" t="s">
        <v>719</v>
      </c>
      <c r="B23" s="775" t="s">
        <v>720</v>
      </c>
      <c r="C23" s="809" t="s">
        <v>716</v>
      </c>
      <c r="D23" s="756"/>
      <c r="E23" s="756"/>
      <c r="F23" s="756"/>
      <c r="G23" s="756"/>
      <c r="H23" s="777" t="s">
        <v>679</v>
      </c>
      <c r="I23" s="777" t="s">
        <v>679</v>
      </c>
      <c r="J23" s="756"/>
      <c r="K23" s="756"/>
      <c r="L23" s="756"/>
      <c r="M23" s="756"/>
      <c r="N23" s="756"/>
      <c r="O23" s="756"/>
      <c r="P23" s="744"/>
      <c r="R23" s="789"/>
      <c r="S23" s="727"/>
      <c r="T23" s="830" t="s">
        <v>721</v>
      </c>
      <c r="U23" s="835" t="s">
        <v>679</v>
      </c>
      <c r="V23" s="727"/>
      <c r="X23" s="733" t="s">
        <v>722</v>
      </c>
    </row>
    <row r="24" spans="1:24" ht="16.5" thickBot="1" x14ac:dyDescent="0.45">
      <c r="A24" s="2786"/>
      <c r="B24" s="768" t="s">
        <v>723</v>
      </c>
      <c r="C24" s="810" t="s">
        <v>716</v>
      </c>
      <c r="D24" s="741"/>
      <c r="E24" s="741"/>
      <c r="F24" s="741"/>
      <c r="G24" s="741"/>
      <c r="H24" s="741"/>
      <c r="I24" s="741"/>
      <c r="J24" s="778" t="s">
        <v>679</v>
      </c>
      <c r="K24" s="778" t="s">
        <v>679</v>
      </c>
      <c r="L24" s="778" t="s">
        <v>679</v>
      </c>
      <c r="M24" s="741"/>
      <c r="N24" s="741"/>
      <c r="O24" s="741"/>
      <c r="P24" s="757"/>
      <c r="R24" s="789"/>
      <c r="S24" s="727"/>
      <c r="T24" s="734" t="s">
        <v>724</v>
      </c>
      <c r="U24" s="836" t="s">
        <v>679</v>
      </c>
      <c r="V24" s="727"/>
      <c r="X24" s="733" t="s">
        <v>725</v>
      </c>
    </row>
    <row r="25" spans="1:24" x14ac:dyDescent="0.4">
      <c r="A25" s="2778" t="s">
        <v>726</v>
      </c>
      <c r="B25" s="773" t="s">
        <v>727</v>
      </c>
      <c r="C25" s="2780" t="s">
        <v>728</v>
      </c>
      <c r="D25" s="756"/>
      <c r="E25" s="756"/>
      <c r="F25" s="756"/>
      <c r="G25" s="756"/>
      <c r="H25" s="756"/>
      <c r="I25" s="762"/>
      <c r="J25" s="762"/>
      <c r="K25" s="762"/>
      <c r="L25" s="762"/>
      <c r="M25" s="756"/>
      <c r="N25" s="756"/>
      <c r="O25" s="756"/>
      <c r="P25" s="744"/>
      <c r="R25" s="790"/>
      <c r="S25" s="735"/>
      <c r="T25" s="734" t="s">
        <v>729</v>
      </c>
      <c r="U25" s="836" t="s">
        <v>679</v>
      </c>
      <c r="V25" s="727"/>
      <c r="X25" s="733" t="s">
        <v>730</v>
      </c>
    </row>
    <row r="26" spans="1:24" ht="16.5" thickBot="1" x14ac:dyDescent="0.45">
      <c r="A26" s="2782"/>
      <c r="B26" s="774" t="s">
        <v>731</v>
      </c>
      <c r="C26" s="2787"/>
      <c r="D26" s="779" t="s">
        <v>679</v>
      </c>
      <c r="E26" s="758"/>
      <c r="F26" s="758"/>
      <c r="G26" s="758"/>
      <c r="H26" s="758"/>
      <c r="I26" s="758"/>
      <c r="J26" s="758"/>
      <c r="K26" s="758"/>
      <c r="L26" s="758"/>
      <c r="M26" s="779" t="s">
        <v>679</v>
      </c>
      <c r="N26" s="779" t="s">
        <v>679</v>
      </c>
      <c r="O26" s="779" t="s">
        <v>679</v>
      </c>
      <c r="P26" s="780" t="s">
        <v>679</v>
      </c>
      <c r="R26" s="791"/>
      <c r="S26" s="727"/>
      <c r="T26" s="734" t="s">
        <v>732</v>
      </c>
      <c r="U26" s="836" t="s">
        <v>679</v>
      </c>
      <c r="V26" s="727"/>
      <c r="X26" s="733" t="s">
        <v>733</v>
      </c>
    </row>
    <row r="27" spans="1:24" x14ac:dyDescent="0.4">
      <c r="A27" s="796" t="s">
        <v>39</v>
      </c>
      <c r="B27" s="804" t="s">
        <v>734</v>
      </c>
      <c r="C27" s="804" t="s">
        <v>710</v>
      </c>
      <c r="D27" s="818" t="s">
        <v>679</v>
      </c>
      <c r="E27" s="756"/>
      <c r="F27" s="818" t="s">
        <v>679</v>
      </c>
      <c r="G27" s="818" t="s">
        <v>679</v>
      </c>
      <c r="H27" s="818" t="s">
        <v>679</v>
      </c>
      <c r="I27" s="818" t="s">
        <v>679</v>
      </c>
      <c r="J27" s="818" t="s">
        <v>679</v>
      </c>
      <c r="K27" s="822" t="s">
        <v>679</v>
      </c>
      <c r="L27" s="822" t="s">
        <v>679</v>
      </c>
      <c r="M27" s="756"/>
      <c r="N27" s="818" t="s">
        <v>679</v>
      </c>
      <c r="O27" s="818" t="s">
        <v>679</v>
      </c>
      <c r="P27" s="744"/>
      <c r="R27" s="792"/>
      <c r="S27" s="727"/>
      <c r="T27" s="734" t="s">
        <v>735</v>
      </c>
      <c r="U27" s="836" t="s">
        <v>679</v>
      </c>
      <c r="V27" s="727"/>
      <c r="X27" s="733" t="s">
        <v>736</v>
      </c>
    </row>
    <row r="28" spans="1:24" ht="16.5" thickBot="1" x14ac:dyDescent="0.45">
      <c r="A28" s="797" t="s">
        <v>737</v>
      </c>
      <c r="B28" s="774" t="s">
        <v>738</v>
      </c>
      <c r="C28" s="805" t="s">
        <v>710</v>
      </c>
      <c r="D28" s="779" t="s">
        <v>679</v>
      </c>
      <c r="E28" s="759"/>
      <c r="F28" s="759"/>
      <c r="G28" s="759"/>
      <c r="H28" s="759"/>
      <c r="I28" s="759"/>
      <c r="J28" s="759"/>
      <c r="K28" s="759"/>
      <c r="L28" s="759"/>
      <c r="M28" s="759"/>
      <c r="N28" s="779" t="s">
        <v>679</v>
      </c>
      <c r="O28" s="779" t="s">
        <v>679</v>
      </c>
      <c r="P28" s="757"/>
      <c r="R28" s="793"/>
      <c r="S28" s="727"/>
      <c r="T28" s="734" t="s">
        <v>739</v>
      </c>
      <c r="U28" s="836" t="s">
        <v>679</v>
      </c>
      <c r="V28" s="727"/>
      <c r="X28" s="733" t="s">
        <v>740</v>
      </c>
    </row>
    <row r="29" spans="1:24" ht="16.5" thickBot="1" x14ac:dyDescent="0.45">
      <c r="A29" s="799" t="s">
        <v>741</v>
      </c>
      <c r="B29" s="772" t="s">
        <v>742</v>
      </c>
      <c r="C29" s="808" t="s">
        <v>716</v>
      </c>
      <c r="D29" s="776" t="s">
        <v>679</v>
      </c>
      <c r="E29" s="754"/>
      <c r="F29" s="754"/>
      <c r="G29" s="754"/>
      <c r="H29" s="754"/>
      <c r="I29" s="754"/>
      <c r="J29" s="754"/>
      <c r="K29" s="754"/>
      <c r="L29" s="754"/>
      <c r="M29" s="754"/>
      <c r="N29" s="754"/>
      <c r="O29" s="754"/>
      <c r="P29" s="755"/>
      <c r="R29" s="792"/>
      <c r="S29" s="727"/>
      <c r="T29" s="734" t="s">
        <v>743</v>
      </c>
      <c r="U29" s="836" t="s">
        <v>679</v>
      </c>
      <c r="V29" s="727"/>
      <c r="X29" s="733" t="s">
        <v>744</v>
      </c>
    </row>
    <row r="30" spans="1:24" x14ac:dyDescent="0.4">
      <c r="A30" s="796" t="s">
        <v>745</v>
      </c>
      <c r="B30" s="2780" t="s">
        <v>746</v>
      </c>
      <c r="C30" s="2780" t="s">
        <v>710</v>
      </c>
      <c r="D30" s="756"/>
      <c r="E30" s="756"/>
      <c r="F30" s="756"/>
      <c r="G30" s="756"/>
      <c r="H30" s="756"/>
      <c r="I30" s="756"/>
      <c r="J30" s="756"/>
      <c r="K30" s="822" t="s">
        <v>679</v>
      </c>
      <c r="L30" s="822" t="s">
        <v>679</v>
      </c>
      <c r="M30" s="756"/>
      <c r="N30" s="756"/>
      <c r="O30" s="756"/>
      <c r="P30" s="818" t="s">
        <v>679</v>
      </c>
      <c r="R30" s="792"/>
      <c r="S30" s="727"/>
      <c r="T30" s="734" t="s">
        <v>747</v>
      </c>
      <c r="U30" s="836" t="s">
        <v>679</v>
      </c>
      <c r="V30" s="727"/>
      <c r="X30" s="733"/>
    </row>
    <row r="31" spans="1:24" x14ac:dyDescent="0.4">
      <c r="A31" s="800" t="s">
        <v>748</v>
      </c>
      <c r="B31" s="2781"/>
      <c r="C31" s="2781"/>
      <c r="D31" s="743"/>
      <c r="E31" s="743"/>
      <c r="F31" s="743"/>
      <c r="G31" s="743"/>
      <c r="H31" s="743"/>
      <c r="I31" s="743"/>
      <c r="J31" s="743"/>
      <c r="K31" s="814" t="s">
        <v>679</v>
      </c>
      <c r="L31" s="814" t="s">
        <v>679</v>
      </c>
      <c r="M31" s="743"/>
      <c r="N31" s="743"/>
      <c r="O31" s="743"/>
      <c r="P31" s="813" t="s">
        <v>679</v>
      </c>
      <c r="R31" s="792"/>
      <c r="S31" s="727"/>
      <c r="T31" s="734" t="s">
        <v>749</v>
      </c>
      <c r="U31" s="836" t="s">
        <v>679</v>
      </c>
      <c r="V31" s="727"/>
      <c r="X31" s="733"/>
    </row>
    <row r="32" spans="1:24" ht="16.5" thickBot="1" x14ac:dyDescent="0.45">
      <c r="A32" s="797" t="s">
        <v>750</v>
      </c>
      <c r="B32" s="2787"/>
      <c r="C32" s="2787"/>
      <c r="D32" s="741"/>
      <c r="E32" s="741"/>
      <c r="F32" s="741"/>
      <c r="G32" s="741"/>
      <c r="H32" s="741"/>
      <c r="I32" s="741"/>
      <c r="J32" s="741"/>
      <c r="K32" s="741"/>
      <c r="L32" s="741"/>
      <c r="M32" s="741"/>
      <c r="N32" s="741"/>
      <c r="O32" s="741"/>
      <c r="P32" s="820" t="s">
        <v>679</v>
      </c>
      <c r="R32" s="792"/>
      <c r="S32" s="727"/>
      <c r="T32" s="734" t="s">
        <v>751</v>
      </c>
      <c r="U32" s="836" t="s">
        <v>679</v>
      </c>
      <c r="V32" s="727"/>
      <c r="X32" s="733"/>
    </row>
    <row r="33" spans="1:24" x14ac:dyDescent="0.4">
      <c r="A33" s="796" t="s">
        <v>745</v>
      </c>
      <c r="B33" s="2780" t="s">
        <v>752</v>
      </c>
      <c r="C33" s="2780" t="s">
        <v>710</v>
      </c>
      <c r="D33" s="756"/>
      <c r="E33" s="756"/>
      <c r="F33" s="756"/>
      <c r="G33" s="756"/>
      <c r="H33" s="756"/>
      <c r="I33" s="756"/>
      <c r="J33" s="756"/>
      <c r="K33" s="756"/>
      <c r="L33" s="756"/>
      <c r="M33" s="756"/>
      <c r="N33" s="756"/>
      <c r="O33" s="818" t="s">
        <v>679</v>
      </c>
      <c r="P33" s="756"/>
      <c r="R33" s="792"/>
      <c r="S33" s="727"/>
      <c r="T33" s="734" t="s">
        <v>753</v>
      </c>
      <c r="U33" s="836" t="s">
        <v>679</v>
      </c>
      <c r="V33" s="727"/>
      <c r="X33" s="733" t="s">
        <v>754</v>
      </c>
    </row>
    <row r="34" spans="1:24" x14ac:dyDescent="0.4">
      <c r="A34" s="800" t="s">
        <v>748</v>
      </c>
      <c r="B34" s="2781"/>
      <c r="C34" s="2781"/>
      <c r="D34" s="743"/>
      <c r="E34" s="743"/>
      <c r="F34" s="743"/>
      <c r="G34" s="743"/>
      <c r="H34" s="743"/>
      <c r="I34" s="743"/>
      <c r="J34" s="743"/>
      <c r="K34" s="743"/>
      <c r="L34" s="743"/>
      <c r="M34" s="743"/>
      <c r="N34" s="743"/>
      <c r="O34" s="813" t="s">
        <v>679</v>
      </c>
      <c r="P34" s="743"/>
      <c r="R34" s="792"/>
      <c r="S34" s="727"/>
      <c r="T34" s="734" t="s">
        <v>755</v>
      </c>
      <c r="U34" s="836" t="s">
        <v>679</v>
      </c>
      <c r="V34" s="727"/>
      <c r="X34" s="733" t="s">
        <v>756</v>
      </c>
    </row>
    <row r="35" spans="1:24" x14ac:dyDescent="0.4">
      <c r="A35" s="801" t="s">
        <v>750</v>
      </c>
      <c r="B35" s="2800"/>
      <c r="C35" s="2800"/>
      <c r="D35" s="760"/>
      <c r="E35" s="760"/>
      <c r="F35" s="760"/>
      <c r="G35" s="760"/>
      <c r="H35" s="760"/>
      <c r="I35" s="760"/>
      <c r="J35" s="760"/>
      <c r="K35" s="760"/>
      <c r="L35" s="760"/>
      <c r="M35" s="760"/>
      <c r="N35" s="760"/>
      <c r="O35" s="819" t="s">
        <v>679</v>
      </c>
      <c r="P35" s="760"/>
      <c r="R35" s="792"/>
      <c r="S35" s="727"/>
      <c r="T35" s="734" t="s">
        <v>757</v>
      </c>
      <c r="U35" s="836" t="s">
        <v>679</v>
      </c>
      <c r="V35" s="727"/>
      <c r="X35" s="733" t="s">
        <v>758</v>
      </c>
    </row>
    <row r="36" spans="1:24" ht="16.5" thickBot="1" x14ac:dyDescent="0.45">
      <c r="A36" s="801" t="s">
        <v>759</v>
      </c>
      <c r="B36" s="811"/>
      <c r="C36" s="811"/>
      <c r="D36" s="760"/>
      <c r="E36" s="760"/>
      <c r="F36" s="760"/>
      <c r="G36" s="760"/>
      <c r="H36" s="760"/>
      <c r="I36" s="760"/>
      <c r="J36" s="760"/>
      <c r="K36" s="821" t="s">
        <v>679</v>
      </c>
      <c r="L36" s="821" t="s">
        <v>679</v>
      </c>
      <c r="M36" s="760"/>
      <c r="N36" s="760"/>
      <c r="O36" s="763"/>
      <c r="P36" s="760"/>
      <c r="R36" s="792"/>
      <c r="S36" s="727"/>
      <c r="T36" s="734" t="s">
        <v>762</v>
      </c>
      <c r="U36" s="836" t="s">
        <v>679</v>
      </c>
      <c r="V36" s="727"/>
      <c r="X36" s="733"/>
    </row>
    <row r="37" spans="1:24" x14ac:dyDescent="0.4">
      <c r="A37" s="796" t="s">
        <v>760</v>
      </c>
      <c r="B37" s="2801" t="s">
        <v>761</v>
      </c>
      <c r="C37" s="2788" t="s">
        <v>36</v>
      </c>
      <c r="D37" s="756"/>
      <c r="E37" s="756"/>
      <c r="F37" s="2815" t="s">
        <v>679</v>
      </c>
      <c r="G37" s="2815"/>
      <c r="H37" s="2815"/>
      <c r="I37" s="756"/>
      <c r="J37" s="756"/>
      <c r="K37" s="756"/>
      <c r="L37" s="756"/>
      <c r="M37" s="756"/>
      <c r="N37" s="756"/>
      <c r="O37" s="756"/>
      <c r="P37" s="744"/>
      <c r="R37" s="792"/>
      <c r="S37" s="727"/>
      <c r="T37" s="734" t="s">
        <v>765</v>
      </c>
      <c r="U37" s="836" t="s">
        <v>679</v>
      </c>
      <c r="V37" s="727"/>
      <c r="X37" s="733" t="s">
        <v>763</v>
      </c>
    </row>
    <row r="38" spans="1:24" x14ac:dyDescent="0.4">
      <c r="A38" s="800" t="s">
        <v>764</v>
      </c>
      <c r="B38" s="2802"/>
      <c r="C38" s="2795"/>
      <c r="D38" s="743"/>
      <c r="E38" s="743"/>
      <c r="F38" s="2816" t="s">
        <v>679</v>
      </c>
      <c r="G38" s="2816"/>
      <c r="H38" s="2816"/>
      <c r="I38" s="743"/>
      <c r="J38" s="743"/>
      <c r="K38" s="743"/>
      <c r="L38" s="743"/>
      <c r="M38" s="743"/>
      <c r="N38" s="743"/>
      <c r="O38" s="743"/>
      <c r="P38" s="745"/>
      <c r="R38" s="792"/>
      <c r="S38" s="727"/>
      <c r="T38" s="734" t="s">
        <v>768</v>
      </c>
      <c r="U38" s="836" t="s">
        <v>679</v>
      </c>
      <c r="V38" s="727"/>
      <c r="X38" s="733" t="s">
        <v>766</v>
      </c>
    </row>
    <row r="39" spans="1:24" x14ac:dyDescent="0.4">
      <c r="A39" s="800" t="s">
        <v>767</v>
      </c>
      <c r="B39" s="2802"/>
      <c r="C39" s="2795"/>
      <c r="D39" s="743"/>
      <c r="E39" s="743"/>
      <c r="F39" s="2816" t="s">
        <v>679</v>
      </c>
      <c r="G39" s="2816"/>
      <c r="H39" s="2816"/>
      <c r="I39" s="743"/>
      <c r="J39" s="743"/>
      <c r="K39" s="743"/>
      <c r="L39" s="743"/>
      <c r="M39" s="743"/>
      <c r="N39" s="743"/>
      <c r="O39" s="743"/>
      <c r="P39" s="745"/>
      <c r="R39" s="792"/>
      <c r="S39" s="727"/>
      <c r="T39" s="734" t="s">
        <v>771</v>
      </c>
      <c r="U39" s="836" t="s">
        <v>679</v>
      </c>
      <c r="V39" s="727"/>
      <c r="X39" s="733" t="s">
        <v>769</v>
      </c>
    </row>
    <row r="40" spans="1:24" x14ac:dyDescent="0.4">
      <c r="A40" s="800" t="s">
        <v>770</v>
      </c>
      <c r="B40" s="2802"/>
      <c r="C40" s="2795"/>
      <c r="D40" s="743"/>
      <c r="E40" s="743"/>
      <c r="F40" s="2816" t="s">
        <v>679</v>
      </c>
      <c r="G40" s="2816"/>
      <c r="H40" s="2816"/>
      <c r="I40" s="743"/>
      <c r="J40" s="743"/>
      <c r="K40" s="743"/>
      <c r="L40" s="743"/>
      <c r="M40" s="743"/>
      <c r="N40" s="743"/>
      <c r="O40" s="743"/>
      <c r="P40" s="745"/>
      <c r="R40" s="792"/>
      <c r="S40" s="727"/>
      <c r="T40" s="734" t="s">
        <v>774</v>
      </c>
      <c r="U40" s="836" t="s">
        <v>679</v>
      </c>
      <c r="V40" s="727"/>
      <c r="X40" s="733" t="s">
        <v>772</v>
      </c>
    </row>
    <row r="41" spans="1:24" ht="16.5" thickBot="1" x14ac:dyDescent="0.45">
      <c r="A41" s="797" t="s">
        <v>773</v>
      </c>
      <c r="B41" s="2803"/>
      <c r="C41" s="2796"/>
      <c r="D41" s="741"/>
      <c r="E41" s="741"/>
      <c r="F41" s="2817" t="s">
        <v>679</v>
      </c>
      <c r="G41" s="2817"/>
      <c r="H41" s="2817"/>
      <c r="I41" s="741"/>
      <c r="J41" s="741"/>
      <c r="K41" s="741"/>
      <c r="L41" s="741"/>
      <c r="M41" s="741"/>
      <c r="N41" s="741"/>
      <c r="O41" s="741"/>
      <c r="P41" s="757"/>
      <c r="R41" s="792"/>
      <c r="S41" s="727"/>
      <c r="T41" s="736" t="s">
        <v>778</v>
      </c>
      <c r="U41" s="836" t="s">
        <v>679</v>
      </c>
      <c r="V41" s="727"/>
      <c r="X41" s="733" t="s">
        <v>775</v>
      </c>
    </row>
    <row r="42" spans="1:24" x14ac:dyDescent="0.4">
      <c r="A42" s="802" t="s">
        <v>776</v>
      </c>
      <c r="B42" s="2797" t="s">
        <v>777</v>
      </c>
      <c r="C42" s="2789" t="s">
        <v>36</v>
      </c>
      <c r="D42" s="761"/>
      <c r="E42" s="761"/>
      <c r="F42" s="761"/>
      <c r="G42" s="761"/>
      <c r="H42" s="761"/>
      <c r="I42" s="786" t="s">
        <v>679</v>
      </c>
      <c r="J42" s="786" t="s">
        <v>679</v>
      </c>
      <c r="K42" s="786" t="s">
        <v>679</v>
      </c>
      <c r="L42" s="786" t="s">
        <v>679</v>
      </c>
      <c r="M42" s="761"/>
      <c r="N42" s="761"/>
      <c r="O42" s="761"/>
      <c r="P42" s="764"/>
      <c r="R42" s="792"/>
      <c r="S42" s="727"/>
      <c r="T42" s="737" t="s">
        <v>780</v>
      </c>
      <c r="U42" s="836" t="s">
        <v>679</v>
      </c>
      <c r="V42" s="727"/>
      <c r="X42" s="733" t="s">
        <v>766</v>
      </c>
    </row>
    <row r="43" spans="1:24" x14ac:dyDescent="0.4">
      <c r="A43" s="800" t="s">
        <v>779</v>
      </c>
      <c r="B43" s="2798"/>
      <c r="C43" s="2781"/>
      <c r="D43" s="743"/>
      <c r="E43" s="743"/>
      <c r="F43" s="743"/>
      <c r="G43" s="743"/>
      <c r="H43" s="743"/>
      <c r="I43" s="770" t="s">
        <v>679</v>
      </c>
      <c r="J43" s="770" t="s">
        <v>679</v>
      </c>
      <c r="K43" s="770" t="s">
        <v>679</v>
      </c>
      <c r="L43" s="770" t="s">
        <v>679</v>
      </c>
      <c r="M43" s="743"/>
      <c r="N43" s="743"/>
      <c r="O43" s="743"/>
      <c r="P43" s="745"/>
      <c r="R43" s="792"/>
      <c r="S43" s="727"/>
      <c r="T43" s="737" t="s">
        <v>784</v>
      </c>
      <c r="U43" s="836" t="s">
        <v>679</v>
      </c>
      <c r="V43" s="727"/>
      <c r="X43" s="733" t="s">
        <v>781</v>
      </c>
    </row>
    <row r="44" spans="1:24" ht="16.5" thickBot="1" x14ac:dyDescent="0.45">
      <c r="A44" s="801" t="s">
        <v>782</v>
      </c>
      <c r="B44" s="2799"/>
      <c r="C44" s="2800"/>
      <c r="D44" s="760"/>
      <c r="E44" s="760"/>
      <c r="F44" s="760"/>
      <c r="G44" s="760"/>
      <c r="H44" s="760"/>
      <c r="I44" s="760"/>
      <c r="J44" s="760"/>
      <c r="K44" s="770" t="s">
        <v>679</v>
      </c>
      <c r="L44" s="770" t="s">
        <v>679</v>
      </c>
      <c r="M44" s="760"/>
      <c r="N44" s="760"/>
      <c r="O44" s="760"/>
      <c r="P44" s="765"/>
      <c r="R44" s="792"/>
      <c r="S44" s="727"/>
      <c r="T44" s="831" t="s">
        <v>788</v>
      </c>
      <c r="U44" s="768" t="s">
        <v>679</v>
      </c>
      <c r="V44" s="727"/>
      <c r="X44" s="733"/>
    </row>
    <row r="45" spans="1:24" ht="16.5" thickBot="1" x14ac:dyDescent="0.45">
      <c r="A45" s="797" t="s">
        <v>783</v>
      </c>
      <c r="B45" s="2791"/>
      <c r="C45" s="2787"/>
      <c r="D45" s="741"/>
      <c r="E45" s="741"/>
      <c r="F45" s="741"/>
      <c r="G45" s="741"/>
      <c r="H45" s="741"/>
      <c r="I45" s="771" t="s">
        <v>679</v>
      </c>
      <c r="J45" s="771" t="s">
        <v>679</v>
      </c>
      <c r="K45" s="771" t="s">
        <v>679</v>
      </c>
      <c r="L45" s="771" t="s">
        <v>679</v>
      </c>
      <c r="M45" s="741"/>
      <c r="N45" s="741"/>
      <c r="O45" s="741"/>
      <c r="P45" s="757"/>
      <c r="R45" s="792"/>
      <c r="S45" s="727"/>
      <c r="T45" s="732"/>
      <c r="U45" s="727"/>
      <c r="V45" s="727"/>
      <c r="X45" s="733" t="s">
        <v>785</v>
      </c>
    </row>
    <row r="46" spans="1:24" x14ac:dyDescent="0.4">
      <c r="A46" s="796" t="s">
        <v>786</v>
      </c>
      <c r="B46" s="2790" t="s">
        <v>787</v>
      </c>
      <c r="C46" s="2780" t="s">
        <v>710</v>
      </c>
      <c r="D46" s="777" t="s">
        <v>679</v>
      </c>
      <c r="E46" s="756"/>
      <c r="F46" s="777" t="s">
        <v>679</v>
      </c>
      <c r="G46" s="777" t="s">
        <v>679</v>
      </c>
      <c r="H46" s="777" t="s">
        <v>679</v>
      </c>
      <c r="I46" s="756"/>
      <c r="J46" s="756"/>
      <c r="K46" s="756"/>
      <c r="L46" s="756"/>
      <c r="M46" s="756"/>
      <c r="N46" s="756"/>
      <c r="O46" s="756"/>
      <c r="P46" s="744"/>
      <c r="R46" s="792"/>
      <c r="T46" s="732"/>
      <c r="U46" s="727"/>
      <c r="X46" s="733" t="s">
        <v>785</v>
      </c>
    </row>
    <row r="47" spans="1:24" ht="16.5" thickBot="1" x14ac:dyDescent="0.45">
      <c r="A47" s="797" t="s">
        <v>789</v>
      </c>
      <c r="B47" s="2791"/>
      <c r="C47" s="2787"/>
      <c r="D47" s="741"/>
      <c r="E47" s="741"/>
      <c r="F47" s="741"/>
      <c r="G47" s="741"/>
      <c r="H47" s="741"/>
      <c r="I47" s="741"/>
      <c r="J47" s="741"/>
      <c r="K47" s="741"/>
      <c r="L47" s="741"/>
      <c r="M47" s="741"/>
      <c r="N47" s="741"/>
      <c r="O47" s="741"/>
      <c r="P47" s="757"/>
      <c r="R47" s="792"/>
      <c r="T47" s="732"/>
      <c r="U47" s="727"/>
      <c r="X47" s="733" t="s">
        <v>790</v>
      </c>
    </row>
    <row r="48" spans="1:24" x14ac:dyDescent="0.4">
      <c r="A48" s="802" t="s">
        <v>791</v>
      </c>
      <c r="B48" s="766" t="s">
        <v>792</v>
      </c>
      <c r="C48" s="812" t="s">
        <v>36</v>
      </c>
      <c r="D48" s="761"/>
      <c r="E48" s="761"/>
      <c r="F48" s="761"/>
      <c r="G48" s="761"/>
      <c r="H48" s="761"/>
      <c r="I48" s="761"/>
      <c r="J48" s="761"/>
      <c r="K48" s="761"/>
      <c r="L48" s="761"/>
      <c r="M48" s="761"/>
      <c r="N48" s="761"/>
      <c r="O48" s="816" t="s">
        <v>679</v>
      </c>
      <c r="P48" s="817" t="s">
        <v>679</v>
      </c>
      <c r="R48" s="792"/>
      <c r="T48" s="732"/>
      <c r="U48" s="727"/>
    </row>
    <row r="49" spans="1:22" x14ac:dyDescent="0.4">
      <c r="A49" s="800" t="s">
        <v>793</v>
      </c>
      <c r="B49" s="806" t="s">
        <v>77</v>
      </c>
      <c r="C49" s="812" t="s">
        <v>36</v>
      </c>
      <c r="D49" s="743"/>
      <c r="E49" s="743"/>
      <c r="F49" s="743"/>
      <c r="G49" s="743"/>
      <c r="H49" s="743"/>
      <c r="I49" s="743"/>
      <c r="J49" s="743"/>
      <c r="K49" s="743"/>
      <c r="L49" s="743"/>
      <c r="M49" s="743"/>
      <c r="N49" s="743"/>
      <c r="O49" s="813" t="s">
        <v>679</v>
      </c>
      <c r="P49" s="815" t="s">
        <v>679</v>
      </c>
      <c r="R49" s="792"/>
      <c r="T49" s="732"/>
      <c r="U49" s="727"/>
    </row>
    <row r="50" spans="1:22" x14ac:dyDescent="0.4">
      <c r="A50" s="803" t="s">
        <v>794</v>
      </c>
      <c r="B50" s="806" t="s">
        <v>795</v>
      </c>
      <c r="C50" s="806" t="s">
        <v>36</v>
      </c>
      <c r="D50" s="814" t="s">
        <v>796</v>
      </c>
      <c r="E50" s="743"/>
      <c r="F50" s="743"/>
      <c r="G50" s="743"/>
      <c r="H50" s="743"/>
      <c r="I50" s="743"/>
      <c r="J50" s="743"/>
      <c r="K50" s="743"/>
      <c r="L50" s="743"/>
      <c r="M50" s="743"/>
      <c r="N50" s="813" t="s">
        <v>679</v>
      </c>
      <c r="O50" s="813" t="s">
        <v>679</v>
      </c>
      <c r="P50" s="815" t="s">
        <v>679</v>
      </c>
      <c r="R50" s="792"/>
      <c r="T50" s="732"/>
      <c r="U50" s="727"/>
    </row>
    <row r="51" spans="1:22" x14ac:dyDescent="0.4">
      <c r="A51" s="800" t="s">
        <v>80</v>
      </c>
      <c r="B51" s="806" t="s">
        <v>797</v>
      </c>
      <c r="C51" s="806" t="s">
        <v>36</v>
      </c>
      <c r="D51" s="814" t="s">
        <v>796</v>
      </c>
      <c r="E51" s="743"/>
      <c r="F51" s="743"/>
      <c r="G51" s="743"/>
      <c r="H51" s="743"/>
      <c r="I51" s="743"/>
      <c r="J51" s="743"/>
      <c r="K51" s="743"/>
      <c r="L51" s="743"/>
      <c r="M51" s="743"/>
      <c r="N51" s="813" t="s">
        <v>679</v>
      </c>
      <c r="O51" s="813" t="s">
        <v>679</v>
      </c>
      <c r="P51" s="813" t="s">
        <v>679</v>
      </c>
      <c r="R51" s="792"/>
    </row>
    <row r="52" spans="1:22" x14ac:dyDescent="0.4">
      <c r="A52" s="800" t="s">
        <v>798</v>
      </c>
      <c r="B52" s="767" t="s">
        <v>799</v>
      </c>
      <c r="C52" s="806" t="s">
        <v>36</v>
      </c>
      <c r="D52" s="743"/>
      <c r="E52" s="743"/>
      <c r="F52" s="743"/>
      <c r="G52" s="743"/>
      <c r="H52" s="743"/>
      <c r="I52" s="743"/>
      <c r="J52" s="743"/>
      <c r="K52" s="769" t="s">
        <v>679</v>
      </c>
      <c r="L52" s="769" t="s">
        <v>679</v>
      </c>
      <c r="M52" s="743"/>
      <c r="N52" s="743"/>
      <c r="O52" s="743"/>
      <c r="P52" s="745"/>
      <c r="R52" s="789"/>
    </row>
    <row r="53" spans="1:22" x14ac:dyDescent="0.4">
      <c r="A53" s="800" t="s">
        <v>800</v>
      </c>
      <c r="B53" s="767" t="s">
        <v>801</v>
      </c>
      <c r="C53" s="806" t="s">
        <v>802</v>
      </c>
      <c r="D53" s="813" t="s">
        <v>679</v>
      </c>
      <c r="E53" s="743"/>
      <c r="F53" s="743"/>
      <c r="G53" s="743"/>
      <c r="H53" s="743"/>
      <c r="I53" s="743"/>
      <c r="J53" s="769" t="s">
        <v>679</v>
      </c>
      <c r="K53" s="769" t="s">
        <v>679</v>
      </c>
      <c r="L53" s="769" t="s">
        <v>679</v>
      </c>
      <c r="M53" s="769" t="s">
        <v>679</v>
      </c>
      <c r="N53" s="769" t="s">
        <v>679</v>
      </c>
      <c r="O53" s="769" t="s">
        <v>679</v>
      </c>
      <c r="P53" s="783" t="s">
        <v>679</v>
      </c>
      <c r="R53" s="789"/>
    </row>
    <row r="54" spans="1:22" x14ac:dyDescent="0.4">
      <c r="A54" s="800" t="s">
        <v>803</v>
      </c>
      <c r="B54" s="767" t="s">
        <v>804</v>
      </c>
      <c r="C54" s="806" t="s">
        <v>802</v>
      </c>
      <c r="D54" s="813" t="s">
        <v>679</v>
      </c>
      <c r="E54" s="743"/>
      <c r="F54" s="769" t="s">
        <v>679</v>
      </c>
      <c r="G54" s="743"/>
      <c r="H54" s="743"/>
      <c r="I54" s="743"/>
      <c r="J54" s="743"/>
      <c r="K54" s="743"/>
      <c r="L54" s="743"/>
      <c r="M54" s="743"/>
      <c r="N54" s="743"/>
      <c r="O54" s="743"/>
      <c r="P54" s="745"/>
      <c r="R54" s="789"/>
    </row>
    <row r="55" spans="1:22" x14ac:dyDescent="0.4">
      <c r="A55" s="800" t="s">
        <v>805</v>
      </c>
      <c r="B55" s="767" t="s">
        <v>806</v>
      </c>
      <c r="C55" s="806" t="s">
        <v>807</v>
      </c>
      <c r="D55" s="743"/>
      <c r="E55" s="743"/>
      <c r="F55" s="769" t="s">
        <v>679</v>
      </c>
      <c r="G55" s="769" t="s">
        <v>679</v>
      </c>
      <c r="H55" s="769" t="s">
        <v>679</v>
      </c>
      <c r="I55" s="743"/>
      <c r="J55" s="743"/>
      <c r="K55" s="770" t="s">
        <v>679</v>
      </c>
      <c r="L55" s="770" t="s">
        <v>679</v>
      </c>
      <c r="M55" s="743"/>
      <c r="N55" s="743"/>
      <c r="O55" s="743"/>
      <c r="P55" s="745"/>
      <c r="R55" s="789"/>
    </row>
    <row r="56" spans="1:22" ht="16.5" thickBot="1" x14ac:dyDescent="0.45">
      <c r="A56" s="797" t="s">
        <v>808</v>
      </c>
      <c r="B56" s="768" t="s">
        <v>809</v>
      </c>
      <c r="C56" s="805" t="s">
        <v>807</v>
      </c>
      <c r="D56" s="741"/>
      <c r="E56" s="741"/>
      <c r="F56" s="741"/>
      <c r="G56" s="741"/>
      <c r="H56" s="741"/>
      <c r="I56" s="741"/>
      <c r="J56" s="741"/>
      <c r="K56" s="741"/>
      <c r="L56" s="741"/>
      <c r="M56" s="837" t="s">
        <v>810</v>
      </c>
      <c r="N56" s="741"/>
      <c r="O56" s="741"/>
      <c r="P56" s="757"/>
      <c r="R56" s="794"/>
    </row>
    <row r="57" spans="1:22" ht="16.5" thickBot="1" x14ac:dyDescent="0.45">
      <c r="A57" s="797" t="s">
        <v>811</v>
      </c>
      <c r="B57" s="768" t="s">
        <v>812</v>
      </c>
      <c r="C57" s="805" t="s">
        <v>813</v>
      </c>
      <c r="D57" s="741"/>
      <c r="E57" s="741"/>
      <c r="F57" s="741"/>
      <c r="G57" s="741"/>
      <c r="H57" s="741"/>
      <c r="I57" s="741"/>
      <c r="J57" s="741"/>
      <c r="K57" s="771" t="s">
        <v>679</v>
      </c>
      <c r="L57" s="771" t="s">
        <v>679</v>
      </c>
      <c r="M57" s="741"/>
      <c r="N57" s="741"/>
      <c r="O57" s="741"/>
      <c r="P57" s="757"/>
      <c r="R57" s="794"/>
    </row>
    <row r="58" spans="1:22" s="717" customFormat="1" ht="16.5" thickBot="1" x14ac:dyDescent="0.45">
      <c r="A58" s="797" t="s">
        <v>814</v>
      </c>
      <c r="B58" s="805"/>
      <c r="C58" s="805"/>
      <c r="D58" s="813" t="s">
        <v>679</v>
      </c>
      <c r="E58" s="741"/>
      <c r="F58" s="741"/>
      <c r="G58" s="741"/>
      <c r="H58" s="741"/>
      <c r="I58" s="741"/>
      <c r="J58" s="741"/>
      <c r="K58" s="741"/>
      <c r="L58" s="741"/>
      <c r="M58" s="741"/>
      <c r="N58" s="741"/>
      <c r="O58" s="741"/>
      <c r="P58" s="757"/>
      <c r="Q58" s="841"/>
      <c r="R58" s="794"/>
      <c r="S58" s="719"/>
      <c r="T58" s="719"/>
      <c r="U58" s="719"/>
      <c r="V58" s="719"/>
    </row>
    <row r="59" spans="1:22" s="717" customFormat="1" ht="16.5" thickBot="1" x14ac:dyDescent="0.45">
      <c r="A59" s="797" t="s">
        <v>815</v>
      </c>
      <c r="B59" s="805"/>
      <c r="C59" s="805"/>
      <c r="D59" s="813" t="s">
        <v>679</v>
      </c>
      <c r="E59" s="741"/>
      <c r="F59" s="741"/>
      <c r="G59" s="741"/>
      <c r="H59" s="741"/>
      <c r="I59" s="741"/>
      <c r="J59" s="741"/>
      <c r="K59" s="741"/>
      <c r="L59" s="741"/>
      <c r="M59" s="741"/>
      <c r="N59" s="741"/>
      <c r="O59" s="741"/>
      <c r="P59" s="757"/>
      <c r="Q59" s="841"/>
      <c r="R59" s="794"/>
      <c r="S59" s="719"/>
      <c r="T59" s="719"/>
      <c r="U59" s="719"/>
      <c r="V59" s="719"/>
    </row>
    <row r="60" spans="1:22" ht="7.15" customHeight="1" thickBot="1" x14ac:dyDescent="0.45"/>
    <row r="61" spans="1:22" ht="16.899999999999999" customHeight="1" thickBot="1" x14ac:dyDescent="0.45">
      <c r="A61" s="738" t="s">
        <v>679</v>
      </c>
      <c r="B61" s="717" t="s">
        <v>816</v>
      </c>
      <c r="F61" s="717"/>
      <c r="G61" s="717"/>
      <c r="H61" s="717"/>
      <c r="I61" s="717"/>
      <c r="J61" s="717"/>
    </row>
    <row r="62" spans="1:22" x14ac:dyDescent="0.4">
      <c r="A62" s="721" t="s">
        <v>679</v>
      </c>
      <c r="B62" s="717" t="s">
        <v>817</v>
      </c>
      <c r="F62" s="717"/>
      <c r="G62" s="717"/>
      <c r="H62" s="717"/>
      <c r="I62" s="717"/>
      <c r="J62" s="717"/>
    </row>
    <row r="63" spans="1:22" x14ac:dyDescent="0.4">
      <c r="A63" s="739"/>
      <c r="B63" s="717" t="s">
        <v>818</v>
      </c>
      <c r="F63" s="740"/>
    </row>
  </sheetData>
  <mergeCells count="27">
    <mergeCell ref="B46:B47"/>
    <mergeCell ref="C46:C47"/>
    <mergeCell ref="F37:H37"/>
    <mergeCell ref="F38:H38"/>
    <mergeCell ref="F39:H39"/>
    <mergeCell ref="F40:H40"/>
    <mergeCell ref="F41:H41"/>
    <mergeCell ref="B42:B45"/>
    <mergeCell ref="C42:C45"/>
    <mergeCell ref="B30:B32"/>
    <mergeCell ref="C30:C32"/>
    <mergeCell ref="B33:B35"/>
    <mergeCell ref="C33:C35"/>
    <mergeCell ref="B37:B41"/>
    <mergeCell ref="C37:C41"/>
    <mergeCell ref="A18:A20"/>
    <mergeCell ref="B19:B20"/>
    <mergeCell ref="T21:U21"/>
    <mergeCell ref="A23:A24"/>
    <mergeCell ref="A25:A26"/>
    <mergeCell ref="C25:C26"/>
    <mergeCell ref="A1:U1"/>
    <mergeCell ref="T5:U5"/>
    <mergeCell ref="T6:U6"/>
    <mergeCell ref="A9:A10"/>
    <mergeCell ref="B13:B17"/>
    <mergeCell ref="C13:C17"/>
  </mergeCells>
  <pageMargins left="0.25" right="0.25" top="0.75" bottom="0.75" header="0.3" footer="0.3"/>
  <pageSetup paperSize="9" scale="46" fitToHeight="0" orientation="landscape" r:id="rId1"/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DB7F2-CE80-4B62-8C34-651A76199DB0}">
  <sheetPr codeName="Sheet28">
    <tabColor theme="4" tint="0.59999389629810485"/>
  </sheetPr>
  <dimension ref="A1:FX295"/>
  <sheetViews>
    <sheetView zoomScale="88" zoomScaleNormal="60" workbookViewId="0">
      <pane xSplit="5" ySplit="6" topLeftCell="F7" activePane="bottomRight" state="frozen"/>
      <selection activeCell="F9" sqref="F9"/>
      <selection pane="topRight" activeCell="F9" sqref="F9"/>
      <selection pane="bottomLeft" activeCell="F9" sqref="F9"/>
      <selection pane="bottomRight" activeCell="F9" sqref="F9"/>
    </sheetView>
  </sheetViews>
  <sheetFormatPr defaultRowHeight="14.5" x14ac:dyDescent="0.35"/>
  <cols>
    <col min="1" max="2" width="1.7265625" customWidth="1"/>
    <col min="3" max="3" width="42.1796875" style="1" customWidth="1"/>
    <col min="4" max="5" width="5.7265625" style="1" customWidth="1"/>
    <col min="6" max="6" width="8.7265625" style="1029" customWidth="1"/>
    <col min="7" max="7" width="9.54296875" style="232" bestFit="1" customWidth="1"/>
    <col min="8" max="8" width="6.453125" style="232" customWidth="1"/>
    <col min="9" max="9" width="6.453125" style="1236" customWidth="1"/>
    <col min="10" max="10" width="7.1796875" style="643" customWidth="1"/>
    <col min="11" max="11" width="6.453125" style="232" customWidth="1"/>
    <col min="12" max="12" width="8.1796875" style="232" customWidth="1"/>
    <col min="13" max="13" width="6.81640625" style="232" customWidth="1"/>
    <col min="14" max="14" width="6.453125" style="232" customWidth="1"/>
    <col min="15" max="15" width="7" style="232" customWidth="1"/>
    <col min="16" max="16" width="7.7265625" style="232" customWidth="1"/>
    <col min="17" max="17" width="6.453125" style="232" customWidth="1"/>
    <col min="18" max="18" width="6.7265625" style="1236" customWidth="1"/>
    <col min="19" max="19" width="7.81640625" style="643" customWidth="1"/>
    <col min="20" max="20" width="6.453125" style="232" customWidth="1"/>
    <col min="21" max="22" width="8" style="232" customWidth="1"/>
    <col min="23" max="23" width="8.26953125" style="232" customWidth="1"/>
    <col min="24" max="24" width="8" style="1236" customWidth="1"/>
    <col min="25" max="25" width="8" style="643" customWidth="1"/>
    <col min="26" max="33" width="8" style="232" customWidth="1"/>
    <col min="34" max="34" width="1.7265625" style="323" customWidth="1"/>
    <col min="35" max="35" width="7.7265625" style="232" customWidth="1"/>
    <col min="36" max="36" width="7.1796875" style="232" customWidth="1"/>
    <col min="37" max="37" width="8.81640625" style="232" customWidth="1"/>
    <col min="38" max="38" width="6.453125" style="1236" customWidth="1"/>
    <col min="39" max="39" width="6.453125" style="643" customWidth="1"/>
    <col min="40" max="41" width="6.453125" style="232" customWidth="1"/>
    <col min="42" max="42" width="6.7265625" style="232" customWidth="1"/>
    <col min="43" max="44" width="8.453125" style="232" bestFit="1" customWidth="1"/>
    <col min="45" max="46" width="6.453125" style="232" customWidth="1"/>
    <col min="47" max="47" width="6.453125" style="1236" customWidth="1"/>
    <col min="48" max="48" width="6.453125" style="643" customWidth="1"/>
    <col min="49" max="52" width="6.453125" style="232" customWidth="1"/>
    <col min="53" max="53" width="6.453125" style="1236" customWidth="1"/>
    <col min="54" max="54" width="6.453125" style="643" customWidth="1"/>
    <col min="55" max="62" width="6.453125" style="232" customWidth="1"/>
    <col min="63" max="63" width="1.7265625" style="323" customWidth="1"/>
    <col min="64" max="66" width="6.7265625" style="232" customWidth="1"/>
    <col min="67" max="67" width="6.7265625" style="1236" customWidth="1"/>
    <col min="68" max="68" width="6.7265625" style="643" customWidth="1"/>
    <col min="69" max="71" width="9.54296875" style="232" bestFit="1" customWidth="1"/>
    <col min="72" max="75" width="6.7265625" style="232" customWidth="1"/>
    <col min="76" max="76" width="9.54296875" style="1236" bestFit="1" customWidth="1"/>
    <col min="77" max="77" width="6.7265625" style="643" customWidth="1"/>
    <col min="78" max="79" width="6.7265625" style="232" customWidth="1"/>
    <col min="80" max="81" width="6.453125" style="232" customWidth="1"/>
    <col min="82" max="82" width="6.453125" style="1236" customWidth="1"/>
    <col min="83" max="83" width="6.453125" style="643" customWidth="1"/>
    <col min="84" max="91" width="6.453125" style="232" customWidth="1"/>
    <col min="92" max="92" width="1.7265625" style="323" customWidth="1"/>
    <col min="93" max="95" width="6.453125" style="232" customWidth="1"/>
    <col min="96" max="96" width="6.453125" style="1236" customWidth="1"/>
    <col min="97" max="97" width="6.453125" style="643" customWidth="1"/>
    <col min="98" max="104" width="6.453125" style="232" customWidth="1"/>
    <col min="105" max="105" width="6.453125" style="1236" customWidth="1"/>
    <col min="106" max="106" width="6.453125" style="643" customWidth="1"/>
    <col min="107" max="110" width="6.453125" style="232" customWidth="1"/>
    <col min="111" max="111" width="6.453125" style="1236" customWidth="1"/>
    <col min="112" max="112" width="6.453125" style="643" customWidth="1"/>
    <col min="113" max="120" width="6.453125" style="232" customWidth="1"/>
    <col min="121" max="121" width="2.7265625" style="323" customWidth="1"/>
    <col min="122" max="122" width="15.26953125" style="238" customWidth="1"/>
    <col min="123" max="125" width="6.453125" style="232" customWidth="1"/>
    <col min="126" max="126" width="6.453125" style="1236" customWidth="1"/>
    <col min="127" max="127" width="6.453125" style="643" customWidth="1"/>
    <col min="128" max="134" width="6.453125" style="232" customWidth="1"/>
    <col min="135" max="135" width="6.453125" style="1236" customWidth="1"/>
    <col min="136" max="136" width="6.453125" style="643" customWidth="1"/>
    <col min="137" max="138" width="6.453125" style="232" customWidth="1"/>
    <col min="139" max="140" width="6.81640625" style="232" customWidth="1"/>
    <col min="141" max="141" width="6.81640625" style="1236" customWidth="1"/>
    <col min="142" max="142" width="6.81640625" style="643" customWidth="1"/>
    <col min="143" max="150" width="6.81640625" style="232" customWidth="1"/>
    <col min="151" max="151" width="4.54296875" style="323" customWidth="1"/>
    <col min="152" max="152" width="9.7265625" style="232" customWidth="1"/>
    <col min="153" max="154" width="7.453125" style="232" customWidth="1"/>
    <col min="155" max="155" width="7.453125" style="1236" customWidth="1"/>
    <col min="156" max="156" width="7.453125" style="643" customWidth="1"/>
    <col min="157" max="161" width="7.453125" style="232" customWidth="1"/>
    <col min="162" max="163" width="6.453125" style="232" customWidth="1"/>
    <col min="164" max="164" width="8.7265625" style="1236" customWidth="1"/>
    <col min="165" max="165" width="8" style="643" customWidth="1"/>
    <col min="166" max="169" width="9.1796875" style="232"/>
    <col min="170" max="170" width="9.1796875" style="1236"/>
    <col min="171" max="171" width="9.1796875" style="643"/>
    <col min="172" max="179" width="9.1796875" style="232"/>
  </cols>
  <sheetData>
    <row r="1" spans="1:180" x14ac:dyDescent="0.35">
      <c r="AI1" s="1029"/>
      <c r="BL1" s="1029"/>
      <c r="CO1" s="1029"/>
      <c r="DR1" s="1388"/>
      <c r="DS1" s="1029"/>
      <c r="EV1" s="1390"/>
      <c r="EW1" s="1391"/>
      <c r="EX1" s="1391"/>
      <c r="EY1" s="1392"/>
      <c r="EZ1" s="1393"/>
      <c r="FA1" s="1391"/>
      <c r="FB1" s="1391"/>
      <c r="FC1" s="1391"/>
      <c r="FD1" s="1391"/>
      <c r="FE1" s="1391"/>
      <c r="FF1" s="1391"/>
      <c r="FG1" s="1391"/>
      <c r="FH1" s="1392"/>
      <c r="FI1" s="1393"/>
      <c r="FJ1" s="1391"/>
      <c r="FK1" s="1391"/>
      <c r="FL1" s="1391"/>
      <c r="FM1" s="1391"/>
      <c r="FN1" s="1392"/>
      <c r="FO1" s="1393"/>
      <c r="FP1" s="1391"/>
      <c r="FQ1" s="1391"/>
      <c r="FR1" s="1391"/>
      <c r="FS1" s="1391"/>
      <c r="FT1" s="1391"/>
      <c r="FU1" s="1391"/>
      <c r="FV1" s="1391"/>
      <c r="FW1" s="1391"/>
    </row>
    <row r="2" spans="1:180" x14ac:dyDescent="0.35">
      <c r="F2" s="2722" t="s">
        <v>206</v>
      </c>
      <c r="G2" s="2723"/>
      <c r="H2" s="317"/>
      <c r="I2" s="1228"/>
      <c r="J2" s="2724" t="s">
        <v>206</v>
      </c>
      <c r="K2" s="2724"/>
      <c r="L2" s="2728"/>
      <c r="M2" s="2729"/>
      <c r="N2" s="2729"/>
      <c r="O2" s="2730"/>
      <c r="P2" s="2731" t="s">
        <v>206</v>
      </c>
      <c r="Q2" s="2732"/>
      <c r="R2" s="2732"/>
      <c r="S2" s="1406"/>
      <c r="T2" s="317"/>
      <c r="U2" s="317"/>
      <c r="Y2" s="1422"/>
      <c r="AI2" s="2722" t="s">
        <v>391</v>
      </c>
      <c r="AJ2" s="2723"/>
      <c r="AK2" s="317"/>
      <c r="AL2" s="1228"/>
      <c r="AM2" s="2724" t="s">
        <v>392</v>
      </c>
      <c r="AN2" s="2724"/>
      <c r="AO2" s="2728"/>
      <c r="AP2" s="2729"/>
      <c r="AQ2" s="2729"/>
      <c r="AR2" s="2730"/>
      <c r="AS2" s="2731" t="s">
        <v>393</v>
      </c>
      <c r="AT2" s="2732"/>
      <c r="AU2" s="2732"/>
      <c r="AV2" s="1406"/>
      <c r="AW2" s="317"/>
      <c r="AX2" s="317"/>
      <c r="BB2" s="1422"/>
      <c r="BL2" s="2722" t="s">
        <v>352</v>
      </c>
      <c r="BM2" s="2723"/>
      <c r="BN2" s="317"/>
      <c r="BO2" s="1228"/>
      <c r="BP2" s="2724" t="s">
        <v>15</v>
      </c>
      <c r="BQ2" s="2724"/>
      <c r="BR2" s="2728"/>
      <c r="BS2" s="2729"/>
      <c r="BT2" s="2729"/>
      <c r="BU2" s="2730"/>
      <c r="BV2" s="2731" t="s">
        <v>15</v>
      </c>
      <c r="BW2" s="2732"/>
      <c r="BX2" s="2732"/>
      <c r="BY2" s="1406"/>
      <c r="BZ2" s="317"/>
      <c r="CA2" s="317"/>
      <c r="CE2" s="1422"/>
      <c r="CO2" s="2734" t="s">
        <v>0</v>
      </c>
      <c r="CP2" s="2735"/>
      <c r="CQ2" s="1516"/>
      <c r="CR2" s="1517"/>
      <c r="CS2" s="2736" t="s">
        <v>0</v>
      </c>
      <c r="CT2" s="2736"/>
      <c r="CU2" s="2739"/>
      <c r="CV2" s="2740"/>
      <c r="CW2" s="2740"/>
      <c r="CX2" s="2741"/>
      <c r="CY2" s="2739" t="s">
        <v>0</v>
      </c>
      <c r="CZ2" s="2740"/>
      <c r="DA2" s="2740"/>
      <c r="DB2" s="1518"/>
      <c r="DC2" s="1516"/>
      <c r="DD2" s="1516"/>
      <c r="DE2" s="1516"/>
      <c r="DF2" s="1516"/>
      <c r="DG2" s="1517"/>
      <c r="DH2" s="1518"/>
      <c r="DI2" s="1516"/>
      <c r="DR2" s="1515"/>
      <c r="DS2" s="2745" t="s">
        <v>1</v>
      </c>
      <c r="DT2" s="2746"/>
      <c r="DU2" s="322"/>
      <c r="DV2" s="1380"/>
      <c r="DW2" s="2747" t="s">
        <v>1</v>
      </c>
      <c r="DX2" s="2747"/>
      <c r="DY2" s="2748"/>
      <c r="DZ2" s="2749"/>
      <c r="EA2" s="2749"/>
      <c r="EB2" s="2750"/>
      <c r="EC2" s="2748" t="s">
        <v>1</v>
      </c>
      <c r="ED2" s="2749"/>
      <c r="EE2" s="2749"/>
      <c r="EF2" s="1389"/>
      <c r="EG2" s="322"/>
      <c r="EH2" s="322"/>
      <c r="EI2" s="322"/>
      <c r="EJ2" s="322"/>
      <c r="EK2" s="1380"/>
      <c r="EL2" s="1389"/>
      <c r="EM2" s="322"/>
      <c r="EN2" s="322"/>
      <c r="EO2" s="322"/>
      <c r="EP2" s="322"/>
      <c r="EQ2" s="322"/>
      <c r="ER2" s="322"/>
      <c r="ES2" s="322"/>
      <c r="ET2" s="322"/>
      <c r="EV2" s="2737" t="s">
        <v>2</v>
      </c>
      <c r="EW2" s="2738"/>
      <c r="EX2" s="1391"/>
      <c r="EY2" s="1392"/>
      <c r="EZ2" s="2733" t="s">
        <v>2</v>
      </c>
      <c r="FA2" s="2733"/>
      <c r="FB2" s="2742"/>
      <c r="FC2" s="2743"/>
      <c r="FD2" s="2743"/>
      <c r="FE2" s="2744"/>
      <c r="FF2" s="2742" t="s">
        <v>2</v>
      </c>
      <c r="FG2" s="2743"/>
      <c r="FH2" s="2743"/>
      <c r="FI2" s="1393"/>
      <c r="FJ2" s="1391"/>
      <c r="FK2" s="1391"/>
      <c r="FL2" s="1391"/>
      <c r="FM2" s="1391"/>
      <c r="FN2" s="1392"/>
      <c r="FO2" s="1393"/>
      <c r="FP2" s="1391"/>
      <c r="FQ2" s="1391"/>
      <c r="FR2" s="1391"/>
      <c r="FS2" s="1391"/>
      <c r="FT2" s="1391"/>
      <c r="FU2" s="1391"/>
      <c r="FV2" s="1391"/>
      <c r="FW2" s="1391"/>
    </row>
    <row r="3" spans="1:180" ht="15" thickBot="1" x14ac:dyDescent="0.4">
      <c r="F3" s="1288" t="s">
        <v>396</v>
      </c>
      <c r="G3" s="1289"/>
      <c r="H3" s="1290"/>
      <c r="I3" s="1291"/>
      <c r="J3" s="1420" t="s">
        <v>400</v>
      </c>
      <c r="K3" s="1421"/>
      <c r="L3" s="1379"/>
      <c r="M3" s="1379"/>
      <c r="N3" s="1379"/>
      <c r="O3" s="1379"/>
      <c r="P3" s="1377" t="s">
        <v>401</v>
      </c>
      <c r="Q3" s="1378"/>
      <c r="R3" s="1412"/>
      <c r="S3" s="1407"/>
      <c r="T3" s="1290"/>
      <c r="U3" s="1290"/>
      <c r="V3" s="225"/>
      <c r="W3" s="225"/>
      <c r="X3" s="1269"/>
      <c r="Y3" s="1423"/>
      <c r="Z3" s="225"/>
      <c r="AA3" s="225"/>
      <c r="AB3" s="225"/>
      <c r="AC3" s="225"/>
      <c r="AD3" s="225"/>
      <c r="AE3" s="225"/>
      <c r="AF3" s="225"/>
      <c r="AG3" s="225"/>
      <c r="AH3" s="344"/>
      <c r="AI3" s="1288" t="s">
        <v>397</v>
      </c>
      <c r="AJ3" s="1289"/>
      <c r="AK3" s="1290"/>
      <c r="AL3" s="1291"/>
      <c r="AM3" s="1292" t="s">
        <v>400</v>
      </c>
      <c r="AN3" s="1290"/>
      <c r="AO3" s="1379"/>
      <c r="AP3" s="1379"/>
      <c r="AQ3" s="1379"/>
      <c r="AR3" s="1379"/>
      <c r="AS3" s="1377" t="s">
        <v>402</v>
      </c>
      <c r="AT3" s="1378"/>
      <c r="AU3" s="1412"/>
      <c r="AV3" s="1407"/>
      <c r="AW3" s="1290"/>
      <c r="AX3" s="1290"/>
      <c r="AY3" s="225"/>
      <c r="AZ3" s="225"/>
      <c r="BA3" s="1269"/>
      <c r="BB3" s="1423"/>
      <c r="BC3" s="225"/>
      <c r="BD3" s="225"/>
      <c r="BE3" s="225"/>
      <c r="BF3" s="225"/>
      <c r="BG3" s="225"/>
      <c r="BH3" s="225"/>
      <c r="BI3" s="225"/>
      <c r="BJ3" s="225"/>
      <c r="BK3" s="344"/>
      <c r="BL3" s="1288" t="s">
        <v>398</v>
      </c>
      <c r="BM3" s="1289"/>
      <c r="BN3" s="1290"/>
      <c r="BO3" s="1291"/>
      <c r="BP3" s="1292" t="s">
        <v>400</v>
      </c>
      <c r="BQ3" s="1290"/>
      <c r="BR3" s="1379"/>
      <c r="BS3" s="1379"/>
      <c r="BT3" s="1379"/>
      <c r="BU3" s="1379"/>
      <c r="BV3" s="1377" t="s">
        <v>402</v>
      </c>
      <c r="BW3" s="1378"/>
      <c r="BX3" s="1412"/>
      <c r="BY3" s="1407"/>
      <c r="BZ3" s="1290"/>
      <c r="CA3" s="1290"/>
      <c r="CB3" s="225"/>
      <c r="CC3" s="225"/>
      <c r="CD3" s="1269"/>
      <c r="CE3" s="1423"/>
      <c r="CF3" s="225"/>
      <c r="CG3" s="225"/>
      <c r="CH3" s="225"/>
      <c r="CI3" s="225"/>
      <c r="CJ3" s="225"/>
      <c r="CK3" s="225"/>
      <c r="CL3" s="225"/>
      <c r="CM3" s="225"/>
      <c r="CN3" s="344"/>
      <c r="CO3" s="1519" t="s">
        <v>399</v>
      </c>
      <c r="CP3" s="1520"/>
      <c r="CQ3" s="1521"/>
      <c r="CR3" s="1522"/>
      <c r="CS3" s="1523" t="s">
        <v>400</v>
      </c>
      <c r="CT3" s="1521"/>
      <c r="CU3" s="1524"/>
      <c r="CV3" s="1524"/>
      <c r="CW3" s="1524"/>
      <c r="CX3" s="1524"/>
      <c r="CY3" s="1525" t="s">
        <v>402</v>
      </c>
      <c r="CZ3" s="1526"/>
      <c r="DA3" s="1527"/>
      <c r="DB3" s="1528"/>
      <c r="DC3" s="1521"/>
      <c r="DD3" s="1521"/>
      <c r="DE3" s="1521"/>
      <c r="DF3" s="1521"/>
      <c r="DG3" s="1522"/>
      <c r="DH3" s="1528"/>
      <c r="DI3" s="1521"/>
      <c r="DJ3" s="225"/>
      <c r="DK3" s="225"/>
      <c r="DL3" s="225"/>
      <c r="DM3" s="225"/>
      <c r="DN3" s="225"/>
      <c r="DO3" s="225"/>
      <c r="DP3" s="225"/>
      <c r="DQ3" s="344"/>
      <c r="DR3" s="1381"/>
      <c r="DS3" s="1381" t="s">
        <v>397</v>
      </c>
      <c r="DT3" s="1382"/>
      <c r="DU3" s="1293"/>
      <c r="DV3" s="1383"/>
      <c r="DW3" s="1384" t="s">
        <v>400</v>
      </c>
      <c r="DX3" s="1293"/>
      <c r="DY3" s="1385"/>
      <c r="DZ3" s="1385"/>
      <c r="EA3" s="1385"/>
      <c r="EB3" s="1385"/>
      <c r="EC3" s="1386" t="s">
        <v>402</v>
      </c>
      <c r="ED3" s="1387"/>
      <c r="EE3" s="1529"/>
      <c r="EF3" s="1530"/>
      <c r="EG3" s="1293"/>
      <c r="EH3" s="1293"/>
      <c r="EI3" s="1293"/>
      <c r="EJ3" s="1293"/>
      <c r="EK3" s="1383"/>
      <c r="EL3" s="1530"/>
      <c r="EM3" s="1293"/>
      <c r="EN3" s="1293"/>
      <c r="EO3" s="1293"/>
      <c r="EP3" s="1293"/>
      <c r="EQ3" s="1293"/>
      <c r="ER3" s="1293"/>
      <c r="ES3" s="1293"/>
      <c r="ET3" s="1293"/>
      <c r="EU3" s="344"/>
      <c r="EV3" s="1394" t="s">
        <v>398</v>
      </c>
      <c r="EW3" s="1395"/>
      <c r="EX3" s="1396"/>
      <c r="EY3" s="1397"/>
      <c r="EZ3" s="1398" t="s">
        <v>400</v>
      </c>
      <c r="FA3" s="1396"/>
      <c r="FB3" s="1399"/>
      <c r="FC3" s="1399"/>
      <c r="FD3" s="1399"/>
      <c r="FE3" s="1399"/>
      <c r="FF3" s="1400" t="s">
        <v>402</v>
      </c>
      <c r="FG3" s="1400"/>
      <c r="FH3" s="1568"/>
      <c r="FI3" s="1564"/>
      <c r="FJ3" s="1396"/>
      <c r="FK3" s="1396"/>
      <c r="FL3" s="1396"/>
      <c r="FM3" s="1396"/>
      <c r="FN3" s="1397"/>
      <c r="FO3" s="1564"/>
      <c r="FP3" s="1396"/>
      <c r="FQ3" s="1396"/>
      <c r="FR3" s="1396"/>
      <c r="FS3" s="1396"/>
      <c r="FT3" s="1396"/>
      <c r="FU3" s="1396"/>
      <c r="FV3" s="1396"/>
      <c r="FW3" s="1396"/>
    </row>
    <row r="4" spans="1:180" ht="15" thickTop="1" x14ac:dyDescent="0.35">
      <c r="C4" s="163" t="s">
        <v>293</v>
      </c>
      <c r="D4" s="163"/>
      <c r="E4" s="163"/>
      <c r="F4" s="1304">
        <v>45855</v>
      </c>
      <c r="G4" s="1305">
        <v>45856</v>
      </c>
      <c r="H4" s="1305">
        <v>45857</v>
      </c>
      <c r="I4" s="1306">
        <v>45858</v>
      </c>
      <c r="J4" s="1307">
        <v>45859</v>
      </c>
      <c r="K4" s="1305">
        <v>45860</v>
      </c>
      <c r="L4" s="1305">
        <v>45861</v>
      </c>
      <c r="M4" s="1305">
        <v>45862</v>
      </c>
      <c r="N4" s="1305">
        <v>45863</v>
      </c>
      <c r="O4" s="1305">
        <v>45864</v>
      </c>
      <c r="P4" s="1305">
        <v>45865</v>
      </c>
      <c r="Q4" s="1305">
        <v>45866</v>
      </c>
      <c r="R4" s="1306">
        <v>45867</v>
      </c>
      <c r="S4" s="1307">
        <v>45868</v>
      </c>
      <c r="T4" s="1305">
        <v>45869</v>
      </c>
      <c r="U4" s="1305">
        <v>45870</v>
      </c>
      <c r="V4" s="1308"/>
      <c r="W4" s="1308"/>
      <c r="X4" s="1442"/>
      <c r="Y4" s="1424"/>
      <c r="Z4" s="1308"/>
      <c r="AA4" s="1308"/>
      <c r="AB4" s="1308"/>
      <c r="AC4" s="1308"/>
      <c r="AD4" s="1308"/>
      <c r="AE4" s="1308"/>
      <c r="AF4" s="1308"/>
      <c r="AG4" s="1308"/>
      <c r="AH4" s="1309"/>
      <c r="AI4" s="1308"/>
      <c r="AJ4" s="1308"/>
      <c r="AK4" s="1308"/>
      <c r="AL4" s="1442"/>
      <c r="AM4" s="1424"/>
      <c r="AN4" s="1308"/>
      <c r="AO4" s="1308"/>
      <c r="AP4" s="1308"/>
      <c r="AQ4" s="1308"/>
      <c r="AR4" s="1308"/>
      <c r="AS4" s="1308"/>
      <c r="AT4" s="1308"/>
      <c r="AU4" s="1442"/>
      <c r="AV4" s="1424"/>
      <c r="AW4" s="1308"/>
      <c r="AX4" s="1308"/>
      <c r="AY4" s="1308"/>
      <c r="AZ4" s="1308"/>
      <c r="BA4" s="1442"/>
      <c r="BB4" s="1424"/>
      <c r="BC4" s="1308"/>
      <c r="BD4" s="1308"/>
      <c r="BE4" s="1308"/>
      <c r="BF4" s="1308"/>
      <c r="BG4" s="1308"/>
      <c r="BH4" s="1308"/>
      <c r="BI4" s="1308"/>
      <c r="BJ4" s="1308"/>
      <c r="BK4" s="1309"/>
      <c r="BL4" s="1305"/>
      <c r="BM4" s="1305"/>
      <c r="BN4" s="1305"/>
      <c r="BO4" s="1306"/>
      <c r="BP4" s="1307"/>
      <c r="BQ4" s="1305"/>
      <c r="BR4" s="1305"/>
      <c r="BS4" s="1305"/>
      <c r="BT4" s="1305"/>
      <c r="BU4" s="1305"/>
      <c r="BV4" s="1305"/>
      <c r="BW4" s="1305"/>
      <c r="BX4" s="1306"/>
      <c r="BY4" s="1307"/>
      <c r="BZ4" s="1305"/>
      <c r="CA4" s="1305"/>
      <c r="CB4" s="1305"/>
      <c r="CC4" s="1305"/>
      <c r="CD4" s="1306"/>
      <c r="CE4" s="1307"/>
      <c r="CF4" s="1305"/>
      <c r="CG4" s="1305"/>
      <c r="CH4" s="1305"/>
      <c r="CI4" s="1305"/>
      <c r="CJ4" s="1305"/>
      <c r="CK4" s="1305"/>
      <c r="CL4" s="1305"/>
      <c r="CM4" s="1305"/>
      <c r="CN4" s="1309"/>
      <c r="CO4" s="1305"/>
      <c r="CP4" s="1305"/>
      <c r="CQ4" s="1305"/>
      <c r="CR4" s="1306"/>
      <c r="CS4" s="1307"/>
      <c r="CT4" s="1305"/>
      <c r="CU4" s="1305"/>
      <c r="CV4" s="1305"/>
      <c r="CW4" s="1305"/>
      <c r="CX4" s="1305"/>
      <c r="CY4" s="1305"/>
      <c r="CZ4" s="1305"/>
      <c r="DA4" s="1306"/>
      <c r="DB4" s="1307"/>
      <c r="DC4" s="1305"/>
      <c r="DD4" s="1305"/>
      <c r="DE4" s="1308"/>
      <c r="DF4" s="1308"/>
      <c r="DG4" s="1442"/>
      <c r="DH4" s="1424"/>
      <c r="DI4" s="1308"/>
      <c r="DJ4" s="1308"/>
      <c r="DK4" s="1308"/>
      <c r="DL4" s="1308"/>
      <c r="DM4" s="1308"/>
      <c r="DN4" s="1308"/>
      <c r="DO4" s="1308"/>
      <c r="DP4" s="1308"/>
      <c r="DQ4" s="1309"/>
      <c r="DR4" s="1310"/>
      <c r="DS4" s="1305"/>
      <c r="DT4" s="1305"/>
      <c r="DU4" s="1305"/>
      <c r="DV4" s="1306"/>
      <c r="DW4" s="1307"/>
      <c r="DX4" s="1305"/>
      <c r="DY4" s="1305"/>
      <c r="DZ4" s="1305"/>
      <c r="EA4" s="1305"/>
      <c r="EB4" s="1305"/>
      <c r="EC4" s="1305"/>
      <c r="ED4" s="1305"/>
      <c r="EE4" s="1306"/>
      <c r="EF4" s="1307"/>
      <c r="EG4" s="1305"/>
      <c r="EH4" s="1305"/>
      <c r="EI4" s="1305"/>
      <c r="EJ4" s="1305"/>
      <c r="EK4" s="1306"/>
      <c r="EL4" s="1307"/>
      <c r="EM4" s="1305"/>
      <c r="EN4" s="1305"/>
      <c r="EO4" s="1305"/>
      <c r="EP4" s="1305"/>
      <c r="EQ4" s="1305"/>
      <c r="ER4" s="1305"/>
      <c r="ES4" s="1305"/>
      <c r="ET4" s="1305"/>
      <c r="EU4" s="1309"/>
      <c r="EV4" s="1305"/>
      <c r="EW4" s="1305"/>
      <c r="EX4" s="1305"/>
      <c r="EY4" s="1306"/>
      <c r="EZ4" s="1307"/>
      <c r="FA4" s="1305"/>
      <c r="FB4" s="1305"/>
      <c r="FC4" s="1305"/>
      <c r="FD4" s="1305"/>
      <c r="FE4" s="1305"/>
      <c r="FF4" s="1305"/>
      <c r="FG4" s="1305"/>
      <c r="FH4" s="1306"/>
      <c r="FI4" s="1424"/>
      <c r="FJ4" s="1308"/>
      <c r="FK4" s="1308"/>
      <c r="FL4" s="1308"/>
      <c r="FM4" s="1308"/>
      <c r="FN4" s="1442"/>
      <c r="FO4" s="1424"/>
      <c r="FP4" s="1308"/>
      <c r="FQ4" s="1308"/>
      <c r="FR4" s="1308"/>
      <c r="FS4" s="1308"/>
      <c r="FT4" s="1308"/>
      <c r="FU4" s="1308"/>
      <c r="FV4" s="1308"/>
      <c r="FW4" s="1308"/>
    </row>
    <row r="5" spans="1:180" ht="15" thickBot="1" x14ac:dyDescent="0.4">
      <c r="C5" s="163" t="s">
        <v>215</v>
      </c>
      <c r="D5" s="163"/>
      <c r="E5" s="163"/>
      <c r="F5" s="1311">
        <v>45856</v>
      </c>
      <c r="G5" s="1312">
        <v>45857</v>
      </c>
      <c r="H5" s="1312">
        <v>45858</v>
      </c>
      <c r="I5" s="1313">
        <v>45859</v>
      </c>
      <c r="J5" s="1314">
        <v>45860</v>
      </c>
      <c r="K5" s="1312">
        <v>45861</v>
      </c>
      <c r="L5" s="1312"/>
      <c r="M5" s="1312"/>
      <c r="N5" s="1312"/>
      <c r="O5" s="1312"/>
      <c r="P5" s="1312"/>
      <c r="Q5" s="1312"/>
      <c r="R5" s="1313"/>
      <c r="S5" s="1314"/>
      <c r="T5" s="1312"/>
      <c r="U5" s="1312"/>
      <c r="V5" s="1312"/>
      <c r="W5" s="1312"/>
      <c r="X5" s="1313"/>
      <c r="Y5" s="1314"/>
      <c r="Z5" s="1312"/>
      <c r="AA5" s="1312"/>
      <c r="AB5" s="1312"/>
      <c r="AC5" s="1312"/>
      <c r="AD5" s="1312"/>
      <c r="AE5" s="1312"/>
      <c r="AF5" s="1312"/>
      <c r="AG5" s="1312"/>
      <c r="AH5" s="1315"/>
      <c r="AI5" s="1312"/>
      <c r="AJ5" s="1312"/>
      <c r="AK5" s="1312"/>
      <c r="AL5" s="1313"/>
      <c r="AM5" s="1314"/>
      <c r="AN5" s="1312"/>
      <c r="AO5" s="1312"/>
      <c r="AP5" s="1312"/>
      <c r="AQ5" s="1312"/>
      <c r="AR5" s="1312"/>
      <c r="AS5" s="1312"/>
      <c r="AT5" s="1312"/>
      <c r="AU5" s="1313"/>
      <c r="AV5" s="1314"/>
      <c r="AW5" s="1312"/>
      <c r="AX5" s="1312"/>
      <c r="AY5" s="1312"/>
      <c r="AZ5" s="1312"/>
      <c r="BA5" s="1313"/>
      <c r="BB5" s="1314"/>
      <c r="BC5" s="1312"/>
      <c r="BD5" s="1312"/>
      <c r="BE5" s="1312"/>
      <c r="BF5" s="1312"/>
      <c r="BG5" s="1312"/>
      <c r="BH5" s="1312"/>
      <c r="BI5" s="1312"/>
      <c r="BJ5" s="1312"/>
      <c r="BK5" s="1315"/>
      <c r="BL5" s="1312"/>
      <c r="BM5" s="1312"/>
      <c r="BN5" s="1312"/>
      <c r="BO5" s="1313"/>
      <c r="BP5" s="1314"/>
      <c r="BQ5" s="1312"/>
      <c r="BR5" s="1312"/>
      <c r="BS5" s="1312"/>
      <c r="BT5" s="1312"/>
      <c r="BU5" s="1312"/>
      <c r="BV5" s="1312"/>
      <c r="BW5" s="1312"/>
      <c r="BX5" s="1313"/>
      <c r="BY5" s="1314"/>
      <c r="BZ5" s="1312"/>
      <c r="CA5" s="1312"/>
      <c r="CB5" s="1312"/>
      <c r="CC5" s="1312"/>
      <c r="CD5" s="1313"/>
      <c r="CE5" s="1314"/>
      <c r="CF5" s="1312"/>
      <c r="CG5" s="1312"/>
      <c r="CH5" s="1312"/>
      <c r="CI5" s="1312"/>
      <c r="CJ5" s="1312"/>
      <c r="CK5" s="1312"/>
      <c r="CL5" s="1312"/>
      <c r="CM5" s="1312"/>
      <c r="CN5" s="1316"/>
      <c r="CO5" s="1312"/>
      <c r="CP5" s="1312"/>
      <c r="CQ5" s="1312"/>
      <c r="CR5" s="1313"/>
      <c r="CS5" s="1314"/>
      <c r="CT5" s="1312"/>
      <c r="CU5" s="1312"/>
      <c r="CV5" s="1312"/>
      <c r="CW5" s="1312"/>
      <c r="CX5" s="1312"/>
      <c r="CY5" s="1312"/>
      <c r="CZ5" s="1312"/>
      <c r="DA5" s="1313"/>
      <c r="DB5" s="1314"/>
      <c r="DC5" s="1312"/>
      <c r="DD5" s="1312"/>
      <c r="DE5" s="1317"/>
      <c r="DF5" s="1317"/>
      <c r="DG5" s="1509"/>
      <c r="DH5" s="1503"/>
      <c r="DI5" s="1317"/>
      <c r="DJ5" s="1317"/>
      <c r="DK5" s="1317"/>
      <c r="DL5" s="1317"/>
      <c r="DM5" s="1317"/>
      <c r="DN5" s="1317"/>
      <c r="DO5" s="1317"/>
      <c r="DP5" s="1317"/>
      <c r="DQ5" s="1316"/>
      <c r="DR5" s="1318"/>
      <c r="DS5" s="1312"/>
      <c r="DT5" s="1312"/>
      <c r="DU5" s="1312"/>
      <c r="DV5" s="1313"/>
      <c r="DW5" s="1314"/>
      <c r="DX5" s="1312"/>
      <c r="DY5" s="1312"/>
      <c r="DZ5" s="1312"/>
      <c r="EA5" s="1312"/>
      <c r="EB5" s="1312"/>
      <c r="EC5" s="1312"/>
      <c r="ED5" s="1312"/>
      <c r="EE5" s="1313"/>
      <c r="EF5" s="1314"/>
      <c r="EG5" s="1312"/>
      <c r="EH5" s="1312"/>
      <c r="EI5" s="1312"/>
      <c r="EJ5" s="1312"/>
      <c r="EK5" s="1313"/>
      <c r="EL5" s="1314"/>
      <c r="EM5" s="1312"/>
      <c r="EN5" s="1312"/>
      <c r="EO5" s="1312"/>
      <c r="EP5" s="1312"/>
      <c r="EQ5" s="1312"/>
      <c r="ER5" s="1312"/>
      <c r="ES5" s="1312"/>
      <c r="ET5" s="1312"/>
      <c r="EU5" s="1316"/>
      <c r="EV5" s="1312"/>
      <c r="EW5" s="1312"/>
      <c r="EX5" s="1312"/>
      <c r="EY5" s="1313"/>
      <c r="EZ5" s="1314"/>
      <c r="FA5" s="1312"/>
      <c r="FB5" s="1312"/>
      <c r="FC5" s="1312"/>
      <c r="FD5" s="1312"/>
      <c r="FE5" s="1312"/>
      <c r="FF5" s="1312"/>
      <c r="FG5" s="1312"/>
      <c r="FH5" s="1313"/>
      <c r="FI5" s="1503"/>
      <c r="FJ5" s="1317"/>
      <c r="FK5" s="1317"/>
      <c r="FL5" s="1317"/>
      <c r="FM5" s="1317"/>
      <c r="FN5" s="1509"/>
      <c r="FO5" s="1503"/>
      <c r="FP5" s="1317"/>
      <c r="FQ5" s="1317"/>
      <c r="FR5" s="1317"/>
      <c r="FS5" s="1317"/>
      <c r="FT5" s="1317"/>
      <c r="FU5" s="1317"/>
      <c r="FV5" s="1317"/>
      <c r="FW5" s="1317"/>
    </row>
    <row r="6" spans="1:180" s="299" customFormat="1" ht="15.5" thickTop="1" thickBot="1" x14ac:dyDescent="0.4">
      <c r="A6" s="664"/>
      <c r="B6" s="477"/>
      <c r="C6" s="1067" t="s">
        <v>292</v>
      </c>
      <c r="D6" s="1067"/>
      <c r="E6" s="1067"/>
      <c r="F6" s="1294">
        <v>1</v>
      </c>
      <c r="G6" s="1295">
        <v>2</v>
      </c>
      <c r="H6" s="1295">
        <v>3</v>
      </c>
      <c r="I6" s="1296">
        <v>4</v>
      </c>
      <c r="J6" s="1297">
        <v>5</v>
      </c>
      <c r="K6" s="1295">
        <v>6</v>
      </c>
      <c r="L6" s="1295">
        <v>7</v>
      </c>
      <c r="M6" s="1295">
        <v>8</v>
      </c>
      <c r="N6" s="1295">
        <v>9</v>
      </c>
      <c r="O6" s="1295">
        <v>10</v>
      </c>
      <c r="P6" s="1295">
        <v>11</v>
      </c>
      <c r="Q6" s="1295">
        <v>12</v>
      </c>
      <c r="R6" s="1296">
        <v>13</v>
      </c>
      <c r="S6" s="1297">
        <v>14</v>
      </c>
      <c r="T6" s="1295">
        <v>15</v>
      </c>
      <c r="U6" s="1295">
        <v>16</v>
      </c>
      <c r="V6" s="1298">
        <v>17</v>
      </c>
      <c r="W6" s="1298">
        <v>18</v>
      </c>
      <c r="X6" s="1443">
        <v>19</v>
      </c>
      <c r="Y6" s="1425">
        <v>20</v>
      </c>
      <c r="Z6" s="1298">
        <v>21</v>
      </c>
      <c r="AA6" s="1298">
        <v>22</v>
      </c>
      <c r="AB6" s="1298">
        <v>23</v>
      </c>
      <c r="AC6" s="1298">
        <v>24</v>
      </c>
      <c r="AD6" s="1298">
        <v>25</v>
      </c>
      <c r="AE6" s="1298">
        <v>26</v>
      </c>
      <c r="AF6" s="1298">
        <v>27</v>
      </c>
      <c r="AG6" s="1298">
        <v>28</v>
      </c>
      <c r="AH6" s="1299"/>
      <c r="AI6" s="1295">
        <v>1</v>
      </c>
      <c r="AJ6" s="1295">
        <v>2</v>
      </c>
      <c r="AK6" s="1295">
        <v>3</v>
      </c>
      <c r="AL6" s="1296">
        <v>4</v>
      </c>
      <c r="AM6" s="1297">
        <v>5</v>
      </c>
      <c r="AN6" s="1295">
        <v>6</v>
      </c>
      <c r="AO6" s="1295">
        <v>7</v>
      </c>
      <c r="AP6" s="1295">
        <v>8</v>
      </c>
      <c r="AQ6" s="1295">
        <v>9</v>
      </c>
      <c r="AR6" s="1295">
        <v>10</v>
      </c>
      <c r="AS6" s="1295">
        <v>11</v>
      </c>
      <c r="AT6" s="1295">
        <v>12</v>
      </c>
      <c r="AU6" s="1296">
        <v>13</v>
      </c>
      <c r="AV6" s="1297">
        <v>14</v>
      </c>
      <c r="AW6" s="1295">
        <v>15</v>
      </c>
      <c r="AX6" s="1295">
        <v>16</v>
      </c>
      <c r="AY6" s="1295">
        <v>17</v>
      </c>
      <c r="AZ6" s="1295">
        <v>18</v>
      </c>
      <c r="BA6" s="1296">
        <v>19</v>
      </c>
      <c r="BB6" s="1297">
        <v>20</v>
      </c>
      <c r="BC6" s="1295">
        <v>21</v>
      </c>
      <c r="BD6" s="1295">
        <v>22</v>
      </c>
      <c r="BE6" s="1295">
        <v>23</v>
      </c>
      <c r="BF6" s="1295">
        <v>24</v>
      </c>
      <c r="BG6" s="1295">
        <v>25</v>
      </c>
      <c r="BH6" s="1295">
        <v>26</v>
      </c>
      <c r="BI6" s="1295">
        <v>27</v>
      </c>
      <c r="BJ6" s="1295">
        <v>28</v>
      </c>
      <c r="BK6" s="1299"/>
      <c r="BL6" s="1295">
        <v>1</v>
      </c>
      <c r="BM6" s="1295">
        <v>2</v>
      </c>
      <c r="BN6" s="1295">
        <v>3</v>
      </c>
      <c r="BO6" s="1296">
        <v>4</v>
      </c>
      <c r="BP6" s="1297">
        <v>5</v>
      </c>
      <c r="BQ6" s="1295">
        <v>6</v>
      </c>
      <c r="BR6" s="1295">
        <v>7</v>
      </c>
      <c r="BS6" s="1295">
        <v>8</v>
      </c>
      <c r="BT6" s="1295">
        <v>9</v>
      </c>
      <c r="BU6" s="1295">
        <v>10</v>
      </c>
      <c r="BV6" s="1295">
        <v>11</v>
      </c>
      <c r="BW6" s="1295">
        <v>12</v>
      </c>
      <c r="BX6" s="1296">
        <v>13</v>
      </c>
      <c r="BY6" s="1297">
        <v>14</v>
      </c>
      <c r="BZ6" s="1295">
        <v>15</v>
      </c>
      <c r="CA6" s="1295">
        <v>16</v>
      </c>
      <c r="CB6" s="1295">
        <v>17</v>
      </c>
      <c r="CC6" s="1295">
        <v>18</v>
      </c>
      <c r="CD6" s="1296">
        <v>19</v>
      </c>
      <c r="CE6" s="1297">
        <v>20</v>
      </c>
      <c r="CF6" s="1295">
        <v>21</v>
      </c>
      <c r="CG6" s="1295">
        <v>22</v>
      </c>
      <c r="CH6" s="1295">
        <v>23</v>
      </c>
      <c r="CI6" s="1295">
        <v>24</v>
      </c>
      <c r="CJ6" s="1295">
        <v>25</v>
      </c>
      <c r="CK6" s="1295">
        <v>26</v>
      </c>
      <c r="CL6" s="1295">
        <v>27</v>
      </c>
      <c r="CM6" s="1295">
        <v>28</v>
      </c>
      <c r="CN6" s="1300"/>
      <c r="CO6" s="1295">
        <v>1</v>
      </c>
      <c r="CP6" s="1295">
        <v>2</v>
      </c>
      <c r="CQ6" s="1295">
        <v>3</v>
      </c>
      <c r="CR6" s="1296">
        <v>4</v>
      </c>
      <c r="CS6" s="1297">
        <v>5</v>
      </c>
      <c r="CT6" s="1295">
        <v>6</v>
      </c>
      <c r="CU6" s="1295">
        <v>7</v>
      </c>
      <c r="CV6" s="1301">
        <v>8</v>
      </c>
      <c r="CW6" s="1295">
        <v>9</v>
      </c>
      <c r="CX6" s="1295">
        <v>10</v>
      </c>
      <c r="CY6" s="1295">
        <v>11</v>
      </c>
      <c r="CZ6" s="1295">
        <v>12</v>
      </c>
      <c r="DA6" s="1296">
        <v>13</v>
      </c>
      <c r="DB6" s="1297">
        <v>14</v>
      </c>
      <c r="DC6" s="1295">
        <v>15</v>
      </c>
      <c r="DD6" s="1295">
        <v>16</v>
      </c>
      <c r="DE6" s="1295">
        <v>17</v>
      </c>
      <c r="DF6" s="1295">
        <v>18</v>
      </c>
      <c r="DG6" s="1296">
        <v>19</v>
      </c>
      <c r="DH6" s="1297">
        <v>20</v>
      </c>
      <c r="DI6" s="1295">
        <v>21</v>
      </c>
      <c r="DJ6" s="1295">
        <v>22</v>
      </c>
      <c r="DK6" s="1295">
        <v>23</v>
      </c>
      <c r="DL6" s="1295">
        <v>24</v>
      </c>
      <c r="DM6" s="1295">
        <v>25</v>
      </c>
      <c r="DN6" s="1295">
        <v>26</v>
      </c>
      <c r="DO6" s="1295">
        <v>27</v>
      </c>
      <c r="DP6" s="1295">
        <v>28</v>
      </c>
      <c r="DQ6" s="1299"/>
      <c r="DR6" s="1302"/>
      <c r="DS6" s="1295">
        <v>1</v>
      </c>
      <c r="DT6" s="1295">
        <v>2</v>
      </c>
      <c r="DU6" s="1295">
        <v>3</v>
      </c>
      <c r="DV6" s="1296">
        <v>4</v>
      </c>
      <c r="DW6" s="1297">
        <v>5</v>
      </c>
      <c r="DX6" s="1295">
        <v>6</v>
      </c>
      <c r="DY6" s="1295">
        <v>7</v>
      </c>
      <c r="DZ6" s="1295">
        <v>8</v>
      </c>
      <c r="EA6" s="1301">
        <v>9</v>
      </c>
      <c r="EB6" s="1301">
        <v>10</v>
      </c>
      <c r="EC6" s="1301">
        <v>11</v>
      </c>
      <c r="ED6" s="1301">
        <v>12</v>
      </c>
      <c r="EE6" s="1569">
        <v>13</v>
      </c>
      <c r="EF6" s="1565">
        <v>14</v>
      </c>
      <c r="EG6" s="1301">
        <v>15</v>
      </c>
      <c r="EH6" s="1295">
        <v>16</v>
      </c>
      <c r="EI6" s="1301">
        <v>17</v>
      </c>
      <c r="EJ6" s="1295">
        <v>18</v>
      </c>
      <c r="EK6" s="1569">
        <v>19</v>
      </c>
      <c r="EL6" s="1297">
        <v>20</v>
      </c>
      <c r="EM6" s="1301">
        <v>21</v>
      </c>
      <c r="EN6" s="1295">
        <v>22</v>
      </c>
      <c r="EO6" s="1301">
        <v>23</v>
      </c>
      <c r="EP6" s="1295">
        <v>24</v>
      </c>
      <c r="EQ6" s="1301">
        <v>25</v>
      </c>
      <c r="ER6" s="1295">
        <v>26</v>
      </c>
      <c r="ES6" s="1301">
        <v>27</v>
      </c>
      <c r="ET6" s="1295">
        <v>28</v>
      </c>
      <c r="EU6" s="1299"/>
      <c r="EV6" s="1295">
        <v>1</v>
      </c>
      <c r="EW6" s="1295">
        <v>2</v>
      </c>
      <c r="EX6" s="1295">
        <v>3</v>
      </c>
      <c r="EY6" s="1296">
        <v>4</v>
      </c>
      <c r="EZ6" s="1297">
        <v>5</v>
      </c>
      <c r="FA6" s="1295">
        <v>6</v>
      </c>
      <c r="FB6" s="1295">
        <v>7</v>
      </c>
      <c r="FC6" s="1295">
        <v>8</v>
      </c>
      <c r="FD6" s="1301">
        <v>9</v>
      </c>
      <c r="FE6" s="1301">
        <v>10</v>
      </c>
      <c r="FF6" s="1301">
        <v>11</v>
      </c>
      <c r="FG6" s="1301">
        <v>12</v>
      </c>
      <c r="FH6" s="1569">
        <v>13</v>
      </c>
      <c r="FI6" s="1565">
        <v>14</v>
      </c>
      <c r="FJ6" s="1301">
        <v>15</v>
      </c>
      <c r="FK6" s="1295">
        <v>16</v>
      </c>
      <c r="FL6" s="1301">
        <v>17</v>
      </c>
      <c r="FM6" s="1295">
        <v>18</v>
      </c>
      <c r="FN6" s="1569">
        <v>19</v>
      </c>
      <c r="FO6" s="1297">
        <v>20</v>
      </c>
      <c r="FP6" s="1301">
        <v>21</v>
      </c>
      <c r="FQ6" s="1295">
        <v>22</v>
      </c>
      <c r="FR6" s="1301">
        <v>23</v>
      </c>
      <c r="FS6" s="1295">
        <v>24</v>
      </c>
      <c r="FT6" s="1301">
        <v>25</v>
      </c>
      <c r="FU6" s="1295">
        <v>26</v>
      </c>
      <c r="FV6" s="1301">
        <v>27</v>
      </c>
      <c r="FW6" s="1303">
        <v>28</v>
      </c>
    </row>
    <row r="7" spans="1:180" s="299" customFormat="1" ht="15.5" thickTop="1" thickBot="1" x14ac:dyDescent="0.4">
      <c r="A7" s="368"/>
      <c r="B7" s="368"/>
      <c r="C7" s="1065"/>
      <c r="D7" s="1065"/>
      <c r="E7" s="1065"/>
      <c r="F7" s="2725" t="s">
        <v>36</v>
      </c>
      <c r="G7" s="2720"/>
      <c r="H7" s="2720"/>
      <c r="I7" s="2726"/>
      <c r="J7" s="2720" t="s">
        <v>36</v>
      </c>
      <c r="K7" s="2720"/>
      <c r="L7" s="2720"/>
      <c r="M7" s="2720"/>
      <c r="N7" s="2720"/>
      <c r="O7" s="2720"/>
      <c r="P7" s="2720" t="s">
        <v>36</v>
      </c>
      <c r="Q7" s="2720"/>
      <c r="R7" s="2720"/>
      <c r="S7" s="2720"/>
      <c r="T7" s="2720"/>
      <c r="U7" s="2720"/>
      <c r="V7" s="1169"/>
      <c r="W7" s="1169"/>
      <c r="X7" s="1444"/>
      <c r="Y7" s="1426"/>
      <c r="Z7" s="1169"/>
      <c r="AA7" s="1169"/>
      <c r="AB7" s="1169"/>
      <c r="AC7" s="1169"/>
      <c r="AD7" s="1169"/>
      <c r="AE7" s="1169"/>
      <c r="AF7" s="1169"/>
      <c r="AG7" s="1169"/>
      <c r="AH7" s="1170"/>
      <c r="AI7" s="2720" t="s">
        <v>36</v>
      </c>
      <c r="AJ7" s="2720"/>
      <c r="AK7" s="2720"/>
      <c r="AL7" s="2720"/>
      <c r="AM7" s="2720" t="s">
        <v>36</v>
      </c>
      <c r="AN7" s="2720"/>
      <c r="AO7" s="2720"/>
      <c r="AP7" s="2720"/>
      <c r="AQ7" s="2720"/>
      <c r="AR7" s="2720"/>
      <c r="AS7" s="2720" t="s">
        <v>36</v>
      </c>
      <c r="AT7" s="2720"/>
      <c r="AU7" s="2720"/>
      <c r="AV7" s="2720"/>
      <c r="AW7" s="2720"/>
      <c r="AX7" s="1171"/>
      <c r="AY7" s="1171"/>
      <c r="AZ7" s="1171"/>
      <c r="BA7" s="1510"/>
      <c r="BB7" s="1504"/>
      <c r="BC7" s="1171"/>
      <c r="BD7" s="1171"/>
      <c r="BE7" s="1171"/>
      <c r="BF7" s="1171"/>
      <c r="BG7" s="1171"/>
      <c r="BH7" s="1171"/>
      <c r="BI7" s="1171"/>
      <c r="BJ7" s="1171"/>
      <c r="BK7" s="1172"/>
      <c r="BL7" s="2720" t="s">
        <v>36</v>
      </c>
      <c r="BM7" s="2720"/>
      <c r="BN7" s="2720"/>
      <c r="BO7" s="2720"/>
      <c r="BP7" s="2720" t="s">
        <v>36</v>
      </c>
      <c r="BQ7" s="2720"/>
      <c r="BR7" s="2720"/>
      <c r="BS7" s="2720"/>
      <c r="BT7" s="2720"/>
      <c r="BU7" s="2720"/>
      <c r="BV7" s="2720" t="s">
        <v>36</v>
      </c>
      <c r="BW7" s="2720"/>
      <c r="BX7" s="2720"/>
      <c r="BY7" s="2720"/>
      <c r="BZ7" s="2720"/>
      <c r="CA7" s="2720"/>
      <c r="CB7" s="1169"/>
      <c r="CC7" s="1169"/>
      <c r="CD7" s="1444"/>
      <c r="CE7" s="1426"/>
      <c r="CF7" s="1169"/>
      <c r="CG7" s="1169"/>
      <c r="CH7" s="1169"/>
      <c r="CI7" s="1169"/>
      <c r="CJ7" s="1169"/>
      <c r="CK7" s="1169"/>
      <c r="CL7" s="1169"/>
      <c r="CM7" s="1169"/>
      <c r="CN7" s="1173"/>
      <c r="CO7" s="2720" t="s">
        <v>36</v>
      </c>
      <c r="CP7" s="2720"/>
      <c r="CQ7" s="2720"/>
      <c r="CR7" s="2720"/>
      <c r="CS7" s="2720" t="s">
        <v>36</v>
      </c>
      <c r="CT7" s="2720"/>
      <c r="CU7" s="2720"/>
      <c r="CV7" s="2720"/>
      <c r="CW7" s="2720"/>
      <c r="CX7" s="2720"/>
      <c r="CY7" s="2720" t="s">
        <v>36</v>
      </c>
      <c r="CZ7" s="2720"/>
      <c r="DA7" s="2720"/>
      <c r="DB7" s="2720"/>
      <c r="DC7" s="2720"/>
      <c r="DD7" s="2720"/>
      <c r="DE7" s="1171"/>
      <c r="DF7" s="1171"/>
      <c r="DG7" s="1510"/>
      <c r="DH7" s="1504"/>
      <c r="DI7" s="1171"/>
      <c r="DJ7" s="1171"/>
      <c r="DK7" s="1171"/>
      <c r="DL7" s="1171"/>
      <c r="DM7" s="1171"/>
      <c r="DN7" s="1171"/>
      <c r="DO7" s="1171"/>
      <c r="DP7" s="1171"/>
      <c r="DQ7" s="1172"/>
      <c r="DR7" s="1174"/>
      <c r="DS7" s="2720" t="s">
        <v>36</v>
      </c>
      <c r="DT7" s="2720"/>
      <c r="DU7" s="2720"/>
      <c r="DV7" s="2720"/>
      <c r="DW7" s="2720" t="s">
        <v>36</v>
      </c>
      <c r="DX7" s="2720"/>
      <c r="DY7" s="2720"/>
      <c r="DZ7" s="2720"/>
      <c r="EA7" s="2720"/>
      <c r="EB7" s="1175"/>
      <c r="EC7" s="2721" t="s">
        <v>36</v>
      </c>
      <c r="ED7" s="2721"/>
      <c r="EE7" s="2721"/>
      <c r="EF7" s="2721"/>
      <c r="EG7" s="2721"/>
      <c r="EH7" s="2721"/>
      <c r="EI7" s="2721"/>
      <c r="EJ7" s="1176"/>
      <c r="EK7" s="1580"/>
      <c r="EL7" s="1578"/>
      <c r="EM7" s="1176"/>
      <c r="EN7" s="1176"/>
      <c r="EO7" s="1176"/>
      <c r="EP7" s="1176"/>
      <c r="EQ7" s="1176"/>
      <c r="ER7" s="1176"/>
      <c r="ES7" s="1176"/>
      <c r="ET7" s="1176"/>
      <c r="EU7" s="1172"/>
      <c r="EV7" s="2720" t="s">
        <v>375</v>
      </c>
      <c r="EW7" s="2720"/>
      <c r="EX7" s="2720"/>
      <c r="EY7" s="2720"/>
      <c r="EZ7" s="2720" t="s">
        <v>375</v>
      </c>
      <c r="FA7" s="2720"/>
      <c r="FB7" s="2720"/>
      <c r="FC7" s="2720"/>
      <c r="FD7" s="2720"/>
      <c r="FE7" s="2720"/>
      <c r="FF7" s="2721" t="s">
        <v>375</v>
      </c>
      <c r="FG7" s="2721"/>
      <c r="FH7" s="2721"/>
      <c r="FI7" s="2721"/>
      <c r="FJ7" s="2721"/>
      <c r="FK7" s="2721"/>
      <c r="FL7" s="1169"/>
      <c r="FM7" s="1169"/>
      <c r="FN7" s="1444"/>
      <c r="FO7" s="1426"/>
      <c r="FP7" s="1169"/>
      <c r="FQ7" s="1169"/>
      <c r="FR7" s="1169"/>
      <c r="FS7" s="1169"/>
      <c r="FT7" s="1169"/>
      <c r="FU7" s="1169"/>
      <c r="FV7" s="1169"/>
      <c r="FW7" s="1169"/>
    </row>
    <row r="8" spans="1:180" ht="15" thickTop="1" x14ac:dyDescent="0.35">
      <c r="C8" s="1" t="s">
        <v>101</v>
      </c>
      <c r="F8" s="1023" t="e" cm="1" vm="1">
        <f t="array" aca="1" ref="F8" ca="1">'Master Template'!F8:BJ58</f>
        <v>#VALUE!</v>
      </c>
      <c r="G8" s="301"/>
      <c r="H8" s="301"/>
      <c r="I8" s="1229"/>
      <c r="J8" s="1177"/>
      <c r="K8" s="1177"/>
      <c r="L8" s="1177"/>
      <c r="M8" s="1177"/>
      <c r="N8" s="1177"/>
      <c r="O8" s="1177"/>
      <c r="P8" s="1177"/>
      <c r="Q8" s="1177"/>
      <c r="R8" s="1625"/>
      <c r="S8" s="1177"/>
      <c r="T8" s="301"/>
      <c r="U8" s="301"/>
      <c r="V8" s="301"/>
      <c r="W8" s="301"/>
      <c r="X8" s="1229"/>
      <c r="Y8" s="1177"/>
      <c r="Z8" s="1177"/>
      <c r="AA8" s="1177"/>
      <c r="AB8" s="1177"/>
      <c r="AC8" s="1177"/>
      <c r="AD8" s="1177"/>
      <c r="AE8" s="1177"/>
      <c r="AF8" s="1177"/>
      <c r="AG8" s="1177"/>
      <c r="AH8" s="1096"/>
      <c r="AI8" s="301"/>
      <c r="AJ8" s="301"/>
      <c r="AK8" s="301"/>
      <c r="AL8" s="1229"/>
      <c r="AM8" s="1177"/>
      <c r="AN8" s="301"/>
      <c r="AO8" s="301"/>
      <c r="AP8" s="301"/>
      <c r="AQ8" s="482"/>
      <c r="AR8" s="482"/>
      <c r="AS8" s="482"/>
      <c r="AT8" s="482"/>
      <c r="AU8" s="1339"/>
      <c r="AV8" s="1340"/>
      <c r="AW8" s="482"/>
      <c r="AX8" s="482"/>
      <c r="AY8" s="482"/>
      <c r="AZ8" s="482"/>
      <c r="BA8" s="1339"/>
      <c r="BB8" s="1340"/>
      <c r="BC8" s="482"/>
      <c r="BD8" s="482"/>
      <c r="BE8" s="482"/>
      <c r="BF8" s="482"/>
      <c r="BG8" s="482"/>
      <c r="BH8" s="482"/>
      <c r="BI8" s="482"/>
      <c r="BJ8" s="482"/>
      <c r="BK8" s="356"/>
      <c r="BL8" s="362" cm="1">
        <f t="array" ref="BL8:CM14">'HPS DAILY (repro-)'!J66:AK72</f>
        <v>-1.6240000000000001</v>
      </c>
      <c r="BM8" s="362">
        <v>-1.5939999999999999</v>
      </c>
      <c r="BN8" s="362">
        <v>-1.6663333333333332</v>
      </c>
      <c r="BO8" s="1590">
        <v>-1.6890000000000001</v>
      </c>
      <c r="BP8" s="1584">
        <v>-1.706</v>
      </c>
      <c r="BQ8" s="362">
        <v>-1.696</v>
      </c>
      <c r="BR8" s="362">
        <v>-1.6919999999999999</v>
      </c>
      <c r="BS8" s="362">
        <v>-1.7090000000000001</v>
      </c>
      <c r="BT8" s="362">
        <v>-1.718</v>
      </c>
      <c r="BU8" s="362">
        <v>-1.7090000000000001</v>
      </c>
      <c r="BV8" s="362">
        <v>-1.6879999999999999</v>
      </c>
      <c r="BW8" s="362">
        <v>-1.71</v>
      </c>
      <c r="BX8" s="1590">
        <v>-1.6619999999999999</v>
      </c>
      <c r="BY8" s="1584">
        <v>-1.74</v>
      </c>
      <c r="BZ8" s="362">
        <v>-1.74</v>
      </c>
      <c r="CA8" s="362">
        <v>0.19600000000000001</v>
      </c>
      <c r="CB8" s="362">
        <v>0.192</v>
      </c>
      <c r="CC8" s="362">
        <v>0.192</v>
      </c>
      <c r="CD8" s="1590">
        <v>0.192</v>
      </c>
      <c r="CE8" s="1584">
        <v>0.192</v>
      </c>
      <c r="CF8" s="362">
        <v>0.192</v>
      </c>
      <c r="CG8" s="362">
        <v>0.192</v>
      </c>
      <c r="CH8" s="362">
        <v>0.192</v>
      </c>
      <c r="CI8" s="362">
        <v>0.192</v>
      </c>
      <c r="CJ8" s="362">
        <v>0.192</v>
      </c>
      <c r="CK8" s="362">
        <v>0.192</v>
      </c>
      <c r="CL8" s="362">
        <v>0.192</v>
      </c>
      <c r="CM8" s="362">
        <v>0.192</v>
      </c>
      <c r="CN8" s="357"/>
      <c r="CO8" s="296" cm="1">
        <f t="array" ref="CO8:CO15">'LTO DAILY'!H$55:H$62</f>
        <v>0</v>
      </c>
      <c r="CP8" s="296" cm="1">
        <f t="array" ref="CP8:CP15">'LTO DAILY'!I$55:I$62</f>
        <v>1.2</v>
      </c>
      <c r="CQ8" s="296" cm="1">
        <f t="array" ref="CQ8:CQ15">'LTO DAILY'!J$55:J$62</f>
        <v>4.3</v>
      </c>
      <c r="CR8" s="1235" cm="1">
        <f t="array" ref="CR8:CR15">'LTO DAILY'!K$55:K$62</f>
        <v>4.0999999999999996</v>
      </c>
      <c r="CS8" s="1187" cm="1">
        <f t="array" ref="CS8:CS15">'LTO DAILY'!L$55:L$62</f>
        <v>1.5</v>
      </c>
      <c r="CT8" s="296" cm="1">
        <f t="array" ref="CT8:CT15">'LTO DAILY'!M$55:M$62</f>
        <v>4.2</v>
      </c>
      <c r="CU8" s="296" cm="1">
        <f t="array" ref="CU8:CU15">'LTO DAILY'!N$55:N$62</f>
        <v>1.1000000000000001</v>
      </c>
      <c r="CV8" s="296" cm="1">
        <f t="array" ref="CV8:CV15">'LTO DAILY'!O$55:O$62</f>
        <v>2.2000000000000002</v>
      </c>
      <c r="CW8" s="296" cm="1">
        <f t="array" ref="CW8:CW15">'LTO DAILY'!P$55:P$62</f>
        <v>1.1000000000000001</v>
      </c>
      <c r="CX8" s="296" cm="1">
        <f t="array" ref="CX8:CX15">'LTO DAILY'!Q$55:Q$62</f>
        <v>2.1</v>
      </c>
      <c r="CY8" s="296" cm="1">
        <f t="array" ref="CY8:CY15">'LTO DAILY'!R$55:R$62</f>
        <v>1</v>
      </c>
      <c r="CZ8" s="296" cm="1">
        <f t="array" ref="CZ8:CZ15">'LTO DAILY'!S$55:S$62</f>
        <v>1.9</v>
      </c>
      <c r="DA8" s="1235" cm="1">
        <f t="array" ref="DA8:DA15">'LTO DAILY'!T$55:T$62</f>
        <v>1.6</v>
      </c>
      <c r="DB8" s="1187" cm="1">
        <f t="array" ref="DB8:DB15">'LTO DAILY'!U$55:U$62</f>
        <v>0</v>
      </c>
      <c r="DC8" s="296" cm="1">
        <f t="array" ref="DC8:DC15">'LTO DAILY'!V$55:V$62</f>
        <v>0</v>
      </c>
      <c r="DD8" s="296" cm="1">
        <f t="array" ref="DD8:DD15">'LTO DAILY'!W$55:W$62</f>
        <v>0</v>
      </c>
      <c r="DE8" s="296" cm="1">
        <f t="array" ref="DE8:DE15">'LTO DAILY'!X$55:X$62</f>
        <v>0</v>
      </c>
      <c r="DF8" s="296" cm="1">
        <f t="array" ref="DF8:DF15">'LTO DAILY'!Y$55:Y$62</f>
        <v>0</v>
      </c>
      <c r="DG8" s="1235" cm="1">
        <f t="array" ref="DG8:DG15">'LTO DAILY'!Z$55:Z$62</f>
        <v>0</v>
      </c>
      <c r="DH8" s="1187" cm="1">
        <f t="array" ref="DH8:DH15">'LTO DAILY'!AA$55:AA$62</f>
        <v>0</v>
      </c>
      <c r="DI8" s="296" cm="1">
        <f t="array" ref="DI8:DI15">'LTO DAILY'!AB$55:AB$62</f>
        <v>0</v>
      </c>
      <c r="DJ8" s="296" cm="1">
        <f t="array" ref="DJ8:DJ15">'LTO DAILY'!AC$55:AC$62</f>
        <v>0</v>
      </c>
      <c r="DK8" s="296" cm="1">
        <f t="array" ref="DK8:DK15">'LTO DAILY'!AD$55:AD$62</f>
        <v>0</v>
      </c>
      <c r="DL8" s="296" cm="1">
        <f t="array" ref="DL8:DL15">'LTO DAILY'!AE$55:AE$62</f>
        <v>0</v>
      </c>
      <c r="DM8" s="296" cm="1">
        <f t="array" ref="DM8:DM15">'LTO DAILY'!AF$55:AF$62</f>
        <v>0</v>
      </c>
      <c r="DN8" s="296" cm="1">
        <f t="array" ref="DN8:DN15">'LTO DAILY'!AG$55:AG$62</f>
        <v>0</v>
      </c>
      <c r="DO8" s="296" cm="1">
        <f t="array" ref="DO8:DO15">'LTO DAILY'!AH$55:AH$62</f>
        <v>0</v>
      </c>
      <c r="DP8" s="296" cm="1">
        <f t="array" ref="DP8:DP15">'LTO DAILY'!AI$55:AI$62</f>
        <v>0</v>
      </c>
      <c r="DQ8" s="356"/>
      <c r="DR8" s="349" t="s">
        <v>191</v>
      </c>
      <c r="DS8" s="296" cm="1">
        <f t="array" ref="DS8:DS14">'HPS DAILY'!K106:K112</f>
        <v>59.08</v>
      </c>
      <c r="DT8" s="296" cm="1">
        <f t="array" ref="DT8:DT14">'HPS DAILY'!L106:L112</f>
        <v>73.825000000000003</v>
      </c>
      <c r="DU8" s="296" cm="1">
        <f t="array" ref="DU8:DU14">'HPS DAILY'!M106:M112</f>
        <v>72.11</v>
      </c>
      <c r="DV8" s="1235" cm="1">
        <f t="array" ref="DV8:DV14">'HPS DAILY'!N106:N112</f>
        <v>73.02</v>
      </c>
      <c r="DW8" s="1187" cm="1">
        <f t="array" ref="DW8:DW14">'HPS DAILY'!O106:O112</f>
        <v>49.76</v>
      </c>
      <c r="DX8" s="296" cm="1">
        <f t="array" ref="DX8:DX14">'HPS DAILY'!P106:P112</f>
        <v>79.959999999999994</v>
      </c>
      <c r="DY8" s="296" cm="1">
        <f t="array" ref="DY8:DY14">'HPS DAILY'!Q106:Q112</f>
        <v>51.72</v>
      </c>
      <c r="DZ8" s="296" cm="1">
        <f t="array" ref="DZ8:DZ14">'HPS DAILY'!R106:R112</f>
        <v>51.87</v>
      </c>
      <c r="EA8" s="296" cm="1">
        <f t="array" ref="EA8:EA14">'HPS DAILY'!S106:S112</f>
        <v>51.87</v>
      </c>
      <c r="EB8" s="296" cm="1">
        <f t="array" ref="EB8:EB14">'HPS DAILY'!T106:T112</f>
        <v>49.75</v>
      </c>
      <c r="EC8" s="296" cm="1">
        <f t="array" ref="EC8:EC14">'HPS DAILY'!U106:U112</f>
        <v>50.24</v>
      </c>
      <c r="ED8" s="296" cm="1">
        <f t="array" ref="ED8:ED14">'HPS DAILY'!V106:V112</f>
        <v>50.47</v>
      </c>
      <c r="EE8" s="1235" cm="1">
        <f t="array" ref="EE8:EE14">'HPS DAILY'!W106:W112</f>
        <v>50.87</v>
      </c>
      <c r="EF8" s="1187" cm="1">
        <f t="array" ref="EF8:EF14">'HPS DAILY'!X106:X112</f>
        <v>0</v>
      </c>
      <c r="EG8" s="296" cm="1">
        <f t="array" ref="EG8:EG14">'HPS DAILY'!Y106:Y112</f>
        <v>0</v>
      </c>
      <c r="EH8" s="296" cm="1">
        <f t="array" ref="EH8:EH14">'HPS DAILY'!Z106:Z112</f>
        <v>0</v>
      </c>
      <c r="EI8" s="296" cm="1">
        <f t="array" ref="EI8:EI14">'HPS DAILY'!AA106:AA112</f>
        <v>0</v>
      </c>
      <c r="EJ8" s="296" cm="1">
        <f t="array" ref="EJ8:EJ14">'HPS DAILY'!AB106:AB112</f>
        <v>0</v>
      </c>
      <c r="EK8" s="1235" cm="1">
        <f t="array" ref="EK8:EK14">'HPS DAILY'!AC106:AC112</f>
        <v>0</v>
      </c>
      <c r="EL8" s="1187" cm="1">
        <f t="array" ref="EL8:EL14">'HPS DAILY'!AD106:AD112</f>
        <v>0</v>
      </c>
      <c r="EM8" s="296" cm="1">
        <f t="array" ref="EM8:EM14">'HPS DAILY'!AE106:AE112</f>
        <v>0</v>
      </c>
      <c r="EN8" s="296" cm="1">
        <f t="array" ref="EN8:EN14">'HPS DAILY'!AF106:AF112</f>
        <v>0</v>
      </c>
      <c r="EO8" s="296" cm="1">
        <f t="array" ref="EO8:EO14">'HPS DAILY'!AG106:AG112</f>
        <v>0</v>
      </c>
      <c r="EP8" s="296" cm="1">
        <f t="array" ref="EP8:EP14">'HPS DAILY'!AH106:AH112</f>
        <v>0</v>
      </c>
      <c r="EQ8" s="296" cm="1">
        <f t="array" ref="EQ8:EQ14">'HPS DAILY'!AI106:AI112</f>
        <v>0</v>
      </c>
      <c r="ER8" s="296" cm="1">
        <f t="array" ref="ER8:ER14">'HPS DAILY'!AJ106:AJ112</f>
        <v>0</v>
      </c>
      <c r="ES8" s="296" cm="1">
        <f t="array" ref="ES8:ES14">'HPS DAILY'!AK106:AK112</f>
        <v>0</v>
      </c>
      <c r="ET8" s="296" cm="1">
        <f t="array" ref="ET8:ET14">'HPS DAILY'!AL106:AL112</f>
        <v>0</v>
      </c>
      <c r="EU8" s="356"/>
      <c r="EV8" s="296" cm="1">
        <f t="array" ref="EV8:EV14">'HPS DAILY'!K$93:K$99</f>
        <v>18.73</v>
      </c>
      <c r="EW8" s="296">
        <f t="shared" ref="EW8:EW14" si="0">EX8</f>
        <v>2.5099999999999998</v>
      </c>
      <c r="EX8" s="296" cm="1">
        <f t="array" ref="EX8:EX14">'HPS DAILY'!M$93:M$99</f>
        <v>2.5099999999999998</v>
      </c>
      <c r="EY8" s="1235" cm="1">
        <f t="array" ref="EY8:EY14">'HPS DAILY'!N$93:N$99</f>
        <v>1.03</v>
      </c>
      <c r="EZ8" s="1187" cm="1">
        <f t="array" ref="EZ8:EZ14">'HPS DAILY'!O$93:O$99</f>
        <v>1.29</v>
      </c>
      <c r="FA8" s="296" cm="1">
        <f t="array" ref="FA8:FA14">'HPS DAILY'!P$93:P$99</f>
        <v>1.42</v>
      </c>
      <c r="FB8" s="296" cm="1">
        <f t="array" ref="FB8:FB14">'HPS DAILY'!Q$93:Q$99</f>
        <v>1.61</v>
      </c>
      <c r="FC8" s="296" cm="1">
        <f t="array" ref="FC8:FC14">'HPS DAILY'!R$93:R$99</f>
        <v>0.96</v>
      </c>
      <c r="FD8" s="296" cm="1">
        <f t="array" ref="FD8:FD14">'HPS DAILY'!S$93:S$99</f>
        <v>1.66</v>
      </c>
      <c r="FE8" s="296" cm="1">
        <f t="array" ref="FE8:FE14">'HPS DAILY'!T$93:T$99</f>
        <v>1.29</v>
      </c>
      <c r="FF8" s="296" cm="1">
        <f t="array" ref="FF8:FF14">'HPS DAILY'!U$93:U$99</f>
        <v>0</v>
      </c>
      <c r="FG8" s="296" cm="1">
        <f t="array" ref="FG8:FG14">'HPS DAILY'!V$93:V$99</f>
        <v>0</v>
      </c>
      <c r="FH8" s="1235" cm="1">
        <f t="array" ref="FH8:FH14">'HPS DAILY'!W$93:W$99</f>
        <v>1.1000000000000001</v>
      </c>
      <c r="FI8" s="1187" cm="1">
        <f t="array" ref="FI8:FI14">'HPS DAILY'!X$93:X$99</f>
        <v>0</v>
      </c>
      <c r="FJ8" s="296" cm="1">
        <f t="array" ref="FJ8:FJ14">'HPS DAILY'!Y$93:Y$99</f>
        <v>0</v>
      </c>
      <c r="FK8" s="296" cm="1">
        <f t="array" ref="FK8:FK14">'HPS DAILY'!Z$93:Z$99</f>
        <v>0</v>
      </c>
      <c r="FL8" s="296" cm="1">
        <f t="array" ref="FL8:FL14">'HPS DAILY'!AA$93:AA$99</f>
        <v>0</v>
      </c>
      <c r="FM8" s="296" cm="1">
        <f t="array" ref="FM8:FM14">'HPS DAILY'!AB$93:AB$99</f>
        <v>0</v>
      </c>
      <c r="FN8" s="1235" cm="1">
        <f t="array" ref="FN8:FN14">'HPS DAILY'!AC$93:AC$99</f>
        <v>0</v>
      </c>
      <c r="FO8" s="1187" cm="1">
        <f t="array" ref="FO8:FO14">'HPS DAILY'!AD$93:AD$99</f>
        <v>0</v>
      </c>
      <c r="FP8" s="296" cm="1">
        <f t="array" ref="FP8:FP14">'HPS DAILY'!AE$93:AE$99</f>
        <v>0</v>
      </c>
      <c r="FQ8" s="296" cm="1">
        <f t="array" ref="FQ8:FQ14">'HPS DAILY'!AF$93:AF$99</f>
        <v>0</v>
      </c>
      <c r="FR8" s="296" cm="1">
        <f t="array" ref="FR8:FR14">'HPS DAILY'!AG$93:AG$99</f>
        <v>0</v>
      </c>
      <c r="FS8" s="296" cm="1">
        <f t="array" ref="FS8:FS14">'HPS DAILY'!AH$93:AH$99</f>
        <v>0</v>
      </c>
      <c r="FT8" s="296" cm="1">
        <f t="array" ref="FT8:FT14">'HPS DAILY'!AI$93:AI$99</f>
        <v>0</v>
      </c>
      <c r="FU8" s="296" cm="1">
        <f t="array" ref="FU8:FU14">'HPS DAILY'!AJ$93:AJ$99</f>
        <v>0</v>
      </c>
      <c r="FV8" s="296" cm="1">
        <f t="array" ref="FV8:FV14">'HPS DAILY'!AK$93:AK$99</f>
        <v>0</v>
      </c>
      <c r="FW8" s="296" cm="1">
        <f t="array" ref="FW8:FW14">'HPS DAILY'!AL$93:AL$99</f>
        <v>0</v>
      </c>
      <c r="FX8" s="1" t="s">
        <v>191</v>
      </c>
    </row>
    <row r="9" spans="1:180" x14ac:dyDescent="0.35">
      <c r="C9" s="1" t="s">
        <v>102</v>
      </c>
      <c r="F9" s="1024"/>
      <c r="G9" s="302"/>
      <c r="H9" s="302"/>
      <c r="I9" s="1230"/>
      <c r="J9" s="1178"/>
      <c r="K9" s="302"/>
      <c r="L9" s="1178"/>
      <c r="M9" s="302"/>
      <c r="N9" s="1178"/>
      <c r="O9" s="1178"/>
      <c r="P9" s="1178"/>
      <c r="Q9" s="302"/>
      <c r="R9" s="1626"/>
      <c r="S9" s="1178"/>
      <c r="T9" s="302"/>
      <c r="U9" s="302"/>
      <c r="V9" s="302"/>
      <c r="W9" s="302"/>
      <c r="X9" s="1230"/>
      <c r="Y9" s="1178"/>
      <c r="Z9" s="302"/>
      <c r="AA9" s="302"/>
      <c r="AB9" s="302"/>
      <c r="AC9" s="302"/>
      <c r="AD9" s="302"/>
      <c r="AE9" s="302"/>
      <c r="AF9" s="302"/>
      <c r="AG9" s="302"/>
      <c r="AH9" s="324"/>
      <c r="AI9" s="302"/>
      <c r="AJ9" s="302"/>
      <c r="AK9" s="302"/>
      <c r="AL9" s="1230"/>
      <c r="AM9" s="1178"/>
      <c r="AN9" s="302"/>
      <c r="AO9" s="302"/>
      <c r="AP9" s="302"/>
      <c r="AQ9" s="1622"/>
      <c r="AR9" s="1622"/>
      <c r="AS9" s="1622"/>
      <c r="AT9" s="1622"/>
      <c r="AU9" s="1623"/>
      <c r="AV9" s="1624"/>
      <c r="AW9" s="1622"/>
      <c r="AX9" s="1622"/>
      <c r="AY9" s="1622"/>
      <c r="AZ9" s="1622"/>
      <c r="BA9" s="1623"/>
      <c r="BB9" s="1624"/>
      <c r="BC9" s="1622"/>
      <c r="BD9" s="1622"/>
      <c r="BE9" s="1622"/>
      <c r="BF9" s="1622"/>
      <c r="BG9" s="1622"/>
      <c r="BH9" s="1622"/>
      <c r="BI9" s="1622"/>
      <c r="BJ9" s="1622"/>
      <c r="BL9" s="243">
        <v>-1.232</v>
      </c>
      <c r="BM9" s="243">
        <v>-1.25</v>
      </c>
      <c r="BN9" s="243">
        <v>-1.278</v>
      </c>
      <c r="BO9" s="1282">
        <v>-1.244</v>
      </c>
      <c r="BP9" s="1225">
        <v>-0.32000000000000006</v>
      </c>
      <c r="BQ9" s="243">
        <v>-0.29400000000000004</v>
      </c>
      <c r="BR9" s="243">
        <v>-0.28600000000000003</v>
      </c>
      <c r="BS9" s="243">
        <v>-0.32899999999999996</v>
      </c>
      <c r="BT9" s="243">
        <v>-0.73750000000000004</v>
      </c>
      <c r="BU9" s="243">
        <v>-0.52800000000000002</v>
      </c>
      <c r="BV9" s="243">
        <v>-0.62799999999999989</v>
      </c>
      <c r="BW9" s="243">
        <v>-0.65100000000000002</v>
      </c>
      <c r="BX9" s="1282">
        <v>-0.64500000000000002</v>
      </c>
      <c r="BY9" s="1225">
        <v>-1.74</v>
      </c>
      <c r="BZ9" s="243">
        <v>-1.74</v>
      </c>
      <c r="CA9" s="243">
        <v>1.3480000000000001</v>
      </c>
      <c r="CB9" s="243">
        <v>1.4990000000000001</v>
      </c>
      <c r="CC9" s="243">
        <v>1.4990000000000001</v>
      </c>
      <c r="CD9" s="1282">
        <v>1.4990000000000001</v>
      </c>
      <c r="CE9" s="1225">
        <v>1.4990000000000001</v>
      </c>
      <c r="CF9" s="243">
        <v>1.4990000000000001</v>
      </c>
      <c r="CG9" s="243">
        <v>1.4990000000000001</v>
      </c>
      <c r="CH9" s="243">
        <v>1.4990000000000001</v>
      </c>
      <c r="CI9" s="243">
        <v>1.4990000000000001</v>
      </c>
      <c r="CJ9" s="243">
        <v>1.4990000000000001</v>
      </c>
      <c r="CK9" s="243">
        <v>1.4990000000000001</v>
      </c>
      <c r="CL9" s="243">
        <v>1.4990000000000001</v>
      </c>
      <c r="CM9" s="243">
        <v>1.4990000000000001</v>
      </c>
      <c r="CN9" s="325"/>
      <c r="CO9" s="244">
        <v>0</v>
      </c>
      <c r="CP9" s="244">
        <v>19.2</v>
      </c>
      <c r="CQ9" s="244">
        <v>18.7</v>
      </c>
      <c r="CR9" s="1237">
        <v>20.100000000000001</v>
      </c>
      <c r="CS9" s="606">
        <v>17</v>
      </c>
      <c r="CT9" s="244">
        <v>19.8</v>
      </c>
      <c r="CU9" s="244">
        <v>14.5</v>
      </c>
      <c r="CV9" s="244">
        <v>16.600000000000001</v>
      </c>
      <c r="CW9" s="244">
        <v>15.124999999999998</v>
      </c>
      <c r="CX9" s="244">
        <v>16.399999999999999</v>
      </c>
      <c r="CY9" s="244">
        <v>14.7</v>
      </c>
      <c r="CZ9" s="244">
        <v>16.7</v>
      </c>
      <c r="DA9" s="1237">
        <v>16.399999999999999</v>
      </c>
      <c r="DB9" s="606">
        <v>0</v>
      </c>
      <c r="DC9" s="244">
        <v>0</v>
      </c>
      <c r="DD9" s="244">
        <v>0</v>
      </c>
      <c r="DE9" s="244">
        <v>0</v>
      </c>
      <c r="DF9" s="244">
        <v>0</v>
      </c>
      <c r="DG9" s="1237">
        <v>0</v>
      </c>
      <c r="DH9" s="606">
        <v>0</v>
      </c>
      <c r="DI9" s="244">
        <v>0</v>
      </c>
      <c r="DJ9" s="244">
        <v>0</v>
      </c>
      <c r="DK9" s="244">
        <v>0</v>
      </c>
      <c r="DL9" s="244">
        <v>0</v>
      </c>
      <c r="DM9" s="244">
        <v>0</v>
      </c>
      <c r="DN9" s="244">
        <v>0</v>
      </c>
      <c r="DO9" s="244">
        <v>0</v>
      </c>
      <c r="DP9" s="244">
        <v>0</v>
      </c>
      <c r="DR9" s="241" t="s">
        <v>199</v>
      </c>
      <c r="DS9" s="244">
        <v>5.22</v>
      </c>
      <c r="DT9" s="244">
        <v>5.7949999999999999</v>
      </c>
      <c r="DU9" s="244">
        <v>6.47</v>
      </c>
      <c r="DV9" s="1237">
        <v>6.75</v>
      </c>
      <c r="DW9" s="606">
        <v>14.86</v>
      </c>
      <c r="DX9" s="244">
        <v>14.57</v>
      </c>
      <c r="DY9" s="244">
        <v>13.73</v>
      </c>
      <c r="DZ9" s="244">
        <v>13.88</v>
      </c>
      <c r="EA9" s="244">
        <v>13.88</v>
      </c>
      <c r="EB9" s="244">
        <v>13.33</v>
      </c>
      <c r="EC9" s="244">
        <v>13.77</v>
      </c>
      <c r="ED9" s="244">
        <v>13.56</v>
      </c>
      <c r="EE9" s="1237">
        <v>13.7</v>
      </c>
      <c r="EF9" s="606">
        <v>0</v>
      </c>
      <c r="EG9" s="244">
        <v>0</v>
      </c>
      <c r="EH9" s="244">
        <v>0</v>
      </c>
      <c r="EI9" s="244">
        <v>0</v>
      </c>
      <c r="EJ9" s="244">
        <v>0</v>
      </c>
      <c r="EK9" s="1237">
        <v>0</v>
      </c>
      <c r="EL9" s="606">
        <v>0</v>
      </c>
      <c r="EM9" s="244">
        <v>0</v>
      </c>
      <c r="EN9" s="244">
        <v>0</v>
      </c>
      <c r="EO9" s="244">
        <v>0</v>
      </c>
      <c r="EP9" s="244">
        <v>0</v>
      </c>
      <c r="EQ9" s="244">
        <v>0</v>
      </c>
      <c r="ER9" s="244">
        <v>0</v>
      </c>
      <c r="ES9" s="244">
        <v>0</v>
      </c>
      <c r="ET9" s="244">
        <v>0</v>
      </c>
      <c r="EV9" s="244">
        <v>0.74</v>
      </c>
      <c r="EW9" s="244">
        <f t="shared" si="0"/>
        <v>0.06</v>
      </c>
      <c r="EX9" s="244">
        <v>0.06</v>
      </c>
      <c r="EY9" s="1237">
        <v>0.03</v>
      </c>
      <c r="EZ9" s="606">
        <v>0.08</v>
      </c>
      <c r="FA9" s="244">
        <v>0.17</v>
      </c>
      <c r="FB9" s="244">
        <v>0.18</v>
      </c>
      <c r="FC9" s="244">
        <v>0.05</v>
      </c>
      <c r="FD9" s="244">
        <v>0.14000000000000001</v>
      </c>
      <c r="FE9" s="244">
        <v>0.08</v>
      </c>
      <c r="FF9" s="244">
        <v>0.03</v>
      </c>
      <c r="FG9" s="244">
        <v>0.04</v>
      </c>
      <c r="FH9" s="1237">
        <v>0.14000000000000001</v>
      </c>
      <c r="FI9" s="606">
        <v>0</v>
      </c>
      <c r="FJ9" s="244">
        <v>0</v>
      </c>
      <c r="FK9" s="244">
        <v>0</v>
      </c>
      <c r="FL9" s="244">
        <v>0</v>
      </c>
      <c r="FM9" s="244">
        <v>0</v>
      </c>
      <c r="FN9" s="1237">
        <v>0</v>
      </c>
      <c r="FO9" s="606">
        <v>0</v>
      </c>
      <c r="FP9" s="244">
        <v>0</v>
      </c>
      <c r="FQ9" s="244">
        <v>0</v>
      </c>
      <c r="FR9" s="244">
        <v>0</v>
      </c>
      <c r="FS9" s="244">
        <v>0</v>
      </c>
      <c r="FT9" s="244">
        <v>0</v>
      </c>
      <c r="FU9" s="244">
        <v>0</v>
      </c>
      <c r="FV9" s="244">
        <v>0</v>
      </c>
      <c r="FW9" s="244">
        <v>0</v>
      </c>
      <c r="FX9" s="1" t="s">
        <v>199</v>
      </c>
    </row>
    <row r="10" spans="1:180" x14ac:dyDescent="0.35">
      <c r="C10" s="1" t="s">
        <v>103</v>
      </c>
      <c r="F10" s="1024"/>
      <c r="G10" s="302"/>
      <c r="H10" s="302"/>
      <c r="I10" s="1230"/>
      <c r="J10" s="1178"/>
      <c r="K10" s="302"/>
      <c r="L10" s="1178"/>
      <c r="M10" s="302"/>
      <c r="N10" s="1178"/>
      <c r="O10" s="1178"/>
      <c r="P10" s="1178"/>
      <c r="Q10" s="302"/>
      <c r="R10" s="1626"/>
      <c r="S10" s="1178"/>
      <c r="T10" s="302"/>
      <c r="U10" s="302"/>
      <c r="V10" s="302"/>
      <c r="W10" s="302"/>
      <c r="X10" s="1230"/>
      <c r="Y10" s="1178"/>
      <c r="Z10" s="302"/>
      <c r="AA10" s="302"/>
      <c r="AB10" s="302"/>
      <c r="AC10" s="302"/>
      <c r="AD10" s="302"/>
      <c r="AE10" s="302"/>
      <c r="AF10" s="302"/>
      <c r="AG10" s="302"/>
      <c r="AH10" s="324"/>
      <c r="AI10" s="302"/>
      <c r="AJ10" s="302"/>
      <c r="AK10" s="302"/>
      <c r="AL10" s="1230"/>
      <c r="AM10" s="1178"/>
      <c r="AN10" s="302"/>
      <c r="AO10" s="302"/>
      <c r="AP10" s="302"/>
      <c r="AQ10" s="1622"/>
      <c r="AR10" s="1622"/>
      <c r="AS10" s="1622"/>
      <c r="AT10" s="1622"/>
      <c r="AU10" s="1623"/>
      <c r="AV10" s="1624"/>
      <c r="AW10" s="1622"/>
      <c r="AX10" s="1622"/>
      <c r="AY10" s="1622"/>
      <c r="AZ10" s="1622"/>
      <c r="BA10" s="1623"/>
      <c r="BB10" s="1624"/>
      <c r="BC10" s="1622"/>
      <c r="BD10" s="1622"/>
      <c r="BE10" s="1622"/>
      <c r="BF10" s="1622"/>
      <c r="BG10" s="1622"/>
      <c r="BH10" s="1622"/>
      <c r="BI10" s="1622"/>
      <c r="BJ10" s="1622"/>
      <c r="BL10" s="243">
        <v>0.35050000000000026</v>
      </c>
      <c r="BM10" s="243">
        <v>0.25200000000000022</v>
      </c>
      <c r="BN10" s="243">
        <v>0.29400000000000004</v>
      </c>
      <c r="BO10" s="1282">
        <v>0.68300000000000027</v>
      </c>
      <c r="BP10" s="1225">
        <v>6.2679999999999998</v>
      </c>
      <c r="BQ10" s="243">
        <v>6.5320000000000009</v>
      </c>
      <c r="BR10" s="243">
        <v>6.2820000000000009</v>
      </c>
      <c r="BS10" s="243">
        <v>5.9669999999999996</v>
      </c>
      <c r="BT10" s="243">
        <v>5.3914999999999997</v>
      </c>
      <c r="BU10" s="243">
        <v>5.5789999999999997</v>
      </c>
      <c r="BV10" s="243">
        <v>5.5949999999999998</v>
      </c>
      <c r="BW10" s="243">
        <v>5.4870000000000001</v>
      </c>
      <c r="BX10" s="1282">
        <v>5.55</v>
      </c>
      <c r="BY10" s="1225">
        <v>-2.0499999999999998</v>
      </c>
      <c r="BZ10" s="243">
        <v>-2.0499999999999998</v>
      </c>
      <c r="CA10" s="243">
        <v>6.4180000000000001</v>
      </c>
      <c r="CB10" s="243">
        <v>6.6379999999999999</v>
      </c>
      <c r="CC10" s="243">
        <v>6.6379999999999999</v>
      </c>
      <c r="CD10" s="1282">
        <v>6.6379999999999999</v>
      </c>
      <c r="CE10" s="1225">
        <v>6.6379999999999999</v>
      </c>
      <c r="CF10" s="243">
        <v>6.6379999999999999</v>
      </c>
      <c r="CG10" s="243">
        <v>6.6379999999999999</v>
      </c>
      <c r="CH10" s="243">
        <v>6.6379999999999999</v>
      </c>
      <c r="CI10" s="243">
        <v>6.6379999999999999</v>
      </c>
      <c r="CJ10" s="243">
        <v>6.6379999999999999</v>
      </c>
      <c r="CK10" s="243">
        <v>6.6379999999999999</v>
      </c>
      <c r="CL10" s="243">
        <v>6.6379999999999999</v>
      </c>
      <c r="CM10" s="243">
        <v>6.6379999999999999</v>
      </c>
      <c r="CN10" s="325"/>
      <c r="CO10" s="244">
        <v>0</v>
      </c>
      <c r="CP10" s="244">
        <v>35.5</v>
      </c>
      <c r="CQ10" s="244">
        <v>36.6</v>
      </c>
      <c r="CR10" s="1237">
        <v>37.9</v>
      </c>
      <c r="CS10" s="606">
        <v>42.1</v>
      </c>
      <c r="CT10" s="244">
        <v>41.1</v>
      </c>
      <c r="CU10" s="244">
        <v>45.3</v>
      </c>
      <c r="CV10" s="244">
        <v>43.9</v>
      </c>
      <c r="CW10" s="244">
        <v>40.549999999999997</v>
      </c>
      <c r="CX10" s="244">
        <v>42.8</v>
      </c>
      <c r="CY10" s="244">
        <v>45.3</v>
      </c>
      <c r="CZ10" s="244">
        <v>44.3</v>
      </c>
      <c r="DA10" s="1237">
        <v>44.6</v>
      </c>
      <c r="DB10" s="606">
        <v>0</v>
      </c>
      <c r="DC10" s="244">
        <v>0</v>
      </c>
      <c r="DD10" s="244">
        <v>0</v>
      </c>
      <c r="DE10" s="244">
        <v>0</v>
      </c>
      <c r="DF10" s="244">
        <v>0</v>
      </c>
      <c r="DG10" s="1237">
        <v>0</v>
      </c>
      <c r="DH10" s="606">
        <v>0</v>
      </c>
      <c r="DI10" s="244">
        <v>0</v>
      </c>
      <c r="DJ10" s="244">
        <v>0</v>
      </c>
      <c r="DK10" s="244">
        <v>0</v>
      </c>
      <c r="DL10" s="244">
        <v>0</v>
      </c>
      <c r="DM10" s="244">
        <v>0</v>
      </c>
      <c r="DN10" s="244">
        <v>0</v>
      </c>
      <c r="DO10" s="244">
        <v>0</v>
      </c>
      <c r="DP10" s="244">
        <v>0</v>
      </c>
      <c r="DR10" s="241" t="s">
        <v>200</v>
      </c>
      <c r="DS10" s="244">
        <v>4.28</v>
      </c>
      <c r="DT10" s="244">
        <v>4.46</v>
      </c>
      <c r="DU10" s="244">
        <v>5.32</v>
      </c>
      <c r="DV10" s="1237">
        <v>5.57</v>
      </c>
      <c r="DW10" s="606">
        <v>11.82</v>
      </c>
      <c r="DX10" s="244">
        <v>11.6</v>
      </c>
      <c r="DY10" s="244">
        <v>10.77</v>
      </c>
      <c r="DZ10" s="244">
        <v>11.05</v>
      </c>
      <c r="EA10" s="244">
        <v>11.05</v>
      </c>
      <c r="EB10" s="244">
        <v>10.86</v>
      </c>
      <c r="EC10" s="244">
        <v>10.98</v>
      </c>
      <c r="ED10" s="244">
        <v>10.78</v>
      </c>
      <c r="EE10" s="1237">
        <v>10.76</v>
      </c>
      <c r="EF10" s="606">
        <v>0</v>
      </c>
      <c r="EG10" s="244">
        <v>0</v>
      </c>
      <c r="EH10" s="244">
        <v>0</v>
      </c>
      <c r="EI10" s="244">
        <v>0</v>
      </c>
      <c r="EJ10" s="244">
        <v>0</v>
      </c>
      <c r="EK10" s="1237">
        <v>0</v>
      </c>
      <c r="EL10" s="606">
        <v>0</v>
      </c>
      <c r="EM10" s="244">
        <v>0</v>
      </c>
      <c r="EN10" s="244">
        <v>0</v>
      </c>
      <c r="EO10" s="244">
        <v>0</v>
      </c>
      <c r="EP10" s="244">
        <v>0</v>
      </c>
      <c r="EQ10" s="244">
        <v>0</v>
      </c>
      <c r="ER10" s="244">
        <v>0</v>
      </c>
      <c r="ES10" s="244">
        <v>0</v>
      </c>
      <c r="ET10" s="244">
        <v>0</v>
      </c>
      <c r="EV10" s="244">
        <v>0.54</v>
      </c>
      <c r="EW10" s="244">
        <f t="shared" si="0"/>
        <v>0.11</v>
      </c>
      <c r="EX10" s="244">
        <v>0.11</v>
      </c>
      <c r="EY10" s="1237">
        <v>0.05</v>
      </c>
      <c r="EZ10" s="606">
        <v>0.14000000000000001</v>
      </c>
      <c r="FA10" s="244">
        <v>0.27</v>
      </c>
      <c r="FB10" s="244">
        <v>0.3</v>
      </c>
      <c r="FC10" s="244">
        <v>0.1</v>
      </c>
      <c r="FD10" s="244">
        <v>0.22499999999999998</v>
      </c>
      <c r="FE10" s="244">
        <v>0.14000000000000001</v>
      </c>
      <c r="FF10" s="244">
        <v>0.05</v>
      </c>
      <c r="FG10" s="244">
        <v>0.06</v>
      </c>
      <c r="FH10" s="1237">
        <v>0.26</v>
      </c>
      <c r="FI10" s="606">
        <v>0</v>
      </c>
      <c r="FJ10" s="244">
        <v>0</v>
      </c>
      <c r="FK10" s="244">
        <v>0</v>
      </c>
      <c r="FL10" s="244">
        <v>0</v>
      </c>
      <c r="FM10" s="244">
        <v>0</v>
      </c>
      <c r="FN10" s="1237">
        <v>0</v>
      </c>
      <c r="FO10" s="606">
        <v>0</v>
      </c>
      <c r="FP10" s="244">
        <v>0</v>
      </c>
      <c r="FQ10" s="244">
        <v>0</v>
      </c>
      <c r="FR10" s="244">
        <v>0</v>
      </c>
      <c r="FS10" s="244">
        <v>0</v>
      </c>
      <c r="FT10" s="244">
        <v>0</v>
      </c>
      <c r="FU10" s="244">
        <v>0</v>
      </c>
      <c r="FV10" s="244">
        <v>0</v>
      </c>
      <c r="FW10" s="244">
        <v>0</v>
      </c>
      <c r="FX10" s="1" t="s">
        <v>200</v>
      </c>
    </row>
    <row r="11" spans="1:180" x14ac:dyDescent="0.35">
      <c r="C11" s="1" t="s">
        <v>104</v>
      </c>
      <c r="F11" s="1024"/>
      <c r="G11" s="302"/>
      <c r="H11" s="302"/>
      <c r="I11" s="1230"/>
      <c r="J11" s="1178"/>
      <c r="K11" s="302"/>
      <c r="L11" s="1178"/>
      <c r="M11" s="302"/>
      <c r="N11" s="1178"/>
      <c r="O11" s="1178"/>
      <c r="P11" s="1178"/>
      <c r="Q11" s="302"/>
      <c r="R11" s="1626"/>
      <c r="S11" s="1178"/>
      <c r="T11" s="302"/>
      <c r="U11" s="302"/>
      <c r="V11" s="302"/>
      <c r="W11" s="302"/>
      <c r="X11" s="1230"/>
      <c r="Y11" s="1178"/>
      <c r="Z11" s="302"/>
      <c r="AA11" s="302"/>
      <c r="AB11" s="302"/>
      <c r="AC11" s="302"/>
      <c r="AD11" s="302"/>
      <c r="AE11" s="302"/>
      <c r="AF11" s="302"/>
      <c r="AG11" s="302"/>
      <c r="AH11" s="324"/>
      <c r="AI11" s="302"/>
      <c r="AJ11" s="302"/>
      <c r="AK11" s="302"/>
      <c r="AL11" s="1230"/>
      <c r="AM11" s="1178"/>
      <c r="AN11" s="302"/>
      <c r="AO11" s="302"/>
      <c r="AP11" s="302"/>
      <c r="AQ11" s="1622"/>
      <c r="AR11" s="1622"/>
      <c r="AS11" s="1622"/>
      <c r="AT11" s="1622"/>
      <c r="AU11" s="1623"/>
      <c r="AV11" s="1624"/>
      <c r="AW11" s="1622"/>
      <c r="AX11" s="1622"/>
      <c r="AY11" s="1622"/>
      <c r="AZ11" s="1622"/>
      <c r="BA11" s="1623"/>
      <c r="BB11" s="1624"/>
      <c r="BC11" s="1622"/>
      <c r="BD11" s="1622"/>
      <c r="BE11" s="1622"/>
      <c r="BF11" s="1622"/>
      <c r="BG11" s="1622"/>
      <c r="BH11" s="1622"/>
      <c r="BI11" s="1622"/>
      <c r="BJ11" s="1622"/>
      <c r="BL11" s="243">
        <v>4.9375</v>
      </c>
      <c r="BM11" s="243">
        <v>4.4415000000000013</v>
      </c>
      <c r="BN11" s="243">
        <v>4.6143333333333327</v>
      </c>
      <c r="BO11" s="1282">
        <v>5.1609999999999996</v>
      </c>
      <c r="BP11" s="1225">
        <v>15.9</v>
      </c>
      <c r="BQ11" s="243">
        <v>16.858999999999998</v>
      </c>
      <c r="BR11" s="243">
        <v>16.259999999999998</v>
      </c>
      <c r="BS11" s="243">
        <v>15.715000000000002</v>
      </c>
      <c r="BT11" s="243">
        <v>15.455500000000002</v>
      </c>
      <c r="BU11" s="243">
        <v>15.619000000000002</v>
      </c>
      <c r="BV11" s="243">
        <v>15.468000000000002</v>
      </c>
      <c r="BW11" s="243">
        <v>15.610999999999999</v>
      </c>
      <c r="BX11" s="1282">
        <v>15.843000000000002</v>
      </c>
      <c r="BY11" s="1225">
        <v>-2.2799999999999998</v>
      </c>
      <c r="BZ11" s="243">
        <v>-2.2799999999999998</v>
      </c>
      <c r="CA11" s="243">
        <v>14.513</v>
      </c>
      <c r="CB11" s="243">
        <v>14.006</v>
      </c>
      <c r="CC11" s="243">
        <v>14.006</v>
      </c>
      <c r="CD11" s="1282">
        <v>14.006</v>
      </c>
      <c r="CE11" s="1225">
        <v>14.006</v>
      </c>
      <c r="CF11" s="243">
        <v>14.006</v>
      </c>
      <c r="CG11" s="243">
        <v>14.006</v>
      </c>
      <c r="CH11" s="243">
        <v>14.006</v>
      </c>
      <c r="CI11" s="243">
        <v>14.006</v>
      </c>
      <c r="CJ11" s="243">
        <v>14.006</v>
      </c>
      <c r="CK11" s="243">
        <v>14.006</v>
      </c>
      <c r="CL11" s="243">
        <v>14.006</v>
      </c>
      <c r="CM11" s="243">
        <v>14.006</v>
      </c>
      <c r="CN11" s="325"/>
      <c r="CO11" s="244">
        <v>0</v>
      </c>
      <c r="CP11" s="244">
        <v>30.2</v>
      </c>
      <c r="CQ11" s="244">
        <v>29.7</v>
      </c>
      <c r="CR11" s="1237">
        <v>28.8</v>
      </c>
      <c r="CS11" s="606">
        <v>30.7</v>
      </c>
      <c r="CT11" s="244">
        <v>28.3</v>
      </c>
      <c r="CU11" s="244">
        <v>31.8</v>
      </c>
      <c r="CV11" s="244">
        <v>30.4</v>
      </c>
      <c r="CW11" s="244">
        <v>31.25</v>
      </c>
      <c r="CX11" s="244">
        <v>30.2</v>
      </c>
      <c r="CY11" s="244">
        <v>31.6</v>
      </c>
      <c r="CZ11" s="244">
        <v>30.2</v>
      </c>
      <c r="DA11" s="1237">
        <v>30.5</v>
      </c>
      <c r="DB11" s="606">
        <v>0</v>
      </c>
      <c r="DC11" s="244">
        <v>0</v>
      </c>
      <c r="DD11" s="244">
        <v>0</v>
      </c>
      <c r="DE11" s="244">
        <v>0</v>
      </c>
      <c r="DF11" s="244">
        <v>0</v>
      </c>
      <c r="DG11" s="1237">
        <v>0</v>
      </c>
      <c r="DH11" s="606">
        <v>0</v>
      </c>
      <c r="DI11" s="244">
        <v>0</v>
      </c>
      <c r="DJ11" s="244">
        <v>0</v>
      </c>
      <c r="DK11" s="244">
        <v>0</v>
      </c>
      <c r="DL11" s="244">
        <v>0</v>
      </c>
      <c r="DM11" s="244">
        <v>0</v>
      </c>
      <c r="DN11" s="244">
        <v>0</v>
      </c>
      <c r="DO11" s="244">
        <v>0</v>
      </c>
      <c r="DP11" s="244">
        <v>0</v>
      </c>
      <c r="DR11" s="241" t="s">
        <v>201</v>
      </c>
      <c r="DS11" s="244">
        <v>4.8499999999999996</v>
      </c>
      <c r="DT11" s="244">
        <v>4.7350000000000003</v>
      </c>
      <c r="DU11" s="244">
        <v>5.39</v>
      </c>
      <c r="DV11" s="1237">
        <v>5.62</v>
      </c>
      <c r="DW11" s="606">
        <v>11.25</v>
      </c>
      <c r="DX11" s="244">
        <v>11.14</v>
      </c>
      <c r="DY11" s="244">
        <v>10.78</v>
      </c>
      <c r="DZ11" s="244">
        <v>10.92</v>
      </c>
      <c r="EA11" s="244">
        <v>10.92</v>
      </c>
      <c r="EB11" s="244">
        <v>11.39</v>
      </c>
      <c r="EC11" s="244">
        <v>10.93</v>
      </c>
      <c r="ED11" s="244">
        <v>10.78</v>
      </c>
      <c r="EE11" s="1237">
        <v>10.74</v>
      </c>
      <c r="EF11" s="606">
        <v>0</v>
      </c>
      <c r="EG11" s="244">
        <v>0</v>
      </c>
      <c r="EH11" s="244">
        <v>0</v>
      </c>
      <c r="EI11" s="244">
        <v>0</v>
      </c>
      <c r="EJ11" s="244">
        <v>0</v>
      </c>
      <c r="EK11" s="1237">
        <v>0</v>
      </c>
      <c r="EL11" s="606">
        <v>0</v>
      </c>
      <c r="EM11" s="244">
        <v>0</v>
      </c>
      <c r="EN11" s="244">
        <v>0</v>
      </c>
      <c r="EO11" s="244">
        <v>0</v>
      </c>
      <c r="EP11" s="244">
        <v>0</v>
      </c>
      <c r="EQ11" s="244">
        <v>0</v>
      </c>
      <c r="ER11" s="244">
        <v>0</v>
      </c>
      <c r="ES11" s="244">
        <v>0</v>
      </c>
      <c r="ET11" s="244">
        <v>0</v>
      </c>
      <c r="EV11" s="244">
        <v>1.18</v>
      </c>
      <c r="EW11" s="244">
        <f t="shared" si="0"/>
        <v>0.16</v>
      </c>
      <c r="EX11" s="244">
        <v>0.16</v>
      </c>
      <c r="EY11" s="1237">
        <v>0.08</v>
      </c>
      <c r="EZ11" s="606">
        <v>0.24</v>
      </c>
      <c r="FA11" s="244">
        <v>0.41</v>
      </c>
      <c r="FB11" s="244">
        <v>0.45</v>
      </c>
      <c r="FC11" s="244">
        <v>0.24</v>
      </c>
      <c r="FD11" s="244">
        <v>0.38</v>
      </c>
      <c r="FE11" s="244">
        <v>0.28000000000000003</v>
      </c>
      <c r="FF11" s="244">
        <v>0.09</v>
      </c>
      <c r="FG11" s="244">
        <v>0.15</v>
      </c>
      <c r="FH11" s="1237">
        <v>0.47</v>
      </c>
      <c r="FI11" s="606">
        <v>0</v>
      </c>
      <c r="FJ11" s="244">
        <v>0</v>
      </c>
      <c r="FK11" s="244">
        <v>0</v>
      </c>
      <c r="FL11" s="244">
        <v>0</v>
      </c>
      <c r="FM11" s="244">
        <v>0</v>
      </c>
      <c r="FN11" s="1237">
        <v>0</v>
      </c>
      <c r="FO11" s="606">
        <v>0</v>
      </c>
      <c r="FP11" s="244">
        <v>0</v>
      </c>
      <c r="FQ11" s="244">
        <v>0</v>
      </c>
      <c r="FR11" s="244">
        <v>0</v>
      </c>
      <c r="FS11" s="244">
        <v>0</v>
      </c>
      <c r="FT11" s="244">
        <v>0</v>
      </c>
      <c r="FU11" s="244">
        <v>0</v>
      </c>
      <c r="FV11" s="244">
        <v>0</v>
      </c>
      <c r="FW11" s="244">
        <v>0</v>
      </c>
      <c r="FX11" s="1" t="s">
        <v>201</v>
      </c>
    </row>
    <row r="12" spans="1:180" x14ac:dyDescent="0.35">
      <c r="C12" s="1" t="s">
        <v>105</v>
      </c>
      <c r="F12" s="1024"/>
      <c r="G12" s="302"/>
      <c r="H12" s="302"/>
      <c r="I12" s="1230"/>
      <c r="J12" s="1178"/>
      <c r="K12" s="302"/>
      <c r="L12" s="1178"/>
      <c r="M12" s="302"/>
      <c r="N12" s="1178"/>
      <c r="O12" s="1178"/>
      <c r="P12" s="1178"/>
      <c r="Q12" s="302"/>
      <c r="R12" s="1626"/>
      <c r="S12" s="1178"/>
      <c r="T12" s="302"/>
      <c r="U12" s="302"/>
      <c r="V12" s="302"/>
      <c r="W12" s="302"/>
      <c r="X12" s="1230"/>
      <c r="Y12" s="1178"/>
      <c r="Z12" s="302"/>
      <c r="AA12" s="302"/>
      <c r="AB12" s="302"/>
      <c r="AC12" s="302"/>
      <c r="AD12" s="302"/>
      <c r="AE12" s="302"/>
      <c r="AF12" s="302"/>
      <c r="AG12" s="302"/>
      <c r="AH12" s="324"/>
      <c r="AI12" s="302"/>
      <c r="AJ12" s="302"/>
      <c r="AK12" s="302"/>
      <c r="AL12" s="1230"/>
      <c r="AM12" s="1178"/>
      <c r="AN12" s="302"/>
      <c r="AO12" s="302"/>
      <c r="AP12" s="302"/>
      <c r="AQ12" s="1622"/>
      <c r="AR12" s="1622"/>
      <c r="AS12" s="1622"/>
      <c r="AT12" s="1622"/>
      <c r="AU12" s="1623"/>
      <c r="AV12" s="1624"/>
      <c r="AW12" s="1622"/>
      <c r="AX12" s="1622"/>
      <c r="AY12" s="1622"/>
      <c r="AZ12" s="1622"/>
      <c r="BA12" s="1623"/>
      <c r="BB12" s="1624"/>
      <c r="BC12" s="1622"/>
      <c r="BD12" s="1622"/>
      <c r="BE12" s="1622"/>
      <c r="BF12" s="1622"/>
      <c r="BG12" s="1622"/>
      <c r="BH12" s="1622"/>
      <c r="BI12" s="1622"/>
      <c r="BJ12" s="1622"/>
      <c r="BL12" s="243">
        <v>20.026000000000003</v>
      </c>
      <c r="BM12" s="243">
        <v>17.6755</v>
      </c>
      <c r="BN12" s="243">
        <v>16.507666666666665</v>
      </c>
      <c r="BO12" s="1282">
        <v>16.823999999999998</v>
      </c>
      <c r="BP12" s="1225">
        <v>27.645000000000003</v>
      </c>
      <c r="BQ12" s="243">
        <v>29.259</v>
      </c>
      <c r="BR12" s="243">
        <v>28.838000000000001</v>
      </c>
      <c r="BS12" s="243">
        <v>28.320999999999998</v>
      </c>
      <c r="BT12" s="243">
        <v>27.850500000000004</v>
      </c>
      <c r="BU12" s="243">
        <v>27.779000000000003</v>
      </c>
      <c r="BV12" s="243">
        <v>28.295999999999999</v>
      </c>
      <c r="BW12" s="243">
        <v>28.255000000000003</v>
      </c>
      <c r="BX12" s="1282">
        <v>28.701999999999998</v>
      </c>
      <c r="BY12" s="1225">
        <v>-2.58</v>
      </c>
      <c r="BZ12" s="243">
        <v>-2.58</v>
      </c>
      <c r="CA12" s="243">
        <v>22.513000000000002</v>
      </c>
      <c r="CB12" s="243">
        <v>21.085000000000001</v>
      </c>
      <c r="CC12" s="243">
        <v>21.085000000000001</v>
      </c>
      <c r="CD12" s="1282">
        <v>21.085000000000001</v>
      </c>
      <c r="CE12" s="1225">
        <v>21.085000000000001</v>
      </c>
      <c r="CF12" s="243">
        <v>21.085000000000001</v>
      </c>
      <c r="CG12" s="243">
        <v>21.085000000000001</v>
      </c>
      <c r="CH12" s="243">
        <v>21.085000000000001</v>
      </c>
      <c r="CI12" s="243">
        <v>21.085000000000001</v>
      </c>
      <c r="CJ12" s="243">
        <v>21.085000000000001</v>
      </c>
      <c r="CK12" s="243">
        <v>21.085000000000001</v>
      </c>
      <c r="CL12" s="243">
        <v>21.085000000000001</v>
      </c>
      <c r="CM12" s="243">
        <v>21.085000000000001</v>
      </c>
      <c r="CN12" s="325"/>
      <c r="CO12" s="244">
        <v>0</v>
      </c>
      <c r="CP12" s="244">
        <v>13.8</v>
      </c>
      <c r="CQ12" s="244">
        <v>10.7</v>
      </c>
      <c r="CR12" s="1237">
        <v>9.1</v>
      </c>
      <c r="CS12" s="606">
        <v>8.6999999999999993</v>
      </c>
      <c r="CT12" s="244">
        <v>6.6</v>
      </c>
      <c r="CU12" s="244">
        <v>7.3</v>
      </c>
      <c r="CV12" s="244">
        <v>6.9</v>
      </c>
      <c r="CW12" s="244">
        <v>11.975</v>
      </c>
      <c r="CX12" s="244">
        <v>8.5</v>
      </c>
      <c r="CY12" s="244">
        <v>7.4</v>
      </c>
      <c r="CZ12" s="244">
        <v>6.9</v>
      </c>
      <c r="DA12" s="1237">
        <v>6.9</v>
      </c>
      <c r="DB12" s="606">
        <v>0</v>
      </c>
      <c r="DC12" s="244">
        <v>0</v>
      </c>
      <c r="DD12" s="244">
        <v>0</v>
      </c>
      <c r="DE12" s="244">
        <v>0</v>
      </c>
      <c r="DF12" s="244">
        <v>0</v>
      </c>
      <c r="DG12" s="1237">
        <v>0</v>
      </c>
      <c r="DH12" s="606">
        <v>0</v>
      </c>
      <c r="DI12" s="244">
        <v>0</v>
      </c>
      <c r="DJ12" s="244">
        <v>0</v>
      </c>
      <c r="DK12" s="244">
        <v>0</v>
      </c>
      <c r="DL12" s="244">
        <v>0</v>
      </c>
      <c r="DM12" s="244">
        <v>0</v>
      </c>
      <c r="DN12" s="244">
        <v>0</v>
      </c>
      <c r="DO12" s="244">
        <v>0</v>
      </c>
      <c r="DP12" s="244">
        <v>0</v>
      </c>
      <c r="DR12" s="241" t="s">
        <v>376</v>
      </c>
      <c r="DS12" s="244">
        <v>5.85</v>
      </c>
      <c r="DT12" s="244">
        <v>5.2149999999999999</v>
      </c>
      <c r="DU12" s="244">
        <v>4.2699999999999996</v>
      </c>
      <c r="DV12" s="1237">
        <v>4.41</v>
      </c>
      <c r="DW12" s="606">
        <v>7.12</v>
      </c>
      <c r="DX12" s="244">
        <v>7.35</v>
      </c>
      <c r="DY12" s="244">
        <v>7.37</v>
      </c>
      <c r="DZ12" s="244">
        <v>7.21</v>
      </c>
      <c r="EA12" s="244">
        <v>7.21</v>
      </c>
      <c r="EB12" s="244">
        <v>7.95</v>
      </c>
      <c r="EC12" s="244">
        <v>7.26</v>
      </c>
      <c r="ED12" s="244">
        <v>7.24</v>
      </c>
      <c r="EE12" s="1237">
        <v>7.15</v>
      </c>
      <c r="EF12" s="606">
        <v>0</v>
      </c>
      <c r="EG12" s="244">
        <v>0</v>
      </c>
      <c r="EH12" s="244">
        <v>0</v>
      </c>
      <c r="EI12" s="244">
        <v>0</v>
      </c>
      <c r="EJ12" s="244">
        <v>0</v>
      </c>
      <c r="EK12" s="1237">
        <v>0</v>
      </c>
      <c r="EL12" s="606">
        <v>0</v>
      </c>
      <c r="EM12" s="244">
        <v>0</v>
      </c>
      <c r="EN12" s="244">
        <v>0</v>
      </c>
      <c r="EO12" s="244">
        <v>0</v>
      </c>
      <c r="EP12" s="244">
        <v>0</v>
      </c>
      <c r="EQ12" s="244">
        <v>0</v>
      </c>
      <c r="ER12" s="244">
        <v>0</v>
      </c>
      <c r="ES12" s="244">
        <v>0</v>
      </c>
      <c r="ET12" s="244">
        <v>0</v>
      </c>
      <c r="EV12" s="244">
        <v>1.47</v>
      </c>
      <c r="EW12" s="244">
        <f t="shared" si="0"/>
        <v>0.17</v>
      </c>
      <c r="EX12" s="244">
        <v>0.17</v>
      </c>
      <c r="EY12" s="1237">
        <v>0.11</v>
      </c>
      <c r="EZ12" s="606">
        <v>0.41</v>
      </c>
      <c r="FA12" s="244">
        <v>0.46</v>
      </c>
      <c r="FB12" s="244">
        <v>0.5</v>
      </c>
      <c r="FC12" s="244">
        <v>0.51</v>
      </c>
      <c r="FD12" s="244">
        <v>0.54499999999999993</v>
      </c>
      <c r="FE12" s="244">
        <v>0.48</v>
      </c>
      <c r="FF12" s="244">
        <v>0.2</v>
      </c>
      <c r="FG12" s="244">
        <v>0.31</v>
      </c>
      <c r="FH12" s="1237">
        <v>0.68</v>
      </c>
      <c r="FI12" s="606">
        <v>0</v>
      </c>
      <c r="FJ12" s="244">
        <v>0</v>
      </c>
      <c r="FK12" s="244">
        <v>0</v>
      </c>
      <c r="FL12" s="244">
        <v>0</v>
      </c>
      <c r="FM12" s="244">
        <v>0</v>
      </c>
      <c r="FN12" s="1237">
        <v>0</v>
      </c>
      <c r="FO12" s="606">
        <v>0</v>
      </c>
      <c r="FP12" s="244">
        <v>0</v>
      </c>
      <c r="FQ12" s="244">
        <v>0</v>
      </c>
      <c r="FR12" s="244">
        <v>0</v>
      </c>
      <c r="FS12" s="244">
        <v>0</v>
      </c>
      <c r="FT12" s="244">
        <v>0</v>
      </c>
      <c r="FU12" s="244">
        <v>0</v>
      </c>
      <c r="FV12" s="244">
        <v>0</v>
      </c>
      <c r="FW12" s="244">
        <v>0</v>
      </c>
      <c r="FX12" s="1" t="s">
        <v>376</v>
      </c>
    </row>
    <row r="13" spans="1:180" x14ac:dyDescent="0.35">
      <c r="C13" s="1" t="s">
        <v>100</v>
      </c>
      <c r="F13" s="1024"/>
      <c r="G13" s="302"/>
      <c r="H13" s="302"/>
      <c r="I13" s="1230"/>
      <c r="J13" s="1178"/>
      <c r="K13" s="302"/>
      <c r="L13" s="1178"/>
      <c r="M13" s="302"/>
      <c r="N13" s="1178"/>
      <c r="O13" s="1178"/>
      <c r="P13" s="1178"/>
      <c r="Q13" s="302"/>
      <c r="R13" s="1626"/>
      <c r="S13" s="1178"/>
      <c r="T13" s="302"/>
      <c r="U13" s="302"/>
      <c r="V13" s="302"/>
      <c r="W13" s="302"/>
      <c r="X13" s="1230"/>
      <c r="Y13" s="1178"/>
      <c r="Z13" s="302"/>
      <c r="AA13" s="302"/>
      <c r="AB13" s="302"/>
      <c r="AC13" s="302"/>
      <c r="AD13" s="302"/>
      <c r="AE13" s="302"/>
      <c r="AF13" s="302"/>
      <c r="AG13" s="302"/>
      <c r="AH13" s="324"/>
      <c r="AI13" s="302"/>
      <c r="AJ13" s="302"/>
      <c r="AK13" s="302"/>
      <c r="AL13" s="1230"/>
      <c r="AM13" s="1178"/>
      <c r="AN13" s="302"/>
      <c r="AO13" s="302"/>
      <c r="AP13" s="302"/>
      <c r="AQ13" s="1622"/>
      <c r="AR13" s="1622"/>
      <c r="AS13" s="1622"/>
      <c r="AT13" s="1622"/>
      <c r="AU13" s="1623"/>
      <c r="AV13" s="1624"/>
      <c r="AW13" s="1622"/>
      <c r="AX13" s="1622"/>
      <c r="AY13" s="1622"/>
      <c r="AZ13" s="1622"/>
      <c r="BA13" s="1623"/>
      <c r="BB13" s="1624"/>
      <c r="BC13" s="1622"/>
      <c r="BD13" s="1622"/>
      <c r="BE13" s="1622"/>
      <c r="BF13" s="1622"/>
      <c r="BG13" s="1622"/>
      <c r="BH13" s="1622"/>
      <c r="BI13" s="1622"/>
      <c r="BJ13" s="1622"/>
      <c r="BL13" s="243">
        <v>11.3165</v>
      </c>
      <c r="BM13" s="243">
        <v>10.9885</v>
      </c>
      <c r="BN13" s="243">
        <v>11.498666666666669</v>
      </c>
      <c r="BO13" s="1282">
        <v>12.371</v>
      </c>
      <c r="BP13" s="1225">
        <v>10.884</v>
      </c>
      <c r="BQ13" s="243">
        <v>11.4673</v>
      </c>
      <c r="BR13" s="243">
        <v>11.54</v>
      </c>
      <c r="BS13" s="243">
        <v>11.401</v>
      </c>
      <c r="BT13" s="243">
        <v>11.232999999999999</v>
      </c>
      <c r="BU13" s="243">
        <v>11.173999999999999</v>
      </c>
      <c r="BV13" s="243">
        <v>11.522</v>
      </c>
      <c r="BW13" s="243">
        <v>11.372999999999999</v>
      </c>
      <c r="BX13" s="1282">
        <v>11.361000000000001</v>
      </c>
      <c r="BY13" s="1225">
        <v>-2.58</v>
      </c>
      <c r="BZ13" s="243">
        <v>-2.58</v>
      </c>
      <c r="CA13" s="243">
        <v>11.971</v>
      </c>
      <c r="CB13" s="243">
        <v>11.154999999999999</v>
      </c>
      <c r="CC13" s="243">
        <v>11.154999999999999</v>
      </c>
      <c r="CD13" s="1282">
        <v>11.154999999999999</v>
      </c>
      <c r="CE13" s="1225">
        <v>11.154999999999999</v>
      </c>
      <c r="CF13" s="243">
        <v>11.154999999999999</v>
      </c>
      <c r="CG13" s="243">
        <v>11.154999999999999</v>
      </c>
      <c r="CH13" s="243">
        <v>11.154999999999999</v>
      </c>
      <c r="CI13" s="243">
        <v>11.154999999999999</v>
      </c>
      <c r="CJ13" s="243">
        <v>11.154999999999999</v>
      </c>
      <c r="CK13" s="243">
        <v>11.154999999999999</v>
      </c>
      <c r="CL13" s="243">
        <v>11.154999999999999</v>
      </c>
      <c r="CM13" s="243">
        <v>11.154999999999999</v>
      </c>
      <c r="CN13" s="325"/>
      <c r="CO13" s="244">
        <v>0</v>
      </c>
      <c r="CP13" s="244">
        <v>0.1</v>
      </c>
      <c r="CQ13" s="244">
        <v>0</v>
      </c>
      <c r="CR13" s="1237">
        <v>0</v>
      </c>
      <c r="CS13" s="606">
        <v>0</v>
      </c>
      <c r="CT13" s="244">
        <v>0</v>
      </c>
      <c r="CU13" s="244">
        <v>0</v>
      </c>
      <c r="CV13" s="244">
        <v>0</v>
      </c>
      <c r="CW13" s="244">
        <v>0</v>
      </c>
      <c r="CX13" s="244">
        <v>0</v>
      </c>
      <c r="CY13" s="244">
        <v>0</v>
      </c>
      <c r="CZ13" s="244">
        <v>0</v>
      </c>
      <c r="DA13" s="1237">
        <v>0</v>
      </c>
      <c r="DB13" s="606">
        <v>0</v>
      </c>
      <c r="DC13" s="244">
        <v>0</v>
      </c>
      <c r="DD13" s="244">
        <v>0</v>
      </c>
      <c r="DE13" s="244">
        <v>0</v>
      </c>
      <c r="DF13" s="244">
        <v>0</v>
      </c>
      <c r="DG13" s="1237">
        <v>0</v>
      </c>
      <c r="DH13" s="606">
        <v>0</v>
      </c>
      <c r="DI13" s="244">
        <v>0</v>
      </c>
      <c r="DJ13" s="244">
        <v>0</v>
      </c>
      <c r="DK13" s="244">
        <v>0</v>
      </c>
      <c r="DL13" s="244">
        <v>0</v>
      </c>
      <c r="DM13" s="244">
        <v>0</v>
      </c>
      <c r="DN13" s="244">
        <v>0</v>
      </c>
      <c r="DO13" s="244">
        <v>0</v>
      </c>
      <c r="DP13" s="244">
        <v>0</v>
      </c>
      <c r="DR13" s="241" t="s">
        <v>203</v>
      </c>
      <c r="DS13" s="244">
        <v>3.11</v>
      </c>
      <c r="DT13" s="244">
        <v>2.1850000000000001</v>
      </c>
      <c r="DU13" s="244">
        <v>3.06</v>
      </c>
      <c r="DV13" s="1237">
        <v>3.07</v>
      </c>
      <c r="DW13" s="606">
        <v>3.05</v>
      </c>
      <c r="DX13" s="244">
        <v>3.53</v>
      </c>
      <c r="DY13" s="244">
        <v>3.65</v>
      </c>
      <c r="DZ13" s="244">
        <v>3.58</v>
      </c>
      <c r="EA13" s="244">
        <v>3.58</v>
      </c>
      <c r="EB13" s="244">
        <v>3.79</v>
      </c>
      <c r="EC13" s="244">
        <v>3.79</v>
      </c>
      <c r="ED13" s="244">
        <v>3.79</v>
      </c>
      <c r="EE13" s="1237">
        <v>3.71</v>
      </c>
      <c r="EF13" s="606">
        <v>0</v>
      </c>
      <c r="EG13" s="244">
        <v>0</v>
      </c>
      <c r="EH13" s="244">
        <v>0</v>
      </c>
      <c r="EI13" s="244">
        <v>0</v>
      </c>
      <c r="EJ13" s="244">
        <v>0</v>
      </c>
      <c r="EK13" s="1237">
        <v>0</v>
      </c>
      <c r="EL13" s="606">
        <v>0</v>
      </c>
      <c r="EM13" s="244">
        <v>0</v>
      </c>
      <c r="EN13" s="244">
        <v>0</v>
      </c>
      <c r="EO13" s="244">
        <v>0</v>
      </c>
      <c r="EP13" s="244">
        <v>0</v>
      </c>
      <c r="EQ13" s="244">
        <v>0</v>
      </c>
      <c r="ER13" s="244">
        <v>0</v>
      </c>
      <c r="ES13" s="244">
        <v>0</v>
      </c>
      <c r="ET13" s="244">
        <v>0</v>
      </c>
      <c r="EV13" s="244">
        <v>0.94</v>
      </c>
      <c r="EW13" s="244">
        <f t="shared" si="0"/>
        <v>0.11</v>
      </c>
      <c r="EX13" s="244">
        <v>0.11</v>
      </c>
      <c r="EY13" s="1237">
        <v>0.12</v>
      </c>
      <c r="EZ13" s="606">
        <v>0.49</v>
      </c>
      <c r="FA13" s="244">
        <v>0.39</v>
      </c>
      <c r="FB13" s="244">
        <v>0.38</v>
      </c>
      <c r="FC13" s="244">
        <v>0.69</v>
      </c>
      <c r="FD13" s="244">
        <v>0.58499999999999996</v>
      </c>
      <c r="FE13" s="244">
        <v>0.5</v>
      </c>
      <c r="FF13" s="244">
        <v>0.4</v>
      </c>
      <c r="FG13" s="244">
        <v>0.48</v>
      </c>
      <c r="FH13" s="1237">
        <v>0.69</v>
      </c>
      <c r="FI13" s="606">
        <v>0</v>
      </c>
      <c r="FJ13" s="244">
        <v>0</v>
      </c>
      <c r="FK13" s="244">
        <v>0</v>
      </c>
      <c r="FL13" s="244">
        <v>0</v>
      </c>
      <c r="FM13" s="244">
        <v>0</v>
      </c>
      <c r="FN13" s="1237">
        <v>0</v>
      </c>
      <c r="FO13" s="606">
        <v>0</v>
      </c>
      <c r="FP13" s="244">
        <v>0</v>
      </c>
      <c r="FQ13" s="244">
        <v>0</v>
      </c>
      <c r="FR13" s="244">
        <v>0</v>
      </c>
      <c r="FS13" s="244">
        <v>0</v>
      </c>
      <c r="FT13" s="244">
        <v>0</v>
      </c>
      <c r="FU13" s="244">
        <v>0</v>
      </c>
      <c r="FV13" s="244">
        <v>0</v>
      </c>
      <c r="FW13" s="244">
        <v>0</v>
      </c>
      <c r="FX13" s="1" t="s">
        <v>203</v>
      </c>
    </row>
    <row r="14" spans="1:180" ht="15" thickBot="1" x14ac:dyDescent="0.4">
      <c r="C14" s="1" t="s">
        <v>404</v>
      </c>
      <c r="F14" s="1025"/>
      <c r="G14" s="303"/>
      <c r="H14" s="303"/>
      <c r="I14" s="1231"/>
      <c r="J14" s="1179"/>
      <c r="K14" s="303"/>
      <c r="L14" s="1179"/>
      <c r="M14" s="303"/>
      <c r="N14" s="1179"/>
      <c r="O14" s="1179"/>
      <c r="P14" s="1179"/>
      <c r="Q14" s="303"/>
      <c r="R14" s="1627"/>
      <c r="S14" s="1179"/>
      <c r="T14" s="303"/>
      <c r="U14" s="303"/>
      <c r="V14" s="303"/>
      <c r="W14" s="303"/>
      <c r="X14" s="1231"/>
      <c r="Y14" s="1179"/>
      <c r="Z14" s="303"/>
      <c r="AA14" s="303"/>
      <c r="AB14" s="303"/>
      <c r="AC14" s="303"/>
      <c r="AD14" s="303"/>
      <c r="AE14" s="303"/>
      <c r="AF14" s="303"/>
      <c r="AG14" s="303"/>
      <c r="AH14" s="344"/>
      <c r="AI14" s="303"/>
      <c r="AJ14" s="303"/>
      <c r="AK14" s="303"/>
      <c r="AL14" s="1231"/>
      <c r="AM14" s="1179"/>
      <c r="AN14" s="303"/>
      <c r="AO14" s="303"/>
      <c r="AP14" s="303"/>
      <c r="AQ14" s="303"/>
      <c r="AR14" s="303"/>
      <c r="AS14" s="303"/>
      <c r="AT14" s="303"/>
      <c r="AU14" s="1231"/>
      <c r="AV14" s="1179"/>
      <c r="AW14" s="303"/>
      <c r="AX14" s="303"/>
      <c r="AY14" s="303"/>
      <c r="AZ14" s="303"/>
      <c r="BA14" s="1231"/>
      <c r="BB14" s="1179"/>
      <c r="BC14" s="303"/>
      <c r="BD14" s="303"/>
      <c r="BE14" s="303"/>
      <c r="BF14" s="303"/>
      <c r="BG14" s="303"/>
      <c r="BH14" s="303"/>
      <c r="BI14" s="303"/>
      <c r="BJ14" s="303"/>
      <c r="BK14" s="344"/>
      <c r="BL14" s="485">
        <v>50.225499999999997</v>
      </c>
      <c r="BM14" s="485">
        <v>53.486499999999999</v>
      </c>
      <c r="BN14" s="485">
        <v>54.029666666666664</v>
      </c>
      <c r="BO14" s="1591">
        <v>51.893999999999998</v>
      </c>
      <c r="BP14" s="1585">
        <v>25.328999999999994</v>
      </c>
      <c r="BQ14" s="483">
        <v>21.872700000000009</v>
      </c>
      <c r="BR14" s="483">
        <v>23.057999999999993</v>
      </c>
      <c r="BS14" s="483">
        <v>24.634</v>
      </c>
      <c r="BT14" s="483">
        <v>26.524999999999999</v>
      </c>
      <c r="BU14" s="483">
        <v>26.085999999999999</v>
      </c>
      <c r="BV14" s="484">
        <v>25.434999999999988</v>
      </c>
      <c r="BW14" s="484">
        <v>25.635000000000005</v>
      </c>
      <c r="BX14" s="1602">
        <v>24.850999999999999</v>
      </c>
      <c r="BY14" s="1598">
        <v>96.97</v>
      </c>
      <c r="BZ14" s="484">
        <v>96.97</v>
      </c>
      <c r="CA14" s="484">
        <v>43.040999999999997</v>
      </c>
      <c r="CB14" s="484">
        <v>45.424999999999997</v>
      </c>
      <c r="CC14" s="484">
        <v>45.424999999999997</v>
      </c>
      <c r="CD14" s="1602">
        <v>45.424999999999997</v>
      </c>
      <c r="CE14" s="1598">
        <v>45.424999999999997</v>
      </c>
      <c r="CF14" s="484">
        <v>45.424999999999997</v>
      </c>
      <c r="CG14" s="484">
        <v>45.424999999999997</v>
      </c>
      <c r="CH14" s="484">
        <v>45.424999999999997</v>
      </c>
      <c r="CI14" s="484">
        <v>45.424999999999997</v>
      </c>
      <c r="CJ14" s="484">
        <v>45.424999999999997</v>
      </c>
      <c r="CK14" s="484">
        <v>45.424999999999997</v>
      </c>
      <c r="CL14" s="484">
        <v>45.424999999999997</v>
      </c>
      <c r="CM14" s="484">
        <v>45.424999999999997</v>
      </c>
      <c r="CN14" s="350"/>
      <c r="CO14" s="304">
        <v>0</v>
      </c>
      <c r="CP14" s="304">
        <v>0</v>
      </c>
      <c r="CQ14" s="304">
        <v>0</v>
      </c>
      <c r="CR14" s="1238">
        <v>0</v>
      </c>
      <c r="CS14" s="1188">
        <v>0</v>
      </c>
      <c r="CT14" s="304">
        <v>0</v>
      </c>
      <c r="CU14" s="304">
        <v>0</v>
      </c>
      <c r="CV14" s="304">
        <v>0</v>
      </c>
      <c r="CW14" s="304">
        <v>0</v>
      </c>
      <c r="CX14" s="304">
        <v>0</v>
      </c>
      <c r="CY14" s="304">
        <v>0</v>
      </c>
      <c r="CZ14" s="304">
        <v>0</v>
      </c>
      <c r="DA14" s="1238">
        <v>0</v>
      </c>
      <c r="DB14" s="1188">
        <v>0</v>
      </c>
      <c r="DC14" s="304">
        <v>0</v>
      </c>
      <c r="DD14" s="304">
        <v>0</v>
      </c>
      <c r="DE14" s="304">
        <v>0</v>
      </c>
      <c r="DF14" s="304">
        <v>0</v>
      </c>
      <c r="DG14" s="1238">
        <v>0</v>
      </c>
      <c r="DH14" s="1188">
        <v>0</v>
      </c>
      <c r="DI14" s="304">
        <v>0</v>
      </c>
      <c r="DJ14" s="304">
        <v>0</v>
      </c>
      <c r="DK14" s="304">
        <v>0</v>
      </c>
      <c r="DL14" s="304">
        <v>0</v>
      </c>
      <c r="DM14" s="304">
        <v>0</v>
      </c>
      <c r="DN14" s="304">
        <v>0</v>
      </c>
      <c r="DO14" s="304">
        <v>0</v>
      </c>
      <c r="DP14" s="304">
        <v>0</v>
      </c>
      <c r="DR14" s="241" t="s">
        <v>403</v>
      </c>
      <c r="DS14" s="244">
        <v>2.37</v>
      </c>
      <c r="DT14" s="244">
        <v>4.2050000000000001</v>
      </c>
      <c r="DU14" s="244">
        <v>2.98</v>
      </c>
      <c r="DV14" s="1237">
        <v>1.42</v>
      </c>
      <c r="DW14" s="606">
        <v>1.97</v>
      </c>
      <c r="DX14" s="244">
        <v>1.71</v>
      </c>
      <c r="DY14" s="244">
        <v>1.76</v>
      </c>
      <c r="DZ14" s="244">
        <v>1.1399999999999999</v>
      </c>
      <c r="EA14" s="244">
        <v>1.1399999999999999</v>
      </c>
      <c r="EB14" s="244">
        <v>2.8</v>
      </c>
      <c r="EC14" s="244">
        <v>2.91</v>
      </c>
      <c r="ED14" s="244">
        <v>3.26</v>
      </c>
      <c r="EE14" s="1237">
        <v>2.94</v>
      </c>
      <c r="EF14" s="606">
        <v>0</v>
      </c>
      <c r="EG14" s="244">
        <v>0</v>
      </c>
      <c r="EH14" s="244">
        <v>0</v>
      </c>
      <c r="EI14" s="244">
        <v>0</v>
      </c>
      <c r="EJ14" s="244">
        <v>0</v>
      </c>
      <c r="EK14" s="1237">
        <v>0</v>
      </c>
      <c r="EL14" s="606">
        <v>0</v>
      </c>
      <c r="EM14" s="244">
        <v>0</v>
      </c>
      <c r="EN14" s="244">
        <v>0</v>
      </c>
      <c r="EO14" s="244">
        <v>0</v>
      </c>
      <c r="EP14" s="244">
        <v>0</v>
      </c>
      <c r="EQ14" s="244">
        <v>0</v>
      </c>
      <c r="ER14" s="244">
        <v>0</v>
      </c>
      <c r="ES14" s="244">
        <v>0</v>
      </c>
      <c r="ET14" s="244">
        <v>0</v>
      </c>
      <c r="EV14" s="244">
        <v>0.42</v>
      </c>
      <c r="EW14" s="244">
        <f t="shared" si="0"/>
        <v>0.12</v>
      </c>
      <c r="EX14" s="244">
        <v>0.12</v>
      </c>
      <c r="EY14" s="1237">
        <v>0.42</v>
      </c>
      <c r="EZ14" s="606">
        <v>0.92</v>
      </c>
      <c r="FA14" s="244">
        <v>0.7</v>
      </c>
      <c r="FB14" s="244">
        <v>0.63</v>
      </c>
      <c r="FC14" s="244">
        <v>0.45</v>
      </c>
      <c r="FD14" s="244">
        <v>0.52500000000000002</v>
      </c>
      <c r="FE14" s="244">
        <v>0.53</v>
      </c>
      <c r="FF14" s="244">
        <v>0.48</v>
      </c>
      <c r="FG14" s="244">
        <v>0.82</v>
      </c>
      <c r="FH14" s="1237">
        <v>0.93</v>
      </c>
      <c r="FI14" s="606">
        <v>0</v>
      </c>
      <c r="FJ14" s="244">
        <v>0</v>
      </c>
      <c r="FK14" s="244">
        <v>0</v>
      </c>
      <c r="FL14" s="244">
        <v>0</v>
      </c>
      <c r="FM14" s="244">
        <v>0</v>
      </c>
      <c r="FN14" s="1237">
        <v>0</v>
      </c>
      <c r="FO14" s="606">
        <v>0</v>
      </c>
      <c r="FP14" s="244">
        <v>0</v>
      </c>
      <c r="FQ14" s="244">
        <v>0</v>
      </c>
      <c r="FR14" s="244">
        <v>0</v>
      </c>
      <c r="FS14" s="244">
        <v>0</v>
      </c>
      <c r="FT14" s="244">
        <v>0</v>
      </c>
      <c r="FU14" s="244">
        <v>0</v>
      </c>
      <c r="FV14" s="244">
        <v>0</v>
      </c>
      <c r="FW14" s="244">
        <v>0</v>
      </c>
      <c r="FX14" s="1" t="s">
        <v>403</v>
      </c>
    </row>
    <row r="15" spans="1:180" s="299" customFormat="1" ht="15.5" thickTop="1" thickBot="1" x14ac:dyDescent="0.4">
      <c r="C15" s="305" t="s">
        <v>166</v>
      </c>
      <c r="D15" s="305"/>
      <c r="E15" s="305"/>
      <c r="F15" s="1026"/>
      <c r="G15" s="306"/>
      <c r="H15" s="306"/>
      <c r="I15" s="1232"/>
      <c r="J15" s="1180"/>
      <c r="K15" s="306"/>
      <c r="L15" s="306"/>
      <c r="M15" s="306"/>
      <c r="N15" s="306"/>
      <c r="O15" s="306"/>
      <c r="P15" s="306"/>
      <c r="Q15" s="306"/>
      <c r="R15" s="1232"/>
      <c r="S15" s="1180"/>
      <c r="T15" s="306"/>
      <c r="U15" s="306"/>
      <c r="V15" s="306"/>
      <c r="W15" s="306"/>
      <c r="X15" s="1232"/>
      <c r="Y15" s="1180"/>
      <c r="Z15" s="306"/>
      <c r="AA15" s="306"/>
      <c r="AB15" s="306"/>
      <c r="AC15" s="306"/>
      <c r="AD15" s="306"/>
      <c r="AE15" s="306"/>
      <c r="AF15" s="306"/>
      <c r="AG15" s="306"/>
      <c r="AH15" s="359"/>
      <c r="AI15" s="308"/>
      <c r="AJ15" s="308"/>
      <c r="AK15" s="308"/>
      <c r="AL15" s="1472"/>
      <c r="AM15" s="1460"/>
      <c r="AN15" s="308"/>
      <c r="AO15" s="308"/>
      <c r="AP15" s="308"/>
      <c r="AQ15" s="308"/>
      <c r="AR15" s="308"/>
      <c r="AS15" s="308"/>
      <c r="AT15" s="308"/>
      <c r="AU15" s="1472"/>
      <c r="AV15" s="1460"/>
      <c r="AW15" s="308"/>
      <c r="AX15" s="308"/>
      <c r="AY15" s="308"/>
      <c r="AZ15" s="308"/>
      <c r="BA15" s="1472"/>
      <c r="BB15" s="1460"/>
      <c r="BC15" s="308"/>
      <c r="BD15" s="308"/>
      <c r="BE15" s="308"/>
      <c r="BF15" s="308"/>
      <c r="BG15" s="308"/>
      <c r="BH15" s="308"/>
      <c r="BI15" s="308"/>
      <c r="BJ15" s="308"/>
      <c r="BK15" s="359"/>
      <c r="BL15" s="308"/>
      <c r="BM15" s="308"/>
      <c r="BN15" s="308"/>
      <c r="BO15" s="1472"/>
      <c r="BP15" s="1460"/>
      <c r="BQ15" s="308"/>
      <c r="BR15" s="308"/>
      <c r="BS15" s="308"/>
      <c r="BT15" s="308"/>
      <c r="BU15" s="308"/>
      <c r="BV15" s="308"/>
      <c r="BW15" s="308"/>
      <c r="BX15" s="1472"/>
      <c r="BY15" s="1460"/>
      <c r="BZ15" s="308"/>
      <c r="CA15" s="308"/>
      <c r="CB15" s="308"/>
      <c r="CC15" s="308"/>
      <c r="CD15" s="1472"/>
      <c r="CE15" s="1460"/>
      <c r="CF15" s="308"/>
      <c r="CG15" s="308"/>
      <c r="CH15" s="308"/>
      <c r="CI15" s="308"/>
      <c r="CJ15" s="308"/>
      <c r="CK15" s="308"/>
      <c r="CL15" s="308"/>
      <c r="CM15" s="308"/>
      <c r="CN15" s="360"/>
      <c r="CO15" s="308">
        <v>0</v>
      </c>
      <c r="CP15" s="308">
        <v>99.999999999999986</v>
      </c>
      <c r="CQ15" s="308">
        <v>100</v>
      </c>
      <c r="CR15" s="1472">
        <v>100</v>
      </c>
      <c r="CS15" s="1460">
        <v>100</v>
      </c>
      <c r="CT15" s="308">
        <v>99.999999999999986</v>
      </c>
      <c r="CU15" s="308">
        <v>100</v>
      </c>
      <c r="CV15" s="308">
        <v>100</v>
      </c>
      <c r="CW15" s="308">
        <v>99.999999999999986</v>
      </c>
      <c r="CX15" s="308">
        <v>100</v>
      </c>
      <c r="CY15" s="308">
        <v>100</v>
      </c>
      <c r="CZ15" s="308">
        <v>100</v>
      </c>
      <c r="DA15" s="1472">
        <v>100</v>
      </c>
      <c r="DB15" s="1460">
        <v>0</v>
      </c>
      <c r="DC15" s="308">
        <v>0</v>
      </c>
      <c r="DD15" s="308">
        <v>0</v>
      </c>
      <c r="DE15" s="308">
        <v>0</v>
      </c>
      <c r="DF15" s="308">
        <v>0</v>
      </c>
      <c r="DG15" s="1472">
        <v>0</v>
      </c>
      <c r="DH15" s="1460">
        <v>0</v>
      </c>
      <c r="DI15" s="308">
        <v>0</v>
      </c>
      <c r="DJ15" s="308">
        <v>0</v>
      </c>
      <c r="DK15" s="308">
        <v>0</v>
      </c>
      <c r="DL15" s="308">
        <v>0</v>
      </c>
      <c r="DM15" s="308">
        <v>0</v>
      </c>
      <c r="DN15" s="308">
        <v>0</v>
      </c>
      <c r="DO15" s="308">
        <v>0</v>
      </c>
      <c r="DP15" s="308">
        <v>0</v>
      </c>
      <c r="DQ15" s="344"/>
      <c r="DR15" s="345"/>
      <c r="DS15" s="225"/>
      <c r="DT15" s="225"/>
      <c r="DU15" s="225"/>
      <c r="DV15" s="1269"/>
      <c r="DW15" s="1214"/>
      <c r="DX15" s="225"/>
      <c r="DY15" s="225"/>
      <c r="DZ15" s="225"/>
      <c r="EA15" s="225"/>
      <c r="EB15" s="225"/>
      <c r="EC15" s="225"/>
      <c r="ED15" s="225"/>
      <c r="EE15" s="1269"/>
      <c r="EF15" s="1214"/>
      <c r="EG15" s="225"/>
      <c r="EH15" s="225"/>
      <c r="EI15" s="225"/>
      <c r="EJ15" s="225"/>
      <c r="EK15" s="1269"/>
      <c r="EL15" s="1214"/>
      <c r="EM15" s="225"/>
      <c r="EN15" s="225"/>
      <c r="EO15" s="225"/>
      <c r="EP15" s="225"/>
      <c r="EQ15" s="225"/>
      <c r="ER15" s="225"/>
      <c r="ES15" s="225"/>
      <c r="ET15" s="225"/>
      <c r="EU15" s="344"/>
      <c r="EV15" s="225"/>
      <c r="EW15" s="225"/>
      <c r="EX15" s="225"/>
      <c r="EY15" s="1269"/>
      <c r="EZ15" s="1214"/>
      <c r="FA15" s="225"/>
      <c r="FB15" s="225"/>
      <c r="FC15" s="225"/>
      <c r="FD15" s="225"/>
      <c r="FE15" s="225"/>
      <c r="FF15" s="225"/>
      <c r="FG15" s="225"/>
      <c r="FH15" s="1269"/>
      <c r="FI15" s="1214"/>
      <c r="FJ15" s="225"/>
      <c r="FK15" s="225"/>
      <c r="FL15" s="225"/>
      <c r="FM15" s="225"/>
      <c r="FN15" s="1269"/>
      <c r="FO15" s="1214"/>
      <c r="FP15" s="225"/>
      <c r="FQ15" s="225"/>
      <c r="FR15" s="225"/>
      <c r="FS15" s="225"/>
      <c r="FT15" s="225"/>
      <c r="FU15" s="225"/>
      <c r="FV15" s="225"/>
      <c r="FW15" s="225"/>
    </row>
    <row r="16" spans="1:180" ht="16.149999999999999" customHeight="1" thickTop="1" x14ac:dyDescent="0.35">
      <c r="A16" s="377"/>
      <c r="B16" s="377"/>
      <c r="C16" s="375"/>
      <c r="D16" s="375"/>
      <c r="E16" s="375"/>
      <c r="F16" s="1070"/>
      <c r="G16" s="888"/>
      <c r="H16" s="888"/>
      <c r="I16" s="1233"/>
      <c r="J16" s="1181"/>
      <c r="K16" s="888"/>
      <c r="L16" s="888"/>
      <c r="M16" s="888"/>
      <c r="N16" s="888"/>
      <c r="O16" s="888"/>
      <c r="P16" s="888"/>
      <c r="Q16" s="888"/>
      <c r="R16" s="1233"/>
      <c r="S16" s="1181"/>
      <c r="T16" s="888"/>
      <c r="U16" s="888"/>
      <c r="V16" s="347"/>
      <c r="W16" s="347"/>
      <c r="X16" s="1278"/>
      <c r="Y16" s="1222"/>
      <c r="Z16" s="347"/>
      <c r="AA16" s="347"/>
      <c r="AB16" s="347"/>
      <c r="AC16" s="347"/>
      <c r="AD16" s="347"/>
      <c r="AE16" s="347"/>
      <c r="AF16" s="347"/>
      <c r="AG16" s="347"/>
      <c r="AH16" s="352"/>
      <c r="AI16" s="347"/>
      <c r="AJ16" s="347"/>
      <c r="AK16" s="347"/>
      <c r="AL16" s="1278"/>
      <c r="AM16" s="1222"/>
      <c r="AN16" s="347"/>
      <c r="AO16" s="347"/>
      <c r="AP16" s="347"/>
      <c r="AQ16" s="347"/>
      <c r="AR16" s="347"/>
      <c r="AS16" s="347"/>
      <c r="AT16" s="347"/>
      <c r="AU16" s="1278"/>
      <c r="AV16" s="1222"/>
      <c r="AW16" s="347"/>
      <c r="AX16" s="347"/>
      <c r="AY16" s="347"/>
      <c r="AZ16" s="347"/>
      <c r="BA16" s="1278"/>
      <c r="BB16" s="1222"/>
      <c r="BC16" s="347"/>
      <c r="BD16" s="347"/>
      <c r="BE16" s="347"/>
      <c r="BF16" s="347"/>
      <c r="BG16" s="347"/>
      <c r="BH16" s="347"/>
      <c r="BI16" s="347"/>
      <c r="BJ16" s="347"/>
      <c r="BK16" s="352"/>
      <c r="BL16" s="353"/>
      <c r="BM16" s="353"/>
      <c r="BN16" s="353"/>
      <c r="BO16" s="1473"/>
      <c r="BP16" s="1461"/>
      <c r="BQ16" s="353"/>
      <c r="BR16" s="353"/>
      <c r="BS16" s="353"/>
      <c r="BT16" s="353"/>
      <c r="BU16" s="353"/>
      <c r="BV16" s="353"/>
      <c r="BW16" s="353"/>
      <c r="BX16" s="1473"/>
      <c r="BY16" s="1461"/>
      <c r="BZ16" s="353"/>
      <c r="CA16" s="353"/>
      <c r="CB16" s="353"/>
      <c r="CC16" s="353"/>
      <c r="CD16" s="1473"/>
      <c r="CE16" s="1461"/>
      <c r="CF16" s="353"/>
      <c r="CG16" s="353"/>
      <c r="CH16" s="353"/>
      <c r="CI16" s="353"/>
      <c r="CJ16" s="353"/>
      <c r="CK16" s="353"/>
      <c r="CL16" s="353"/>
      <c r="CM16" s="353"/>
      <c r="CN16" s="354"/>
      <c r="CO16" s="353"/>
      <c r="CP16" s="353"/>
      <c r="CQ16" s="353"/>
      <c r="CR16" s="1473"/>
      <c r="CS16" s="1461"/>
      <c r="CT16" s="353"/>
      <c r="CU16" s="353"/>
      <c r="CV16" s="353"/>
      <c r="CW16" s="353"/>
      <c r="CX16" s="353"/>
      <c r="CY16" s="353"/>
      <c r="CZ16" s="353"/>
      <c r="DA16" s="1473"/>
      <c r="DB16" s="1461"/>
      <c r="DC16" s="353"/>
      <c r="DD16" s="353"/>
      <c r="DE16" s="347"/>
      <c r="DF16" s="347"/>
      <c r="DG16" s="1278"/>
      <c r="DH16" s="1222"/>
      <c r="DI16" s="347"/>
      <c r="DJ16" s="347"/>
      <c r="DK16" s="347"/>
      <c r="DL16" s="347"/>
      <c r="DM16" s="347"/>
      <c r="DN16" s="347"/>
      <c r="DO16" s="347"/>
      <c r="DP16" s="347"/>
      <c r="DQ16" s="352"/>
      <c r="DR16" s="348" t="s">
        <v>46</v>
      </c>
      <c r="DS16" s="371" cm="1">
        <f t="array" ref="DS16:ET16">'HPS DAILY'!K117:AL117</f>
        <v>0.14000000000000001</v>
      </c>
      <c r="DT16" s="370">
        <v>0.19</v>
      </c>
      <c r="DU16" s="370">
        <v>0.4</v>
      </c>
      <c r="DV16" s="1272">
        <v>0.15</v>
      </c>
      <c r="DW16" s="1217">
        <v>0.17</v>
      </c>
      <c r="DX16" s="370">
        <v>0.15</v>
      </c>
      <c r="DY16" s="370">
        <v>0.22</v>
      </c>
      <c r="DZ16" s="370">
        <v>0.34</v>
      </c>
      <c r="EA16" s="370">
        <v>0.34</v>
      </c>
      <c r="EB16" s="370">
        <v>0.12</v>
      </c>
      <c r="EC16" s="370">
        <v>0.13</v>
      </c>
      <c r="ED16" s="370">
        <v>0.13</v>
      </c>
      <c r="EE16" s="1272">
        <v>0.15</v>
      </c>
      <c r="EF16" s="1217">
        <v>0</v>
      </c>
      <c r="EG16" s="370">
        <v>0</v>
      </c>
      <c r="EH16" s="370">
        <v>0</v>
      </c>
      <c r="EI16" s="347">
        <v>0</v>
      </c>
      <c r="EJ16" s="347">
        <v>0</v>
      </c>
      <c r="EK16" s="1278">
        <v>0</v>
      </c>
      <c r="EL16" s="1222">
        <v>0</v>
      </c>
      <c r="EM16" s="347">
        <v>0</v>
      </c>
      <c r="EN16" s="347">
        <v>0</v>
      </c>
      <c r="EO16" s="347">
        <v>0</v>
      </c>
      <c r="EP16" s="347">
        <v>0</v>
      </c>
      <c r="EQ16" s="347">
        <v>0</v>
      </c>
      <c r="ER16" s="347">
        <v>0</v>
      </c>
      <c r="ES16" s="347">
        <v>0</v>
      </c>
      <c r="ET16" s="347">
        <v>0</v>
      </c>
      <c r="EU16" s="352"/>
      <c r="EV16" s="371" cm="1">
        <f t="array" ref="EV16:FW16">'HPS DAILY'!K104:AL104</f>
        <v>75.95</v>
      </c>
      <c r="EW16" s="370">
        <v>93.3</v>
      </c>
      <c r="EX16" s="370">
        <v>96.76</v>
      </c>
      <c r="EY16" s="1272">
        <v>98.17</v>
      </c>
      <c r="EZ16" s="1217">
        <v>96.44</v>
      </c>
      <c r="FA16" s="370">
        <v>96.17</v>
      </c>
      <c r="FB16" s="370">
        <v>95.96</v>
      </c>
      <c r="FC16" s="370">
        <v>97</v>
      </c>
      <c r="FD16" s="370">
        <v>95.94</v>
      </c>
      <c r="FE16" s="370">
        <v>96.7</v>
      </c>
      <c r="FF16" s="370">
        <v>98.74</v>
      </c>
      <c r="FG16" s="370">
        <v>98.14</v>
      </c>
      <c r="FH16" s="1272">
        <v>95.73</v>
      </c>
      <c r="FI16" s="1217">
        <v>0</v>
      </c>
      <c r="FJ16" s="370">
        <v>0</v>
      </c>
      <c r="FK16" s="370">
        <v>0</v>
      </c>
      <c r="FL16" s="370">
        <v>0</v>
      </c>
      <c r="FM16" s="370">
        <v>0</v>
      </c>
      <c r="FN16" s="1272">
        <v>0</v>
      </c>
      <c r="FO16" s="1217">
        <v>0</v>
      </c>
      <c r="FP16" s="370">
        <v>0</v>
      </c>
      <c r="FQ16" s="370">
        <v>0</v>
      </c>
      <c r="FR16" s="370">
        <v>0</v>
      </c>
      <c r="FS16" s="370">
        <v>0</v>
      </c>
      <c r="FT16" s="370">
        <v>0</v>
      </c>
      <c r="FU16" s="370">
        <v>0</v>
      </c>
      <c r="FV16" s="370">
        <v>0</v>
      </c>
      <c r="FW16" s="370">
        <v>0</v>
      </c>
      <c r="FX16" s="1" t="s">
        <v>46</v>
      </c>
    </row>
    <row r="17" spans="3:179" s="368" customFormat="1" ht="7.5" customHeight="1" thickBot="1" x14ac:dyDescent="0.4">
      <c r="C17" s="364"/>
      <c r="D17" s="364"/>
      <c r="E17" s="364"/>
      <c r="F17" s="1027"/>
      <c r="G17" s="365"/>
      <c r="H17" s="365"/>
      <c r="I17" s="1234"/>
      <c r="J17" s="1182"/>
      <c r="K17" s="365"/>
      <c r="L17" s="365"/>
      <c r="M17" s="365"/>
      <c r="N17" s="365"/>
      <c r="O17" s="365"/>
      <c r="P17" s="365"/>
      <c r="Q17" s="365"/>
      <c r="R17" s="1234"/>
      <c r="S17" s="1182"/>
      <c r="T17" s="365"/>
      <c r="U17" s="365"/>
      <c r="V17" s="365"/>
      <c r="W17" s="365"/>
      <c r="X17" s="1234"/>
      <c r="Y17" s="1182"/>
      <c r="Z17" s="365"/>
      <c r="AA17" s="365"/>
      <c r="AB17" s="365"/>
      <c r="AC17" s="365"/>
      <c r="AD17" s="365"/>
      <c r="AE17" s="365"/>
      <c r="AF17" s="365"/>
      <c r="AG17" s="365"/>
      <c r="AH17" s="366"/>
      <c r="AI17" s="365"/>
      <c r="AJ17" s="365"/>
      <c r="AK17" s="365"/>
      <c r="AL17" s="1234"/>
      <c r="AM17" s="1182"/>
      <c r="AN17" s="365"/>
      <c r="AO17" s="365"/>
      <c r="AP17" s="365"/>
      <c r="AQ17" s="365"/>
      <c r="AR17" s="365"/>
      <c r="AS17" s="365"/>
      <c r="AT17" s="365"/>
      <c r="AU17" s="1234"/>
      <c r="AV17" s="1182"/>
      <c r="AW17" s="365"/>
      <c r="AX17" s="365"/>
      <c r="AY17" s="365"/>
      <c r="AZ17" s="365"/>
      <c r="BA17" s="1234"/>
      <c r="BB17" s="1182"/>
      <c r="BC17" s="365"/>
      <c r="BD17" s="365"/>
      <c r="BE17" s="365"/>
      <c r="BF17" s="365"/>
      <c r="BG17" s="365"/>
      <c r="BH17" s="365"/>
      <c r="BI17" s="365"/>
      <c r="BJ17" s="365"/>
      <c r="BK17" s="366"/>
      <c r="BL17" s="365"/>
      <c r="BM17" s="365"/>
      <c r="BN17" s="365"/>
      <c r="BO17" s="1234"/>
      <c r="BP17" s="1182"/>
      <c r="BQ17" s="365"/>
      <c r="BR17" s="365"/>
      <c r="BS17" s="365"/>
      <c r="BT17" s="365"/>
      <c r="BU17" s="365"/>
      <c r="BV17" s="365"/>
      <c r="BW17" s="365"/>
      <c r="BX17" s="1234"/>
      <c r="BY17" s="1182"/>
      <c r="BZ17" s="365"/>
      <c r="CA17" s="365"/>
      <c r="CB17" s="365"/>
      <c r="CC17" s="365"/>
      <c r="CD17" s="1234"/>
      <c r="CE17" s="1182"/>
      <c r="CF17" s="365"/>
      <c r="CG17" s="365"/>
      <c r="CH17" s="365"/>
      <c r="CI17" s="365"/>
      <c r="CJ17" s="365"/>
      <c r="CK17" s="365"/>
      <c r="CL17" s="365"/>
      <c r="CM17" s="365"/>
      <c r="CN17" s="366"/>
      <c r="CO17" s="365"/>
      <c r="CP17" s="365"/>
      <c r="CQ17" s="365"/>
      <c r="CR17" s="1234"/>
      <c r="CS17" s="1182"/>
      <c r="CT17" s="365"/>
      <c r="CU17" s="365"/>
      <c r="CV17" s="365"/>
      <c r="CW17" s="365"/>
      <c r="CX17" s="365"/>
      <c r="CY17" s="365"/>
      <c r="CZ17" s="365"/>
      <c r="DA17" s="1234"/>
      <c r="DB17" s="1182"/>
      <c r="DC17" s="365"/>
      <c r="DD17" s="365"/>
      <c r="DE17" s="365"/>
      <c r="DF17" s="365"/>
      <c r="DG17" s="1234"/>
      <c r="DH17" s="1182"/>
      <c r="DI17" s="365"/>
      <c r="DJ17" s="365"/>
      <c r="DK17" s="365"/>
      <c r="DL17" s="365"/>
      <c r="DM17" s="365"/>
      <c r="DN17" s="365"/>
      <c r="DO17" s="365"/>
      <c r="DP17" s="365"/>
      <c r="DQ17" s="366"/>
      <c r="DR17" s="367"/>
      <c r="DS17" s="365"/>
      <c r="DT17" s="365"/>
      <c r="DU17" s="365"/>
      <c r="DV17" s="1234"/>
      <c r="DW17" s="1182"/>
      <c r="DX17" s="365"/>
      <c r="DY17" s="365"/>
      <c r="DZ17" s="365"/>
      <c r="EA17" s="365"/>
      <c r="EB17" s="365"/>
      <c r="EC17" s="365"/>
      <c r="ED17" s="365"/>
      <c r="EE17" s="1234"/>
      <c r="EF17" s="1182"/>
      <c r="EG17" s="365"/>
      <c r="EH17" s="365"/>
      <c r="EI17" s="365"/>
      <c r="EJ17" s="365"/>
      <c r="EK17" s="1234"/>
      <c r="EL17" s="1182"/>
      <c r="EM17" s="365"/>
      <c r="EN17" s="365"/>
      <c r="EO17" s="365"/>
      <c r="EP17" s="365"/>
      <c r="EQ17" s="365"/>
      <c r="ER17" s="365"/>
      <c r="ES17" s="365"/>
      <c r="ET17" s="365"/>
      <c r="EU17" s="366"/>
      <c r="EV17" s="365"/>
      <c r="EW17" s="365"/>
      <c r="EX17" s="365"/>
      <c r="EY17" s="1234"/>
      <c r="EZ17" s="1182"/>
      <c r="FA17" s="365"/>
      <c r="FB17" s="365"/>
      <c r="FC17" s="365"/>
      <c r="FD17" s="365"/>
      <c r="FE17" s="365"/>
      <c r="FF17" s="365"/>
      <c r="FG17" s="365"/>
      <c r="FH17" s="1234"/>
      <c r="FI17" s="1182"/>
      <c r="FJ17" s="365"/>
      <c r="FK17" s="365"/>
      <c r="FL17" s="365"/>
      <c r="FM17" s="365"/>
      <c r="FN17" s="1234"/>
      <c r="FO17" s="1182"/>
      <c r="FP17" s="365"/>
      <c r="FQ17" s="365"/>
      <c r="FR17" s="365"/>
      <c r="FS17" s="365"/>
      <c r="FT17" s="365"/>
      <c r="FU17" s="365"/>
      <c r="FV17" s="365"/>
      <c r="FW17" s="365"/>
    </row>
    <row r="18" spans="3:179" ht="15" thickTop="1" x14ac:dyDescent="0.35">
      <c r="C18" s="1" t="s">
        <v>96</v>
      </c>
      <c r="F18" s="1028"/>
      <c r="G18" s="296"/>
      <c r="H18" s="296"/>
      <c r="I18" s="1235"/>
      <c r="J18" s="1183"/>
      <c r="K18" s="363"/>
      <c r="L18" s="363"/>
      <c r="M18" s="363"/>
      <c r="N18" s="363"/>
      <c r="O18" s="363"/>
      <c r="P18" s="363"/>
      <c r="Q18" s="363"/>
      <c r="R18" s="1628"/>
      <c r="S18" s="1187"/>
      <c r="T18" s="296"/>
      <c r="U18" s="296"/>
      <c r="V18" s="296"/>
      <c r="W18" s="296"/>
      <c r="X18" s="1235"/>
      <c r="Y18" s="1187"/>
      <c r="Z18" s="1187"/>
      <c r="AA18" s="1187"/>
      <c r="AB18" s="1187"/>
      <c r="AC18" s="1187"/>
      <c r="AD18" s="1187"/>
      <c r="AE18" s="1187"/>
      <c r="AF18" s="1187"/>
      <c r="AG18" s="1187"/>
      <c r="AH18" s="357"/>
      <c r="AI18" s="296"/>
      <c r="AJ18" s="296"/>
      <c r="AK18" s="296"/>
      <c r="AL18" s="1235"/>
      <c r="AM18" s="1187"/>
      <c r="AN18" s="296"/>
      <c r="AO18" s="296"/>
      <c r="AP18" s="296"/>
      <c r="AQ18" s="296"/>
      <c r="AR18" s="296"/>
      <c r="AS18" s="296"/>
      <c r="AT18" s="296"/>
      <c r="AU18" s="1235"/>
      <c r="AV18" s="1187"/>
      <c r="AW18" s="296"/>
      <c r="AX18" s="296"/>
      <c r="AY18" s="296"/>
      <c r="AZ18" s="296"/>
      <c r="BA18" s="1235"/>
      <c r="BB18" s="1187"/>
      <c r="BC18" s="296"/>
      <c r="BD18" s="296"/>
      <c r="BE18" s="296"/>
      <c r="BF18" s="296"/>
      <c r="BG18" s="296"/>
      <c r="BH18" s="296"/>
      <c r="BI18" s="296"/>
      <c r="BJ18" s="296"/>
      <c r="BK18" s="357"/>
      <c r="BL18" s="309" cm="1">
        <f t="array" ref="BL18:CM18">'HPS DAILY (repro-)'!J42:AK42</f>
        <v>19.72354018311292</v>
      </c>
      <c r="BM18" s="309">
        <v>20.840528992878941</v>
      </c>
      <c r="BN18" s="309">
        <v>22.445683282468632</v>
      </c>
      <c r="BO18" s="422">
        <v>21.485900305188199</v>
      </c>
      <c r="BP18" s="421" t="e">
        <v>#REF!</v>
      </c>
      <c r="BQ18" s="309">
        <v>4.7161749745676502</v>
      </c>
      <c r="BR18" s="309">
        <v>5.957273652085453</v>
      </c>
      <c r="BS18" s="309">
        <v>6.7615055951169882</v>
      </c>
      <c r="BT18" s="309">
        <v>7.6004883011190234</v>
      </c>
      <c r="BU18" s="309">
        <v>8.2508240081383519</v>
      </c>
      <c r="BV18" s="309">
        <v>9.2437029501525938</v>
      </c>
      <c r="BW18" s="309">
        <v>9.1444150559511712</v>
      </c>
      <c r="BX18" s="422">
        <v>9.5316378433367248</v>
      </c>
      <c r="BY18" s="421">
        <v>0</v>
      </c>
      <c r="BZ18" s="309">
        <v>0</v>
      </c>
      <c r="CA18" s="309">
        <v>42.98</v>
      </c>
      <c r="CB18" s="296">
        <v>48.83</v>
      </c>
      <c r="CC18" s="296">
        <v>48.83</v>
      </c>
      <c r="CD18" s="1235">
        <v>48.83</v>
      </c>
      <c r="CE18" s="1187">
        <v>48.83</v>
      </c>
      <c r="CF18" s="296">
        <v>48.83</v>
      </c>
      <c r="CG18" s="296">
        <v>48.83</v>
      </c>
      <c r="CH18" s="296">
        <v>48.83</v>
      </c>
      <c r="CI18" s="296">
        <v>48.83</v>
      </c>
      <c r="CJ18" s="296">
        <v>48.83</v>
      </c>
      <c r="CK18" s="296">
        <v>48.83</v>
      </c>
      <c r="CL18" s="296">
        <v>48.83</v>
      </c>
      <c r="CM18" s="296">
        <v>48.83</v>
      </c>
      <c r="CN18" s="357"/>
      <c r="CO18" s="296"/>
      <c r="CP18" s="296"/>
      <c r="CQ18" s="296"/>
      <c r="CR18" s="1235"/>
      <c r="CS18" s="1187"/>
      <c r="CT18" s="296"/>
      <c r="CU18" s="296"/>
      <c r="CV18" s="296"/>
      <c r="CW18" s="296"/>
      <c r="CX18" s="296"/>
      <c r="CY18" s="296"/>
      <c r="CZ18" s="296"/>
      <c r="DA18" s="1235"/>
      <c r="DB18" s="1187"/>
      <c r="DC18" s="296"/>
      <c r="DD18" s="296"/>
      <c r="DE18" s="229"/>
      <c r="DF18" s="229"/>
      <c r="DG18" s="1245"/>
      <c r="DH18" s="538"/>
      <c r="DI18" s="229"/>
      <c r="DJ18" s="229"/>
      <c r="DK18" s="229"/>
      <c r="DL18" s="229"/>
      <c r="DM18" s="229"/>
      <c r="DN18" s="229"/>
      <c r="DO18" s="229"/>
      <c r="DP18" s="229"/>
      <c r="DQ18" s="356"/>
      <c r="DR18" s="358"/>
      <c r="DS18" s="229"/>
      <c r="DT18" s="229"/>
      <c r="DU18" s="229"/>
      <c r="DV18" s="1245"/>
      <c r="DW18" s="538"/>
      <c r="DX18" s="229"/>
      <c r="DY18" s="229"/>
      <c r="DZ18" s="229"/>
      <c r="EA18" s="229"/>
      <c r="EB18" s="229"/>
      <c r="EC18" s="229"/>
      <c r="ED18" s="229"/>
      <c r="EE18" s="1245"/>
      <c r="EF18" s="538"/>
      <c r="EG18" s="229"/>
      <c r="EH18" s="229"/>
      <c r="EI18" s="229"/>
      <c r="EJ18" s="229"/>
      <c r="EK18" s="1245"/>
      <c r="EL18" s="538"/>
      <c r="EM18" s="229"/>
      <c r="EN18" s="229"/>
      <c r="EO18" s="229"/>
      <c r="EP18" s="229"/>
      <c r="EQ18" s="229"/>
      <c r="ER18" s="229"/>
      <c r="ES18" s="229"/>
      <c r="ET18" s="229"/>
      <c r="EU18" s="356"/>
      <c r="EV18" s="229"/>
      <c r="EW18" s="229"/>
      <c r="EX18" s="229"/>
      <c r="EY18" s="1245"/>
      <c r="EZ18" s="538"/>
      <c r="FA18" s="229"/>
      <c r="FB18" s="229"/>
      <c r="FC18" s="229"/>
      <c r="FD18" s="229"/>
      <c r="FE18" s="229"/>
      <c r="FF18" s="229"/>
      <c r="FG18" s="229"/>
      <c r="FH18" s="1245"/>
      <c r="FI18" s="538"/>
      <c r="FJ18" s="229"/>
      <c r="FK18" s="229"/>
      <c r="FL18" s="229"/>
      <c r="FM18" s="229"/>
      <c r="FN18" s="1245"/>
      <c r="FO18" s="538"/>
      <c r="FP18" s="229"/>
      <c r="FQ18" s="229"/>
      <c r="FR18" s="229"/>
      <c r="FS18" s="229"/>
      <c r="FT18" s="229"/>
      <c r="FU18" s="229"/>
      <c r="FV18" s="229"/>
      <c r="FW18" s="229"/>
    </row>
    <row r="19" spans="3:179" x14ac:dyDescent="0.35">
      <c r="C19" s="444" t="s">
        <v>317</v>
      </c>
      <c r="P19" s="643"/>
      <c r="S19" s="606"/>
      <c r="T19" s="244"/>
      <c r="U19" s="244"/>
      <c r="V19" s="244"/>
      <c r="W19" s="244"/>
      <c r="X19" s="1237"/>
      <c r="Y19" s="606"/>
      <c r="Z19" s="244"/>
      <c r="AA19" s="244"/>
      <c r="AB19" s="244"/>
      <c r="AC19" s="244"/>
      <c r="AD19" s="244"/>
      <c r="AE19" s="244"/>
      <c r="AF19" s="244"/>
      <c r="AG19" s="244"/>
      <c r="AH19" s="325"/>
      <c r="AI19" s="244"/>
      <c r="AJ19" s="244"/>
      <c r="AK19" s="244"/>
      <c r="AL19" s="1237"/>
      <c r="AM19" s="606"/>
      <c r="AN19" s="244"/>
      <c r="AO19" s="244"/>
      <c r="AP19" s="244"/>
      <c r="AQ19" s="244"/>
      <c r="AR19" s="244"/>
      <c r="AS19" s="244"/>
      <c r="AT19" s="244"/>
      <c r="AU19" s="1237"/>
      <c r="AV19" s="606"/>
      <c r="AW19" s="244"/>
      <c r="AX19" s="244"/>
      <c r="AY19" s="244"/>
      <c r="AZ19" s="244"/>
      <c r="BA19" s="1237"/>
      <c r="BB19" s="606"/>
      <c r="BC19" s="244"/>
      <c r="BD19" s="244"/>
      <c r="BE19" s="244"/>
      <c r="BF19" s="244"/>
      <c r="BG19" s="244"/>
      <c r="BH19" s="244"/>
      <c r="BI19" s="244"/>
      <c r="BJ19" s="244"/>
      <c r="BK19" s="325"/>
      <c r="BL19" s="446">
        <v>19</v>
      </c>
      <c r="BM19" s="446">
        <v>20.5</v>
      </c>
      <c r="BN19" s="446">
        <v>21.5</v>
      </c>
      <c r="BO19" s="1592">
        <v>21.9</v>
      </c>
      <c r="BP19" s="493">
        <v>8</v>
      </c>
      <c r="BQ19" s="446">
        <v>12</v>
      </c>
      <c r="BR19" s="446">
        <v>13</v>
      </c>
      <c r="BS19" s="446">
        <v>14.1</v>
      </c>
      <c r="BT19" s="446">
        <v>15.2</v>
      </c>
      <c r="BU19" s="446">
        <v>16.2</v>
      </c>
      <c r="BV19" s="446">
        <v>20.5</v>
      </c>
      <c r="BW19" s="446">
        <v>30</v>
      </c>
      <c r="BX19" s="1592">
        <v>30.8</v>
      </c>
      <c r="BY19" s="493">
        <v>28</v>
      </c>
      <c r="BZ19" s="446">
        <v>30</v>
      </c>
      <c r="CA19" s="446">
        <v>30.7</v>
      </c>
      <c r="CB19" s="244"/>
      <c r="CC19" s="244"/>
      <c r="CD19" s="1237"/>
      <c r="CE19" s="606"/>
      <c r="CF19" s="244"/>
      <c r="CG19" s="244"/>
      <c r="CH19" s="244"/>
      <c r="CI19" s="244"/>
      <c r="CJ19" s="244"/>
      <c r="CK19" s="244"/>
      <c r="CL19" s="244"/>
      <c r="CM19" s="244"/>
      <c r="CN19" s="325"/>
      <c r="CO19" s="244"/>
      <c r="CP19" s="244"/>
      <c r="CQ19" s="244"/>
      <c r="CR19" s="1237"/>
      <c r="CS19" s="606"/>
      <c r="CT19" s="244"/>
      <c r="CU19" s="244"/>
      <c r="CV19" s="244"/>
      <c r="CW19" s="244"/>
      <c r="CX19" s="244"/>
      <c r="CY19" s="244"/>
      <c r="CZ19" s="244"/>
      <c r="DA19" s="1237"/>
      <c r="DB19" s="606"/>
      <c r="DC19" s="244"/>
      <c r="DD19" s="244"/>
    </row>
    <row r="20" spans="3:179" x14ac:dyDescent="0.35">
      <c r="C20" s="1" t="s">
        <v>97</v>
      </c>
      <c r="S20" s="606"/>
      <c r="T20" s="244"/>
      <c r="U20" s="244"/>
      <c r="V20" s="244"/>
      <c r="W20" s="244"/>
      <c r="X20" s="1237"/>
      <c r="Y20" s="606"/>
      <c r="Z20" s="606"/>
      <c r="AA20" s="606"/>
      <c r="AB20" s="606"/>
      <c r="AC20" s="606"/>
      <c r="AD20" s="606"/>
      <c r="AE20" s="606"/>
      <c r="AF20" s="606"/>
      <c r="AG20" s="606"/>
      <c r="AH20" s="325"/>
      <c r="AI20" s="244"/>
      <c r="AJ20" s="244"/>
      <c r="AK20" s="244"/>
      <c r="AL20" s="1237"/>
      <c r="AM20" s="606"/>
      <c r="AN20" s="244"/>
      <c r="AO20" s="244"/>
      <c r="AP20" s="244"/>
      <c r="AQ20" s="244"/>
      <c r="AR20" s="244"/>
      <c r="AS20" s="244"/>
      <c r="AT20" s="244"/>
      <c r="AU20" s="1237"/>
      <c r="AV20" s="606"/>
      <c r="AW20" s="244"/>
      <c r="AX20" s="244"/>
      <c r="AY20" s="244"/>
      <c r="AZ20" s="244"/>
      <c r="BA20" s="1237"/>
      <c r="BB20" s="606"/>
      <c r="BC20" s="244"/>
      <c r="BD20" s="244"/>
      <c r="BE20" s="244"/>
      <c r="BF20" s="244"/>
      <c r="BG20" s="244"/>
      <c r="BH20" s="244"/>
      <c r="BI20" s="244"/>
      <c r="BJ20" s="244"/>
      <c r="BK20" s="325"/>
      <c r="BL20" s="249" cm="1">
        <f t="array" ref="BL20:CM20">'HPS DAILY (repro-)'!J43:AK43</f>
        <v>24.809486404833834</v>
      </c>
      <c r="BM20" s="249">
        <v>29.349848942598189</v>
      </c>
      <c r="BN20" s="249">
        <v>35.426646525679757</v>
      </c>
      <c r="BO20" s="1242">
        <v>35.200120845921454</v>
      </c>
      <c r="BP20" s="419" t="e">
        <v>#REF!</v>
      </c>
      <c r="BQ20" s="249">
        <v>0.80761329305135943</v>
      </c>
      <c r="BR20" s="249">
        <v>1.1917220543806646</v>
      </c>
      <c r="BS20" s="249">
        <v>1.6743202416918428</v>
      </c>
      <c r="BT20" s="249">
        <v>2.614894259818731</v>
      </c>
      <c r="BU20" s="249">
        <v>2.7183081570996976</v>
      </c>
      <c r="BV20" s="249">
        <v>3.3486404833836856</v>
      </c>
      <c r="BW20" s="249">
        <v>3.3092447129909366</v>
      </c>
      <c r="BX20" s="1242">
        <v>3.6835045317220545</v>
      </c>
      <c r="BY20" s="419">
        <v>0</v>
      </c>
      <c r="BZ20" s="249">
        <v>0</v>
      </c>
      <c r="CA20" s="249">
        <v>55.81</v>
      </c>
      <c r="CB20" s="244">
        <v>73.86</v>
      </c>
      <c r="CC20" s="244">
        <v>73.86</v>
      </c>
      <c r="CD20" s="1237">
        <v>73.86</v>
      </c>
      <c r="CE20" s="606">
        <v>73.86</v>
      </c>
      <c r="CF20" s="244">
        <v>73.86</v>
      </c>
      <c r="CG20" s="244">
        <v>73.86</v>
      </c>
      <c r="CH20" s="244">
        <v>73.86</v>
      </c>
      <c r="CI20" s="244">
        <v>73.86</v>
      </c>
      <c r="CJ20" s="244">
        <v>73.86</v>
      </c>
      <c r="CK20" s="244">
        <v>73.86</v>
      </c>
      <c r="CL20" s="244">
        <v>73.86</v>
      </c>
      <c r="CM20" s="244">
        <v>73.86</v>
      </c>
      <c r="CN20" s="325"/>
      <c r="CO20" s="244"/>
      <c r="CP20" s="244"/>
      <c r="CQ20" s="244"/>
      <c r="CR20" s="1237"/>
      <c r="CS20" s="606"/>
      <c r="CT20" s="244"/>
      <c r="CU20" s="244"/>
      <c r="CV20" s="244"/>
      <c r="CW20" s="244"/>
      <c r="CX20" s="244"/>
      <c r="CY20" s="244"/>
      <c r="CZ20" s="244"/>
      <c r="DA20" s="1237"/>
      <c r="DB20" s="606"/>
      <c r="DC20" s="244"/>
      <c r="DD20" s="244"/>
    </row>
    <row r="21" spans="3:179" x14ac:dyDescent="0.35">
      <c r="C21" s="444" t="s">
        <v>316</v>
      </c>
      <c r="F21" s="605"/>
      <c r="G21" s="244"/>
      <c r="H21" s="244"/>
      <c r="I21" s="1237"/>
      <c r="J21" s="1184"/>
      <c r="K21" s="248"/>
      <c r="L21" s="248"/>
      <c r="M21" s="248"/>
      <c r="N21" s="248"/>
      <c r="O21" s="248"/>
      <c r="P21" s="248"/>
      <c r="Q21" s="248"/>
      <c r="R21" s="1629"/>
      <c r="S21" s="606"/>
      <c r="T21" s="244"/>
      <c r="U21" s="244"/>
      <c r="V21" s="244"/>
      <c r="W21" s="244"/>
      <c r="X21" s="1237"/>
      <c r="Y21" s="606"/>
      <c r="Z21" s="244"/>
      <c r="AA21" s="244"/>
      <c r="AB21" s="244"/>
      <c r="AC21" s="244"/>
      <c r="AD21" s="244"/>
      <c r="AE21" s="244"/>
      <c r="AF21" s="244"/>
      <c r="AG21" s="244"/>
      <c r="AH21" s="325"/>
      <c r="AI21" s="244"/>
      <c r="AJ21" s="244"/>
      <c r="AK21" s="244"/>
      <c r="AL21" s="1237"/>
      <c r="AM21" s="606"/>
      <c r="AN21" s="244"/>
      <c r="AO21" s="244"/>
      <c r="AP21" s="244"/>
      <c r="AQ21" s="244"/>
      <c r="AR21" s="244"/>
      <c r="AS21" s="244"/>
      <c r="AT21" s="244"/>
      <c r="AU21" s="1237"/>
      <c r="AV21" s="606"/>
      <c r="AW21" s="244"/>
      <c r="AX21" s="244"/>
      <c r="AY21" s="244"/>
      <c r="AZ21" s="244"/>
      <c r="BA21" s="1237"/>
      <c r="BB21" s="606"/>
      <c r="BC21" s="244"/>
      <c r="BD21" s="244"/>
      <c r="BE21" s="244"/>
      <c r="BF21" s="244"/>
      <c r="BG21" s="244"/>
      <c r="BH21" s="244"/>
      <c r="BI21" s="244"/>
      <c r="BJ21" s="244"/>
      <c r="BK21" s="325"/>
      <c r="BL21" s="446">
        <v>24.5</v>
      </c>
      <c r="BM21" s="446">
        <v>29</v>
      </c>
      <c r="BN21" s="446">
        <v>32.5</v>
      </c>
      <c r="BO21" s="1592">
        <v>34.1</v>
      </c>
      <c r="BP21" s="493">
        <v>4</v>
      </c>
      <c r="BQ21" s="446">
        <v>5</v>
      </c>
      <c r="BR21" s="446">
        <v>6</v>
      </c>
      <c r="BS21" s="446">
        <v>6.5</v>
      </c>
      <c r="BT21" s="446">
        <v>7.5</v>
      </c>
      <c r="BU21" s="446">
        <v>8.8000000000000007</v>
      </c>
      <c r="BV21" s="446">
        <v>13</v>
      </c>
      <c r="BW21" s="446">
        <v>25</v>
      </c>
      <c r="BX21" s="1592">
        <v>27</v>
      </c>
      <c r="BY21" s="493">
        <v>23</v>
      </c>
      <c r="BZ21" s="446">
        <v>24</v>
      </c>
      <c r="CA21" s="446">
        <v>27.4</v>
      </c>
      <c r="CB21" s="244"/>
      <c r="CC21" s="244"/>
      <c r="CD21" s="1237"/>
      <c r="CE21" s="606"/>
      <c r="CF21" s="244"/>
      <c r="CG21" s="244"/>
      <c r="CH21" s="244"/>
      <c r="CI21" s="244"/>
      <c r="CJ21" s="244"/>
      <c r="CK21" s="244"/>
      <c r="CL21" s="244"/>
      <c r="CM21" s="244"/>
      <c r="CN21" s="325"/>
      <c r="CO21" s="244"/>
      <c r="CP21" s="244"/>
      <c r="CQ21" s="244"/>
      <c r="CR21" s="1237"/>
      <c r="CS21" s="606"/>
      <c r="CT21" s="244"/>
      <c r="CU21" s="244"/>
      <c r="CV21" s="244"/>
      <c r="CW21" s="244"/>
      <c r="CX21" s="244"/>
      <c r="CY21" s="244"/>
      <c r="CZ21" s="244"/>
      <c r="DA21" s="1237"/>
      <c r="DB21" s="606"/>
      <c r="DC21" s="244"/>
      <c r="DD21" s="244"/>
    </row>
    <row r="22" spans="3:179" ht="15" thickBot="1" x14ac:dyDescent="0.4">
      <c r="C22" s="1" t="s">
        <v>98</v>
      </c>
      <c r="F22" s="1030"/>
      <c r="G22" s="304"/>
      <c r="H22" s="304"/>
      <c r="I22" s="1238"/>
      <c r="J22" s="1185"/>
      <c r="K22" s="310"/>
      <c r="L22" s="310"/>
      <c r="M22" s="310"/>
      <c r="N22" s="310"/>
      <c r="O22" s="310"/>
      <c r="P22" s="310"/>
      <c r="Q22" s="310"/>
      <c r="R22" s="1630"/>
      <c r="S22" s="1188"/>
      <c r="T22" s="304"/>
      <c r="U22" s="304"/>
      <c r="V22" s="304"/>
      <c r="W22" s="304"/>
      <c r="X22" s="1238"/>
      <c r="Y22" s="1188"/>
      <c r="Z22" s="1188"/>
      <c r="AA22" s="1188"/>
      <c r="AB22" s="1188"/>
      <c r="AC22" s="1188"/>
      <c r="AD22" s="1188"/>
      <c r="AE22" s="1188"/>
      <c r="AF22" s="1188"/>
      <c r="AG22" s="1188"/>
      <c r="AH22" s="350"/>
      <c r="AI22" s="304"/>
      <c r="AJ22" s="304"/>
      <c r="AK22" s="304"/>
      <c r="AL22" s="1238"/>
      <c r="AM22" s="1188"/>
      <c r="AN22" s="304"/>
      <c r="AO22" s="304"/>
      <c r="AP22" s="304"/>
      <c r="AQ22" s="304"/>
      <c r="AR22" s="304"/>
      <c r="AS22" s="304"/>
      <c r="AT22" s="304"/>
      <c r="AU22" s="1238"/>
      <c r="AV22" s="1188"/>
      <c r="AW22" s="304"/>
      <c r="AX22" s="304"/>
      <c r="AY22" s="304"/>
      <c r="AZ22" s="304"/>
      <c r="BA22" s="1238"/>
      <c r="BB22" s="1188"/>
      <c r="BC22" s="304"/>
      <c r="BD22" s="304"/>
      <c r="BE22" s="304"/>
      <c r="BF22" s="304"/>
      <c r="BG22" s="304"/>
      <c r="BH22" s="304"/>
      <c r="BI22" s="304"/>
      <c r="BJ22" s="304"/>
      <c r="BK22" s="350"/>
      <c r="BL22" s="311" cm="1">
        <f t="array" ref="BL22:CB22">'HPS DAILY'!K46:AA46</f>
        <v>21.759999999999998</v>
      </c>
      <c r="BM22" s="311">
        <v>14.34</v>
      </c>
      <c r="BN22" s="311">
        <v>14.229999999999999</v>
      </c>
      <c r="BO22" s="1241">
        <v>6.38</v>
      </c>
      <c r="BP22" s="654">
        <v>1.6</v>
      </c>
      <c r="BQ22" s="311">
        <v>1.42</v>
      </c>
      <c r="BR22" s="311">
        <v>1.21</v>
      </c>
      <c r="BS22" s="311">
        <v>1.88</v>
      </c>
      <c r="BT22" s="311">
        <v>1.58</v>
      </c>
      <c r="BU22" s="311">
        <v>1.3</v>
      </c>
      <c r="BV22" s="311">
        <v>1.19</v>
      </c>
      <c r="BW22" s="311">
        <v>1.32</v>
      </c>
      <c r="BX22" s="1241">
        <v>1.62</v>
      </c>
      <c r="BY22" s="654">
        <v>0</v>
      </c>
      <c r="BZ22" s="311">
        <v>0</v>
      </c>
      <c r="CA22" s="311">
        <v>0</v>
      </c>
      <c r="CB22" s="304">
        <v>0</v>
      </c>
      <c r="CC22" s="304"/>
      <c r="CD22" s="1238"/>
      <c r="CE22" s="1188"/>
      <c r="CF22" s="304"/>
      <c r="CG22" s="304"/>
      <c r="CH22" s="304"/>
      <c r="CI22" s="304"/>
      <c r="CJ22" s="304"/>
      <c r="CK22" s="304"/>
      <c r="CL22" s="304"/>
      <c r="CM22" s="304"/>
      <c r="CN22" s="350"/>
      <c r="CO22" s="304"/>
      <c r="CP22" s="304"/>
      <c r="CQ22" s="304"/>
      <c r="CR22" s="1238"/>
      <c r="CS22" s="1188"/>
      <c r="CT22" s="304"/>
      <c r="CU22" s="304"/>
      <c r="CV22" s="304"/>
      <c r="CW22" s="304"/>
      <c r="CX22" s="304"/>
      <c r="CY22" s="304"/>
      <c r="CZ22" s="304"/>
      <c r="DA22" s="1238"/>
      <c r="DB22" s="1188"/>
      <c r="DC22" s="304"/>
      <c r="DD22" s="304"/>
      <c r="DE22" s="225"/>
      <c r="DF22" s="225"/>
      <c r="DG22" s="1269"/>
      <c r="DH22" s="1214"/>
      <c r="DI22" s="225"/>
      <c r="DJ22" s="225"/>
      <c r="DK22" s="225"/>
      <c r="DL22" s="225"/>
      <c r="DM22" s="225"/>
      <c r="DN22" s="225"/>
      <c r="DO22" s="225"/>
      <c r="DP22" s="225"/>
      <c r="DQ22" s="344"/>
      <c r="DR22" s="345"/>
      <c r="DS22" s="225"/>
      <c r="DT22" s="225"/>
      <c r="DU22" s="225"/>
      <c r="DV22" s="1269"/>
      <c r="DW22" s="1214"/>
      <c r="DX22" s="225"/>
      <c r="DY22" s="225"/>
      <c r="DZ22" s="225"/>
      <c r="EA22" s="225"/>
      <c r="EB22" s="225"/>
      <c r="EC22" s="225"/>
      <c r="ED22" s="225"/>
      <c r="EE22" s="1269"/>
      <c r="EF22" s="1214"/>
      <c r="EG22" s="225"/>
      <c r="EH22" s="225"/>
      <c r="EI22" s="225"/>
      <c r="EJ22" s="225"/>
      <c r="EK22" s="1269"/>
      <c r="EL22" s="1214"/>
      <c r="EM22" s="225"/>
      <c r="EN22" s="225"/>
      <c r="EO22" s="225"/>
      <c r="EP22" s="225"/>
      <c r="EQ22" s="225"/>
      <c r="ER22" s="225"/>
      <c r="ES22" s="225"/>
      <c r="ET22" s="225"/>
      <c r="EU22" s="344"/>
      <c r="EV22" s="225"/>
      <c r="EW22" s="225"/>
      <c r="EX22" s="225"/>
      <c r="EY22" s="1269"/>
      <c r="EZ22" s="1214"/>
      <c r="FA22" s="225"/>
      <c r="FB22" s="225"/>
      <c r="FC22" s="225"/>
      <c r="FD22" s="225"/>
      <c r="FE22" s="225"/>
      <c r="FF22" s="225"/>
      <c r="FG22" s="225"/>
      <c r="FH22" s="1269"/>
      <c r="FI22" s="1214"/>
      <c r="FJ22" s="225"/>
      <c r="FK22" s="225"/>
      <c r="FL22" s="225"/>
      <c r="FM22" s="225"/>
      <c r="FN22" s="1269"/>
      <c r="FO22" s="1214"/>
      <c r="FP22" s="225"/>
      <c r="FQ22" s="225"/>
      <c r="FR22" s="225"/>
      <c r="FS22" s="225"/>
      <c r="FT22" s="225"/>
      <c r="FU22" s="225"/>
      <c r="FV22" s="225"/>
      <c r="FW22" s="225"/>
    </row>
    <row r="23" spans="3:179" s="299" customFormat="1" ht="15.5" thickTop="1" thickBot="1" x14ac:dyDescent="0.4">
      <c r="C23" s="305"/>
      <c r="D23" s="305"/>
      <c r="E23" s="305"/>
      <c r="F23" s="1031"/>
      <c r="G23" s="307"/>
      <c r="H23" s="307"/>
      <c r="I23" s="1239"/>
      <c r="J23" s="1186"/>
      <c r="K23" s="307"/>
      <c r="L23" s="307"/>
      <c r="M23" s="307"/>
      <c r="N23" s="307"/>
      <c r="O23" s="307"/>
      <c r="P23" s="307"/>
      <c r="Q23" s="307"/>
      <c r="R23" s="1239"/>
      <c r="S23" s="1186"/>
      <c r="T23" s="307"/>
      <c r="U23" s="307"/>
      <c r="V23" s="307"/>
      <c r="W23" s="307"/>
      <c r="X23" s="1239"/>
      <c r="Y23" s="1186"/>
      <c r="Z23" s="307"/>
      <c r="AA23" s="307"/>
      <c r="AB23" s="307"/>
      <c r="AC23" s="307"/>
      <c r="AD23" s="307"/>
      <c r="AE23" s="307"/>
      <c r="AF23" s="307"/>
      <c r="AG23" s="307"/>
      <c r="AH23" s="359"/>
      <c r="AI23" s="307"/>
      <c r="AJ23" s="307"/>
      <c r="AK23" s="307"/>
      <c r="AL23" s="1239"/>
      <c r="AM23" s="1186"/>
      <c r="AN23" s="307"/>
      <c r="AO23" s="307"/>
      <c r="AP23" s="307"/>
      <c r="AQ23" s="307"/>
      <c r="AR23" s="307"/>
      <c r="AS23" s="307"/>
      <c r="AT23" s="307"/>
      <c r="AU23" s="1239"/>
      <c r="AV23" s="1186"/>
      <c r="AW23" s="307"/>
      <c r="AX23" s="307"/>
      <c r="AY23" s="307"/>
      <c r="AZ23" s="307"/>
      <c r="BA23" s="1239"/>
      <c r="BB23" s="1186"/>
      <c r="BC23" s="307"/>
      <c r="BD23" s="307"/>
      <c r="BE23" s="307"/>
      <c r="BF23" s="307"/>
      <c r="BG23" s="307"/>
      <c r="BH23" s="307"/>
      <c r="BI23" s="307"/>
      <c r="BJ23" s="307"/>
      <c r="BK23" s="359"/>
      <c r="BL23" s="312"/>
      <c r="BM23" s="312"/>
      <c r="BN23" s="312"/>
      <c r="BO23" s="1240"/>
      <c r="BP23" s="1586" t="s">
        <v>412</v>
      </c>
      <c r="BQ23" s="312"/>
      <c r="BR23" s="312"/>
      <c r="BS23" s="312"/>
      <c r="BT23" s="312"/>
      <c r="BU23" s="312"/>
      <c r="BV23" s="1071" t="s">
        <v>411</v>
      </c>
      <c r="BW23" s="312"/>
      <c r="BX23" s="1240"/>
      <c r="BY23" s="1189"/>
      <c r="BZ23" s="312"/>
      <c r="CA23" s="312"/>
      <c r="CB23" s="312"/>
      <c r="CC23" s="312"/>
      <c r="CD23" s="1240"/>
      <c r="CE23" s="1189"/>
      <c r="CF23" s="312"/>
      <c r="CG23" s="312"/>
      <c r="CH23" s="312"/>
      <c r="CI23" s="312"/>
      <c r="CJ23" s="312"/>
      <c r="CK23" s="312"/>
      <c r="CL23" s="312"/>
      <c r="CM23" s="312"/>
      <c r="CN23" s="360"/>
      <c r="CO23" s="312"/>
      <c r="CP23" s="312"/>
      <c r="CQ23" s="312"/>
      <c r="CR23" s="1240"/>
      <c r="CS23" s="1189"/>
      <c r="CT23" s="312"/>
      <c r="CU23" s="312"/>
      <c r="CV23" s="312"/>
      <c r="CW23" s="312"/>
      <c r="CX23" s="312"/>
      <c r="CY23" s="312"/>
      <c r="CZ23" s="312"/>
      <c r="DA23" s="1240"/>
      <c r="DB23" s="1189"/>
      <c r="DC23" s="312"/>
      <c r="DD23" s="312"/>
      <c r="DE23" s="307"/>
      <c r="DF23" s="307"/>
      <c r="DG23" s="1239"/>
      <c r="DH23" s="1186"/>
      <c r="DI23" s="307"/>
      <c r="DJ23" s="307"/>
      <c r="DK23" s="307"/>
      <c r="DL23" s="307"/>
      <c r="DM23" s="307"/>
      <c r="DN23" s="307"/>
      <c r="DO23" s="307"/>
      <c r="DP23" s="307"/>
      <c r="DQ23" s="359"/>
      <c r="DR23" s="361"/>
      <c r="DS23" s="307"/>
      <c r="DT23" s="307"/>
      <c r="DU23" s="307"/>
      <c r="DV23" s="1239"/>
      <c r="DW23" s="1186"/>
      <c r="DX23" s="307"/>
      <c r="DY23" s="307"/>
      <c r="DZ23" s="307"/>
      <c r="EA23" s="307"/>
      <c r="EB23" s="307"/>
      <c r="EC23" s="307"/>
      <c r="ED23" s="307"/>
      <c r="EE23" s="1239"/>
      <c r="EF23" s="1186"/>
      <c r="EG23" s="307"/>
      <c r="EH23" s="307"/>
      <c r="EI23" s="307"/>
      <c r="EJ23" s="307"/>
      <c r="EK23" s="1239"/>
      <c r="EL23" s="1186"/>
      <c r="EM23" s="307"/>
      <c r="EN23" s="307"/>
      <c r="EO23" s="307"/>
      <c r="EP23" s="307"/>
      <c r="EQ23" s="307"/>
      <c r="ER23" s="307"/>
      <c r="ES23" s="307"/>
      <c r="ET23" s="307"/>
      <c r="EU23" s="359"/>
      <c r="EV23" s="307"/>
      <c r="EW23" s="307"/>
      <c r="EX23" s="307"/>
      <c r="EY23" s="1239"/>
      <c r="EZ23" s="1186"/>
      <c r="FA23" s="307"/>
      <c r="FB23" s="307"/>
      <c r="FC23" s="307"/>
      <c r="FD23" s="307"/>
      <c r="FE23" s="307"/>
      <c r="FF23" s="307"/>
      <c r="FG23" s="307"/>
      <c r="FH23" s="1239"/>
      <c r="FI23" s="1186"/>
      <c r="FJ23" s="307"/>
      <c r="FK23" s="307"/>
      <c r="FL23" s="307"/>
      <c r="FM23" s="307"/>
      <c r="FN23" s="1239"/>
      <c r="FO23" s="1186"/>
      <c r="FP23" s="307"/>
      <c r="FQ23" s="307"/>
      <c r="FR23" s="307"/>
      <c r="FS23" s="307"/>
      <c r="FT23" s="307"/>
      <c r="FU23" s="307"/>
      <c r="FV23" s="307"/>
      <c r="FW23" s="307"/>
    </row>
    <row r="24" spans="3:179" ht="15" thickTop="1" x14ac:dyDescent="0.35">
      <c r="C24" s="1" t="s">
        <v>172</v>
      </c>
      <c r="F24" s="1045"/>
      <c r="G24" s="393"/>
      <c r="H24" s="393"/>
      <c r="I24" s="1266"/>
      <c r="J24" s="1211"/>
      <c r="K24" s="393"/>
      <c r="L24" s="393"/>
      <c r="M24" s="393"/>
      <c r="N24" s="393"/>
      <c r="O24" s="393"/>
      <c r="P24" s="393"/>
      <c r="Q24" s="393"/>
      <c r="R24" s="393"/>
      <c r="S24" s="1211"/>
      <c r="T24" s="1211"/>
      <c r="U24" s="1211"/>
      <c r="V24" s="1211"/>
      <c r="W24" s="1211"/>
      <c r="X24" s="1211"/>
      <c r="Y24" s="1211"/>
      <c r="Z24" s="1211"/>
      <c r="AA24" s="1211"/>
      <c r="AB24" s="1211"/>
      <c r="AC24" s="1211"/>
      <c r="AD24" s="1211"/>
      <c r="AE24" s="1211"/>
      <c r="AF24" s="1211"/>
      <c r="AG24" s="1211"/>
      <c r="AH24" s="1320"/>
      <c r="AI24" s="393"/>
      <c r="AJ24" s="1319"/>
      <c r="AK24" s="1319"/>
      <c r="AL24" s="1445"/>
      <c r="AM24" s="1427"/>
      <c r="AN24" s="1319"/>
      <c r="AO24" s="1319"/>
      <c r="AP24" s="1319"/>
      <c r="AQ24" s="1319"/>
      <c r="AR24" s="1319"/>
      <c r="AS24" s="1319"/>
      <c r="AT24" s="1319"/>
      <c r="AU24" s="1445"/>
      <c r="AV24" s="1427"/>
      <c r="AW24" s="1319"/>
      <c r="AX24" s="1319"/>
      <c r="AY24" s="1319"/>
      <c r="AZ24" s="1319"/>
      <c r="BA24" s="1445"/>
      <c r="BB24" s="1427"/>
      <c r="BC24" s="1319"/>
      <c r="BD24" s="1319"/>
      <c r="BE24" s="1319"/>
      <c r="BF24" s="1319"/>
      <c r="BG24" s="1319"/>
      <c r="BH24" s="1319"/>
      <c r="BI24" s="1319"/>
      <c r="BJ24" s="1319"/>
      <c r="BK24" s="1320"/>
      <c r="BL24" s="393" cm="1">
        <f t="array" ref="BL24:CM24">'HPS DAILY (repro-)'!J25:AK25</f>
        <v>0.25719209999999998</v>
      </c>
      <c r="BM24" s="393">
        <v>0.26887804349999994</v>
      </c>
      <c r="BN24" s="393">
        <v>0.282809054</v>
      </c>
      <c r="BO24" s="1266">
        <v>0.27555709500000003</v>
      </c>
      <c r="BP24" s="1211">
        <v>0.22067210000000001</v>
      </c>
      <c r="BQ24" s="393">
        <v>0.23351983599999998</v>
      </c>
      <c r="BR24" s="393">
        <v>0.24327341500000002</v>
      </c>
      <c r="BS24" s="393">
        <v>0.23391060000000002</v>
      </c>
      <c r="BT24" s="393">
        <v>0.238339563</v>
      </c>
      <c r="BU24" s="393">
        <v>0.23217589999999999</v>
      </c>
      <c r="BV24" s="393">
        <v>0.25343830049999999</v>
      </c>
      <c r="BW24" s="393">
        <v>0.236755508</v>
      </c>
      <c r="BX24" s="1266">
        <v>0.24372991500000002</v>
      </c>
      <c r="BY24" s="1211">
        <v>0</v>
      </c>
      <c r="BZ24" s="393">
        <v>0</v>
      </c>
      <c r="CA24" s="393">
        <v>0</v>
      </c>
      <c r="CB24" s="393">
        <v>0</v>
      </c>
      <c r="CC24" s="393">
        <v>0</v>
      </c>
      <c r="CD24" s="1266">
        <v>0</v>
      </c>
      <c r="CE24" s="1211">
        <v>0</v>
      </c>
      <c r="CF24" s="393">
        <v>0</v>
      </c>
      <c r="CG24" s="393">
        <v>0</v>
      </c>
      <c r="CH24" s="393">
        <v>0</v>
      </c>
      <c r="CI24" s="393">
        <v>0</v>
      </c>
      <c r="CJ24" s="393">
        <v>0</v>
      </c>
      <c r="CK24" s="393">
        <v>0</v>
      </c>
      <c r="CL24" s="393">
        <v>0</v>
      </c>
      <c r="CM24" s="393">
        <v>0</v>
      </c>
      <c r="CN24" s="396"/>
      <c r="CO24" s="393" cm="1">
        <f t="array" ref="CO24:DP24">'LTO DAILY'!H23:AI23</f>
        <v>0</v>
      </c>
      <c r="CP24" s="393">
        <v>4.5827E-2</v>
      </c>
      <c r="CQ24" s="393">
        <v>4.9200000000000001E-2</v>
      </c>
      <c r="CR24" s="1266">
        <v>5.4365999999999998E-2</v>
      </c>
      <c r="CS24" s="1211">
        <v>5.5851999999999999E-2</v>
      </c>
      <c r="CT24" s="393">
        <v>4.7465E-2</v>
      </c>
      <c r="CU24" s="393">
        <v>5.4879999999999998E-2</v>
      </c>
      <c r="CV24" s="393">
        <v>5.4779999999999995E-2</v>
      </c>
      <c r="CW24" s="393">
        <v>5.5837100000000001E-2</v>
      </c>
      <c r="CX24" s="393">
        <v>5.7294000000000005E-2</v>
      </c>
      <c r="CY24" s="393">
        <v>6.1199000000000003E-2</v>
      </c>
      <c r="CZ24" s="393">
        <v>6.0388999999999998E-2</v>
      </c>
      <c r="DA24" s="1266">
        <v>6.1705999999999997E-2</v>
      </c>
      <c r="DB24" s="1211">
        <v>0</v>
      </c>
      <c r="DC24" s="393">
        <v>0</v>
      </c>
      <c r="DD24" s="393">
        <v>0</v>
      </c>
      <c r="DE24" s="1319">
        <v>0</v>
      </c>
      <c r="DF24" s="1319">
        <v>0</v>
      </c>
      <c r="DG24" s="1445">
        <v>0</v>
      </c>
      <c r="DH24" s="1427">
        <v>0</v>
      </c>
      <c r="DI24" s="1319">
        <v>0</v>
      </c>
      <c r="DJ24" s="1319">
        <v>0</v>
      </c>
      <c r="DK24" s="1319">
        <v>0</v>
      </c>
      <c r="DL24" s="1319">
        <v>0</v>
      </c>
      <c r="DM24" s="1319">
        <v>0</v>
      </c>
      <c r="DN24" s="1319">
        <v>0</v>
      </c>
      <c r="DO24" s="1319">
        <v>0</v>
      </c>
      <c r="DP24" s="1319">
        <v>0</v>
      </c>
      <c r="DQ24" s="1320"/>
      <c r="DR24" s="1319"/>
      <c r="DS24" s="1319"/>
      <c r="DT24" s="1319"/>
      <c r="DU24" s="1319"/>
      <c r="DV24" s="1445"/>
      <c r="DW24" s="1427"/>
      <c r="DX24" s="1319"/>
      <c r="DY24" s="1319"/>
      <c r="DZ24" s="1319"/>
      <c r="EA24" s="1319"/>
      <c r="EB24" s="1319"/>
      <c r="EC24" s="1319"/>
      <c r="ED24" s="1319"/>
      <c r="EE24" s="1445"/>
      <c r="EF24" s="1427"/>
      <c r="EG24" s="1319"/>
      <c r="EH24" s="1319"/>
      <c r="EI24" s="1319"/>
      <c r="EJ24" s="1319"/>
      <c r="EK24" s="1445"/>
      <c r="EL24" s="1427"/>
      <c r="EM24" s="1319"/>
      <c r="EN24" s="1319"/>
      <c r="EO24" s="1319"/>
      <c r="EP24" s="1319"/>
      <c r="EQ24" s="1319"/>
      <c r="ER24" s="1319"/>
      <c r="ES24" s="1319"/>
      <c r="ET24" s="1319"/>
      <c r="EU24" s="1320"/>
      <c r="EV24" s="1319"/>
      <c r="EW24" s="1319"/>
      <c r="EX24" s="1319"/>
      <c r="EY24" s="1445"/>
      <c r="EZ24" s="1427"/>
      <c r="FA24" s="1319"/>
      <c r="FB24" s="1319"/>
      <c r="FC24" s="1319"/>
      <c r="FD24" s="1319"/>
      <c r="FE24" s="1319"/>
      <c r="FF24" s="1319"/>
      <c r="FG24" s="1319"/>
      <c r="FH24" s="1445"/>
      <c r="FI24" s="1427"/>
      <c r="FJ24" s="1319"/>
      <c r="FK24" s="1319"/>
      <c r="FL24" s="1319"/>
      <c r="FM24" s="1319"/>
      <c r="FN24" s="1245"/>
      <c r="FO24" s="538"/>
      <c r="FP24" s="229"/>
      <c r="FQ24" s="229"/>
      <c r="FR24" s="229"/>
      <c r="FS24" s="229"/>
      <c r="FT24" s="229"/>
      <c r="FU24" s="229"/>
      <c r="FV24" s="229"/>
      <c r="FW24" s="229"/>
    </row>
    <row r="25" spans="3:179" x14ac:dyDescent="0.35">
      <c r="C25" s="444" t="s">
        <v>314</v>
      </c>
      <c r="F25" s="604"/>
      <c r="G25" s="251"/>
      <c r="H25" s="251"/>
      <c r="I25" s="1267"/>
      <c r="J25" s="1212"/>
      <c r="K25" s="251"/>
      <c r="L25" s="251"/>
      <c r="M25" s="251"/>
      <c r="N25" s="251"/>
      <c r="O25" s="251"/>
      <c r="P25" s="1212"/>
      <c r="Q25" s="251"/>
      <c r="R25" s="1267"/>
      <c r="S25" s="1212"/>
      <c r="T25" s="251"/>
      <c r="U25" s="251"/>
      <c r="V25" s="273"/>
      <c r="W25" s="273"/>
      <c r="X25" s="1323"/>
      <c r="Y25" s="1324"/>
      <c r="Z25" s="273"/>
      <c r="AA25" s="273"/>
      <c r="AB25" s="273"/>
      <c r="AC25" s="273"/>
      <c r="AD25" s="273"/>
      <c r="AE25" s="273"/>
      <c r="AF25" s="273"/>
      <c r="AG25" s="273"/>
      <c r="AH25" s="1321"/>
      <c r="AI25" s="251"/>
      <c r="AJ25" s="273"/>
      <c r="AK25" s="273"/>
      <c r="AL25" s="1323"/>
      <c r="AM25" s="1324"/>
      <c r="AN25" s="273"/>
      <c r="AO25" s="273"/>
      <c r="AP25" s="273"/>
      <c r="AQ25" s="273"/>
      <c r="AR25" s="273"/>
      <c r="AS25" s="273"/>
      <c r="AT25" s="273"/>
      <c r="AU25" s="1323"/>
      <c r="AV25" s="1324"/>
      <c r="AW25" s="273"/>
      <c r="AX25" s="273"/>
      <c r="AY25" s="273"/>
      <c r="AZ25" s="273"/>
      <c r="BA25" s="1323"/>
      <c r="BB25" s="1324"/>
      <c r="BC25" s="273"/>
      <c r="BD25" s="273"/>
      <c r="BE25" s="273"/>
      <c r="BF25" s="273"/>
      <c r="BG25" s="273"/>
      <c r="BH25" s="273"/>
      <c r="BI25" s="273"/>
      <c r="BJ25" s="273"/>
      <c r="BK25" s="1321"/>
      <c r="BL25" s="474">
        <v>0.34</v>
      </c>
      <c r="BM25" s="474">
        <v>0.35</v>
      </c>
      <c r="BN25" s="474">
        <v>0.36499999999999999</v>
      </c>
      <c r="BO25" s="1474">
        <v>0.35599999999999998</v>
      </c>
      <c r="BP25" s="1462">
        <v>0.32600000000000001</v>
      </c>
      <c r="BQ25" s="474">
        <v>0.42</v>
      </c>
      <c r="BR25" s="474">
        <v>0.435</v>
      </c>
      <c r="BS25" s="474">
        <v>0.45</v>
      </c>
      <c r="BT25" s="474">
        <v>0.45100000000000001</v>
      </c>
      <c r="BU25" s="474">
        <v>0.4521</v>
      </c>
      <c r="BV25" s="474">
        <v>0.48499999999999999</v>
      </c>
      <c r="BW25" s="474">
        <v>0.51800000000000002</v>
      </c>
      <c r="BX25" s="1474">
        <v>0.52</v>
      </c>
      <c r="BY25" s="1462">
        <v>0.51249999999999996</v>
      </c>
      <c r="BZ25" s="474">
        <v>0.52400000000000002</v>
      </c>
      <c r="CA25" s="474">
        <v>0.52480000000000004</v>
      </c>
      <c r="CB25" s="251"/>
      <c r="CC25" s="251"/>
      <c r="CD25" s="1267"/>
      <c r="CE25" s="1212"/>
      <c r="CF25" s="251"/>
      <c r="CG25" s="251"/>
      <c r="CH25" s="251"/>
      <c r="CI25" s="251"/>
      <c r="CJ25" s="251"/>
      <c r="CK25" s="251"/>
      <c r="CL25" s="251"/>
      <c r="CM25" s="251"/>
      <c r="CN25" s="338"/>
      <c r="CO25" s="474">
        <v>4.4999999999999998E-2</v>
      </c>
      <c r="CP25" s="474">
        <v>0.05</v>
      </c>
      <c r="CQ25" s="474">
        <v>5.5E-2</v>
      </c>
      <c r="CR25" s="1474">
        <v>0.06</v>
      </c>
      <c r="CS25" s="1462">
        <v>5.5E-2</v>
      </c>
      <c r="CT25" s="474">
        <v>6.2E-2</v>
      </c>
      <c r="CU25" s="474">
        <v>7.1999999999999995E-2</v>
      </c>
      <c r="CV25" s="474">
        <v>7.4999999999999997E-2</v>
      </c>
      <c r="CW25" s="474">
        <v>7.8E-2</v>
      </c>
      <c r="CX25" s="474">
        <v>7.7700000000000005E-2</v>
      </c>
      <c r="CY25" s="474">
        <v>7.7700000000000005E-2</v>
      </c>
      <c r="CZ25" s="474">
        <v>8.7999999999999995E-2</v>
      </c>
      <c r="DA25" s="1474">
        <v>8.8999999999999996E-2</v>
      </c>
      <c r="DB25" s="1462">
        <v>8.8999999999999996E-2</v>
      </c>
      <c r="DC25" s="474">
        <v>8.8999999999999996E-2</v>
      </c>
      <c r="DD25" s="474">
        <v>8.8499999999999995E-2</v>
      </c>
      <c r="DE25" s="273"/>
      <c r="DF25" s="273"/>
      <c r="DG25" s="1323"/>
      <c r="DH25" s="1324"/>
      <c r="DI25" s="273"/>
      <c r="DJ25" s="273"/>
      <c r="DK25" s="273"/>
      <c r="DL25" s="273"/>
      <c r="DM25" s="273"/>
      <c r="DN25" s="273"/>
      <c r="DO25" s="273"/>
      <c r="DP25" s="273"/>
      <c r="DQ25" s="1321"/>
      <c r="DR25" s="273"/>
      <c r="DS25" s="273"/>
      <c r="DT25" s="273"/>
      <c r="DU25" s="273"/>
      <c r="DV25" s="1323"/>
      <c r="DW25" s="1324"/>
      <c r="DX25" s="273"/>
      <c r="DY25" s="273"/>
      <c r="DZ25" s="273"/>
      <c r="EA25" s="273"/>
      <c r="EB25" s="273"/>
      <c r="EC25" s="273"/>
      <c r="ED25" s="273"/>
      <c r="EE25" s="1323"/>
      <c r="EF25" s="1324"/>
      <c r="EG25" s="273"/>
      <c r="EH25" s="273"/>
      <c r="EI25" s="273"/>
      <c r="EJ25" s="273"/>
      <c r="EK25" s="1323"/>
      <c r="EL25" s="1324"/>
      <c r="EM25" s="273"/>
      <c r="EN25" s="273"/>
      <c r="EO25" s="273"/>
      <c r="EP25" s="273"/>
      <c r="EQ25" s="273"/>
      <c r="ER25" s="273"/>
      <c r="ES25" s="273"/>
      <c r="ET25" s="273"/>
      <c r="EU25" s="1321"/>
      <c r="EV25" s="273"/>
      <c r="EW25" s="273"/>
      <c r="EX25" s="273"/>
      <c r="EY25" s="1323"/>
      <c r="EZ25" s="1324"/>
      <c r="FA25" s="273"/>
      <c r="FB25" s="273"/>
      <c r="FC25" s="273"/>
      <c r="FD25" s="273"/>
      <c r="FE25" s="273"/>
      <c r="FF25" s="273"/>
      <c r="FG25" s="273"/>
      <c r="FH25" s="1323"/>
      <c r="FI25" s="1324"/>
      <c r="FJ25" s="273"/>
      <c r="FK25" s="273"/>
      <c r="FL25" s="273"/>
      <c r="FM25" s="273"/>
    </row>
    <row r="26" spans="3:179" x14ac:dyDescent="0.35">
      <c r="C26" s="1" t="s">
        <v>173</v>
      </c>
      <c r="F26" s="604"/>
      <c r="G26" s="251"/>
      <c r="H26" s="251"/>
      <c r="I26" s="1267"/>
      <c r="J26" s="1212"/>
      <c r="K26" s="251"/>
      <c r="L26" s="251"/>
      <c r="M26" s="251"/>
      <c r="N26" s="251"/>
      <c r="O26" s="251"/>
      <c r="P26" s="251"/>
      <c r="Q26" s="251"/>
      <c r="R26" s="251"/>
      <c r="S26" s="1212"/>
      <c r="T26" s="1212"/>
      <c r="U26" s="1212"/>
      <c r="V26" s="1212"/>
      <c r="W26" s="1212"/>
      <c r="X26" s="1212"/>
      <c r="Y26" s="1212"/>
      <c r="Z26" s="1212"/>
      <c r="AA26" s="1212"/>
      <c r="AB26" s="1212"/>
      <c r="AC26" s="1212"/>
      <c r="AD26" s="1212"/>
      <c r="AE26" s="1212"/>
      <c r="AF26" s="1212"/>
      <c r="AG26" s="1212"/>
      <c r="AH26" s="1321"/>
      <c r="AI26" s="251"/>
      <c r="AJ26" s="273"/>
      <c r="AK26" s="273"/>
      <c r="AL26" s="1323"/>
      <c r="AM26" s="1324"/>
      <c r="AN26" s="273"/>
      <c r="AO26" s="273"/>
      <c r="AP26" s="273"/>
      <c r="AQ26" s="273"/>
      <c r="AR26" s="273"/>
      <c r="AS26" s="273"/>
      <c r="AT26" s="273"/>
      <c r="AU26" s="1323"/>
      <c r="AV26" s="1324"/>
      <c r="AW26" s="273"/>
      <c r="AX26" s="273"/>
      <c r="AY26" s="273"/>
      <c r="AZ26" s="273"/>
      <c r="BA26" s="1323"/>
      <c r="BB26" s="1324"/>
      <c r="BC26" s="273"/>
      <c r="BD26" s="273"/>
      <c r="BE26" s="273"/>
      <c r="BF26" s="273"/>
      <c r="BG26" s="273"/>
      <c r="BH26" s="273"/>
      <c r="BI26" s="273"/>
      <c r="BJ26" s="273"/>
      <c r="BK26" s="1321"/>
      <c r="BL26" s="251" cm="1">
        <f t="array" ref="BL26:CM26">'HPS DAILY (repro-)'!J20:AK20</f>
        <v>1.8464355604067721</v>
      </c>
      <c r="BM26" s="251">
        <v>1.9716956028698713</v>
      </c>
      <c r="BN26" s="251">
        <v>2.1563999378778784</v>
      </c>
      <c r="BO26" s="1267">
        <v>2.1226263418094766</v>
      </c>
      <c r="BP26" s="1212">
        <v>0.8007263336702658</v>
      </c>
      <c r="BQ26" s="251">
        <v>0.87113337607358365</v>
      </c>
      <c r="BR26" s="251">
        <v>0.96261851013958699</v>
      </c>
      <c r="BS26" s="251">
        <v>1.0427886712039072</v>
      </c>
      <c r="BT26" s="251">
        <v>1.0896017689902777</v>
      </c>
      <c r="BU26" s="251">
        <v>1.1316656138135712</v>
      </c>
      <c r="BV26" s="251">
        <v>1.1823662288865746</v>
      </c>
      <c r="BW26" s="251">
        <v>1.2053362775454763</v>
      </c>
      <c r="BX26" s="1267">
        <v>1.2283131090916815</v>
      </c>
      <c r="BY26" s="1212">
        <v>0</v>
      </c>
      <c r="BZ26" s="251">
        <v>0</v>
      </c>
      <c r="CA26" s="251">
        <v>0</v>
      </c>
      <c r="CB26" s="251">
        <v>0</v>
      </c>
      <c r="CC26" s="251">
        <v>0</v>
      </c>
      <c r="CD26" s="1267">
        <v>0</v>
      </c>
      <c r="CE26" s="1212">
        <v>0</v>
      </c>
      <c r="CF26" s="251">
        <v>0</v>
      </c>
      <c r="CG26" s="251">
        <v>0</v>
      </c>
      <c r="CH26" s="251">
        <v>0</v>
      </c>
      <c r="CI26" s="251">
        <v>0</v>
      </c>
      <c r="CJ26" s="251">
        <v>0</v>
      </c>
      <c r="CK26" s="251">
        <v>0</v>
      </c>
      <c r="CL26" s="251">
        <v>0</v>
      </c>
      <c r="CM26" s="251">
        <v>0</v>
      </c>
      <c r="CN26" s="338"/>
      <c r="CO26" s="251" cm="1">
        <f t="array" ref="CO26:DP26">'LTO DAILY'!H18:AI18</f>
        <v>0</v>
      </c>
      <c r="CP26" s="251">
        <v>0.16400000000000001</v>
      </c>
      <c r="CQ26" s="251">
        <v>0.17199999999999999</v>
      </c>
      <c r="CR26" s="1267">
        <v>0.157</v>
      </c>
      <c r="CS26" s="1212">
        <v>0.13277</v>
      </c>
      <c r="CT26" s="251">
        <v>9.042E-2</v>
      </c>
      <c r="CU26" s="251">
        <v>0.10299999999999999</v>
      </c>
      <c r="CV26" s="251">
        <v>0.108</v>
      </c>
      <c r="CW26" s="251">
        <v>0.16566500000000001</v>
      </c>
      <c r="CX26" s="251">
        <v>0.14560999999999999</v>
      </c>
      <c r="CY26" s="251">
        <v>0.13669999999999999</v>
      </c>
      <c r="CZ26" s="251">
        <v>0.12447</v>
      </c>
      <c r="DA26" s="1267">
        <v>0.12303</v>
      </c>
      <c r="DB26" s="1212">
        <v>0</v>
      </c>
      <c r="DC26" s="251">
        <v>0</v>
      </c>
      <c r="DD26" s="251">
        <v>0</v>
      </c>
      <c r="DE26" s="273">
        <v>0</v>
      </c>
      <c r="DF26" s="273">
        <v>0</v>
      </c>
      <c r="DG26" s="1323">
        <v>0</v>
      </c>
      <c r="DH26" s="1324">
        <v>0</v>
      </c>
      <c r="DI26" s="273">
        <v>0</v>
      </c>
      <c r="DJ26" s="273">
        <v>0</v>
      </c>
      <c r="DK26" s="273">
        <v>0</v>
      </c>
      <c r="DL26" s="273">
        <v>0</v>
      </c>
      <c r="DM26" s="273">
        <v>0</v>
      </c>
      <c r="DN26" s="273">
        <v>0</v>
      </c>
      <c r="DO26" s="273">
        <v>0</v>
      </c>
      <c r="DP26" s="273">
        <v>0</v>
      </c>
      <c r="DQ26" s="1321"/>
      <c r="DR26" s="273"/>
      <c r="DS26" s="273"/>
      <c r="DT26" s="273"/>
      <c r="DU26" s="273"/>
      <c r="DV26" s="1323"/>
      <c r="DW26" s="1324"/>
      <c r="DX26" s="273"/>
      <c r="DY26" s="273"/>
      <c r="DZ26" s="273"/>
      <c r="EA26" s="273"/>
      <c r="EB26" s="273"/>
      <c r="EC26" s="273"/>
      <c r="ED26" s="273"/>
      <c r="EE26" s="1323"/>
      <c r="EF26" s="1324"/>
      <c r="EG26" s="273"/>
      <c r="EH26" s="273"/>
      <c r="EI26" s="273"/>
      <c r="EJ26" s="273"/>
      <c r="EK26" s="1323"/>
      <c r="EL26" s="1324"/>
      <c r="EM26" s="273"/>
      <c r="EN26" s="273"/>
      <c r="EO26" s="273"/>
      <c r="EP26" s="273"/>
      <c r="EQ26" s="273"/>
      <c r="ER26" s="273"/>
      <c r="ES26" s="273"/>
      <c r="ET26" s="273"/>
      <c r="EU26" s="1321"/>
      <c r="EV26" s="273"/>
      <c r="EW26" s="273"/>
      <c r="EX26" s="273"/>
      <c r="EY26" s="1323"/>
      <c r="EZ26" s="1324"/>
      <c r="FA26" s="273"/>
      <c r="FB26" s="273"/>
      <c r="FC26" s="273"/>
      <c r="FD26" s="273"/>
      <c r="FE26" s="273"/>
      <c r="FF26" s="273"/>
      <c r="FG26" s="273"/>
      <c r="FH26" s="1323"/>
      <c r="FI26" s="1324"/>
      <c r="FJ26" s="273"/>
      <c r="FK26" s="273"/>
      <c r="FL26" s="273"/>
      <c r="FM26" s="273"/>
    </row>
    <row r="27" spans="3:179" x14ac:dyDescent="0.35">
      <c r="C27" s="444" t="s">
        <v>315</v>
      </c>
      <c r="F27" s="1322"/>
      <c r="G27" s="273"/>
      <c r="H27" s="273"/>
      <c r="I27" s="1323"/>
      <c r="J27" s="1324"/>
      <c r="K27" s="273"/>
      <c r="L27" s="273"/>
      <c r="M27" s="273"/>
      <c r="N27" s="273"/>
      <c r="O27" s="273"/>
      <c r="P27" s="1324"/>
      <c r="Q27" s="273"/>
      <c r="R27" s="1323"/>
      <c r="S27" s="1324"/>
      <c r="T27" s="273"/>
      <c r="U27" s="273"/>
      <c r="V27" s="273"/>
      <c r="W27" s="273"/>
      <c r="X27" s="1323"/>
      <c r="Y27" s="1324"/>
      <c r="Z27" s="273"/>
      <c r="AA27" s="273"/>
      <c r="AB27" s="273"/>
      <c r="AC27" s="273"/>
      <c r="AD27" s="273"/>
      <c r="AE27" s="273"/>
      <c r="AF27" s="273"/>
      <c r="AG27" s="273"/>
      <c r="AH27" s="1321"/>
      <c r="AI27" s="251"/>
      <c r="AJ27" s="273"/>
      <c r="AK27" s="273"/>
      <c r="AL27" s="1323"/>
      <c r="AM27" s="1324"/>
      <c r="AN27" s="273"/>
      <c r="AO27" s="273"/>
      <c r="AP27" s="273"/>
      <c r="AQ27" s="273"/>
      <c r="AR27" s="273"/>
      <c r="AS27" s="273"/>
      <c r="AT27" s="273"/>
      <c r="AU27" s="1323"/>
      <c r="AV27" s="1324"/>
      <c r="AW27" s="273"/>
      <c r="AX27" s="273"/>
      <c r="AY27" s="273"/>
      <c r="AZ27" s="273"/>
      <c r="BA27" s="1323"/>
      <c r="BB27" s="1324"/>
      <c r="BC27" s="273"/>
      <c r="BD27" s="273"/>
      <c r="BE27" s="273"/>
      <c r="BF27" s="273"/>
      <c r="BG27" s="273"/>
      <c r="BH27" s="273"/>
      <c r="BI27" s="273"/>
      <c r="BJ27" s="273"/>
      <c r="BK27" s="1321"/>
      <c r="BL27" s="460">
        <v>2.15</v>
      </c>
      <c r="BM27" s="460">
        <v>2.2000000000000002</v>
      </c>
      <c r="BN27" s="460">
        <v>2.25</v>
      </c>
      <c r="BO27" s="461">
        <v>2.36</v>
      </c>
      <c r="BP27" s="462">
        <v>1.01</v>
      </c>
      <c r="BQ27" s="460">
        <v>0.99</v>
      </c>
      <c r="BR27" s="460">
        <v>1.0900000000000001</v>
      </c>
      <c r="BS27" s="460">
        <v>1.1000000000000001</v>
      </c>
      <c r="BT27" s="460">
        <v>1.1200000000000001</v>
      </c>
      <c r="BU27" s="460">
        <v>1.1399999999999999</v>
      </c>
      <c r="BV27" s="460">
        <v>1.095</v>
      </c>
      <c r="BW27" s="460">
        <v>1</v>
      </c>
      <c r="BX27" s="461">
        <v>0.99</v>
      </c>
      <c r="BY27" s="462">
        <v>0.95</v>
      </c>
      <c r="BZ27" s="460">
        <v>1</v>
      </c>
      <c r="CA27" s="460">
        <v>1.01</v>
      </c>
      <c r="CB27" s="251"/>
      <c r="CC27" s="251"/>
      <c r="CD27" s="1267"/>
      <c r="CE27" s="1212"/>
      <c r="CF27" s="251"/>
      <c r="CG27" s="251"/>
      <c r="CH27" s="251"/>
      <c r="CI27" s="251"/>
      <c r="CJ27" s="251"/>
      <c r="CK27" s="251"/>
      <c r="CL27" s="251"/>
      <c r="CM27" s="251"/>
      <c r="CN27" s="338"/>
      <c r="CO27" s="474">
        <v>0.12</v>
      </c>
      <c r="CP27" s="474">
        <v>0.14000000000000001</v>
      </c>
      <c r="CQ27" s="474">
        <v>0.155</v>
      </c>
      <c r="CR27" s="1474">
        <v>0.1661</v>
      </c>
      <c r="CS27" s="1462">
        <v>0.11899999999999999</v>
      </c>
      <c r="CT27" s="474">
        <v>8.1000000000000003E-2</v>
      </c>
      <c r="CU27" s="474">
        <v>8.4000000000000005E-2</v>
      </c>
      <c r="CV27" s="474">
        <v>8.3000000000000004E-2</v>
      </c>
      <c r="CW27" s="474">
        <v>8.4000000000000005E-2</v>
      </c>
      <c r="CX27" s="474">
        <v>8.5000000000000006E-2</v>
      </c>
      <c r="CY27" s="474">
        <v>8.5999999999999993E-2</v>
      </c>
      <c r="CZ27" s="474">
        <v>8.5500000000000007E-2</v>
      </c>
      <c r="DA27" s="1474">
        <v>8.5000000000000006E-2</v>
      </c>
      <c r="DB27" s="1462">
        <v>8.6499999999999994E-2</v>
      </c>
      <c r="DC27" s="474">
        <v>8.6999999999999994E-2</v>
      </c>
      <c r="DD27" s="474">
        <v>8.6400000000000005E-2</v>
      </c>
      <c r="DE27" s="273"/>
      <c r="DF27" s="273"/>
      <c r="DG27" s="1323"/>
      <c r="DH27" s="1324"/>
      <c r="DI27" s="273"/>
      <c r="DJ27" s="273"/>
      <c r="DK27" s="273"/>
      <c r="DL27" s="273"/>
      <c r="DM27" s="273"/>
      <c r="DN27" s="273"/>
      <c r="DO27" s="273"/>
      <c r="DP27" s="273"/>
      <c r="DQ27" s="1321"/>
      <c r="DR27" s="273"/>
      <c r="DS27" s="273"/>
      <c r="DT27" s="273"/>
      <c r="DU27" s="273"/>
      <c r="DV27" s="1323"/>
      <c r="DW27" s="1324"/>
      <c r="DX27" s="273"/>
      <c r="DY27" s="273"/>
      <c r="DZ27" s="273"/>
      <c r="EA27" s="273"/>
      <c r="EB27" s="273"/>
      <c r="EC27" s="273"/>
      <c r="ED27" s="273"/>
      <c r="EE27" s="1323"/>
      <c r="EF27" s="1324"/>
      <c r="EG27" s="273"/>
      <c r="EH27" s="273"/>
      <c r="EI27" s="273"/>
      <c r="EJ27" s="273"/>
      <c r="EK27" s="1323"/>
      <c r="EL27" s="1324"/>
      <c r="EM27" s="273"/>
      <c r="EN27" s="273"/>
      <c r="EO27" s="273"/>
      <c r="EP27" s="273"/>
      <c r="EQ27" s="273"/>
      <c r="ER27" s="273"/>
      <c r="ES27" s="273"/>
      <c r="ET27" s="273"/>
      <c r="EU27" s="1321"/>
      <c r="EV27" s="273"/>
      <c r="EW27" s="273"/>
      <c r="EX27" s="273"/>
      <c r="EY27" s="1323"/>
      <c r="EZ27" s="1324"/>
      <c r="FA27" s="273"/>
      <c r="FB27" s="273"/>
      <c r="FC27" s="273"/>
      <c r="FD27" s="273"/>
      <c r="FE27" s="273"/>
      <c r="FF27" s="273"/>
      <c r="FG27" s="273"/>
      <c r="FH27" s="1323"/>
      <c r="FI27" s="1324"/>
      <c r="FJ27" s="273"/>
      <c r="FK27" s="273"/>
      <c r="FL27" s="273"/>
      <c r="FM27" s="273"/>
    </row>
    <row r="28" spans="3:179" x14ac:dyDescent="0.35">
      <c r="C28" s="1" t="s">
        <v>117</v>
      </c>
      <c r="F28" s="501"/>
      <c r="G28" s="249"/>
      <c r="H28" s="249"/>
      <c r="I28" s="1242"/>
      <c r="J28" s="419"/>
      <c r="K28" s="249"/>
      <c r="L28" s="249"/>
      <c r="M28" s="249"/>
      <c r="N28" s="249"/>
      <c r="O28" s="249"/>
      <c r="P28" s="249"/>
      <c r="Q28" s="249"/>
      <c r="R28" s="249"/>
      <c r="S28" s="419"/>
      <c r="T28" s="249"/>
      <c r="U28" s="249"/>
      <c r="V28" s="249"/>
      <c r="W28" s="249"/>
      <c r="X28" s="1242"/>
      <c r="Y28" s="419"/>
      <c r="Z28" s="419"/>
      <c r="AA28" s="419"/>
      <c r="AB28" s="419"/>
      <c r="AC28" s="419"/>
      <c r="AD28" s="419"/>
      <c r="AE28" s="419"/>
      <c r="AF28" s="419"/>
      <c r="AG28" s="419"/>
      <c r="AH28" s="335"/>
      <c r="AI28" s="249"/>
      <c r="AJ28" s="249"/>
      <c r="AK28" s="249"/>
      <c r="AL28" s="1242"/>
      <c r="AM28" s="419"/>
      <c r="AN28" s="249"/>
      <c r="AO28" s="249"/>
      <c r="AP28" s="249"/>
      <c r="AQ28" s="249"/>
      <c r="AR28" s="249"/>
      <c r="AS28" s="249"/>
      <c r="AT28" s="249"/>
      <c r="AU28" s="1242"/>
      <c r="AV28" s="419"/>
      <c r="AW28" s="249"/>
      <c r="AX28" s="249"/>
      <c r="AY28" s="249"/>
      <c r="AZ28" s="249"/>
      <c r="BA28" s="1242"/>
      <c r="BB28" s="419"/>
      <c r="BC28" s="249"/>
      <c r="BD28" s="249"/>
      <c r="BE28" s="249"/>
      <c r="BF28" s="249"/>
      <c r="BG28" s="249"/>
      <c r="BH28" s="249"/>
      <c r="BI28" s="249"/>
      <c r="BJ28" s="249"/>
      <c r="BK28" s="335"/>
      <c r="BL28" s="249" cm="1">
        <f t="array" ref="BL28:CB28">'HPS DAILY (repro-)'!J87:Z87</f>
        <v>5.8811789868414621</v>
      </c>
      <c r="BM28" s="249">
        <v>6.0593251978638731</v>
      </c>
      <c r="BN28" s="249">
        <v>6.8021423460261694</v>
      </c>
      <c r="BO28" s="1242">
        <v>6.9544224362786862</v>
      </c>
      <c r="BP28" s="419">
        <v>2.0262369202247994</v>
      </c>
      <c r="BQ28" s="249">
        <v>2.2379402460190003</v>
      </c>
      <c r="BR28" s="249">
        <v>2.7384608723934347</v>
      </c>
      <c r="BS28" s="249">
        <v>2.8653018081842569</v>
      </c>
      <c r="BT28" s="249">
        <v>3.2637566800478264</v>
      </c>
      <c r="BU28" s="249">
        <v>3.2852562528549809</v>
      </c>
      <c r="BV28" s="249">
        <v>3.4649881322676248</v>
      </c>
      <c r="BW28" s="249">
        <v>3.3714022543614504</v>
      </c>
      <c r="BX28" s="1242">
        <v>3.5443825475399624</v>
      </c>
      <c r="BY28" s="419">
        <v>0</v>
      </c>
      <c r="BZ28" s="249">
        <v>0</v>
      </c>
      <c r="CA28" s="249">
        <v>0</v>
      </c>
      <c r="CB28" s="249">
        <v>0</v>
      </c>
      <c r="CC28" s="249"/>
      <c r="CD28" s="1242"/>
      <c r="CE28" s="419"/>
      <c r="CF28" s="249"/>
      <c r="CG28" s="249"/>
      <c r="CH28" s="249"/>
      <c r="CI28" s="249"/>
      <c r="CJ28" s="249"/>
      <c r="CK28" s="249"/>
      <c r="CL28" s="249"/>
      <c r="CM28" s="249"/>
      <c r="CN28" s="335"/>
      <c r="CO28" s="249"/>
      <c r="CP28" s="249"/>
      <c r="CQ28" s="249"/>
      <c r="CR28" s="1242"/>
      <c r="CS28" s="419"/>
      <c r="CT28" s="249"/>
      <c r="CU28" s="249"/>
      <c r="CV28" s="249"/>
      <c r="CW28" s="249"/>
      <c r="CX28" s="249"/>
      <c r="CY28" s="249"/>
      <c r="CZ28" s="249"/>
      <c r="DA28" s="1242"/>
      <c r="DB28" s="1212"/>
      <c r="DC28" s="251"/>
      <c r="DD28" s="251"/>
      <c r="DE28" s="273"/>
      <c r="DF28" s="273"/>
      <c r="DG28" s="1323"/>
      <c r="DH28" s="1324"/>
      <c r="DI28" s="273"/>
      <c r="DJ28" s="273"/>
      <c r="DK28" s="273"/>
      <c r="DL28" s="273"/>
      <c r="DM28" s="273"/>
      <c r="DN28" s="273"/>
      <c r="DO28" s="273"/>
      <c r="DP28" s="273"/>
      <c r="DQ28" s="1321"/>
      <c r="DR28" s="273"/>
      <c r="DS28" s="273"/>
      <c r="DT28" s="273"/>
      <c r="DU28" s="273"/>
      <c r="DV28" s="1323"/>
      <c r="DW28" s="1324"/>
      <c r="DX28" s="273"/>
      <c r="DY28" s="273"/>
      <c r="DZ28" s="273"/>
      <c r="EA28" s="273"/>
      <c r="EB28" s="273"/>
      <c r="EC28" s="273"/>
      <c r="ED28" s="273"/>
      <c r="EE28" s="1323"/>
      <c r="EF28" s="1324"/>
      <c r="EG28" s="273"/>
      <c r="EH28" s="273"/>
      <c r="EI28" s="273"/>
      <c r="EJ28" s="273"/>
      <c r="EK28" s="1323"/>
      <c r="EL28" s="1324"/>
      <c r="EM28" s="273"/>
      <c r="EN28" s="273"/>
      <c r="EO28" s="273"/>
      <c r="EP28" s="273"/>
      <c r="EQ28" s="273"/>
      <c r="ER28" s="273"/>
      <c r="ES28" s="273"/>
      <c r="ET28" s="273"/>
      <c r="EU28" s="1321"/>
      <c r="EV28" s="273"/>
      <c r="EW28" s="273"/>
      <c r="EX28" s="273"/>
      <c r="EY28" s="1323"/>
      <c r="EZ28" s="1324"/>
      <c r="FA28" s="273"/>
      <c r="FB28" s="273"/>
      <c r="FC28" s="273"/>
      <c r="FD28" s="273"/>
      <c r="FE28" s="273"/>
      <c r="FF28" s="273"/>
      <c r="FG28" s="273"/>
      <c r="FH28" s="1323"/>
      <c r="FI28" s="1324"/>
      <c r="FJ28" s="273"/>
      <c r="FK28" s="273"/>
      <c r="FL28" s="273"/>
      <c r="FM28" s="273"/>
    </row>
    <row r="29" spans="3:179" x14ac:dyDescent="0.35">
      <c r="C29" s="444" t="s">
        <v>350</v>
      </c>
      <c r="F29" s="501"/>
      <c r="G29" s="249"/>
      <c r="H29" s="249"/>
      <c r="I29" s="1242"/>
      <c r="J29" s="419"/>
      <c r="K29" s="249"/>
      <c r="L29" s="249"/>
      <c r="M29" s="249"/>
      <c r="N29" s="249"/>
      <c r="O29" s="249"/>
      <c r="P29" s="249"/>
      <c r="Q29" s="249"/>
      <c r="R29" s="249"/>
      <c r="S29" s="419"/>
      <c r="T29" s="249"/>
      <c r="U29" s="249"/>
      <c r="V29" s="249"/>
      <c r="W29" s="249"/>
      <c r="X29" s="1242"/>
      <c r="Y29" s="419"/>
      <c r="Z29" s="249"/>
      <c r="AA29" s="249"/>
      <c r="AB29" s="249"/>
      <c r="AC29" s="249"/>
      <c r="AD29" s="249"/>
      <c r="AE29" s="249"/>
      <c r="AF29" s="249"/>
      <c r="AG29" s="249"/>
      <c r="AH29" s="335"/>
      <c r="AI29" s="249"/>
      <c r="AJ29" s="249"/>
      <c r="AK29" s="249"/>
      <c r="AL29" s="1242"/>
      <c r="AM29" s="419"/>
      <c r="AN29" s="249"/>
      <c r="AO29" s="249"/>
      <c r="AP29" s="249"/>
      <c r="AQ29" s="249"/>
      <c r="AR29" s="249"/>
      <c r="AS29" s="249"/>
      <c r="AT29" s="249"/>
      <c r="AU29" s="1242"/>
      <c r="AV29" s="419"/>
      <c r="AW29" s="249"/>
      <c r="AX29" s="249"/>
      <c r="AY29" s="249"/>
      <c r="AZ29" s="249"/>
      <c r="BA29" s="1242"/>
      <c r="BB29" s="419"/>
      <c r="BC29" s="249"/>
      <c r="BD29" s="249"/>
      <c r="BE29" s="249"/>
      <c r="BF29" s="249"/>
      <c r="BG29" s="249"/>
      <c r="BH29" s="249"/>
      <c r="BI29" s="249"/>
      <c r="BJ29" s="249"/>
      <c r="BK29" s="335"/>
      <c r="BL29" s="249"/>
      <c r="BM29" s="249"/>
      <c r="BN29" s="249"/>
      <c r="BO29" s="1242"/>
      <c r="BP29" s="419"/>
      <c r="BQ29" s="249"/>
      <c r="BR29" s="249"/>
      <c r="BS29" s="249"/>
      <c r="BT29" s="249"/>
      <c r="BU29" s="249"/>
      <c r="BV29" s="249"/>
      <c r="BW29" s="249"/>
      <c r="BX29" s="1242"/>
      <c r="BY29" s="419"/>
      <c r="BZ29" s="249"/>
      <c r="CA29" s="249"/>
      <c r="CB29" s="249"/>
      <c r="CC29" s="249"/>
      <c r="CD29" s="1242"/>
      <c r="CE29" s="419"/>
      <c r="CF29" s="249"/>
      <c r="CG29" s="249"/>
      <c r="CH29" s="249"/>
      <c r="CI29" s="249"/>
      <c r="CJ29" s="249"/>
      <c r="CK29" s="249"/>
      <c r="CL29" s="249"/>
      <c r="CM29" s="249"/>
      <c r="CN29" s="335"/>
      <c r="CO29" s="249"/>
      <c r="CP29" s="249"/>
      <c r="CQ29" s="249"/>
      <c r="CR29" s="1242"/>
      <c r="CS29" s="419"/>
      <c r="CT29" s="249"/>
      <c r="CU29" s="249"/>
      <c r="CV29" s="249"/>
      <c r="CW29" s="249"/>
      <c r="CX29" s="249"/>
      <c r="CY29" s="249"/>
      <c r="CZ29" s="249"/>
      <c r="DA29" s="1242"/>
      <c r="DB29" s="1212"/>
      <c r="DC29" s="251"/>
      <c r="DD29" s="251"/>
      <c r="DE29" s="273"/>
      <c r="DF29" s="273"/>
      <c r="DG29" s="1323"/>
      <c r="DH29" s="1324"/>
      <c r="DI29" s="273"/>
      <c r="DJ29" s="273"/>
      <c r="DK29" s="273"/>
      <c r="DL29" s="273"/>
      <c r="DM29" s="273"/>
      <c r="DN29" s="273"/>
      <c r="DO29" s="273"/>
      <c r="DP29" s="273"/>
      <c r="DQ29" s="1321"/>
      <c r="DR29" s="273"/>
      <c r="DS29" s="273"/>
      <c r="DT29" s="273"/>
      <c r="DU29" s="273"/>
      <c r="DV29" s="1323"/>
      <c r="DW29" s="1324"/>
      <c r="DX29" s="273"/>
      <c r="DY29" s="273"/>
      <c r="DZ29" s="273"/>
      <c r="EA29" s="273"/>
      <c r="EB29" s="273"/>
      <c r="EC29" s="273"/>
      <c r="ED29" s="273"/>
      <c r="EE29" s="1323"/>
      <c r="EF29" s="1324"/>
      <c r="EG29" s="273"/>
      <c r="EH29" s="273"/>
      <c r="EI29" s="273"/>
      <c r="EJ29" s="273"/>
      <c r="EK29" s="1323"/>
      <c r="EL29" s="1324"/>
      <c r="EM29" s="273"/>
      <c r="EN29" s="273"/>
      <c r="EO29" s="273"/>
      <c r="EP29" s="273"/>
      <c r="EQ29" s="273"/>
      <c r="ER29" s="273"/>
      <c r="ES29" s="273"/>
      <c r="ET29" s="273"/>
      <c r="EU29" s="1321"/>
      <c r="EV29" s="273"/>
      <c r="EW29" s="273"/>
      <c r="EX29" s="273"/>
      <c r="EY29" s="1323"/>
      <c r="EZ29" s="1324"/>
      <c r="FA29" s="273"/>
      <c r="FB29" s="273"/>
      <c r="FC29" s="273"/>
      <c r="FD29" s="273"/>
      <c r="FE29" s="273"/>
      <c r="FF29" s="273"/>
      <c r="FG29" s="273"/>
      <c r="FH29" s="1323"/>
      <c r="FI29" s="1324"/>
      <c r="FJ29" s="273"/>
      <c r="FK29" s="273"/>
      <c r="FL29" s="273"/>
      <c r="FM29" s="273"/>
    </row>
    <row r="30" spans="3:179" x14ac:dyDescent="0.35">
      <c r="C30" s="1" t="s">
        <v>118</v>
      </c>
      <c r="F30" s="501"/>
      <c r="G30" s="249"/>
      <c r="H30" s="249"/>
      <c r="I30" s="1242"/>
      <c r="J30" s="419"/>
      <c r="K30" s="249"/>
      <c r="L30" s="249"/>
      <c r="M30" s="249"/>
      <c r="N30" s="249"/>
      <c r="O30" s="249"/>
      <c r="P30" s="249"/>
      <c r="Q30" s="249"/>
      <c r="R30" s="249"/>
      <c r="S30" s="419"/>
      <c r="T30" s="249"/>
      <c r="U30" s="249"/>
      <c r="V30" s="249"/>
      <c r="W30" s="249"/>
      <c r="X30" s="1242"/>
      <c r="Y30" s="419"/>
      <c r="Z30" s="419"/>
      <c r="AA30" s="419"/>
      <c r="AB30" s="419"/>
      <c r="AC30" s="419"/>
      <c r="AD30" s="419"/>
      <c r="AE30" s="419"/>
      <c r="AF30" s="419"/>
      <c r="AG30" s="419"/>
      <c r="AH30" s="335"/>
      <c r="AI30" s="249"/>
      <c r="AJ30" s="249"/>
      <c r="AK30" s="249"/>
      <c r="AL30" s="1242"/>
      <c r="AM30" s="419"/>
      <c r="AN30" s="249"/>
      <c r="AO30" s="249"/>
      <c r="AP30" s="249"/>
      <c r="AQ30" s="249"/>
      <c r="AR30" s="249"/>
      <c r="AS30" s="249"/>
      <c r="AT30" s="249"/>
      <c r="AU30" s="1242"/>
      <c r="AV30" s="419"/>
      <c r="AW30" s="249"/>
      <c r="AX30" s="249"/>
      <c r="AY30" s="249"/>
      <c r="AZ30" s="249"/>
      <c r="BA30" s="1242"/>
      <c r="BB30" s="419"/>
      <c r="BC30" s="249"/>
      <c r="BD30" s="249"/>
      <c r="BE30" s="249"/>
      <c r="BF30" s="249"/>
      <c r="BG30" s="249"/>
      <c r="BH30" s="249"/>
      <c r="BI30" s="249"/>
      <c r="BJ30" s="249"/>
      <c r="BK30" s="335"/>
      <c r="BL30" s="249" cm="1">
        <f t="array" ref="BL30:CM30">'HPS DAILY (repro-)'!J88:AK88</f>
        <v>1.0020000000000002</v>
      </c>
      <c r="BM30" s="249">
        <v>1.3839999999999999</v>
      </c>
      <c r="BN30" s="249">
        <v>2.65</v>
      </c>
      <c r="BO30" s="1242">
        <v>2.5920000000000001</v>
      </c>
      <c r="BP30" s="419">
        <v>-1.4539999999999997</v>
      </c>
      <c r="BQ30" s="249">
        <v>-1.3199999999999998</v>
      </c>
      <c r="BR30" s="249">
        <v>-1.3199999999999998</v>
      </c>
      <c r="BS30" s="249">
        <v>-0.43999999999999995</v>
      </c>
      <c r="BT30" s="249">
        <v>0.12000000000000011</v>
      </c>
      <c r="BU30" s="249">
        <v>-0.36999999999999966</v>
      </c>
      <c r="BV30" s="249">
        <v>0.16000000000000014</v>
      </c>
      <c r="BW30" s="249">
        <v>0.13000000000000034</v>
      </c>
      <c r="BX30" s="1242">
        <v>-0.25999999999999979</v>
      </c>
      <c r="BY30" s="419">
        <v>-2.78</v>
      </c>
      <c r="BZ30" s="249">
        <v>-2.78</v>
      </c>
      <c r="CA30" s="249">
        <v>-2.78</v>
      </c>
      <c r="CB30" s="249">
        <v>-2.78</v>
      </c>
      <c r="CC30" s="249">
        <v>-2.78</v>
      </c>
      <c r="CD30" s="1242">
        <v>-2.78</v>
      </c>
      <c r="CE30" s="419">
        <v>-2.78</v>
      </c>
      <c r="CF30" s="249">
        <v>-2.78</v>
      </c>
      <c r="CG30" s="249">
        <v>-2.78</v>
      </c>
      <c r="CH30" s="249">
        <v>-2.78</v>
      </c>
      <c r="CI30" s="249">
        <v>-2.78</v>
      </c>
      <c r="CJ30" s="249">
        <v>-2.78</v>
      </c>
      <c r="CK30" s="249">
        <v>-2.78</v>
      </c>
      <c r="CL30" s="249">
        <v>-2.78</v>
      </c>
      <c r="CM30" s="249">
        <v>-2.78</v>
      </c>
      <c r="CN30" s="335"/>
      <c r="CO30" s="249"/>
      <c r="CP30" s="249"/>
      <c r="CQ30" s="249"/>
      <c r="CR30" s="1242"/>
      <c r="CS30" s="419"/>
      <c r="CT30" s="249"/>
      <c r="CU30" s="249"/>
      <c r="CV30" s="249"/>
      <c r="CW30" s="249"/>
      <c r="CX30" s="249"/>
      <c r="CY30" s="249"/>
      <c r="CZ30" s="249"/>
      <c r="DA30" s="1242"/>
      <c r="DB30" s="1212"/>
      <c r="DC30" s="251"/>
      <c r="DD30" s="251"/>
      <c r="DE30" s="273"/>
      <c r="DF30" s="273"/>
      <c r="DG30" s="1323"/>
      <c r="DH30" s="1324"/>
      <c r="DI30" s="273"/>
      <c r="DJ30" s="273"/>
      <c r="DK30" s="273"/>
      <c r="DL30" s="273"/>
      <c r="DM30" s="273"/>
      <c r="DN30" s="273"/>
      <c r="DO30" s="273"/>
      <c r="DP30" s="273"/>
      <c r="DQ30" s="1321"/>
      <c r="DR30" s="273"/>
      <c r="DS30" s="273"/>
      <c r="DT30" s="273"/>
      <c r="DU30" s="273"/>
      <c r="DV30" s="1323"/>
      <c r="DW30" s="1324"/>
      <c r="DX30" s="273"/>
      <c r="DY30" s="273"/>
      <c r="DZ30" s="273"/>
      <c r="EA30" s="273"/>
      <c r="EB30" s="273"/>
      <c r="EC30" s="273"/>
      <c r="ED30" s="273"/>
      <c r="EE30" s="1323"/>
      <c r="EF30" s="1324"/>
      <c r="EG30" s="273"/>
      <c r="EH30" s="273"/>
      <c r="EI30" s="273"/>
      <c r="EJ30" s="273"/>
      <c r="EK30" s="1323"/>
      <c r="EL30" s="1324"/>
      <c r="EM30" s="273"/>
      <c r="EN30" s="273"/>
      <c r="EO30" s="273"/>
      <c r="EP30" s="273"/>
      <c r="EQ30" s="273"/>
      <c r="ER30" s="273"/>
      <c r="ES30" s="273"/>
      <c r="ET30" s="273"/>
      <c r="EU30" s="1321"/>
      <c r="EV30" s="273"/>
      <c r="EW30" s="273"/>
      <c r="EX30" s="273"/>
      <c r="EY30" s="1323"/>
      <c r="EZ30" s="1324"/>
      <c r="FA30" s="273"/>
      <c r="FB30" s="273"/>
      <c r="FC30" s="273"/>
      <c r="FD30" s="273"/>
      <c r="FE30" s="273"/>
      <c r="FF30" s="273"/>
      <c r="FG30" s="273"/>
      <c r="FH30" s="1323"/>
      <c r="FI30" s="1324"/>
      <c r="FJ30" s="273"/>
      <c r="FK30" s="273"/>
      <c r="FL30" s="273"/>
      <c r="FM30" s="273"/>
    </row>
    <row r="31" spans="3:179" ht="15" thickBot="1" x14ac:dyDescent="0.4">
      <c r="C31" s="444" t="s">
        <v>319</v>
      </c>
      <c r="F31" s="653"/>
      <c r="G31" s="311"/>
      <c r="H31" s="311"/>
      <c r="I31" s="1241"/>
      <c r="J31" s="654"/>
      <c r="K31" s="311"/>
      <c r="L31" s="311"/>
      <c r="M31" s="311"/>
      <c r="N31" s="311"/>
      <c r="O31" s="311"/>
      <c r="P31" s="311"/>
      <c r="Q31" s="311"/>
      <c r="R31" s="311"/>
      <c r="S31" s="654"/>
      <c r="T31" s="311"/>
      <c r="U31" s="311"/>
      <c r="V31" s="311"/>
      <c r="W31" s="311"/>
      <c r="X31" s="1241"/>
      <c r="Y31" s="654"/>
      <c r="Z31" s="311"/>
      <c r="AA31" s="311"/>
      <c r="AB31" s="311"/>
      <c r="AC31" s="311"/>
      <c r="AD31" s="311"/>
      <c r="AE31" s="311"/>
      <c r="AF31" s="311"/>
      <c r="AG31" s="311"/>
      <c r="AH31" s="1327"/>
      <c r="AI31" s="311"/>
      <c r="AJ31" s="311"/>
      <c r="AK31" s="311"/>
      <c r="AL31" s="1241"/>
      <c r="AM31" s="654"/>
      <c r="AN31" s="311"/>
      <c r="AO31" s="311"/>
      <c r="AP31" s="311"/>
      <c r="AQ31" s="311"/>
      <c r="AR31" s="311"/>
      <c r="AS31" s="311"/>
      <c r="AT31" s="311"/>
      <c r="AU31" s="1241"/>
      <c r="AV31" s="654"/>
      <c r="AW31" s="311"/>
      <c r="AX31" s="311"/>
      <c r="AY31" s="311"/>
      <c r="AZ31" s="311"/>
      <c r="BA31" s="1241"/>
      <c r="BB31" s="654"/>
      <c r="BC31" s="311"/>
      <c r="BD31" s="311"/>
      <c r="BE31" s="311"/>
      <c r="BF31" s="311"/>
      <c r="BG31" s="311"/>
      <c r="BH31" s="311"/>
      <c r="BI31" s="311"/>
      <c r="BJ31" s="311"/>
      <c r="BK31" s="1327"/>
      <c r="BL31" s="463">
        <v>5.0999999999999996</v>
      </c>
      <c r="BM31" s="463">
        <v>5.9</v>
      </c>
      <c r="BN31" s="463"/>
      <c r="BO31" s="1593">
        <v>6.47</v>
      </c>
      <c r="BP31" s="1587"/>
      <c r="BQ31" s="463">
        <v>4.2</v>
      </c>
      <c r="BR31" s="463"/>
      <c r="BS31" s="463">
        <v>4.4000000000000004</v>
      </c>
      <c r="BT31" s="463">
        <v>5</v>
      </c>
      <c r="BU31" s="463">
        <v>5.09</v>
      </c>
      <c r="BV31" s="463">
        <v>5.7</v>
      </c>
      <c r="BW31" s="463"/>
      <c r="BX31" s="1593">
        <v>6.1</v>
      </c>
      <c r="BY31" s="1587"/>
      <c r="BZ31" s="463">
        <v>7.5</v>
      </c>
      <c r="CA31" s="463">
        <v>7.49</v>
      </c>
      <c r="CB31" s="311"/>
      <c r="CC31" s="311"/>
      <c r="CD31" s="1241"/>
      <c r="CE31" s="654"/>
      <c r="CF31" s="311"/>
      <c r="CG31" s="311"/>
      <c r="CH31" s="311"/>
      <c r="CI31" s="311"/>
      <c r="CJ31" s="311"/>
      <c r="CK31" s="311"/>
      <c r="CL31" s="311"/>
      <c r="CM31" s="311"/>
      <c r="CN31" s="1327"/>
      <c r="CO31" s="311"/>
      <c r="CP31" s="311"/>
      <c r="CQ31" s="311"/>
      <c r="CR31" s="1241"/>
      <c r="CS31" s="654"/>
      <c r="CT31" s="311"/>
      <c r="CU31" s="311"/>
      <c r="CV31" s="311"/>
      <c r="CW31" s="311"/>
      <c r="CX31" s="311"/>
      <c r="CY31" s="311"/>
      <c r="CZ31" s="311"/>
      <c r="DA31" s="1241"/>
      <c r="DB31" s="1218"/>
      <c r="DC31" s="392"/>
      <c r="DD31" s="392"/>
      <c r="DE31" s="1325"/>
      <c r="DF31" s="1325"/>
      <c r="DG31" s="1511"/>
      <c r="DH31" s="1505"/>
      <c r="DI31" s="1325"/>
      <c r="DJ31" s="1325"/>
      <c r="DK31" s="1325"/>
      <c r="DL31" s="1325"/>
      <c r="DM31" s="1325"/>
      <c r="DN31" s="1325"/>
      <c r="DO31" s="1325"/>
      <c r="DP31" s="1325"/>
      <c r="DQ31" s="1326"/>
      <c r="DR31" s="1325"/>
      <c r="DS31" s="1325"/>
      <c r="DT31" s="1325"/>
      <c r="DU31" s="1325"/>
      <c r="DV31" s="1511"/>
      <c r="DW31" s="1505"/>
      <c r="DX31" s="1325"/>
      <c r="DY31" s="1325"/>
      <c r="DZ31" s="1325"/>
      <c r="EA31" s="1325"/>
      <c r="EB31" s="1325"/>
      <c r="EC31" s="1325"/>
      <c r="ED31" s="1325"/>
      <c r="EE31" s="1511"/>
      <c r="EF31" s="1505"/>
      <c r="EG31" s="1325"/>
      <c r="EH31" s="1325"/>
      <c r="EI31" s="1325"/>
      <c r="EJ31" s="1325"/>
      <c r="EK31" s="1511"/>
      <c r="EL31" s="1505"/>
      <c r="EM31" s="1325"/>
      <c r="EN31" s="1325"/>
      <c r="EO31" s="1325"/>
      <c r="EP31" s="1325"/>
      <c r="EQ31" s="1325"/>
      <c r="ER31" s="1325"/>
      <c r="ES31" s="1325"/>
      <c r="ET31" s="1325"/>
      <c r="EU31" s="1326"/>
      <c r="EV31" s="1325"/>
      <c r="EW31" s="1325"/>
      <c r="EX31" s="1325"/>
      <c r="EY31" s="1511"/>
      <c r="EZ31" s="1505"/>
      <c r="FA31" s="1325"/>
      <c r="FB31" s="1325"/>
      <c r="FC31" s="1325"/>
      <c r="FD31" s="1325"/>
      <c r="FE31" s="1325"/>
      <c r="FF31" s="1325"/>
      <c r="FG31" s="1325"/>
      <c r="FH31" s="1511"/>
      <c r="FI31" s="1505"/>
      <c r="FJ31" s="1325"/>
      <c r="FK31" s="1325"/>
      <c r="FL31" s="1325"/>
      <c r="FM31" s="1325"/>
      <c r="FN31" s="1269"/>
      <c r="FO31" s="1214"/>
      <c r="FP31" s="225"/>
      <c r="FQ31" s="225"/>
      <c r="FR31" s="225"/>
      <c r="FS31" s="225"/>
      <c r="FT31" s="225"/>
      <c r="FU31" s="225"/>
      <c r="FV31" s="225"/>
      <c r="FW31" s="225"/>
    </row>
    <row r="32" spans="3:179" s="299" customFormat="1" ht="15.5" thickTop="1" thickBot="1" x14ac:dyDescent="0.4">
      <c r="C32" s="305"/>
      <c r="D32" s="305"/>
      <c r="E32" s="305"/>
      <c r="F32" s="1032"/>
      <c r="G32" s="312"/>
      <c r="H32" s="312"/>
      <c r="I32" s="1240"/>
      <c r="J32" s="1189"/>
      <c r="K32" s="312"/>
      <c r="L32" s="312"/>
      <c r="M32" s="312"/>
      <c r="N32" s="312"/>
      <c r="O32" s="312"/>
      <c r="P32" s="312"/>
      <c r="Q32" s="312"/>
      <c r="R32" s="1240"/>
      <c r="S32" s="1189"/>
      <c r="T32" s="312"/>
      <c r="U32" s="312"/>
      <c r="V32" s="312"/>
      <c r="W32" s="312"/>
      <c r="X32" s="1240"/>
      <c r="Y32" s="1189"/>
      <c r="Z32" s="312"/>
      <c r="AA32" s="312"/>
      <c r="AB32" s="312"/>
      <c r="AC32" s="312"/>
      <c r="AD32" s="312"/>
      <c r="AE32" s="312"/>
      <c r="AF32" s="312"/>
      <c r="AG32" s="312"/>
      <c r="AH32" s="360"/>
      <c r="AI32" s="312"/>
      <c r="AJ32" s="312"/>
      <c r="AK32" s="312"/>
      <c r="AL32" s="1240"/>
      <c r="AM32" s="1189"/>
      <c r="AN32" s="312"/>
      <c r="AO32" s="312"/>
      <c r="AP32" s="312"/>
      <c r="AQ32" s="312"/>
      <c r="AR32" s="312"/>
      <c r="AS32" s="312"/>
      <c r="AT32" s="312"/>
      <c r="AU32" s="1240"/>
      <c r="AV32" s="1189"/>
      <c r="AW32" s="312"/>
      <c r="AX32" s="312"/>
      <c r="AY32" s="312"/>
      <c r="AZ32" s="312"/>
      <c r="BA32" s="1240"/>
      <c r="BB32" s="1189"/>
      <c r="BC32" s="312"/>
      <c r="BD32" s="312"/>
      <c r="BE32" s="312"/>
      <c r="BF32" s="312"/>
      <c r="BG32" s="312"/>
      <c r="BH32" s="312"/>
      <c r="BI32" s="312"/>
      <c r="BJ32" s="312"/>
      <c r="BK32" s="360"/>
      <c r="BL32" s="316"/>
      <c r="BM32" s="316"/>
      <c r="BN32" s="316"/>
      <c r="BO32" s="1243"/>
      <c r="BP32" s="1190"/>
      <c r="BQ32" s="316"/>
      <c r="BR32" s="316"/>
      <c r="BS32" s="316"/>
      <c r="BT32" s="316"/>
      <c r="BU32" s="316"/>
      <c r="BV32" s="316"/>
      <c r="BW32" s="316"/>
      <c r="BX32" s="1243"/>
      <c r="BY32" s="1190"/>
      <c r="BZ32" s="316"/>
      <c r="CA32" s="316"/>
      <c r="CB32" s="316"/>
      <c r="CC32" s="316"/>
      <c r="CD32" s="1243"/>
      <c r="CE32" s="1190"/>
      <c r="CF32" s="316"/>
      <c r="CG32" s="316"/>
      <c r="CH32" s="316"/>
      <c r="CI32" s="316"/>
      <c r="CJ32" s="316"/>
      <c r="CK32" s="316"/>
      <c r="CL32" s="316"/>
      <c r="CM32" s="316"/>
      <c r="CN32" s="360"/>
      <c r="CO32" s="312"/>
      <c r="CP32" s="312"/>
      <c r="CQ32" s="312"/>
      <c r="CR32" s="1240"/>
      <c r="CS32" s="1189"/>
      <c r="CT32" s="312"/>
      <c r="CU32" s="312"/>
      <c r="CV32" s="312"/>
      <c r="CW32" s="312"/>
      <c r="CX32" s="312"/>
      <c r="CY32" s="312"/>
      <c r="CZ32" s="312"/>
      <c r="DA32" s="1240"/>
      <c r="DB32" s="1189"/>
      <c r="DC32" s="312"/>
      <c r="DD32" s="312"/>
      <c r="DE32" s="307"/>
      <c r="DF32" s="307"/>
      <c r="DG32" s="1239"/>
      <c r="DH32" s="1186"/>
      <c r="DI32" s="307"/>
      <c r="DJ32" s="307"/>
      <c r="DK32" s="307"/>
      <c r="DL32" s="307"/>
      <c r="DM32" s="307"/>
      <c r="DN32" s="307"/>
      <c r="DO32" s="307"/>
      <c r="DP32" s="307"/>
      <c r="DQ32" s="359"/>
      <c r="DR32" s="361"/>
      <c r="DS32" s="307"/>
      <c r="DT32" s="307"/>
      <c r="DU32" s="307"/>
      <c r="DV32" s="1239"/>
      <c r="DW32" s="1186"/>
      <c r="DX32" s="307"/>
      <c r="DY32" s="307"/>
      <c r="DZ32" s="307"/>
      <c r="EA32" s="307"/>
      <c r="EB32" s="307"/>
      <c r="EC32" s="307"/>
      <c r="ED32" s="307"/>
      <c r="EE32" s="1239"/>
      <c r="EF32" s="1186"/>
      <c r="EG32" s="307"/>
      <c r="EH32" s="307"/>
      <c r="EI32" s="307"/>
      <c r="EJ32" s="307"/>
      <c r="EK32" s="1239"/>
      <c r="EL32" s="1186"/>
      <c r="EM32" s="307"/>
      <c r="EN32" s="307"/>
      <c r="EO32" s="307"/>
      <c r="EP32" s="307"/>
      <c r="EQ32" s="307"/>
      <c r="ER32" s="307"/>
      <c r="ES32" s="307"/>
      <c r="ET32" s="307"/>
      <c r="EU32" s="359"/>
      <c r="EV32" s="307"/>
      <c r="EW32" s="307"/>
      <c r="EX32" s="307"/>
      <c r="EY32" s="1239"/>
      <c r="EZ32" s="1186"/>
      <c r="FA32" s="307"/>
      <c r="FB32" s="307"/>
      <c r="FC32" s="307"/>
      <c r="FD32" s="307"/>
      <c r="FE32" s="307"/>
      <c r="FF32" s="307"/>
      <c r="FG32" s="307"/>
      <c r="FH32" s="1239"/>
      <c r="FI32" s="1186"/>
      <c r="FJ32" s="307"/>
      <c r="FK32" s="307"/>
      <c r="FL32" s="307"/>
      <c r="FM32" s="307"/>
      <c r="FN32" s="1239"/>
      <c r="FO32" s="1186"/>
      <c r="FP32" s="307"/>
      <c r="FQ32" s="307"/>
      <c r="FR32" s="307"/>
      <c r="FS32" s="307"/>
      <c r="FT32" s="307"/>
      <c r="FU32" s="307"/>
      <c r="FV32" s="307"/>
      <c r="FW32" s="307"/>
    </row>
    <row r="33" spans="3:180" ht="15" thickTop="1" x14ac:dyDescent="0.35">
      <c r="C33" s="1" t="s">
        <v>95</v>
      </c>
      <c r="F33" s="1033"/>
      <c r="G33" s="309"/>
      <c r="H33" s="309"/>
      <c r="I33" s="422"/>
      <c r="J33" s="421"/>
      <c r="K33" s="309"/>
      <c r="L33" s="309"/>
      <c r="M33" s="309"/>
      <c r="N33" s="309"/>
      <c r="O33" s="309"/>
      <c r="P33" s="309"/>
      <c r="Q33" s="309"/>
      <c r="R33" s="309"/>
      <c r="S33" s="421"/>
      <c r="T33" s="421"/>
      <c r="U33" s="421"/>
      <c r="V33" s="421"/>
      <c r="W33" s="421"/>
      <c r="X33" s="421"/>
      <c r="Y33" s="421"/>
      <c r="Z33" s="421"/>
      <c r="AA33" s="421"/>
      <c r="AB33" s="421"/>
      <c r="AC33" s="421"/>
      <c r="AD33" s="421"/>
      <c r="AE33" s="421"/>
      <c r="AF33" s="421"/>
      <c r="AG33" s="421"/>
      <c r="AH33" s="357"/>
      <c r="AI33" s="309"/>
      <c r="AJ33" s="309"/>
      <c r="AK33" s="309"/>
      <c r="AL33" s="422"/>
      <c r="AM33" s="421"/>
      <c r="AN33" s="309"/>
      <c r="AO33" s="309"/>
      <c r="AP33" s="309"/>
      <c r="AQ33" s="309"/>
      <c r="AR33" s="309"/>
      <c r="AS33" s="309"/>
      <c r="AT33" s="309"/>
      <c r="AU33" s="422"/>
      <c r="AV33" s="421"/>
      <c r="AW33" s="309"/>
      <c r="AX33" s="309"/>
      <c r="AY33" s="309"/>
      <c r="AZ33" s="309"/>
      <c r="BA33" s="422"/>
      <c r="BB33" s="421"/>
      <c r="BC33" s="309"/>
      <c r="BD33" s="309"/>
      <c r="BE33" s="309"/>
      <c r="BF33" s="309"/>
      <c r="BG33" s="309"/>
      <c r="BH33" s="309"/>
      <c r="BI33" s="309"/>
      <c r="BJ33" s="309"/>
      <c r="BK33" s="357"/>
      <c r="BL33" s="309" cm="1">
        <f t="array" ref="BL33:CM33">'HPS DAILY (repro-)'!J89:AK89</f>
        <v>11.874529949999999</v>
      </c>
      <c r="BM33" s="309">
        <v>13.394867999999999</v>
      </c>
      <c r="BN33" s="309">
        <v>13.633165499999999</v>
      </c>
      <c r="BO33" s="422">
        <v>13.680825</v>
      </c>
      <c r="BP33" s="421">
        <v>6.5033042999999999</v>
      </c>
      <c r="BQ33" s="309">
        <v>6.7225380000000001</v>
      </c>
      <c r="BR33" s="309">
        <v>7.3707072</v>
      </c>
      <c r="BS33" s="309">
        <v>7.7710470000000003</v>
      </c>
      <c r="BT33" s="309">
        <v>8.1046635000000009</v>
      </c>
      <c r="BU33" s="309">
        <v>8.2857696000000001</v>
      </c>
      <c r="BV33" s="309">
        <v>8.5431308999999995</v>
      </c>
      <c r="BW33" s="309">
        <v>9.1817681999999987</v>
      </c>
      <c r="BX33" s="422">
        <v>8.9148750000000003</v>
      </c>
      <c r="BY33" s="421">
        <v>-0.14043</v>
      </c>
      <c r="BZ33" s="309">
        <v>-0.14043</v>
      </c>
      <c r="CA33" s="309">
        <v>-0.14043</v>
      </c>
      <c r="CB33" s="309">
        <v>-0.14043</v>
      </c>
      <c r="CC33" s="309">
        <v>-0.14043</v>
      </c>
      <c r="CD33" s="422">
        <v>-0.14043</v>
      </c>
      <c r="CE33" s="421">
        <v>-0.14043</v>
      </c>
      <c r="CF33" s="309">
        <v>-0.14043</v>
      </c>
      <c r="CG33" s="309">
        <v>-0.14043</v>
      </c>
      <c r="CH33" s="309">
        <v>-0.14043</v>
      </c>
      <c r="CI33" s="309">
        <v>-0.14043</v>
      </c>
      <c r="CJ33" s="309">
        <v>-0.14043</v>
      </c>
      <c r="CK33" s="309">
        <v>-0.14043</v>
      </c>
      <c r="CL33" s="309">
        <v>-0.14043</v>
      </c>
      <c r="CM33" s="309">
        <v>-0.14043</v>
      </c>
      <c r="CN33" s="357"/>
      <c r="CO33" s="296"/>
      <c r="CP33" s="296"/>
      <c r="CQ33" s="296"/>
      <c r="CR33" s="1235"/>
      <c r="CS33" s="1187"/>
      <c r="CT33" s="296"/>
      <c r="CU33" s="296"/>
      <c r="CV33" s="296"/>
      <c r="CW33" s="296"/>
      <c r="CX33" s="296"/>
      <c r="CY33" s="296"/>
      <c r="CZ33" s="296"/>
      <c r="DA33" s="1235"/>
      <c r="DB33" s="1187"/>
      <c r="DC33" s="296"/>
      <c r="DD33" s="296"/>
      <c r="DE33" s="229"/>
      <c r="DF33" s="229"/>
      <c r="DG33" s="1245"/>
      <c r="DH33" s="538"/>
      <c r="DI33" s="229"/>
      <c r="DJ33" s="229"/>
      <c r="DK33" s="229"/>
      <c r="DL33" s="229"/>
      <c r="DM33" s="229"/>
      <c r="DN33" s="229"/>
      <c r="DO33" s="229"/>
      <c r="DP33" s="229"/>
      <c r="DQ33" s="356"/>
      <c r="DR33" s="358"/>
      <c r="DS33" s="229"/>
      <c r="DT33" s="229"/>
      <c r="DU33" s="229"/>
      <c r="DV33" s="1245"/>
      <c r="DW33" s="538"/>
      <c r="DX33" s="229"/>
      <c r="DY33" s="229"/>
      <c r="DZ33" s="229"/>
      <c r="EA33" s="229"/>
      <c r="EB33" s="229"/>
      <c r="EC33" s="229"/>
      <c r="ED33" s="229"/>
      <c r="EE33" s="1245"/>
      <c r="EF33" s="538"/>
      <c r="EG33" s="229"/>
      <c r="EH33" s="229"/>
      <c r="EI33" s="229"/>
      <c r="EJ33" s="229"/>
      <c r="EK33" s="1245"/>
      <c r="EL33" s="538"/>
      <c r="EM33" s="229"/>
      <c r="EN33" s="229"/>
      <c r="EO33" s="229"/>
      <c r="EP33" s="229"/>
      <c r="EQ33" s="229"/>
      <c r="ER33" s="229"/>
      <c r="ES33" s="229"/>
      <c r="ET33" s="229"/>
      <c r="EU33" s="356"/>
      <c r="EV33" s="229"/>
      <c r="EW33" s="229"/>
      <c r="EX33" s="229"/>
      <c r="EY33" s="1245"/>
      <c r="EZ33" s="538"/>
      <c r="FA33" s="229"/>
      <c r="FB33" s="229"/>
      <c r="FC33" s="229"/>
      <c r="FD33" s="229"/>
      <c r="FE33" s="229"/>
      <c r="FF33" s="229"/>
      <c r="FG33" s="229"/>
      <c r="FH33" s="1245"/>
      <c r="FI33" s="538"/>
      <c r="FJ33" s="229"/>
      <c r="FK33" s="229"/>
      <c r="FL33" s="229"/>
      <c r="FM33" s="229"/>
      <c r="FN33" s="1245"/>
      <c r="FO33" s="538"/>
      <c r="FP33" s="229"/>
      <c r="FQ33" s="229"/>
      <c r="FR33" s="229"/>
      <c r="FS33" s="229"/>
      <c r="FT33" s="229"/>
      <c r="FU33" s="229"/>
      <c r="FV33" s="229"/>
      <c r="FW33" s="229"/>
    </row>
    <row r="34" spans="3:180" ht="15" thickBot="1" x14ac:dyDescent="0.4">
      <c r="C34" s="444" t="s">
        <v>318</v>
      </c>
      <c r="F34" s="653"/>
      <c r="G34" s="311"/>
      <c r="H34" s="311"/>
      <c r="I34" s="1241"/>
      <c r="J34" s="654"/>
      <c r="K34" s="311"/>
      <c r="L34" s="311"/>
      <c r="M34" s="311"/>
      <c r="N34" s="311"/>
      <c r="O34" s="311"/>
      <c r="P34" s="311"/>
      <c r="Q34" s="311"/>
      <c r="R34" s="311"/>
      <c r="S34" s="654"/>
      <c r="T34" s="311"/>
      <c r="U34" s="311"/>
      <c r="V34" s="304"/>
      <c r="W34" s="304"/>
      <c r="X34" s="1238"/>
      <c r="Y34" s="1188"/>
      <c r="Z34" s="304"/>
      <c r="AA34" s="304"/>
      <c r="AB34" s="304"/>
      <c r="AC34" s="304"/>
      <c r="AD34" s="304"/>
      <c r="AE34" s="304"/>
      <c r="AF34" s="304"/>
      <c r="AG34" s="304"/>
      <c r="AH34" s="350"/>
      <c r="AI34" s="304"/>
      <c r="AJ34" s="304"/>
      <c r="AK34" s="304"/>
      <c r="AL34" s="1238"/>
      <c r="AM34" s="1188"/>
      <c r="AN34" s="304"/>
      <c r="AO34" s="304"/>
      <c r="AP34" s="304"/>
      <c r="AQ34" s="304"/>
      <c r="AR34" s="304"/>
      <c r="AS34" s="304"/>
      <c r="AT34" s="304"/>
      <c r="AU34" s="1238"/>
      <c r="AV34" s="1188"/>
      <c r="AW34" s="304"/>
      <c r="AX34" s="304"/>
      <c r="AY34" s="304"/>
      <c r="AZ34" s="304"/>
      <c r="BA34" s="1238"/>
      <c r="BB34" s="1188"/>
      <c r="BC34" s="304"/>
      <c r="BD34" s="304"/>
      <c r="BE34" s="304"/>
      <c r="BF34" s="304"/>
      <c r="BG34" s="304"/>
      <c r="BH34" s="304"/>
      <c r="BI34" s="304"/>
      <c r="BJ34" s="304"/>
      <c r="BK34" s="350"/>
      <c r="BL34" s="463">
        <v>14.2</v>
      </c>
      <c r="BM34" s="463">
        <v>14.5</v>
      </c>
      <c r="BN34" s="463">
        <v>15</v>
      </c>
      <c r="BO34" s="1593">
        <v>15.23</v>
      </c>
      <c r="BP34" s="1587">
        <v>10</v>
      </c>
      <c r="BQ34" s="463">
        <v>10.5</v>
      </c>
      <c r="BR34" s="463">
        <v>11.6</v>
      </c>
      <c r="BS34" s="463">
        <v>11.6</v>
      </c>
      <c r="BT34" s="463">
        <v>12</v>
      </c>
      <c r="BU34" s="463">
        <v>12.27</v>
      </c>
      <c r="BV34" s="463">
        <v>13.2</v>
      </c>
      <c r="BW34" s="463">
        <v>12.5</v>
      </c>
      <c r="BX34" s="1593">
        <v>12.6</v>
      </c>
      <c r="BY34" s="1587">
        <v>12.8</v>
      </c>
      <c r="BZ34" s="463">
        <v>13</v>
      </c>
      <c r="CA34" s="463">
        <v>12.43</v>
      </c>
      <c r="CB34" s="311"/>
      <c r="CC34" s="311"/>
      <c r="CD34" s="1241"/>
      <c r="CE34" s="654"/>
      <c r="CF34" s="311"/>
      <c r="CG34" s="311"/>
      <c r="CH34" s="311"/>
      <c r="CI34" s="311"/>
      <c r="CJ34" s="311"/>
      <c r="CK34" s="311"/>
      <c r="CL34" s="311"/>
      <c r="CM34" s="311"/>
      <c r="CN34" s="350"/>
      <c r="CO34" s="304"/>
      <c r="CP34" s="304"/>
      <c r="CQ34" s="304"/>
      <c r="CR34" s="1238"/>
      <c r="CS34" s="1188"/>
      <c r="CT34" s="304"/>
      <c r="CU34" s="304"/>
      <c r="CV34" s="304"/>
      <c r="CW34" s="304"/>
      <c r="CX34" s="304"/>
      <c r="CY34" s="304"/>
      <c r="CZ34" s="304"/>
      <c r="DA34" s="1238"/>
      <c r="DB34" s="1188"/>
      <c r="DC34" s="304"/>
      <c r="DD34" s="304"/>
      <c r="DE34" s="225"/>
      <c r="DF34" s="225"/>
      <c r="DG34" s="1269"/>
      <c r="DH34" s="1214"/>
      <c r="DI34" s="225"/>
      <c r="DJ34" s="225"/>
      <c r="DK34" s="225"/>
      <c r="DL34" s="225"/>
      <c r="DM34" s="225"/>
      <c r="DN34" s="225"/>
      <c r="DO34" s="225"/>
      <c r="DP34" s="225"/>
      <c r="DQ34" s="344"/>
      <c r="DR34" s="345"/>
      <c r="DS34" s="225"/>
      <c r="DT34" s="225"/>
      <c r="DU34" s="225"/>
      <c r="DV34" s="1269"/>
      <c r="DW34" s="1214"/>
      <c r="DX34" s="225"/>
      <c r="DY34" s="225"/>
      <c r="DZ34" s="225"/>
      <c r="EA34" s="225"/>
      <c r="EB34" s="225"/>
      <c r="EC34" s="225"/>
      <c r="ED34" s="225"/>
      <c r="EE34" s="1269"/>
      <c r="EF34" s="1214"/>
      <c r="EG34" s="225"/>
      <c r="EH34" s="225"/>
      <c r="EI34" s="225"/>
      <c r="EJ34" s="225"/>
      <c r="EK34" s="1269"/>
      <c r="EL34" s="1214"/>
      <c r="EM34" s="225"/>
      <c r="EN34" s="225"/>
      <c r="EO34" s="225"/>
      <c r="EP34" s="225"/>
      <c r="EQ34" s="225"/>
      <c r="ER34" s="225"/>
      <c r="ES34" s="225"/>
      <c r="ET34" s="225"/>
      <c r="EU34" s="344"/>
      <c r="EV34" s="225"/>
      <c r="EW34" s="225"/>
      <c r="EX34" s="225"/>
      <c r="EY34" s="1269"/>
      <c r="EZ34" s="1214"/>
      <c r="FA34" s="225"/>
      <c r="FB34" s="225"/>
      <c r="FC34" s="225"/>
      <c r="FD34" s="225"/>
      <c r="FE34" s="225"/>
      <c r="FF34" s="225"/>
      <c r="FG34" s="225"/>
      <c r="FH34" s="1269"/>
      <c r="FI34" s="1214"/>
      <c r="FJ34" s="225"/>
      <c r="FK34" s="225"/>
      <c r="FL34" s="225"/>
      <c r="FM34" s="225"/>
      <c r="FN34" s="1269"/>
      <c r="FO34" s="1214"/>
      <c r="FP34" s="225"/>
      <c r="FQ34" s="225"/>
      <c r="FR34" s="225"/>
      <c r="FS34" s="225"/>
      <c r="FT34" s="225"/>
      <c r="FU34" s="225"/>
      <c r="FV34" s="225"/>
      <c r="FW34" s="225"/>
    </row>
    <row r="35" spans="3:180" s="299" customFormat="1" ht="15.5" thickTop="1" thickBot="1" x14ac:dyDescent="0.4">
      <c r="C35" s="305"/>
      <c r="D35" s="305"/>
      <c r="E35" s="305"/>
      <c r="F35" s="1031"/>
      <c r="G35" s="307"/>
      <c r="H35" s="307"/>
      <c r="I35" s="1239"/>
      <c r="J35" s="1186"/>
      <c r="K35" s="307"/>
      <c r="L35" s="307"/>
      <c r="M35" s="307"/>
      <c r="N35" s="307"/>
      <c r="O35" s="307"/>
      <c r="P35" s="307"/>
      <c r="Q35" s="307"/>
      <c r="R35" s="1239"/>
      <c r="S35" s="1186"/>
      <c r="T35" s="307"/>
      <c r="U35" s="307"/>
      <c r="V35" s="307"/>
      <c r="W35" s="307"/>
      <c r="X35" s="1239"/>
      <c r="Y35" s="1186"/>
      <c r="Z35" s="307"/>
      <c r="AA35" s="307"/>
      <c r="AB35" s="307"/>
      <c r="AC35" s="307"/>
      <c r="AD35" s="307"/>
      <c r="AE35" s="307"/>
      <c r="AF35" s="307"/>
      <c r="AG35" s="307"/>
      <c r="AH35" s="359"/>
      <c r="AI35" s="307"/>
      <c r="AJ35" s="307"/>
      <c r="AK35" s="307"/>
      <c r="AL35" s="1239"/>
      <c r="AM35" s="1186"/>
      <c r="AN35" s="307"/>
      <c r="AO35" s="307"/>
      <c r="AP35" s="307"/>
      <c r="AQ35" s="307"/>
      <c r="AR35" s="307"/>
      <c r="AS35" s="307"/>
      <c r="AT35" s="307"/>
      <c r="AU35" s="1239"/>
      <c r="AV35" s="1186"/>
      <c r="AW35" s="307"/>
      <c r="AX35" s="307"/>
      <c r="AY35" s="307"/>
      <c r="AZ35" s="307"/>
      <c r="BA35" s="1239"/>
      <c r="BB35" s="1186"/>
      <c r="BC35" s="307"/>
      <c r="BD35" s="307"/>
      <c r="BE35" s="307"/>
      <c r="BF35" s="307"/>
      <c r="BG35" s="307"/>
      <c r="BH35" s="307"/>
      <c r="BI35" s="307"/>
      <c r="BJ35" s="307"/>
      <c r="BK35" s="359"/>
      <c r="BL35" s="315"/>
      <c r="BM35" s="315"/>
      <c r="BN35" s="315"/>
      <c r="BO35" s="1594"/>
      <c r="BP35" s="1588"/>
      <c r="BQ35" s="315"/>
      <c r="BR35" s="315"/>
      <c r="BS35" s="315"/>
      <c r="BT35" s="315"/>
      <c r="BU35" s="315"/>
      <c r="BV35" s="315"/>
      <c r="BW35" s="315"/>
      <c r="BX35" s="1594"/>
      <c r="BY35" s="1588"/>
      <c r="BZ35" s="315"/>
      <c r="CA35" s="315"/>
      <c r="CB35" s="315"/>
      <c r="CC35" s="315"/>
      <c r="CD35" s="1594"/>
      <c r="CE35" s="1588"/>
      <c r="CF35" s="315"/>
      <c r="CG35" s="315"/>
      <c r="CH35" s="315"/>
      <c r="CI35" s="315"/>
      <c r="CJ35" s="315"/>
      <c r="CK35" s="315"/>
      <c r="CL35" s="315"/>
      <c r="CM35" s="315"/>
      <c r="CN35" s="359"/>
      <c r="CO35" s="307"/>
      <c r="CP35" s="307"/>
      <c r="CQ35" s="307"/>
      <c r="CR35" s="1239"/>
      <c r="CS35" s="1186"/>
      <c r="CT35" s="307"/>
      <c r="CU35" s="307"/>
      <c r="CV35" s="307"/>
      <c r="CW35" s="307"/>
      <c r="CX35" s="307"/>
      <c r="CY35" s="307"/>
      <c r="CZ35" s="307"/>
      <c r="DA35" s="1239"/>
      <c r="DB35" s="1186"/>
      <c r="DC35" s="307"/>
      <c r="DD35" s="307"/>
      <c r="DE35" s="307"/>
      <c r="DF35" s="307"/>
      <c r="DG35" s="1239"/>
      <c r="DH35" s="1186"/>
      <c r="DI35" s="307"/>
      <c r="DJ35" s="307"/>
      <c r="DK35" s="307"/>
      <c r="DL35" s="307"/>
      <c r="DM35" s="307"/>
      <c r="DN35" s="307"/>
      <c r="DO35" s="307"/>
      <c r="DP35" s="307"/>
      <c r="DQ35" s="359"/>
      <c r="DR35" s="361"/>
      <c r="DS35" s="307"/>
      <c r="DT35" s="307"/>
      <c r="DU35" s="307"/>
      <c r="DV35" s="1239"/>
      <c r="DW35" s="1186"/>
      <c r="DX35" s="307"/>
      <c r="DY35" s="307"/>
      <c r="DZ35" s="307"/>
      <c r="EA35" s="307"/>
      <c r="EB35" s="307"/>
      <c r="EC35" s="307"/>
      <c r="ED35" s="307"/>
      <c r="EE35" s="1239"/>
      <c r="EF35" s="1186"/>
      <c r="EG35" s="307"/>
      <c r="EH35" s="307"/>
      <c r="EI35" s="307"/>
      <c r="EJ35" s="307"/>
      <c r="EK35" s="1239"/>
      <c r="EL35" s="1186"/>
      <c r="EM35" s="307"/>
      <c r="EN35" s="307"/>
      <c r="EO35" s="307"/>
      <c r="EP35" s="307"/>
      <c r="EQ35" s="307"/>
      <c r="ER35" s="307"/>
      <c r="ES35" s="307"/>
      <c r="ET35" s="307"/>
      <c r="EU35" s="359"/>
      <c r="EV35" s="307"/>
      <c r="EW35" s="307"/>
      <c r="EX35" s="307"/>
      <c r="EY35" s="1239"/>
      <c r="EZ35" s="1186"/>
      <c r="FA35" s="307"/>
      <c r="FB35" s="307"/>
      <c r="FC35" s="307"/>
      <c r="FD35" s="307"/>
      <c r="FE35" s="307"/>
      <c r="FF35" s="307"/>
      <c r="FG35" s="307"/>
      <c r="FH35" s="1239"/>
      <c r="FI35" s="1186"/>
      <c r="FJ35" s="307"/>
      <c r="FK35" s="307"/>
      <c r="FL35" s="307"/>
      <c r="FM35" s="307"/>
      <c r="FN35" s="1239"/>
      <c r="FO35" s="1186"/>
      <c r="FP35" s="307"/>
      <c r="FQ35" s="307"/>
      <c r="FR35" s="307"/>
      <c r="FS35" s="307"/>
      <c r="FT35" s="307"/>
      <c r="FU35" s="307"/>
      <c r="FV35" s="307"/>
      <c r="FW35" s="307"/>
    </row>
    <row r="36" spans="3:180" ht="15" thickTop="1" x14ac:dyDescent="0.35">
      <c r="C36" s="1" t="s">
        <v>174</v>
      </c>
      <c r="F36" s="1033"/>
      <c r="G36" s="309"/>
      <c r="H36" s="309"/>
      <c r="I36" s="422"/>
      <c r="J36" s="421"/>
      <c r="K36" s="309"/>
      <c r="L36" s="309"/>
      <c r="M36" s="309"/>
      <c r="N36" s="309"/>
      <c r="O36" s="309"/>
      <c r="P36" s="309"/>
      <c r="Q36" s="309"/>
      <c r="R36" s="422"/>
      <c r="S36" s="421"/>
      <c r="T36" s="309"/>
      <c r="U36" s="309"/>
      <c r="V36" s="309"/>
      <c r="W36" s="309"/>
      <c r="X36" s="422"/>
      <c r="Y36" s="421"/>
      <c r="Z36" s="309"/>
      <c r="AA36" s="309"/>
      <c r="AB36" s="309"/>
      <c r="AC36" s="309"/>
      <c r="AD36" s="309"/>
      <c r="AE36" s="309"/>
      <c r="AF36" s="309"/>
      <c r="AG36" s="309"/>
      <c r="AH36" s="356"/>
      <c r="AI36" s="313"/>
      <c r="AJ36" s="313"/>
      <c r="AK36" s="313"/>
      <c r="AL36" s="1614"/>
      <c r="AM36" s="1606"/>
      <c r="AN36" s="313"/>
      <c r="AO36" s="313"/>
      <c r="AP36" s="313"/>
      <c r="AQ36" s="313"/>
      <c r="AR36" s="313"/>
      <c r="AS36" s="313"/>
      <c r="AT36" s="313"/>
      <c r="AU36" s="1614"/>
      <c r="AV36" s="1606"/>
      <c r="AW36" s="313"/>
      <c r="AX36" s="313"/>
      <c r="AY36" s="313"/>
      <c r="AZ36" s="313"/>
      <c r="BA36" s="1614"/>
      <c r="BB36" s="1606"/>
      <c r="BC36" s="313"/>
      <c r="BD36" s="313"/>
      <c r="BE36" s="313"/>
      <c r="BF36" s="313"/>
      <c r="BG36" s="313"/>
      <c r="BH36" s="313"/>
      <c r="BI36" s="313"/>
      <c r="BJ36" s="313"/>
      <c r="BK36" s="356"/>
      <c r="BL36" s="314" cm="1">
        <f t="array" ref="BL36:CM38">'HPS DAILY (repro-)'!J27:AK29</f>
        <v>87.434912000000011</v>
      </c>
      <c r="BM36" s="314">
        <v>86.646333999999996</v>
      </c>
      <c r="BN36" s="314">
        <v>88.193544000000003</v>
      </c>
      <c r="BO36" s="1330">
        <v>87.84417400000001</v>
      </c>
      <c r="BP36" s="1331">
        <v>88.293364000000011</v>
      </c>
      <c r="BQ36" s="314">
        <v>88.123670000000004</v>
      </c>
      <c r="BR36" s="314">
        <v>88.912247999999991</v>
      </c>
      <c r="BS36" s="314">
        <v>89.341474000000005</v>
      </c>
      <c r="BT36" s="314">
        <v>89.16179799999999</v>
      </c>
      <c r="BU36" s="314">
        <v>89.311527999999996</v>
      </c>
      <c r="BV36" s="314">
        <v>88.872320000000002</v>
      </c>
      <c r="BW36" s="314">
        <v>89.41134799999999</v>
      </c>
      <c r="BX36" s="1330">
        <v>88.532932000000002</v>
      </c>
      <c r="BY36" s="1331">
        <v>-8.7263999999999994E-2</v>
      </c>
      <c r="BZ36" s="314">
        <v>-8.7263999999999994E-2</v>
      </c>
      <c r="CA36" s="314">
        <v>-8.7263999999999994E-2</v>
      </c>
      <c r="CB36" s="314">
        <v>-8.7263999999999994E-2</v>
      </c>
      <c r="CC36" s="314">
        <v>-8.7263999999999994E-2</v>
      </c>
      <c r="CD36" s="1330">
        <v>-8.7263999999999994E-2</v>
      </c>
      <c r="CE36" s="1331">
        <v>-8.7263999999999994E-2</v>
      </c>
      <c r="CF36" s="314">
        <v>-8.7263999999999994E-2</v>
      </c>
      <c r="CG36" s="314">
        <v>-8.7263999999999994E-2</v>
      </c>
      <c r="CH36" s="314">
        <v>-8.7263999999999994E-2</v>
      </c>
      <c r="CI36" s="314">
        <v>-8.7263999999999994E-2</v>
      </c>
      <c r="CJ36" s="314">
        <v>-8.7263999999999994E-2</v>
      </c>
      <c r="CK36" s="314">
        <v>-8.7263999999999994E-2</v>
      </c>
      <c r="CL36" s="314">
        <v>-8.7263999999999994E-2</v>
      </c>
      <c r="CM36" s="314">
        <v>-8.7263999999999994E-2</v>
      </c>
      <c r="CN36" s="356"/>
      <c r="CO36" s="309"/>
      <c r="CP36" s="309"/>
      <c r="CQ36" s="309"/>
      <c r="CR36" s="422"/>
      <c r="CS36" s="421"/>
      <c r="CT36" s="309"/>
      <c r="CU36" s="309"/>
      <c r="CV36" s="309"/>
      <c r="CW36" s="309"/>
      <c r="CX36" s="309"/>
      <c r="CY36" s="309"/>
      <c r="CZ36" s="309"/>
      <c r="DA36" s="422"/>
      <c r="DB36" s="421"/>
      <c r="DC36" s="309"/>
      <c r="DD36" s="309"/>
      <c r="DE36" s="300"/>
      <c r="DF36" s="300"/>
      <c r="DG36" s="1512"/>
      <c r="DH36" s="1506"/>
      <c r="DI36" s="300"/>
      <c r="DJ36" s="300"/>
      <c r="DK36" s="300"/>
      <c r="DL36" s="300"/>
      <c r="DM36" s="300"/>
      <c r="DN36" s="300"/>
      <c r="DO36" s="300"/>
      <c r="DP36" s="300"/>
      <c r="DQ36" s="356"/>
      <c r="DR36" s="358"/>
      <c r="DS36" s="229"/>
      <c r="DT36" s="229"/>
      <c r="DU36" s="229"/>
      <c r="DV36" s="1245"/>
      <c r="DW36" s="538"/>
      <c r="DX36" s="229"/>
      <c r="DY36" s="229"/>
      <c r="DZ36" s="229"/>
      <c r="EA36" s="229"/>
      <c r="EB36" s="229"/>
      <c r="EC36" s="229"/>
      <c r="ED36" s="229"/>
      <c r="EE36" s="1245"/>
      <c r="EF36" s="538"/>
      <c r="EG36" s="229"/>
      <c r="EH36" s="229"/>
      <c r="EI36" s="229"/>
      <c r="EJ36" s="229"/>
      <c r="EK36" s="1245"/>
      <c r="EL36" s="538"/>
      <c r="EM36" s="229"/>
      <c r="EN36" s="229"/>
      <c r="EO36" s="229"/>
      <c r="EP36" s="229"/>
      <c r="EQ36" s="229"/>
      <c r="ER36" s="229"/>
      <c r="ES36" s="229"/>
      <c r="ET36" s="229"/>
      <c r="EU36" s="356"/>
      <c r="EV36" s="229"/>
      <c r="EW36" s="229"/>
      <c r="EX36" s="229"/>
      <c r="EY36" s="1245"/>
      <c r="EZ36" s="538"/>
      <c r="FA36" s="229"/>
      <c r="FB36" s="229"/>
      <c r="FC36" s="229"/>
      <c r="FD36" s="229"/>
      <c r="FE36" s="229"/>
      <c r="FF36" s="229"/>
      <c r="FG36" s="229"/>
      <c r="FH36" s="1245"/>
      <c r="FI36" s="538"/>
      <c r="FJ36" s="229"/>
      <c r="FK36" s="229"/>
      <c r="FL36" s="229"/>
      <c r="FM36" s="229"/>
      <c r="FN36" s="1245"/>
      <c r="FO36" s="538"/>
      <c r="FP36" s="229"/>
      <c r="FQ36" s="229"/>
      <c r="FR36" s="229"/>
      <c r="FS36" s="229"/>
      <c r="FT36" s="229"/>
      <c r="FU36" s="229"/>
      <c r="FV36" s="229"/>
      <c r="FW36" s="229"/>
    </row>
    <row r="37" spans="3:180" x14ac:dyDescent="0.35">
      <c r="C37" s="1" t="s">
        <v>175</v>
      </c>
      <c r="F37" s="501"/>
      <c r="G37" s="249"/>
      <c r="H37" s="249"/>
      <c r="I37" s="1242"/>
      <c r="J37" s="419"/>
      <c r="K37" s="249"/>
      <c r="L37" s="249"/>
      <c r="M37" s="249"/>
      <c r="N37" s="249"/>
      <c r="O37" s="249"/>
      <c r="P37" s="249"/>
      <c r="Q37" s="249"/>
      <c r="R37" s="1242"/>
      <c r="S37" s="419"/>
      <c r="T37" s="249"/>
      <c r="U37" s="249"/>
      <c r="V37" s="249"/>
      <c r="W37" s="249"/>
      <c r="X37" s="1242"/>
      <c r="Y37" s="419"/>
      <c r="Z37" s="249"/>
      <c r="AA37" s="249"/>
      <c r="AB37" s="249"/>
      <c r="AC37" s="249"/>
      <c r="AD37" s="249"/>
      <c r="AE37" s="249"/>
      <c r="AF37" s="249"/>
      <c r="AG37" s="249"/>
      <c r="AI37" s="267"/>
      <c r="AJ37" s="267"/>
      <c r="AK37" s="267"/>
      <c r="AL37" s="1285"/>
      <c r="AM37" s="645"/>
      <c r="AN37" s="267"/>
      <c r="AO37" s="267"/>
      <c r="AP37" s="267"/>
      <c r="AQ37" s="267"/>
      <c r="AR37" s="267"/>
      <c r="AS37" s="267"/>
      <c r="AT37" s="267"/>
      <c r="AU37" s="1285"/>
      <c r="AV37" s="645"/>
      <c r="AW37" s="267"/>
      <c r="AX37" s="267"/>
      <c r="AY37" s="267"/>
      <c r="AZ37" s="267"/>
      <c r="BA37" s="1285"/>
      <c r="BB37" s="645"/>
      <c r="BC37" s="267"/>
      <c r="BD37" s="267"/>
      <c r="BE37" s="267"/>
      <c r="BF37" s="267"/>
      <c r="BG37" s="267"/>
      <c r="BH37" s="267"/>
      <c r="BI37" s="267"/>
      <c r="BJ37" s="267"/>
      <c r="BL37" s="250">
        <v>9.8068869999999997</v>
      </c>
      <c r="BM37" s="250">
        <v>9.497382</v>
      </c>
      <c r="BN37" s="250">
        <v>9.7007710000000014</v>
      </c>
      <c r="BO37" s="1280">
        <v>9.6565560000000001</v>
      </c>
      <c r="BP37" s="1223">
        <v>10.134078000000001</v>
      </c>
      <c r="BQ37" s="250">
        <v>10.081020000000001</v>
      </c>
      <c r="BR37" s="250">
        <v>9.9483750000000004</v>
      </c>
      <c r="BS37" s="250">
        <v>9.8687880000000003</v>
      </c>
      <c r="BT37" s="250">
        <v>9.8776310000000009</v>
      </c>
      <c r="BU37" s="250">
        <v>9.8245729999999991</v>
      </c>
      <c r="BV37" s="250">
        <v>9.8245729999999991</v>
      </c>
      <c r="BW37" s="250">
        <v>9.7892010000000003</v>
      </c>
      <c r="BX37" s="1280">
        <v>9.8953170000000004</v>
      </c>
      <c r="BY37" s="1223">
        <v>0</v>
      </c>
      <c r="BZ37" s="250">
        <v>0</v>
      </c>
      <c r="CA37" s="250">
        <v>0</v>
      </c>
      <c r="CB37" s="250">
        <v>0</v>
      </c>
      <c r="CC37" s="250">
        <v>0</v>
      </c>
      <c r="CD37" s="1280">
        <v>0</v>
      </c>
      <c r="CE37" s="1223">
        <v>0</v>
      </c>
      <c r="CF37" s="250">
        <v>0</v>
      </c>
      <c r="CG37" s="250">
        <v>0</v>
      </c>
      <c r="CH37" s="250">
        <v>0</v>
      </c>
      <c r="CI37" s="250">
        <v>0</v>
      </c>
      <c r="CJ37" s="250">
        <v>0</v>
      </c>
      <c r="CK37" s="250">
        <v>0</v>
      </c>
      <c r="CL37" s="250">
        <v>0</v>
      </c>
      <c r="CM37" s="250">
        <v>0</v>
      </c>
      <c r="CO37" s="249"/>
      <c r="CP37" s="249"/>
      <c r="CQ37" s="249"/>
      <c r="CR37" s="1242"/>
      <c r="CS37" s="419"/>
      <c r="CT37" s="249"/>
      <c r="CU37" s="249"/>
      <c r="CV37" s="249"/>
      <c r="CW37" s="249"/>
      <c r="CX37" s="249"/>
      <c r="CY37" s="249"/>
      <c r="CZ37" s="249"/>
      <c r="DA37" s="1242"/>
      <c r="DB37" s="419"/>
      <c r="DC37" s="249"/>
      <c r="DD37" s="249"/>
    </row>
    <row r="38" spans="3:180" x14ac:dyDescent="0.35">
      <c r="C38" s="1" t="s">
        <v>176</v>
      </c>
      <c r="F38" s="501"/>
      <c r="G38" s="249"/>
      <c r="H38" s="249"/>
      <c r="I38" s="1242"/>
      <c r="J38" s="419"/>
      <c r="K38" s="249"/>
      <c r="L38" s="249"/>
      <c r="M38" s="249"/>
      <c r="N38" s="249"/>
      <c r="O38" s="249"/>
      <c r="P38" s="249"/>
      <c r="Q38" s="249"/>
      <c r="R38" s="1242"/>
      <c r="S38" s="419"/>
      <c r="T38" s="249"/>
      <c r="U38" s="249"/>
      <c r="V38" s="249"/>
      <c r="W38" s="249"/>
      <c r="X38" s="1242"/>
      <c r="Y38" s="419"/>
      <c r="Z38" s="249"/>
      <c r="AA38" s="249"/>
      <c r="AB38" s="249"/>
      <c r="AC38" s="249"/>
      <c r="AD38" s="249"/>
      <c r="AE38" s="249"/>
      <c r="AF38" s="249"/>
      <c r="AG38" s="249"/>
      <c r="AI38" s="267"/>
      <c r="AJ38" s="267"/>
      <c r="AK38" s="267"/>
      <c r="AL38" s="1285"/>
      <c r="AM38" s="645"/>
      <c r="AN38" s="267"/>
      <c r="AO38" s="267"/>
      <c r="AP38" s="267"/>
      <c r="AQ38" s="267"/>
      <c r="AR38" s="267"/>
      <c r="AS38" s="267"/>
      <c r="AT38" s="267"/>
      <c r="AU38" s="1285"/>
      <c r="AV38" s="645"/>
      <c r="AW38" s="267"/>
      <c r="AX38" s="267"/>
      <c r="AY38" s="267"/>
      <c r="AZ38" s="267"/>
      <c r="BA38" s="1285"/>
      <c r="BB38" s="645"/>
      <c r="BC38" s="267"/>
      <c r="BD38" s="267"/>
      <c r="BE38" s="267"/>
      <c r="BF38" s="267"/>
      <c r="BG38" s="267"/>
      <c r="BH38" s="267"/>
      <c r="BI38" s="267"/>
      <c r="BJ38" s="267"/>
      <c r="BL38" s="250">
        <v>0.44</v>
      </c>
      <c r="BM38" s="250">
        <v>0.44419999999999998</v>
      </c>
      <c r="BN38" s="250">
        <v>0.44556000000000001</v>
      </c>
      <c r="BO38" s="1280">
        <v>0.44</v>
      </c>
      <c r="BP38" s="1223">
        <v>0.48570000000000002</v>
      </c>
      <c r="BQ38" s="250">
        <v>1.0069999999999999</v>
      </c>
      <c r="BR38" s="250">
        <v>0.52500000000000002</v>
      </c>
      <c r="BS38" s="250">
        <v>1.0449999999999999</v>
      </c>
      <c r="BT38" s="250">
        <v>0.64729999999999999</v>
      </c>
      <c r="BU38" s="250">
        <v>2.14</v>
      </c>
      <c r="BV38" s="250">
        <v>2.1949999999999998</v>
      </c>
      <c r="BW38" s="250">
        <v>2.31</v>
      </c>
      <c r="BX38" s="1280">
        <v>3.16</v>
      </c>
      <c r="BY38" s="1223">
        <v>3.266</v>
      </c>
      <c r="BZ38" s="250">
        <v>5.1470000000000002</v>
      </c>
      <c r="CA38" s="250">
        <v>4.8899999999999997</v>
      </c>
      <c r="CB38" s="250">
        <v>9.0299999999999994</v>
      </c>
      <c r="CC38" s="250">
        <v>10.029999999999999</v>
      </c>
      <c r="CD38" s="1280">
        <v>11.03</v>
      </c>
      <c r="CE38" s="1223">
        <v>12.03</v>
      </c>
      <c r="CF38" s="250">
        <v>13.03</v>
      </c>
      <c r="CG38" s="250">
        <v>14.03</v>
      </c>
      <c r="CH38" s="250">
        <v>15.03</v>
      </c>
      <c r="CI38" s="250">
        <v>16.03</v>
      </c>
      <c r="CJ38" s="250">
        <v>17.03</v>
      </c>
      <c r="CK38" s="250">
        <v>17.03</v>
      </c>
      <c r="CL38" s="250">
        <v>17.03</v>
      </c>
      <c r="CM38" s="250">
        <v>17.03</v>
      </c>
      <c r="CO38" s="249"/>
      <c r="CP38" s="249"/>
      <c r="CQ38" s="249"/>
      <c r="CR38" s="1242"/>
      <c r="CS38" s="419"/>
      <c r="CT38" s="249"/>
      <c r="CU38" s="249"/>
      <c r="CV38" s="249"/>
      <c r="CW38" s="249"/>
      <c r="CX38" s="249"/>
      <c r="CY38" s="249"/>
      <c r="CZ38" s="249"/>
      <c r="DA38" s="1242"/>
      <c r="DB38" s="419"/>
      <c r="DC38" s="249"/>
      <c r="DD38" s="249"/>
    </row>
    <row r="39" spans="3:180" ht="15" thickBot="1" x14ac:dyDescent="0.4">
      <c r="C39" s="1" t="s">
        <v>177</v>
      </c>
      <c r="F39" s="653"/>
      <c r="G39" s="311"/>
      <c r="H39" s="311"/>
      <c r="I39" s="1241"/>
      <c r="J39" s="654"/>
      <c r="K39" s="311"/>
      <c r="L39" s="311"/>
      <c r="M39" s="311"/>
      <c r="N39" s="311"/>
      <c r="O39" s="311"/>
      <c r="P39" s="311"/>
      <c r="Q39" s="311"/>
      <c r="R39" s="1241"/>
      <c r="S39" s="654"/>
      <c r="T39" s="311"/>
      <c r="U39" s="311"/>
      <c r="V39" s="311"/>
      <c r="W39" s="311"/>
      <c r="X39" s="1241"/>
      <c r="Y39" s="654"/>
      <c r="Z39" s="311"/>
      <c r="AA39" s="311"/>
      <c r="AB39" s="311"/>
      <c r="AC39" s="311"/>
      <c r="AD39" s="311"/>
      <c r="AE39" s="311"/>
      <c r="AF39" s="311"/>
      <c r="AG39" s="311"/>
      <c r="AH39" s="344"/>
      <c r="AI39" s="373"/>
      <c r="AJ39" s="373"/>
      <c r="AK39" s="373"/>
      <c r="AL39" s="1615"/>
      <c r="AM39" s="1607"/>
      <c r="AN39" s="373"/>
      <c r="AO39" s="373"/>
      <c r="AP39" s="373"/>
      <c r="AQ39" s="373"/>
      <c r="AR39" s="373"/>
      <c r="AS39" s="373"/>
      <c r="AT39" s="373"/>
      <c r="AU39" s="1615"/>
      <c r="AV39" s="1607"/>
      <c r="AW39" s="373"/>
      <c r="AX39" s="373"/>
      <c r="AY39" s="373"/>
      <c r="AZ39" s="373"/>
      <c r="BA39" s="1615"/>
      <c r="BB39" s="1607"/>
      <c r="BC39" s="373"/>
      <c r="BD39" s="373"/>
      <c r="BE39" s="373"/>
      <c r="BF39" s="373"/>
      <c r="BG39" s="373"/>
      <c r="BH39" s="373"/>
      <c r="BI39" s="373"/>
      <c r="BJ39" s="373"/>
      <c r="BK39" s="344"/>
      <c r="BL39" s="311">
        <f>'HPS DAILY (repro-)'!J$20</f>
        <v>1.8464355604067721</v>
      </c>
      <c r="BM39" s="311">
        <f>'HPS DAILY (repro-)'!K$20</f>
        <v>1.9716956028698713</v>
      </c>
      <c r="BN39" s="311">
        <f>'HPS DAILY (repro-)'!L$20</f>
        <v>2.1563999378778784</v>
      </c>
      <c r="BO39" s="1241">
        <f>'HPS DAILY (repro-)'!M$20</f>
        <v>2.1226263418094766</v>
      </c>
      <c r="BP39" s="654">
        <f>'HPS DAILY (repro-)'!N$20</f>
        <v>0.8007263336702658</v>
      </c>
      <c r="BQ39" s="311">
        <f>'HPS DAILY (repro-)'!O$20</f>
        <v>0.87113337607358365</v>
      </c>
      <c r="BR39" s="311">
        <f>'HPS DAILY (repro-)'!P$20</f>
        <v>0.96261851013958699</v>
      </c>
      <c r="BS39" s="311">
        <f>'HPS DAILY (repro-)'!Q$20</f>
        <v>1.0427886712039072</v>
      </c>
      <c r="BT39" s="311">
        <f>'HPS DAILY (repro-)'!R$20</f>
        <v>1.0896017689902777</v>
      </c>
      <c r="BU39" s="311">
        <f>'HPS DAILY (repro-)'!S$20</f>
        <v>1.1316656138135712</v>
      </c>
      <c r="BV39" s="311">
        <f>'HPS DAILY (repro-)'!T$20</f>
        <v>1.1823662288865746</v>
      </c>
      <c r="BW39" s="311">
        <f>'HPS DAILY (repro-)'!U$20</f>
        <v>1.2053362775454763</v>
      </c>
      <c r="BX39" s="1241">
        <f>'HPS DAILY (repro-)'!V$20</f>
        <v>1.2283131090916815</v>
      </c>
      <c r="BY39" s="654">
        <f>'HPS DAILY (repro-)'!W$20</f>
        <v>0</v>
      </c>
      <c r="BZ39" s="311">
        <f>'HPS DAILY (repro-)'!X$20</f>
        <v>0</v>
      </c>
      <c r="CA39" s="311">
        <f>'HPS DAILY (repro-)'!Y$20</f>
        <v>0</v>
      </c>
      <c r="CB39" s="311">
        <f>'HPS DAILY (repro-)'!Z$20</f>
        <v>0</v>
      </c>
      <c r="CC39" s="311">
        <f>'HPS DAILY (repro-)'!AA$20</f>
        <v>0</v>
      </c>
      <c r="CD39" s="1241">
        <f>'HPS DAILY (repro-)'!AB$20</f>
        <v>0</v>
      </c>
      <c r="CE39" s="654">
        <f>'HPS DAILY (repro-)'!AC$20</f>
        <v>0</v>
      </c>
      <c r="CF39" s="311">
        <f>'HPS DAILY (repro-)'!AD$20</f>
        <v>0</v>
      </c>
      <c r="CG39" s="311">
        <f>'HPS DAILY (repro-)'!AE$20</f>
        <v>0</v>
      </c>
      <c r="CH39" s="311">
        <f>'HPS DAILY (repro-)'!AF$20</f>
        <v>0</v>
      </c>
      <c r="CI39" s="311">
        <f>'HPS DAILY (repro-)'!AG$20</f>
        <v>0</v>
      </c>
      <c r="CJ39" s="311">
        <f>'HPS DAILY (repro-)'!AH$20</f>
        <v>0</v>
      </c>
      <c r="CK39" s="311">
        <f>'HPS DAILY (repro-)'!AI$20</f>
        <v>0</v>
      </c>
      <c r="CL39" s="311">
        <f>'HPS DAILY (repro-)'!AJ$20</f>
        <v>0</v>
      </c>
      <c r="CM39" s="311">
        <f>'HPS DAILY (repro-)'!AK$20</f>
        <v>0</v>
      </c>
      <c r="CN39" s="344"/>
      <c r="CO39" s="311"/>
      <c r="CP39" s="311"/>
      <c r="CQ39" s="311"/>
      <c r="CR39" s="1241"/>
      <c r="CS39" s="654"/>
      <c r="CT39" s="311"/>
      <c r="CU39" s="311"/>
      <c r="CV39" s="311"/>
      <c r="CW39" s="311"/>
      <c r="CX39" s="311"/>
      <c r="CY39" s="311"/>
      <c r="CZ39" s="311"/>
      <c r="DA39" s="1241"/>
      <c r="DB39" s="654"/>
      <c r="DC39" s="311"/>
      <c r="DD39" s="311"/>
      <c r="DE39" s="225"/>
      <c r="DF39" s="225"/>
      <c r="DG39" s="1269"/>
      <c r="DH39" s="1214"/>
      <c r="DI39" s="225"/>
      <c r="DJ39" s="225"/>
      <c r="DK39" s="225"/>
      <c r="DL39" s="225"/>
      <c r="DM39" s="225"/>
      <c r="DN39" s="225"/>
      <c r="DO39" s="225"/>
      <c r="DP39" s="225"/>
      <c r="DQ39" s="344"/>
      <c r="DR39" s="345"/>
      <c r="DS39" s="225"/>
      <c r="DT39" s="225"/>
      <c r="DU39" s="225"/>
      <c r="DV39" s="1269"/>
      <c r="DW39" s="1214"/>
      <c r="DX39" s="225"/>
      <c r="DY39" s="225"/>
      <c r="DZ39" s="225"/>
      <c r="EA39" s="225"/>
      <c r="EB39" s="225"/>
      <c r="EC39" s="225"/>
      <c r="ED39" s="225"/>
      <c r="EE39" s="1269"/>
      <c r="EF39" s="1214"/>
      <c r="EG39" s="225"/>
      <c r="EH39" s="225"/>
      <c r="EI39" s="225"/>
      <c r="EJ39" s="225"/>
      <c r="EK39" s="1269"/>
      <c r="EL39" s="1214"/>
      <c r="EM39" s="225"/>
      <c r="EN39" s="225"/>
      <c r="EO39" s="225"/>
      <c r="EP39" s="225"/>
      <c r="EQ39" s="225"/>
      <c r="ER39" s="225"/>
      <c r="ES39" s="225"/>
      <c r="ET39" s="225"/>
      <c r="EU39" s="344"/>
      <c r="EV39" s="225"/>
      <c r="EW39" s="225"/>
      <c r="EX39" s="225"/>
      <c r="EY39" s="1269"/>
      <c r="EZ39" s="1214"/>
      <c r="FA39" s="225"/>
      <c r="FB39" s="225"/>
      <c r="FC39" s="225"/>
      <c r="FD39" s="225"/>
      <c r="FE39" s="225"/>
      <c r="FF39" s="225"/>
      <c r="FG39" s="225"/>
      <c r="FH39" s="1269"/>
      <c r="FI39" s="1214"/>
      <c r="FJ39" s="225"/>
      <c r="FK39" s="225"/>
      <c r="FL39" s="225"/>
      <c r="FM39" s="225"/>
      <c r="FN39" s="1269"/>
      <c r="FO39" s="1214"/>
      <c r="FP39" s="225"/>
      <c r="FQ39" s="225"/>
      <c r="FR39" s="225"/>
      <c r="FS39" s="225"/>
      <c r="FT39" s="225"/>
      <c r="FU39" s="225"/>
      <c r="FV39" s="225"/>
      <c r="FW39" s="225"/>
    </row>
    <row r="40" spans="3:180" s="299" customFormat="1" ht="15.5" thickTop="1" thickBot="1" x14ac:dyDescent="0.4">
      <c r="C40" s="305"/>
      <c r="D40" s="305"/>
      <c r="E40" s="305"/>
      <c r="F40" s="1034"/>
      <c r="G40" s="316"/>
      <c r="H40" s="316"/>
      <c r="I40" s="1243"/>
      <c r="J40" s="1190"/>
      <c r="K40" s="316"/>
      <c r="L40" s="316"/>
      <c r="M40" s="316"/>
      <c r="N40" s="316"/>
      <c r="O40" s="316"/>
      <c r="P40" s="316"/>
      <c r="Q40" s="316"/>
      <c r="R40" s="1243"/>
      <c r="S40" s="1190"/>
      <c r="T40" s="316"/>
      <c r="U40" s="316"/>
      <c r="V40" s="307"/>
      <c r="W40" s="307"/>
      <c r="X40" s="1239"/>
      <c r="Y40" s="1186"/>
      <c r="Z40" s="307"/>
      <c r="AA40" s="307"/>
      <c r="AB40" s="307"/>
      <c r="AC40" s="307"/>
      <c r="AD40" s="307"/>
      <c r="AE40" s="307"/>
      <c r="AF40" s="307"/>
      <c r="AG40" s="307"/>
      <c r="AH40" s="359"/>
      <c r="AI40" s="307"/>
      <c r="AJ40" s="307"/>
      <c r="AK40" s="307"/>
      <c r="AL40" s="1239"/>
      <c r="AM40" s="1186"/>
      <c r="AN40" s="307"/>
      <c r="AO40" s="307"/>
      <c r="AP40" s="307"/>
      <c r="AQ40" s="307"/>
      <c r="AR40" s="307"/>
      <c r="AS40" s="307"/>
      <c r="AT40" s="307"/>
      <c r="AU40" s="1239"/>
      <c r="AV40" s="1186"/>
      <c r="AW40" s="307"/>
      <c r="AX40" s="307"/>
      <c r="AY40" s="307"/>
      <c r="AZ40" s="307"/>
      <c r="BA40" s="1239"/>
      <c r="BB40" s="1186"/>
      <c r="BC40" s="307"/>
      <c r="BD40" s="307"/>
      <c r="BE40" s="307"/>
      <c r="BF40" s="307"/>
      <c r="BG40" s="307"/>
      <c r="BH40" s="307"/>
      <c r="BI40" s="307"/>
      <c r="BJ40" s="307"/>
      <c r="BK40" s="359"/>
      <c r="BL40" s="307"/>
      <c r="BM40" s="307"/>
      <c r="BN40" s="307"/>
      <c r="BO40" s="1239"/>
      <c r="BP40" s="1186"/>
      <c r="BQ40" s="307"/>
      <c r="BR40" s="307"/>
      <c r="BS40" s="307"/>
      <c r="BT40" s="307"/>
      <c r="BU40" s="307"/>
      <c r="BV40" s="307"/>
      <c r="BW40" s="307"/>
      <c r="BX40" s="1239"/>
      <c r="BY40" s="1186"/>
      <c r="BZ40" s="307"/>
      <c r="CA40" s="307"/>
      <c r="CB40" s="307"/>
      <c r="CC40" s="307"/>
      <c r="CD40" s="1239"/>
      <c r="CE40" s="1186"/>
      <c r="CF40" s="307"/>
      <c r="CG40" s="307"/>
      <c r="CH40" s="307"/>
      <c r="CI40" s="307"/>
      <c r="CJ40" s="307"/>
      <c r="CK40" s="307"/>
      <c r="CL40" s="307"/>
      <c r="CM40" s="307"/>
      <c r="CN40" s="359"/>
      <c r="CO40" s="307"/>
      <c r="CP40" s="307"/>
      <c r="CQ40" s="307"/>
      <c r="CR40" s="1239"/>
      <c r="CS40" s="1186"/>
      <c r="CT40" s="307"/>
      <c r="CU40" s="307"/>
      <c r="CV40" s="307"/>
      <c r="CW40" s="307"/>
      <c r="CX40" s="307"/>
      <c r="CY40" s="307"/>
      <c r="CZ40" s="307"/>
      <c r="DA40" s="1239"/>
      <c r="DB40" s="1186"/>
      <c r="DC40" s="307"/>
      <c r="DD40" s="307"/>
      <c r="DE40" s="307"/>
      <c r="DF40" s="307"/>
      <c r="DG40" s="1239"/>
      <c r="DH40" s="1186"/>
      <c r="DI40" s="307"/>
      <c r="DJ40" s="307"/>
      <c r="DK40" s="307"/>
      <c r="DL40" s="307"/>
      <c r="DM40" s="307"/>
      <c r="DN40" s="307"/>
      <c r="DO40" s="307"/>
      <c r="DP40" s="307"/>
      <c r="DQ40" s="359"/>
      <c r="DR40" s="361"/>
      <c r="DS40" s="307"/>
      <c r="DT40" s="307"/>
      <c r="DU40" s="307"/>
      <c r="DV40" s="1239"/>
      <c r="DW40" s="1186"/>
      <c r="DX40" s="307"/>
      <c r="DY40" s="307"/>
      <c r="DZ40" s="307"/>
      <c r="EA40" s="307"/>
      <c r="EB40" s="307"/>
      <c r="EC40" s="307"/>
      <c r="ED40" s="307"/>
      <c r="EE40" s="1239"/>
      <c r="EF40" s="1186"/>
      <c r="EG40" s="307"/>
      <c r="EH40" s="307"/>
      <c r="EI40" s="307"/>
      <c r="EJ40" s="307"/>
      <c r="EK40" s="1239"/>
      <c r="EL40" s="1186"/>
      <c r="EM40" s="307"/>
      <c r="EN40" s="307"/>
      <c r="EO40" s="307"/>
      <c r="EP40" s="307"/>
      <c r="EQ40" s="307"/>
      <c r="ER40" s="307"/>
      <c r="ES40" s="307"/>
      <c r="ET40" s="307"/>
      <c r="EU40" s="359"/>
      <c r="EV40" s="307"/>
      <c r="EW40" s="307"/>
      <c r="EX40" s="307"/>
      <c r="EY40" s="1239"/>
      <c r="EZ40" s="1186"/>
      <c r="FA40" s="307"/>
      <c r="FB40" s="307"/>
      <c r="FC40" s="307"/>
      <c r="FD40" s="307"/>
      <c r="FE40" s="307"/>
      <c r="FF40" s="307"/>
      <c r="FG40" s="307"/>
      <c r="FH40" s="1239"/>
      <c r="FI40" s="1186"/>
      <c r="FJ40" s="307"/>
      <c r="FK40" s="307"/>
      <c r="FL40" s="307"/>
      <c r="FM40" s="307"/>
      <c r="FN40" s="1239"/>
      <c r="FO40" s="1186"/>
      <c r="FP40" s="307"/>
      <c r="FQ40" s="307"/>
      <c r="FR40" s="307"/>
      <c r="FS40" s="307"/>
      <c r="FT40" s="307"/>
      <c r="FU40" s="307"/>
      <c r="FV40" s="307"/>
      <c r="FW40" s="307"/>
    </row>
    <row r="41" spans="3:180" ht="17" thickTop="1" x14ac:dyDescent="0.45">
      <c r="C41" s="1" t="s">
        <v>144</v>
      </c>
      <c r="F41" s="1033"/>
      <c r="G41" s="309"/>
      <c r="H41" s="309"/>
      <c r="I41" s="422"/>
      <c r="J41" s="421"/>
      <c r="K41" s="309"/>
      <c r="L41" s="309"/>
      <c r="M41" s="309"/>
      <c r="N41" s="309"/>
      <c r="O41" s="309"/>
      <c r="P41" s="309"/>
      <c r="Q41" s="309"/>
      <c r="R41" s="309"/>
      <c r="S41" s="421"/>
      <c r="T41" s="309"/>
      <c r="U41" s="309"/>
      <c r="V41" s="309"/>
      <c r="W41" s="309"/>
      <c r="X41" s="422"/>
      <c r="Y41" s="421"/>
      <c r="Z41" s="421"/>
      <c r="AA41" s="421"/>
      <c r="AB41" s="421"/>
      <c r="AC41" s="421"/>
      <c r="AD41" s="421"/>
      <c r="AE41" s="421"/>
      <c r="AF41" s="421"/>
      <c r="AG41" s="421"/>
      <c r="AH41" s="356"/>
      <c r="AI41" s="313"/>
      <c r="AJ41" s="313"/>
      <c r="AK41" s="313"/>
      <c r="AL41" s="1614"/>
      <c r="AM41" s="1606"/>
      <c r="AN41" s="313"/>
      <c r="AO41" s="313"/>
      <c r="AP41" s="313"/>
      <c r="AQ41" s="313"/>
      <c r="AR41" s="313"/>
      <c r="AS41" s="313"/>
      <c r="AT41" s="313"/>
      <c r="AU41" s="1614"/>
      <c r="AV41" s="1606"/>
      <c r="AW41" s="313"/>
      <c r="AX41" s="313"/>
      <c r="AY41" s="313"/>
      <c r="AZ41" s="313"/>
      <c r="BA41" s="1614"/>
      <c r="BB41" s="1606"/>
      <c r="BC41" s="313"/>
      <c r="BD41" s="313"/>
      <c r="BE41" s="313"/>
      <c r="BF41" s="313"/>
      <c r="BG41" s="313"/>
      <c r="BH41" s="313"/>
      <c r="BI41" s="313"/>
      <c r="BJ41" s="313"/>
      <c r="BK41" s="356"/>
      <c r="BL41" s="309" cm="1">
        <f t="array" ref="BL41:CM42">'HPS DAILY (repro-)'!J31:AK32</f>
        <v>88.011008598190855</v>
      </c>
      <c r="BM41" s="309">
        <v>88.069278450288664</v>
      </c>
      <c r="BN41" s="309">
        <v>87.900375159891098</v>
      </c>
      <c r="BO41" s="422">
        <v>87.93306251080034</v>
      </c>
      <c r="BP41" s="421">
        <v>88.782698335119676</v>
      </c>
      <c r="BQ41" s="309">
        <v>88.736534901669074</v>
      </c>
      <c r="BR41" s="309">
        <v>88.85314739552571</v>
      </c>
      <c r="BS41" s="309">
        <v>88.908523921702255</v>
      </c>
      <c r="BT41" s="309">
        <v>88.835442938352344</v>
      </c>
      <c r="BU41" s="309">
        <v>88.867242872028768</v>
      </c>
      <c r="BV41" s="309">
        <v>88.754544911683908</v>
      </c>
      <c r="BW41" s="309">
        <v>88.840423206424305</v>
      </c>
      <c r="BX41" s="422">
        <v>88.621294498968666</v>
      </c>
      <c r="BY41" s="421">
        <v>100</v>
      </c>
      <c r="BZ41" s="309">
        <v>100</v>
      </c>
      <c r="CA41" s="309">
        <v>100</v>
      </c>
      <c r="CB41" s="309">
        <v>100</v>
      </c>
      <c r="CC41" s="309">
        <v>100</v>
      </c>
      <c r="CD41" s="422">
        <v>100</v>
      </c>
      <c r="CE41" s="421">
        <v>100</v>
      </c>
      <c r="CF41" s="309">
        <v>100</v>
      </c>
      <c r="CG41" s="309">
        <v>100</v>
      </c>
      <c r="CH41" s="309">
        <v>100</v>
      </c>
      <c r="CI41" s="309">
        <v>100</v>
      </c>
      <c r="CJ41" s="309">
        <v>100</v>
      </c>
      <c r="CK41" s="309">
        <v>100</v>
      </c>
      <c r="CL41" s="309">
        <v>100</v>
      </c>
      <c r="CM41" s="309">
        <v>100</v>
      </c>
      <c r="CN41" s="356"/>
      <c r="CO41" s="309" t="e" cm="1">
        <f t="array" ref="CO41:DP41">'LTO DAILY'!H29:AI29</f>
        <v>#DIV/0!</v>
      </c>
      <c r="CP41" s="309">
        <v>86.436586121415402</v>
      </c>
      <c r="CQ41" s="309">
        <v>86.317997604866406</v>
      </c>
      <c r="CR41" s="422">
        <v>86.48044995712219</v>
      </c>
      <c r="CS41" s="421">
        <v>86.766042030111635</v>
      </c>
      <c r="CT41" s="309">
        <v>86.440473469888545</v>
      </c>
      <c r="CU41" s="309">
        <v>86.862996423066548</v>
      </c>
      <c r="CV41" s="309">
        <v>86.587574752451786</v>
      </c>
      <c r="CW41" s="309">
        <v>86.846653343598973</v>
      </c>
      <c r="CX41" s="309">
        <v>86.662852497288981</v>
      </c>
      <c r="CY41" s="309">
        <v>86.475795000959778</v>
      </c>
      <c r="CZ41" s="309">
        <v>86.678347502075795</v>
      </c>
      <c r="DA41" s="422">
        <v>86.71261550432223</v>
      </c>
      <c r="DB41" s="421" t="e">
        <v>#DIV/0!</v>
      </c>
      <c r="DC41" s="309" t="e">
        <v>#DIV/0!</v>
      </c>
      <c r="DD41" s="309" t="e">
        <v>#DIV/0!</v>
      </c>
      <c r="DE41" s="229" t="e">
        <v>#DIV/0!</v>
      </c>
      <c r="DF41" s="229" t="e">
        <v>#DIV/0!</v>
      </c>
      <c r="DG41" s="1245" t="e">
        <v>#DIV/0!</v>
      </c>
      <c r="DH41" s="538" t="e">
        <v>#DIV/0!</v>
      </c>
      <c r="DI41" s="229" t="e">
        <v>#DIV/0!</v>
      </c>
      <c r="DJ41" s="229" t="e">
        <v>#DIV/0!</v>
      </c>
      <c r="DK41" s="229" t="e">
        <v>#DIV/0!</v>
      </c>
      <c r="DL41" s="229" t="e">
        <v>#DIV/0!</v>
      </c>
      <c r="DM41" s="229" t="e">
        <v>#DIV/0!</v>
      </c>
      <c r="DN41" s="229" t="e">
        <v>#DIV/0!</v>
      </c>
      <c r="DO41" s="229" t="e">
        <v>#DIV/0!</v>
      </c>
      <c r="DP41" s="229" t="e">
        <v>#DIV/0!</v>
      </c>
      <c r="DQ41" s="356"/>
      <c r="DR41" s="358"/>
      <c r="DS41" s="229"/>
      <c r="DT41" s="229"/>
      <c r="DU41" s="229"/>
      <c r="DV41" s="1245"/>
      <c r="DW41" s="538"/>
      <c r="DX41" s="229"/>
      <c r="DY41" s="229"/>
      <c r="DZ41" s="229"/>
      <c r="EA41" s="229"/>
      <c r="EB41" s="229"/>
      <c r="EC41" s="229"/>
      <c r="ED41" s="229"/>
      <c r="EE41" s="1245"/>
      <c r="EF41" s="538"/>
      <c r="EG41" s="229"/>
      <c r="EH41" s="229"/>
      <c r="EI41" s="229"/>
      <c r="EJ41" s="229"/>
      <c r="EK41" s="1245"/>
      <c r="EL41" s="538"/>
      <c r="EM41" s="229"/>
      <c r="EN41" s="229"/>
      <c r="EO41" s="229"/>
      <c r="EP41" s="229"/>
      <c r="EQ41" s="229"/>
      <c r="ER41" s="229"/>
      <c r="ES41" s="229"/>
      <c r="ET41" s="229"/>
      <c r="EU41" s="356"/>
      <c r="EV41" s="229"/>
      <c r="EW41" s="229"/>
      <c r="EX41" s="229"/>
      <c r="EY41" s="1245"/>
      <c r="EZ41" s="538"/>
      <c r="FA41" s="229"/>
      <c r="FB41" s="229"/>
      <c r="FC41" s="229"/>
      <c r="FD41" s="229"/>
      <c r="FE41" s="229"/>
      <c r="FF41" s="229"/>
      <c r="FG41" s="229"/>
      <c r="FH41" s="1245"/>
      <c r="FI41" s="538"/>
      <c r="FJ41" s="229"/>
      <c r="FK41" s="229"/>
      <c r="FL41" s="229"/>
      <c r="FM41" s="229"/>
      <c r="FN41" s="1245"/>
      <c r="FO41" s="538"/>
      <c r="FP41" s="229"/>
      <c r="FQ41" s="229"/>
      <c r="FR41" s="229"/>
      <c r="FS41" s="229"/>
      <c r="FT41" s="229"/>
      <c r="FU41" s="229"/>
      <c r="FV41" s="229"/>
      <c r="FW41" s="229"/>
    </row>
    <row r="42" spans="3:180" ht="16.5" x14ac:dyDescent="0.45">
      <c r="C42" s="1" t="s">
        <v>145</v>
      </c>
      <c r="F42" s="501"/>
      <c r="G42" s="249"/>
      <c r="H42" s="249"/>
      <c r="I42" s="1242"/>
      <c r="J42" s="419"/>
      <c r="K42" s="249"/>
      <c r="L42" s="249"/>
      <c r="M42" s="249"/>
      <c r="N42" s="249"/>
      <c r="O42" s="249"/>
      <c r="P42" s="249"/>
      <c r="Q42" s="249"/>
      <c r="R42" s="249"/>
      <c r="S42" s="419"/>
      <c r="T42" s="249"/>
      <c r="U42" s="249"/>
      <c r="V42" s="249"/>
      <c r="W42" s="249"/>
      <c r="X42" s="1242"/>
      <c r="Y42" s="419"/>
      <c r="Z42" s="419"/>
      <c r="AA42" s="419"/>
      <c r="AB42" s="419"/>
      <c r="AC42" s="419"/>
      <c r="AD42" s="419"/>
      <c r="AE42" s="419"/>
      <c r="AF42" s="419"/>
      <c r="AG42" s="419"/>
      <c r="AI42" s="267"/>
      <c r="AJ42" s="267"/>
      <c r="AK42" s="267"/>
      <c r="AL42" s="1285"/>
      <c r="AM42" s="645"/>
      <c r="AN42" s="267"/>
      <c r="AO42" s="267"/>
      <c r="AP42" s="267"/>
      <c r="AQ42" s="267"/>
      <c r="AR42" s="267"/>
      <c r="AS42" s="267"/>
      <c r="AT42" s="267"/>
      <c r="AU42" s="1285"/>
      <c r="AV42" s="645"/>
      <c r="AW42" s="267"/>
      <c r="AX42" s="267"/>
      <c r="AY42" s="267"/>
      <c r="AZ42" s="267"/>
      <c r="BA42" s="1285"/>
      <c r="BB42" s="645"/>
      <c r="BC42" s="267"/>
      <c r="BD42" s="267"/>
      <c r="BE42" s="267"/>
      <c r="BF42" s="267"/>
      <c r="BG42" s="267"/>
      <c r="BH42" s="267"/>
      <c r="BI42" s="267"/>
      <c r="BJ42" s="267"/>
      <c r="BL42" s="249">
        <v>9.8715032283498605</v>
      </c>
      <c r="BM42" s="249">
        <v>9.6533522111478991</v>
      </c>
      <c r="BN42" s="249">
        <v>9.6685241522916012</v>
      </c>
      <c r="BO42" s="1242">
        <v>9.66632735811306</v>
      </c>
      <c r="BP42" s="419">
        <v>10.190242496350834</v>
      </c>
      <c r="BQ42" s="249">
        <v>10.151129464699144</v>
      </c>
      <c r="BR42" s="249">
        <v>9.9417622442856608</v>
      </c>
      <c r="BS42" s="249">
        <v>9.8209637102719842</v>
      </c>
      <c r="BT42" s="249">
        <v>9.8414763357127502</v>
      </c>
      <c r="BU42" s="249">
        <v>9.7757001190817867</v>
      </c>
      <c r="BV42" s="249">
        <v>9.8115533111616422</v>
      </c>
      <c r="BW42" s="249">
        <v>9.7266933017579831</v>
      </c>
      <c r="BX42" s="1242">
        <v>9.9051932677170473</v>
      </c>
      <c r="BY42" s="419">
        <v>0</v>
      </c>
      <c r="BZ42" s="249">
        <v>0</v>
      </c>
      <c r="CA42" s="249">
        <v>0</v>
      </c>
      <c r="CB42" s="249">
        <v>0</v>
      </c>
      <c r="CC42" s="249">
        <v>0</v>
      </c>
      <c r="CD42" s="1242">
        <v>0</v>
      </c>
      <c r="CE42" s="419">
        <v>0</v>
      </c>
      <c r="CF42" s="249">
        <v>0</v>
      </c>
      <c r="CG42" s="249">
        <v>0</v>
      </c>
      <c r="CH42" s="249">
        <v>0</v>
      </c>
      <c r="CI42" s="249">
        <v>0</v>
      </c>
      <c r="CJ42" s="249">
        <v>0</v>
      </c>
      <c r="CK42" s="249">
        <v>0</v>
      </c>
      <c r="CL42" s="249">
        <v>0</v>
      </c>
      <c r="CM42" s="249">
        <v>0</v>
      </c>
      <c r="CO42" s="249" t="e" cm="1">
        <f t="array" ref="CO42:DP42">'LTO DAILY'!H30:AI30</f>
        <v>#DIV/0!</v>
      </c>
      <c r="CP42" s="249">
        <v>13.353376477819126</v>
      </c>
      <c r="CQ42" s="249">
        <v>13.462712845688364</v>
      </c>
      <c r="CR42" s="1242">
        <v>13.308524566248426</v>
      </c>
      <c r="CS42" s="419">
        <v>13.046253136996944</v>
      </c>
      <c r="CT42" s="249">
        <v>13.422433768616235</v>
      </c>
      <c r="CU42" s="249">
        <v>12.980326667584947</v>
      </c>
      <c r="CV42" s="249">
        <v>13.25097363909228</v>
      </c>
      <c r="CW42" s="249">
        <v>12.935131965304912</v>
      </c>
      <c r="CX42" s="249">
        <v>13.136138821605531</v>
      </c>
      <c r="CY42" s="249">
        <v>13.324886651091285</v>
      </c>
      <c r="CZ42" s="249">
        <v>13.138487515746743</v>
      </c>
      <c r="DA42" s="1242">
        <v>13.105081755973588</v>
      </c>
      <c r="DB42" s="419" t="e">
        <v>#DIV/0!</v>
      </c>
      <c r="DC42" s="249" t="e">
        <v>#DIV/0!</v>
      </c>
      <c r="DD42" s="249" t="e">
        <v>#DIV/0!</v>
      </c>
      <c r="DE42" s="232" t="e">
        <v>#DIV/0!</v>
      </c>
      <c r="DF42" s="232" t="e">
        <v>#DIV/0!</v>
      </c>
      <c r="DG42" s="1236" t="e">
        <v>#DIV/0!</v>
      </c>
      <c r="DH42" s="643" t="e">
        <v>#DIV/0!</v>
      </c>
      <c r="DI42" s="232" t="e">
        <v>#DIV/0!</v>
      </c>
      <c r="DJ42" s="232" t="e">
        <v>#DIV/0!</v>
      </c>
      <c r="DK42" s="232" t="e">
        <v>#DIV/0!</v>
      </c>
      <c r="DL42" s="232" t="e">
        <v>#DIV/0!</v>
      </c>
      <c r="DM42" s="232" t="e">
        <v>#DIV/0!</v>
      </c>
      <c r="DN42" s="232" t="e">
        <v>#DIV/0!</v>
      </c>
      <c r="DO42" s="232" t="e">
        <v>#DIV/0!</v>
      </c>
      <c r="DP42" s="232" t="e">
        <v>#DIV/0!</v>
      </c>
    </row>
    <row r="43" spans="3:180" s="368" customFormat="1" ht="17" thickBot="1" x14ac:dyDescent="0.5">
      <c r="C43" s="364" t="s">
        <v>146</v>
      </c>
      <c r="D43" s="364"/>
      <c r="E43" s="364"/>
      <c r="F43" s="1057"/>
      <c r="G43" s="374"/>
      <c r="H43" s="374"/>
      <c r="I43" s="1244"/>
      <c r="J43" s="1191"/>
      <c r="K43" s="374"/>
      <c r="L43" s="374"/>
      <c r="M43" s="374"/>
      <c r="N43" s="374"/>
      <c r="O43" s="374"/>
      <c r="P43" s="374"/>
      <c r="Q43" s="374"/>
      <c r="R43" s="374"/>
      <c r="S43" s="1191"/>
      <c r="T43" s="374"/>
      <c r="U43" s="374"/>
      <c r="V43" s="374"/>
      <c r="W43" s="374"/>
      <c r="X43" s="1244"/>
      <c r="Y43" s="1191"/>
      <c r="Z43" s="1191"/>
      <c r="AA43" s="1191"/>
      <c r="AB43" s="1191"/>
      <c r="AC43" s="1191"/>
      <c r="AD43" s="1191"/>
      <c r="AE43" s="1191"/>
      <c r="AF43" s="1191"/>
      <c r="AG43" s="1191"/>
      <c r="AH43" s="366"/>
      <c r="AI43" s="365"/>
      <c r="AJ43" s="365"/>
      <c r="AK43" s="365"/>
      <c r="AL43" s="1234"/>
      <c r="AM43" s="1182"/>
      <c r="AN43" s="365"/>
      <c r="AO43" s="365"/>
      <c r="AP43" s="365"/>
      <c r="AQ43" s="365"/>
      <c r="AR43" s="365"/>
      <c r="AS43" s="365"/>
      <c r="AT43" s="365"/>
      <c r="AU43" s="1234"/>
      <c r="AV43" s="1182"/>
      <c r="AW43" s="365"/>
      <c r="AX43" s="365"/>
      <c r="AY43" s="365"/>
      <c r="AZ43" s="365"/>
      <c r="BA43" s="1234"/>
      <c r="BB43" s="1182"/>
      <c r="BC43" s="365"/>
      <c r="BD43" s="365"/>
      <c r="BE43" s="365"/>
      <c r="BF43" s="365"/>
      <c r="BG43" s="365"/>
      <c r="BH43" s="365"/>
      <c r="BI43" s="365"/>
      <c r="BJ43" s="365"/>
      <c r="BK43" s="366"/>
      <c r="BL43" s="374"/>
      <c r="BM43" s="374"/>
      <c r="BN43" s="374"/>
      <c r="BO43" s="1244"/>
      <c r="BP43" s="1191"/>
      <c r="BQ43" s="374"/>
      <c r="BR43" s="374"/>
      <c r="BS43" s="374"/>
      <c r="BT43" s="374"/>
      <c r="BU43" s="374"/>
      <c r="BV43" s="374"/>
      <c r="BW43" s="374"/>
      <c r="BX43" s="1244"/>
      <c r="BY43" s="1191"/>
      <c r="BZ43" s="374"/>
      <c r="CA43" s="374"/>
      <c r="CB43" s="374"/>
      <c r="CC43" s="374"/>
      <c r="CD43" s="1244"/>
      <c r="CE43" s="1191"/>
      <c r="CF43" s="374"/>
      <c r="CG43" s="374"/>
      <c r="CH43" s="374"/>
      <c r="CI43" s="374"/>
      <c r="CJ43" s="374"/>
      <c r="CK43" s="374"/>
      <c r="CL43" s="374"/>
      <c r="CM43" s="374"/>
      <c r="CN43" s="366"/>
      <c r="CO43" s="374"/>
      <c r="CP43" s="374"/>
      <c r="CQ43" s="374"/>
      <c r="CR43" s="1244"/>
      <c r="CS43" s="1191"/>
      <c r="CT43" s="374"/>
      <c r="CU43" s="374"/>
      <c r="CV43" s="374"/>
      <c r="CW43" s="374"/>
      <c r="CX43" s="374"/>
      <c r="CY43" s="374"/>
      <c r="CZ43" s="374"/>
      <c r="DA43" s="1244"/>
      <c r="DB43" s="1191"/>
      <c r="DC43" s="374"/>
      <c r="DD43" s="374"/>
      <c r="DE43" s="365"/>
      <c r="DF43" s="365"/>
      <c r="DG43" s="1234"/>
      <c r="DH43" s="1182"/>
      <c r="DI43" s="365"/>
      <c r="DJ43" s="365"/>
      <c r="DK43" s="365"/>
      <c r="DL43" s="365"/>
      <c r="DM43" s="365"/>
      <c r="DN43" s="365"/>
      <c r="DO43" s="365"/>
      <c r="DP43" s="365"/>
      <c r="DQ43" s="366"/>
      <c r="DR43" s="367"/>
      <c r="DS43" s="365"/>
      <c r="DT43" s="365"/>
      <c r="DU43" s="365"/>
      <c r="DV43" s="1234"/>
      <c r="DW43" s="1182"/>
      <c r="DX43" s="365"/>
      <c r="DY43" s="365"/>
      <c r="DZ43" s="365"/>
      <c r="EA43" s="365"/>
      <c r="EB43" s="365"/>
      <c r="EC43" s="365"/>
      <c r="ED43" s="365"/>
      <c r="EE43" s="1234"/>
      <c r="EF43" s="1182"/>
      <c r="EG43" s="365"/>
      <c r="EH43" s="365"/>
      <c r="EI43" s="365"/>
      <c r="EJ43" s="365"/>
      <c r="EK43" s="1234"/>
      <c r="EL43" s="1182"/>
      <c r="EM43" s="365"/>
      <c r="EN43" s="365"/>
      <c r="EO43" s="365"/>
      <c r="EP43" s="365"/>
      <c r="EQ43" s="365"/>
      <c r="ER43" s="365"/>
      <c r="ES43" s="365"/>
      <c r="ET43" s="365"/>
      <c r="EU43" s="366"/>
      <c r="EV43" s="365"/>
      <c r="EW43" s="365"/>
      <c r="EX43" s="365"/>
      <c r="EY43" s="1234"/>
      <c r="EZ43" s="1182"/>
      <c r="FA43" s="365"/>
      <c r="FB43" s="365"/>
      <c r="FC43" s="365"/>
      <c r="FD43" s="365"/>
      <c r="FE43" s="365"/>
      <c r="FF43" s="365"/>
      <c r="FG43" s="365"/>
      <c r="FH43" s="1234"/>
      <c r="FI43" s="1182"/>
      <c r="FJ43" s="365"/>
      <c r="FK43" s="365"/>
      <c r="FL43" s="365"/>
      <c r="FM43" s="365"/>
      <c r="FN43" s="1234"/>
      <c r="FO43" s="1182"/>
      <c r="FP43" s="365"/>
      <c r="FQ43" s="365"/>
      <c r="FR43" s="365"/>
      <c r="FS43" s="365"/>
      <c r="FT43" s="365"/>
      <c r="FU43" s="365"/>
      <c r="FV43" s="365"/>
      <c r="FW43" s="365"/>
    </row>
    <row r="44" spans="3:180" ht="15" thickTop="1" x14ac:dyDescent="0.35">
      <c r="F44" s="1051"/>
      <c r="G44" s="229"/>
      <c r="H44" s="229"/>
      <c r="I44" s="1245"/>
      <c r="J44" s="538"/>
      <c r="K44" s="229"/>
      <c r="L44" s="229"/>
      <c r="M44" s="229"/>
      <c r="N44" s="229"/>
      <c r="O44" s="229"/>
      <c r="P44" s="229"/>
      <c r="Q44" s="229"/>
      <c r="R44" s="1245"/>
      <c r="S44" s="538"/>
      <c r="T44" s="229"/>
      <c r="U44" s="229"/>
      <c r="V44" s="229"/>
      <c r="W44" s="229"/>
      <c r="X44" s="229"/>
      <c r="Y44" s="229"/>
      <c r="Z44" s="229"/>
      <c r="AA44" s="229"/>
      <c r="AB44" s="229"/>
      <c r="AC44" s="229"/>
      <c r="AD44" s="229"/>
      <c r="AE44" s="229"/>
      <c r="AF44" s="229"/>
      <c r="AG44" s="229"/>
      <c r="AH44" s="356"/>
      <c r="AI44" s="229"/>
      <c r="AJ44" s="229"/>
      <c r="AK44" s="229"/>
      <c r="AL44" s="1245"/>
      <c r="AM44" s="538"/>
      <c r="AN44" s="229"/>
      <c r="AO44" s="229"/>
      <c r="AP44" s="229"/>
      <c r="AQ44" s="229"/>
      <c r="AR44" s="229"/>
      <c r="AS44" s="229"/>
      <c r="AT44" s="229"/>
      <c r="AU44" s="1245"/>
      <c r="AV44" s="538"/>
      <c r="AW44" s="229"/>
      <c r="AX44" s="229"/>
      <c r="AY44" s="229"/>
      <c r="AZ44" s="229"/>
      <c r="BA44" s="1245"/>
      <c r="BB44" s="538"/>
      <c r="BC44" s="229"/>
      <c r="BD44" s="229"/>
      <c r="BE44" s="229"/>
      <c r="BF44" s="229"/>
      <c r="BG44" s="229"/>
      <c r="BH44" s="229"/>
      <c r="BI44" s="229"/>
      <c r="BJ44" s="229"/>
      <c r="BK44" s="356"/>
      <c r="BL44" s="229">
        <f>BL42/BL41</f>
        <v>0.11216214182270805</v>
      </c>
      <c r="BM44" s="229">
        <f t="shared" ref="BM44:CB44" si="1">BM42/BM41</f>
        <v>0.10961089248161382</v>
      </c>
      <c r="BN44" s="229">
        <f t="shared" si="1"/>
        <v>0.10999411702970005</v>
      </c>
      <c r="BO44" s="1245">
        <f t="shared" si="1"/>
        <v>0.10992824635131748</v>
      </c>
      <c r="BP44" s="538">
        <f t="shared" si="1"/>
        <v>0.1147773461208251</v>
      </c>
      <c r="BQ44" s="229">
        <f t="shared" si="1"/>
        <v>0.11439627968285933</v>
      </c>
      <c r="BR44" s="229">
        <f t="shared" si="1"/>
        <v>0.11188981522545692</v>
      </c>
      <c r="BS44" s="229">
        <f t="shared" si="1"/>
        <v>0.11046144145774893</v>
      </c>
      <c r="BT44" s="229">
        <f t="shared" si="1"/>
        <v>0.11078321906429033</v>
      </c>
      <c r="BU44" s="229">
        <f t="shared" si="1"/>
        <v>0.11000341411693236</v>
      </c>
      <c r="BV44" s="229">
        <f t="shared" si="1"/>
        <v>0.1105470522205339</v>
      </c>
      <c r="BW44" s="229">
        <f t="shared" si="1"/>
        <v>0.10948499512612203</v>
      </c>
      <c r="BX44" s="1245">
        <f t="shared" si="1"/>
        <v>0.11176990049307302</v>
      </c>
      <c r="BY44" s="538">
        <f t="shared" si="1"/>
        <v>0</v>
      </c>
      <c r="BZ44" s="229">
        <f t="shared" si="1"/>
        <v>0</v>
      </c>
      <c r="CA44" s="229">
        <f t="shared" si="1"/>
        <v>0</v>
      </c>
      <c r="CB44" s="229">
        <f t="shared" si="1"/>
        <v>0</v>
      </c>
      <c r="CC44" s="229">
        <f t="shared" ref="CC44:CM44" si="2">CC42/CC41</f>
        <v>0</v>
      </c>
      <c r="CD44" s="1245">
        <f t="shared" si="2"/>
        <v>0</v>
      </c>
      <c r="CE44" s="538">
        <f t="shared" si="2"/>
        <v>0</v>
      </c>
      <c r="CF44" s="229">
        <f t="shared" si="2"/>
        <v>0</v>
      </c>
      <c r="CG44" s="229">
        <f t="shared" si="2"/>
        <v>0</v>
      </c>
      <c r="CH44" s="229">
        <f t="shared" si="2"/>
        <v>0</v>
      </c>
      <c r="CI44" s="229">
        <f t="shared" si="2"/>
        <v>0</v>
      </c>
      <c r="CJ44" s="229">
        <f t="shared" si="2"/>
        <v>0</v>
      </c>
      <c r="CK44" s="229">
        <f t="shared" si="2"/>
        <v>0</v>
      </c>
      <c r="CL44" s="229">
        <f t="shared" si="2"/>
        <v>0</v>
      </c>
      <c r="CM44" s="229">
        <f t="shared" si="2"/>
        <v>0</v>
      </c>
      <c r="CN44" s="356"/>
      <c r="CO44" s="229" t="e">
        <f>CO42/CO41</f>
        <v>#DIV/0!</v>
      </c>
      <c r="CP44" s="229">
        <f t="shared" ref="CP44:DP44" si="3">CP42/CP41</f>
        <v>0.15448755066589462</v>
      </c>
      <c r="CQ44" s="229">
        <f t="shared" si="3"/>
        <v>0.15596646376478696</v>
      </c>
      <c r="CR44" s="1245">
        <f t="shared" si="3"/>
        <v>0.15389055645347494</v>
      </c>
      <c r="CS44" s="538">
        <f t="shared" si="3"/>
        <v>0.15036127996329854</v>
      </c>
      <c r="CT44" s="229">
        <f t="shared" si="3"/>
        <v>0.15527950310559008</v>
      </c>
      <c r="CU44" s="229">
        <f>CU42/CU41</f>
        <v>0.14943447960699188</v>
      </c>
      <c r="CV44" s="229">
        <f t="shared" si="3"/>
        <v>0.15303550973654068</v>
      </c>
      <c r="CW44" s="229">
        <f t="shared" si="3"/>
        <v>0.14894220407237252</v>
      </c>
      <c r="CX44" s="229">
        <f t="shared" si="3"/>
        <v>0.15157750342935528</v>
      </c>
      <c r="CY44" s="229">
        <f t="shared" si="3"/>
        <v>0.1540880503144654</v>
      </c>
      <c r="CZ44" s="229">
        <f t="shared" si="3"/>
        <v>0.15157750342935528</v>
      </c>
      <c r="DA44" s="1245">
        <f t="shared" si="3"/>
        <v>0.15113235461477181</v>
      </c>
      <c r="DB44" s="538" t="e">
        <f t="shared" si="3"/>
        <v>#DIV/0!</v>
      </c>
      <c r="DC44" s="229" t="e">
        <f t="shared" si="3"/>
        <v>#DIV/0!</v>
      </c>
      <c r="DD44" s="229" t="e">
        <f t="shared" si="3"/>
        <v>#DIV/0!</v>
      </c>
      <c r="DE44" s="229" t="e">
        <f t="shared" si="3"/>
        <v>#DIV/0!</v>
      </c>
      <c r="DF44" s="229" t="e">
        <f t="shared" si="3"/>
        <v>#DIV/0!</v>
      </c>
      <c r="DG44" s="1245" t="e">
        <f t="shared" si="3"/>
        <v>#DIV/0!</v>
      </c>
      <c r="DH44" s="538" t="e">
        <f t="shared" si="3"/>
        <v>#DIV/0!</v>
      </c>
      <c r="DI44" s="229" t="e">
        <f t="shared" si="3"/>
        <v>#DIV/0!</v>
      </c>
      <c r="DJ44" s="229" t="e">
        <f t="shared" si="3"/>
        <v>#DIV/0!</v>
      </c>
      <c r="DK44" s="229" t="e">
        <f t="shared" si="3"/>
        <v>#DIV/0!</v>
      </c>
      <c r="DL44" s="229" t="e">
        <f t="shared" si="3"/>
        <v>#DIV/0!</v>
      </c>
      <c r="DM44" s="229" t="e">
        <f t="shared" si="3"/>
        <v>#DIV/0!</v>
      </c>
      <c r="DN44" s="229" t="e">
        <f t="shared" si="3"/>
        <v>#DIV/0!</v>
      </c>
      <c r="DO44" s="229" t="e">
        <f t="shared" si="3"/>
        <v>#DIV/0!</v>
      </c>
      <c r="DP44" s="229" t="e">
        <f t="shared" si="3"/>
        <v>#DIV/0!</v>
      </c>
      <c r="DQ44" s="356"/>
      <c r="DR44" s="358"/>
      <c r="DS44" s="298"/>
      <c r="DT44" s="298"/>
      <c r="DU44" s="298"/>
      <c r="DV44" s="1583"/>
      <c r="DW44" s="1547"/>
      <c r="DX44" s="298"/>
      <c r="DY44" s="298"/>
      <c r="DZ44" s="298"/>
      <c r="EA44" s="298"/>
      <c r="EB44" s="298"/>
      <c r="EC44" s="297"/>
      <c r="ED44" s="297"/>
      <c r="EE44" s="1475"/>
      <c r="EF44" s="1463"/>
      <c r="EG44" s="297"/>
      <c r="EH44" s="297"/>
      <c r="EI44" s="297"/>
      <c r="EJ44" s="297"/>
      <c r="EK44" s="1475"/>
      <c r="EL44" s="1463"/>
      <c r="EM44" s="297"/>
      <c r="EN44" s="297"/>
      <c r="EO44" s="297"/>
      <c r="EP44" s="297"/>
      <c r="EQ44" s="297"/>
      <c r="ER44" s="297"/>
      <c r="ES44" s="297"/>
      <c r="ET44" s="297"/>
      <c r="EU44" s="356"/>
      <c r="EV44" s="2714" t="s">
        <v>212</v>
      </c>
      <c r="EW44" s="2714"/>
      <c r="EX44" s="2714"/>
      <c r="EY44" s="2714"/>
      <c r="EZ44" s="2714" t="s">
        <v>212</v>
      </c>
      <c r="FA44" s="2714"/>
      <c r="FB44" s="2714"/>
      <c r="FC44" s="2714"/>
      <c r="FD44" s="2714"/>
      <c r="FE44" s="298"/>
      <c r="FF44" s="2714" t="s">
        <v>212</v>
      </c>
      <c r="FG44" s="2714"/>
      <c r="FH44" s="2714"/>
      <c r="FI44" s="2714"/>
      <c r="FJ44" s="2714"/>
      <c r="FK44" s="2714"/>
      <c r="FL44" s="229"/>
      <c r="FM44" s="229"/>
      <c r="FN44" s="1245"/>
      <c r="FO44" s="538"/>
      <c r="FP44" s="229"/>
      <c r="FQ44" s="229"/>
      <c r="FR44" s="229"/>
      <c r="FS44" s="229"/>
      <c r="FT44" s="229"/>
      <c r="FU44" s="229"/>
      <c r="FV44" s="229"/>
      <c r="FW44" s="229"/>
    </row>
    <row r="45" spans="3:180" x14ac:dyDescent="0.35">
      <c r="F45" s="605"/>
      <c r="G45" s="244"/>
      <c r="H45" s="244"/>
      <c r="I45" s="1237"/>
      <c r="J45" s="606"/>
      <c r="K45" s="244"/>
      <c r="L45" s="244"/>
      <c r="M45" s="244"/>
      <c r="N45" s="244"/>
      <c r="O45" s="244"/>
      <c r="P45" s="244"/>
      <c r="Q45" s="244"/>
      <c r="R45" s="1237"/>
      <c r="S45" s="606"/>
      <c r="T45" s="244"/>
      <c r="U45" s="244"/>
      <c r="BL45" s="244"/>
      <c r="BM45" s="244"/>
      <c r="BN45" s="244"/>
      <c r="BO45" s="1237"/>
      <c r="BP45" s="606"/>
      <c r="BQ45" s="244"/>
      <c r="BR45" s="244"/>
      <c r="BS45" s="244"/>
      <c r="BT45" s="244"/>
      <c r="BU45" s="244"/>
      <c r="BV45" s="244"/>
      <c r="BW45" s="244"/>
      <c r="BX45" s="1237"/>
      <c r="BY45" s="606"/>
      <c r="BZ45" s="244"/>
      <c r="CA45" s="244"/>
      <c r="CB45" s="244"/>
      <c r="CC45" s="244"/>
      <c r="CD45" s="1237"/>
      <c r="CE45" s="606"/>
      <c r="CF45" s="244"/>
      <c r="CG45" s="244"/>
      <c r="CH45" s="244"/>
      <c r="CI45" s="244"/>
      <c r="CJ45" s="244"/>
      <c r="CK45" s="244"/>
      <c r="CL45" s="244"/>
      <c r="CM45" s="244"/>
      <c r="CO45" s="243"/>
      <c r="CP45" s="243"/>
      <c r="CQ45" s="243"/>
      <c r="CR45" s="1282"/>
      <c r="CS45" s="1225"/>
      <c r="CT45" s="243"/>
      <c r="CU45" s="243"/>
      <c r="CV45" s="243"/>
      <c r="CW45" s="243"/>
      <c r="CX45" s="243"/>
      <c r="CY45" s="243"/>
      <c r="CZ45" s="243"/>
      <c r="DA45" s="1282"/>
      <c r="DB45" s="1225"/>
      <c r="DC45" s="243"/>
      <c r="DD45" s="243"/>
      <c r="DR45" s="241" t="s">
        <v>191</v>
      </c>
      <c r="FX45" s="1" t="s">
        <v>191</v>
      </c>
    </row>
    <row r="46" spans="3:180" x14ac:dyDescent="0.35">
      <c r="F46" s="605"/>
      <c r="G46" s="244"/>
      <c r="H46" s="244"/>
      <c r="I46" s="1237"/>
      <c r="J46" s="606"/>
      <c r="K46" s="244"/>
      <c r="L46" s="244"/>
      <c r="M46" s="244"/>
      <c r="N46" s="244"/>
      <c r="O46" s="244"/>
      <c r="P46" s="244"/>
      <c r="Q46" s="244"/>
      <c r="R46" s="1237"/>
      <c r="S46" s="606"/>
      <c r="T46" s="244"/>
      <c r="U46" s="244"/>
      <c r="V46" s="244"/>
      <c r="W46" s="244"/>
      <c r="X46" s="1237"/>
      <c r="Y46" s="606"/>
      <c r="Z46" s="244"/>
      <c r="AA46" s="244"/>
      <c r="AB46" s="244"/>
      <c r="AC46" s="244"/>
      <c r="AD46" s="244"/>
      <c r="AE46" s="244"/>
      <c r="AF46" s="244"/>
      <c r="AG46" s="244"/>
      <c r="AH46" s="325"/>
      <c r="AI46" s="244"/>
      <c r="AJ46" s="244"/>
      <c r="AK46" s="244"/>
      <c r="AL46" s="1237"/>
      <c r="AM46" s="606"/>
      <c r="AN46" s="244"/>
      <c r="AO46" s="244"/>
      <c r="AP46" s="244"/>
      <c r="AQ46" s="244"/>
      <c r="AR46" s="244"/>
      <c r="AS46" s="244"/>
      <c r="AT46" s="244"/>
      <c r="AU46" s="1237"/>
      <c r="AV46" s="606"/>
      <c r="AW46" s="244"/>
      <c r="AX46" s="244"/>
      <c r="AY46" s="244"/>
      <c r="AZ46" s="244"/>
      <c r="BA46" s="1237"/>
      <c r="BB46" s="606"/>
      <c r="BC46" s="244"/>
      <c r="BD46" s="244"/>
      <c r="BE46" s="244"/>
      <c r="BF46" s="244"/>
      <c r="BG46" s="244"/>
      <c r="BH46" s="244"/>
      <c r="BI46" s="244"/>
      <c r="BJ46" s="244"/>
      <c r="BK46" s="325"/>
      <c r="BL46" s="244"/>
      <c r="BM46" s="244"/>
      <c r="BN46" s="244"/>
      <c r="BO46" s="1237"/>
      <c r="BP46" s="606"/>
      <c r="BQ46" s="244"/>
      <c r="BR46" s="244"/>
      <c r="BS46" s="244"/>
      <c r="BT46" s="244"/>
      <c r="BU46" s="244"/>
      <c r="BV46" s="244"/>
      <c r="BW46" s="244"/>
      <c r="BX46" s="1237"/>
      <c r="BY46" s="606"/>
      <c r="BZ46" s="244"/>
      <c r="CA46" s="244"/>
      <c r="CB46" s="244"/>
      <c r="CC46" s="244"/>
      <c r="CD46" s="1237"/>
      <c r="CE46" s="606"/>
      <c r="CF46" s="244"/>
      <c r="CG46" s="244"/>
      <c r="CH46" s="244"/>
      <c r="CI46" s="244"/>
      <c r="CJ46" s="244"/>
      <c r="CK46" s="244"/>
      <c r="CL46" s="244"/>
      <c r="CM46" s="244"/>
      <c r="CN46" s="325"/>
      <c r="CO46" s="243"/>
      <c r="CP46" s="243"/>
      <c r="CQ46" s="243"/>
      <c r="CR46" s="1282"/>
      <c r="CS46" s="1225"/>
      <c r="CT46" s="243"/>
      <c r="CU46" s="243"/>
      <c r="CV46" s="243"/>
      <c r="CW46" s="243"/>
      <c r="CX46" s="243"/>
      <c r="CY46" s="243"/>
      <c r="CZ46" s="243"/>
      <c r="DA46" s="1282"/>
      <c r="DB46" s="1225"/>
      <c r="DC46" s="243"/>
      <c r="DD46" s="243"/>
      <c r="DR46" s="241" t="s">
        <v>199</v>
      </c>
      <c r="EV46" s="251">
        <f t="shared" ref="EV46:FW46" si="4">EV$59*EV$9/100</f>
        <v>8.1030000000000019E-2</v>
      </c>
      <c r="EW46" s="251">
        <f t="shared" si="4"/>
        <v>3.2164999999999992E-2</v>
      </c>
      <c r="EX46" s="251">
        <f t="shared" si="4"/>
        <v>5.7500000000000008E-3</v>
      </c>
      <c r="EY46" s="1267">
        <f t="shared" si="4"/>
        <v>2.7812500000000003E-3</v>
      </c>
      <c r="EZ46" s="1212">
        <f t="shared" si="4"/>
        <v>6.4233043478260865E-2</v>
      </c>
      <c r="FA46" s="251">
        <f t="shared" si="4"/>
        <v>0.18239583333333337</v>
      </c>
      <c r="FB46" s="251">
        <f t="shared" si="4"/>
        <v>0.19129764705882352</v>
      </c>
      <c r="FC46" s="251">
        <f t="shared" si="4"/>
        <v>5.8643750000000008E-2</v>
      </c>
      <c r="FD46" s="251">
        <f t="shared" si="4"/>
        <v>0.11516166666666669</v>
      </c>
      <c r="FE46" s="251">
        <f t="shared" si="4"/>
        <v>9.0476666666666677E-2</v>
      </c>
      <c r="FF46" s="251">
        <f t="shared" si="4"/>
        <v>2.9874999999999999E-2</v>
      </c>
      <c r="FG46" s="251">
        <f t="shared" si="4"/>
        <v>4.2563333333333342E-2</v>
      </c>
      <c r="FH46" s="1267">
        <f t="shared" si="4"/>
        <v>0.12062750000000003</v>
      </c>
      <c r="FI46" s="1212">
        <f t="shared" si="4"/>
        <v>0</v>
      </c>
      <c r="FJ46" s="251">
        <f t="shared" si="4"/>
        <v>0</v>
      </c>
      <c r="FK46" s="251">
        <f t="shared" si="4"/>
        <v>0</v>
      </c>
      <c r="FL46" s="232">
        <f t="shared" si="4"/>
        <v>0</v>
      </c>
      <c r="FM46" s="232">
        <f t="shared" si="4"/>
        <v>0</v>
      </c>
      <c r="FN46" s="1236">
        <f t="shared" si="4"/>
        <v>0</v>
      </c>
      <c r="FO46" s="643">
        <f t="shared" si="4"/>
        <v>0</v>
      </c>
      <c r="FP46" s="232">
        <f t="shared" si="4"/>
        <v>0</v>
      </c>
      <c r="FQ46" s="232">
        <f t="shared" si="4"/>
        <v>0</v>
      </c>
      <c r="FR46" s="232">
        <f t="shared" si="4"/>
        <v>0</v>
      </c>
      <c r="FS46" s="232">
        <f t="shared" si="4"/>
        <v>0</v>
      </c>
      <c r="FT46" s="232">
        <f t="shared" si="4"/>
        <v>0</v>
      </c>
      <c r="FU46" s="232">
        <f t="shared" si="4"/>
        <v>0</v>
      </c>
      <c r="FV46" s="232">
        <f t="shared" si="4"/>
        <v>0</v>
      </c>
      <c r="FW46" s="232">
        <f t="shared" si="4"/>
        <v>0</v>
      </c>
      <c r="FX46" s="1" t="s">
        <v>199</v>
      </c>
    </row>
    <row r="47" spans="3:180" x14ac:dyDescent="0.35">
      <c r="F47" s="605"/>
      <c r="G47" s="244"/>
      <c r="H47" s="244"/>
      <c r="I47" s="1237"/>
      <c r="J47" s="606"/>
      <c r="K47" s="244"/>
      <c r="L47" s="244"/>
      <c r="M47" s="244"/>
      <c r="N47" s="244"/>
      <c r="O47" s="244"/>
      <c r="P47" s="244"/>
      <c r="Q47" s="244"/>
      <c r="R47" s="1237"/>
      <c r="S47" s="606"/>
      <c r="T47" s="244"/>
      <c r="U47" s="244"/>
      <c r="V47" s="244"/>
      <c r="W47" s="244"/>
      <c r="X47" s="1237"/>
      <c r="Y47" s="606"/>
      <c r="Z47" s="244"/>
      <c r="AA47" s="244"/>
      <c r="AB47" s="244"/>
      <c r="AC47" s="244"/>
      <c r="AD47" s="244"/>
      <c r="AE47" s="244"/>
      <c r="AF47" s="244"/>
      <c r="AG47" s="244"/>
      <c r="AH47" s="325"/>
      <c r="AI47" s="244"/>
      <c r="AJ47" s="244"/>
      <c r="AK47" s="244"/>
      <c r="AL47" s="1237"/>
      <c r="AM47" s="606"/>
      <c r="AN47" s="244"/>
      <c r="AO47" s="244"/>
      <c r="AP47" s="244"/>
      <c r="AQ47" s="244"/>
      <c r="AR47" s="244"/>
      <c r="AS47" s="244"/>
      <c r="AT47" s="244"/>
      <c r="AU47" s="1237"/>
      <c r="AV47" s="606"/>
      <c r="AW47" s="244"/>
      <c r="AX47" s="244"/>
      <c r="AY47" s="244"/>
      <c r="AZ47" s="244"/>
      <c r="BA47" s="1237"/>
      <c r="BB47" s="606"/>
      <c r="BC47" s="244"/>
      <c r="BD47" s="244"/>
      <c r="BE47" s="244"/>
      <c r="BF47" s="244"/>
      <c r="BG47" s="244"/>
      <c r="BH47" s="244"/>
      <c r="BI47" s="244"/>
      <c r="BJ47" s="244"/>
      <c r="BK47" s="325"/>
      <c r="BL47" s="244"/>
      <c r="BM47" s="244"/>
      <c r="BN47" s="244"/>
      <c r="BO47" s="1237"/>
      <c r="BP47" s="606"/>
      <c r="BQ47" s="244"/>
      <c r="BR47" s="244"/>
      <c r="BS47" s="244"/>
      <c r="BT47" s="244"/>
      <c r="BU47" s="244"/>
      <c r="BV47" s="244"/>
      <c r="BW47" s="244"/>
      <c r="BX47" s="1237"/>
      <c r="BY47" s="606"/>
      <c r="BZ47" s="244"/>
      <c r="CA47" s="244"/>
      <c r="CB47" s="244"/>
      <c r="CC47" s="244"/>
      <c r="CD47" s="1237"/>
      <c r="CE47" s="606"/>
      <c r="CF47" s="244"/>
      <c r="CG47" s="244"/>
      <c r="CH47" s="244"/>
      <c r="CI47" s="244"/>
      <c r="CJ47" s="244"/>
      <c r="CK47" s="244"/>
      <c r="CL47" s="244"/>
      <c r="CM47" s="244"/>
      <c r="CN47" s="325"/>
      <c r="CO47" s="243"/>
      <c r="CP47" s="243"/>
      <c r="CQ47" s="243"/>
      <c r="CR47" s="1282"/>
      <c r="CS47" s="1225"/>
      <c r="CT47" s="243"/>
      <c r="CU47" s="243"/>
      <c r="CV47" s="243"/>
      <c r="CW47" s="243"/>
      <c r="CX47" s="243"/>
      <c r="CY47" s="243"/>
      <c r="CZ47" s="243"/>
      <c r="DA47" s="1282"/>
      <c r="DB47" s="1225"/>
      <c r="DC47" s="243"/>
      <c r="DD47" s="243"/>
      <c r="DR47" s="241" t="s">
        <v>200</v>
      </c>
      <c r="EV47" s="251">
        <f t="shared" ref="EV47:FW47" si="5">EV$59*EV$10/100</f>
        <v>5.9130000000000009E-2</v>
      </c>
      <c r="EW47" s="251">
        <f t="shared" si="5"/>
        <v>5.8969166666666656E-2</v>
      </c>
      <c r="EX47" s="251">
        <f t="shared" si="5"/>
        <v>1.0541666666666666E-2</v>
      </c>
      <c r="EY47" s="1267">
        <f t="shared" si="5"/>
        <v>4.635416666666667E-3</v>
      </c>
      <c r="EZ47" s="1212">
        <f t="shared" si="5"/>
        <v>0.11240782608695653</v>
      </c>
      <c r="FA47" s="251">
        <f t="shared" si="5"/>
        <v>0.28968750000000004</v>
      </c>
      <c r="FB47" s="251">
        <f t="shared" si="5"/>
        <v>0.31882941176470586</v>
      </c>
      <c r="FC47" s="251">
        <f t="shared" si="5"/>
        <v>0.11728750000000002</v>
      </c>
      <c r="FD47" s="251">
        <f t="shared" si="5"/>
        <v>0.18508125</v>
      </c>
      <c r="FE47" s="251">
        <f t="shared" si="5"/>
        <v>0.15833416666666669</v>
      </c>
      <c r="FF47" s="251">
        <f t="shared" si="5"/>
        <v>4.9791666666666672E-2</v>
      </c>
      <c r="FG47" s="251">
        <f t="shared" si="5"/>
        <v>6.3844999999999999E-2</v>
      </c>
      <c r="FH47" s="1267">
        <f t="shared" si="5"/>
        <v>0.22402250000000001</v>
      </c>
      <c r="FI47" s="1212">
        <f t="shared" si="5"/>
        <v>0</v>
      </c>
      <c r="FJ47" s="251">
        <f t="shared" si="5"/>
        <v>0</v>
      </c>
      <c r="FK47" s="251">
        <f t="shared" si="5"/>
        <v>0</v>
      </c>
      <c r="FL47" s="232">
        <f t="shared" si="5"/>
        <v>0</v>
      </c>
      <c r="FM47" s="232">
        <f t="shared" si="5"/>
        <v>0</v>
      </c>
      <c r="FN47" s="1236">
        <f t="shared" si="5"/>
        <v>0</v>
      </c>
      <c r="FO47" s="643">
        <f t="shared" si="5"/>
        <v>0</v>
      </c>
      <c r="FP47" s="232">
        <f t="shared" si="5"/>
        <v>0</v>
      </c>
      <c r="FQ47" s="232">
        <f t="shared" si="5"/>
        <v>0</v>
      </c>
      <c r="FR47" s="232">
        <f t="shared" si="5"/>
        <v>0</v>
      </c>
      <c r="FS47" s="232">
        <f t="shared" si="5"/>
        <v>0</v>
      </c>
      <c r="FT47" s="232">
        <f t="shared" si="5"/>
        <v>0</v>
      </c>
      <c r="FU47" s="232">
        <f t="shared" si="5"/>
        <v>0</v>
      </c>
      <c r="FV47" s="232">
        <f t="shared" si="5"/>
        <v>0</v>
      </c>
      <c r="FW47" s="232">
        <f t="shared" si="5"/>
        <v>0</v>
      </c>
      <c r="FX47" s="1" t="s">
        <v>200</v>
      </c>
    </row>
    <row r="48" spans="3:180" x14ac:dyDescent="0.35">
      <c r="F48" s="605"/>
      <c r="G48" s="244"/>
      <c r="H48" s="244"/>
      <c r="I48" s="1237"/>
      <c r="J48" s="606"/>
      <c r="K48" s="244"/>
      <c r="L48" s="244"/>
      <c r="M48" s="244"/>
      <c r="N48" s="244"/>
      <c r="O48" s="244"/>
      <c r="P48" s="244"/>
      <c r="Q48" s="244"/>
      <c r="R48" s="1237"/>
      <c r="S48" s="606"/>
      <c r="T48" s="244"/>
      <c r="U48" s="244"/>
      <c r="V48" s="244"/>
      <c r="W48" s="244"/>
      <c r="X48" s="1237"/>
      <c r="Y48" s="606"/>
      <c r="Z48" s="244"/>
      <c r="AA48" s="244"/>
      <c r="AB48" s="244"/>
      <c r="AC48" s="244"/>
      <c r="AD48" s="244"/>
      <c r="AE48" s="244"/>
      <c r="AF48" s="244"/>
      <c r="AG48" s="244"/>
      <c r="AH48" s="325"/>
      <c r="AI48" s="244"/>
      <c r="AJ48" s="244"/>
      <c r="AK48" s="244"/>
      <c r="AL48" s="1237"/>
      <c r="AM48" s="606"/>
      <c r="AN48" s="244"/>
      <c r="AO48" s="244"/>
      <c r="AP48" s="244"/>
      <c r="AQ48" s="244"/>
      <c r="AR48" s="244"/>
      <c r="AS48" s="244"/>
      <c r="AT48" s="244"/>
      <c r="AU48" s="1237"/>
      <c r="AV48" s="606"/>
      <c r="AW48" s="244"/>
      <c r="AX48" s="244"/>
      <c r="AY48" s="244"/>
      <c r="AZ48" s="244"/>
      <c r="BA48" s="1237"/>
      <c r="BB48" s="606"/>
      <c r="BC48" s="244"/>
      <c r="BD48" s="244"/>
      <c r="BE48" s="244"/>
      <c r="BF48" s="244"/>
      <c r="BG48" s="244"/>
      <c r="BH48" s="244"/>
      <c r="BI48" s="244"/>
      <c r="BJ48" s="244"/>
      <c r="BK48" s="325"/>
      <c r="BL48" s="244"/>
      <c r="BM48" s="244"/>
      <c r="BN48" s="244"/>
      <c r="BO48" s="1237"/>
      <c r="BP48" s="606"/>
      <c r="BQ48" s="244"/>
      <c r="BR48" s="244"/>
      <c r="BS48" s="244"/>
      <c r="BT48" s="244"/>
      <c r="BU48" s="244"/>
      <c r="BV48" s="244"/>
      <c r="BW48" s="244"/>
      <c r="BX48" s="1237"/>
      <c r="BY48" s="606"/>
      <c r="BZ48" s="244"/>
      <c r="CA48" s="244"/>
      <c r="CB48" s="244"/>
      <c r="CC48" s="244"/>
      <c r="CD48" s="1237"/>
      <c r="CE48" s="606"/>
      <c r="CF48" s="244"/>
      <c r="CG48" s="244"/>
      <c r="CH48" s="244"/>
      <c r="CI48" s="244"/>
      <c r="CJ48" s="244"/>
      <c r="CK48" s="244"/>
      <c r="CL48" s="244"/>
      <c r="CM48" s="244"/>
      <c r="CN48" s="325"/>
      <c r="CO48" s="243"/>
      <c r="CP48" s="243"/>
      <c r="CQ48" s="243"/>
      <c r="CR48" s="1282"/>
      <c r="CS48" s="1225"/>
      <c r="CT48" s="243"/>
      <c r="CU48" s="243"/>
      <c r="CV48" s="243"/>
      <c r="CW48" s="243"/>
      <c r="CX48" s="243"/>
      <c r="CY48" s="243"/>
      <c r="CZ48" s="243"/>
      <c r="DA48" s="1282"/>
      <c r="DB48" s="1225"/>
      <c r="DC48" s="243"/>
      <c r="DD48" s="243"/>
      <c r="DR48" s="241" t="s">
        <v>201</v>
      </c>
      <c r="EV48" s="251">
        <f t="shared" ref="EV48:FW48" si="6">EV$59*EV$11/100</f>
        <v>0.12921000000000002</v>
      </c>
      <c r="EW48" s="251">
        <f t="shared" si="6"/>
        <v>8.5773333333333313E-2</v>
      </c>
      <c r="EX48" s="251">
        <f t="shared" si="6"/>
        <v>1.5333333333333334E-2</v>
      </c>
      <c r="EY48" s="1267">
        <f t="shared" si="6"/>
        <v>7.4166666666666669E-3</v>
      </c>
      <c r="EZ48" s="1212">
        <f t="shared" si="6"/>
        <v>0.1926991304347826</v>
      </c>
      <c r="FA48" s="251">
        <f t="shared" si="6"/>
        <v>0.43989583333333337</v>
      </c>
      <c r="FB48" s="251">
        <f t="shared" si="6"/>
        <v>0.47824411764705888</v>
      </c>
      <c r="FC48" s="251">
        <f t="shared" si="6"/>
        <v>0.28149000000000002</v>
      </c>
      <c r="FD48" s="251">
        <f t="shared" si="6"/>
        <v>0.3125816666666667</v>
      </c>
      <c r="FE48" s="251">
        <f t="shared" si="6"/>
        <v>0.31666833333333338</v>
      </c>
      <c r="FF48" s="251">
        <f t="shared" si="6"/>
        <v>8.9624999999999982E-2</v>
      </c>
      <c r="FG48" s="251">
        <f t="shared" si="6"/>
        <v>0.15961250000000002</v>
      </c>
      <c r="FH48" s="1267">
        <f t="shared" si="6"/>
        <v>0.40496375000000001</v>
      </c>
      <c r="FI48" s="1212">
        <f t="shared" si="6"/>
        <v>0</v>
      </c>
      <c r="FJ48" s="251">
        <f t="shared" si="6"/>
        <v>0</v>
      </c>
      <c r="FK48" s="251">
        <f t="shared" si="6"/>
        <v>0</v>
      </c>
      <c r="FL48" s="232">
        <f t="shared" si="6"/>
        <v>0</v>
      </c>
      <c r="FM48" s="232">
        <f t="shared" si="6"/>
        <v>0</v>
      </c>
      <c r="FN48" s="1236">
        <f t="shared" si="6"/>
        <v>0</v>
      </c>
      <c r="FO48" s="643">
        <f t="shared" si="6"/>
        <v>0</v>
      </c>
      <c r="FP48" s="232">
        <f t="shared" si="6"/>
        <v>0</v>
      </c>
      <c r="FQ48" s="232">
        <f t="shared" si="6"/>
        <v>0</v>
      </c>
      <c r="FR48" s="232">
        <f t="shared" si="6"/>
        <v>0</v>
      </c>
      <c r="FS48" s="232">
        <f t="shared" si="6"/>
        <v>0</v>
      </c>
      <c r="FT48" s="232">
        <f t="shared" si="6"/>
        <v>0</v>
      </c>
      <c r="FU48" s="232">
        <f t="shared" si="6"/>
        <v>0</v>
      </c>
      <c r="FV48" s="232">
        <f t="shared" si="6"/>
        <v>0</v>
      </c>
      <c r="FW48" s="232">
        <f t="shared" si="6"/>
        <v>0</v>
      </c>
      <c r="FX48" s="1" t="s">
        <v>201</v>
      </c>
    </row>
    <row r="49" spans="3:180" x14ac:dyDescent="0.35">
      <c r="F49" s="605"/>
      <c r="G49" s="244"/>
      <c r="H49" s="244"/>
      <c r="I49" s="1237"/>
      <c r="J49" s="606"/>
      <c r="K49" s="244"/>
      <c r="L49" s="244"/>
      <c r="M49" s="244"/>
      <c r="N49" s="244"/>
      <c r="O49" s="244"/>
      <c r="P49" s="244"/>
      <c r="Q49" s="244"/>
      <c r="R49" s="1237"/>
      <c r="S49" s="606"/>
      <c r="T49" s="244"/>
      <c r="U49" s="244"/>
      <c r="V49" s="244"/>
      <c r="W49" s="244"/>
      <c r="X49" s="1237"/>
      <c r="Y49" s="606"/>
      <c r="Z49" s="244"/>
      <c r="AA49" s="244"/>
      <c r="AB49" s="244"/>
      <c r="AC49" s="244"/>
      <c r="AD49" s="244"/>
      <c r="AE49" s="244"/>
      <c r="AF49" s="244"/>
      <c r="AG49" s="244"/>
      <c r="AH49" s="325"/>
      <c r="AI49" s="244"/>
      <c r="AJ49" s="244"/>
      <c r="AK49" s="244"/>
      <c r="AL49" s="1237"/>
      <c r="AM49" s="606"/>
      <c r="AN49" s="244"/>
      <c r="AO49" s="244"/>
      <c r="AP49" s="244"/>
      <c r="AQ49" s="244"/>
      <c r="AR49" s="244"/>
      <c r="AS49" s="244"/>
      <c r="AT49" s="244"/>
      <c r="AU49" s="1237"/>
      <c r="AV49" s="606"/>
      <c r="AW49" s="244"/>
      <c r="AX49" s="244"/>
      <c r="AY49" s="244"/>
      <c r="AZ49" s="244"/>
      <c r="BA49" s="1237"/>
      <c r="BB49" s="606"/>
      <c r="BC49" s="244"/>
      <c r="BD49" s="244"/>
      <c r="BE49" s="244"/>
      <c r="BF49" s="244"/>
      <c r="BG49" s="244"/>
      <c r="BH49" s="244"/>
      <c r="BI49" s="244"/>
      <c r="BJ49" s="244"/>
      <c r="BK49" s="325"/>
      <c r="BL49" s="244"/>
      <c r="BM49" s="244"/>
      <c r="BN49" s="244"/>
      <c r="BO49" s="1237"/>
      <c r="BP49" s="606"/>
      <c r="BQ49" s="244"/>
      <c r="BR49" s="244"/>
      <c r="BS49" s="244"/>
      <c r="BT49" s="244"/>
      <c r="BU49" s="244"/>
      <c r="BV49" s="244"/>
      <c r="BW49" s="244"/>
      <c r="BX49" s="1237"/>
      <c r="BY49" s="606"/>
      <c r="BZ49" s="244"/>
      <c r="CA49" s="244"/>
      <c r="CB49" s="244"/>
      <c r="CC49" s="244"/>
      <c r="CD49" s="1237"/>
      <c r="CE49" s="606"/>
      <c r="CF49" s="244"/>
      <c r="CG49" s="244"/>
      <c r="CH49" s="244"/>
      <c r="CI49" s="244"/>
      <c r="CJ49" s="244"/>
      <c r="CK49" s="244"/>
      <c r="CL49" s="244"/>
      <c r="CM49" s="244"/>
      <c r="CN49" s="325"/>
      <c r="CO49" s="243"/>
      <c r="CP49" s="251"/>
      <c r="CQ49" s="243"/>
      <c r="CR49" s="1282"/>
      <c r="CS49" s="1225"/>
      <c r="CT49" s="243"/>
      <c r="CU49" s="243"/>
      <c r="CV49" s="243"/>
      <c r="CW49" s="243"/>
      <c r="CX49" s="243"/>
      <c r="CY49" s="243"/>
      <c r="CZ49" s="243"/>
      <c r="DA49" s="1282"/>
      <c r="DB49" s="1225"/>
      <c r="DC49" s="243"/>
      <c r="DD49" s="243"/>
      <c r="DR49" s="241" t="s">
        <v>376</v>
      </c>
      <c r="EV49" s="251">
        <f t="shared" ref="EV49:FW49" si="7">EV$59*EV$12/100</f>
        <v>0.16096500000000002</v>
      </c>
      <c r="EW49" s="251">
        <f t="shared" si="7"/>
        <v>9.1134166666666655E-2</v>
      </c>
      <c r="EX49" s="251">
        <f t="shared" si="7"/>
        <v>1.629166666666667E-2</v>
      </c>
      <c r="EY49" s="1267">
        <f t="shared" si="7"/>
        <v>1.0197916666666666E-2</v>
      </c>
      <c r="EZ49" s="1212">
        <f t="shared" si="7"/>
        <v>0.32919434782608692</v>
      </c>
      <c r="FA49" s="251">
        <f t="shared" si="7"/>
        <v>0.49354166666666671</v>
      </c>
      <c r="FB49" s="251">
        <f t="shared" si="7"/>
        <v>0.53138235294117653</v>
      </c>
      <c r="FC49" s="251">
        <f t="shared" si="7"/>
        <v>0.59816625000000001</v>
      </c>
      <c r="FD49" s="251">
        <f t="shared" si="7"/>
        <v>0.44830791666666664</v>
      </c>
      <c r="FE49" s="251">
        <f t="shared" si="7"/>
        <v>0.54286000000000001</v>
      </c>
      <c r="FF49" s="251">
        <f t="shared" si="7"/>
        <v>0.19916666666666669</v>
      </c>
      <c r="FG49" s="251">
        <f t="shared" si="7"/>
        <v>0.32986583333333336</v>
      </c>
      <c r="FH49" s="1267">
        <f t="shared" si="7"/>
        <v>0.58590500000000012</v>
      </c>
      <c r="FI49" s="1212">
        <f t="shared" si="7"/>
        <v>0</v>
      </c>
      <c r="FJ49" s="251">
        <f t="shared" si="7"/>
        <v>0</v>
      </c>
      <c r="FK49" s="251">
        <f t="shared" si="7"/>
        <v>0</v>
      </c>
      <c r="FL49" s="232">
        <f t="shared" si="7"/>
        <v>0</v>
      </c>
      <c r="FM49" s="232">
        <f t="shared" si="7"/>
        <v>0</v>
      </c>
      <c r="FN49" s="1236">
        <f t="shared" si="7"/>
        <v>0</v>
      </c>
      <c r="FO49" s="643">
        <f t="shared" si="7"/>
        <v>0</v>
      </c>
      <c r="FP49" s="232">
        <f t="shared" si="7"/>
        <v>0</v>
      </c>
      <c r="FQ49" s="232">
        <f t="shared" si="7"/>
        <v>0</v>
      </c>
      <c r="FR49" s="232">
        <f t="shared" si="7"/>
        <v>0</v>
      </c>
      <c r="FS49" s="232">
        <f t="shared" si="7"/>
        <v>0</v>
      </c>
      <c r="FT49" s="232">
        <f t="shared" si="7"/>
        <v>0</v>
      </c>
      <c r="FU49" s="232">
        <f t="shared" si="7"/>
        <v>0</v>
      </c>
      <c r="FV49" s="232">
        <f t="shared" si="7"/>
        <v>0</v>
      </c>
      <c r="FW49" s="232">
        <f t="shared" si="7"/>
        <v>0</v>
      </c>
      <c r="FX49" s="1" t="s">
        <v>376</v>
      </c>
    </row>
    <row r="50" spans="3:180" x14ac:dyDescent="0.35">
      <c r="F50" s="605"/>
      <c r="G50" s="244"/>
      <c r="H50" s="244"/>
      <c r="I50" s="1237"/>
      <c r="J50" s="606"/>
      <c r="K50" s="244"/>
      <c r="L50" s="244"/>
      <c r="M50" s="244"/>
      <c r="N50" s="244"/>
      <c r="O50" s="244"/>
      <c r="P50" s="244"/>
      <c r="Q50" s="244"/>
      <c r="R50" s="1237"/>
      <c r="S50" s="606"/>
      <c r="T50" s="244"/>
      <c r="U50" s="244"/>
      <c r="V50" s="244"/>
      <c r="W50" s="244"/>
      <c r="X50" s="1237"/>
      <c r="Y50" s="606"/>
      <c r="Z50" s="244"/>
      <c r="AA50" s="244"/>
      <c r="AB50" s="244"/>
      <c r="AC50" s="244"/>
      <c r="AD50" s="244"/>
      <c r="AE50" s="244"/>
      <c r="AF50" s="244"/>
      <c r="AG50" s="244"/>
      <c r="AH50" s="325"/>
      <c r="AI50" s="244"/>
      <c r="AJ50" s="244"/>
      <c r="AK50" s="244"/>
      <c r="AL50" s="1237"/>
      <c r="AM50" s="606"/>
      <c r="AN50" s="244"/>
      <c r="AO50" s="244"/>
      <c r="AP50" s="244"/>
      <c r="AQ50" s="244"/>
      <c r="AR50" s="244"/>
      <c r="AS50" s="244"/>
      <c r="AT50" s="244"/>
      <c r="AU50" s="1237"/>
      <c r="AV50" s="606"/>
      <c r="AW50" s="244"/>
      <c r="AX50" s="244"/>
      <c r="AY50" s="244"/>
      <c r="AZ50" s="244"/>
      <c r="BA50" s="1237"/>
      <c r="BB50" s="606"/>
      <c r="BC50" s="244"/>
      <c r="BD50" s="244"/>
      <c r="BE50" s="244"/>
      <c r="BF50" s="244"/>
      <c r="BG50" s="244"/>
      <c r="BH50" s="244"/>
      <c r="BI50" s="244"/>
      <c r="BJ50" s="244"/>
      <c r="BK50" s="325"/>
      <c r="BL50" s="244"/>
      <c r="BM50" s="244"/>
      <c r="BN50" s="244"/>
      <c r="BO50" s="1237"/>
      <c r="BP50" s="606"/>
      <c r="BQ50" s="244"/>
      <c r="BR50" s="244"/>
      <c r="BS50" s="244"/>
      <c r="BT50" s="244"/>
      <c r="BU50" s="244"/>
      <c r="BV50" s="244"/>
      <c r="BW50" s="244"/>
      <c r="BX50" s="1237"/>
      <c r="BY50" s="606"/>
      <c r="BZ50" s="244"/>
      <c r="CA50" s="244"/>
      <c r="CB50" s="244"/>
      <c r="CC50" s="244"/>
      <c r="CD50" s="1237"/>
      <c r="CE50" s="606"/>
      <c r="CF50" s="244"/>
      <c r="CG50" s="244"/>
      <c r="CH50" s="244"/>
      <c r="CI50" s="244"/>
      <c r="CJ50" s="244"/>
      <c r="CK50" s="244"/>
      <c r="CL50" s="244"/>
      <c r="CM50" s="244"/>
      <c r="CN50" s="325"/>
      <c r="CO50" s="243"/>
      <c r="CP50" s="243"/>
      <c r="CQ50" s="243"/>
      <c r="CR50" s="1282"/>
      <c r="CS50" s="1225"/>
      <c r="CT50" s="243"/>
      <c r="CU50" s="243"/>
      <c r="CV50" s="243"/>
      <c r="CW50" s="243"/>
      <c r="CX50" s="243"/>
      <c r="CY50" s="243"/>
      <c r="CZ50" s="243"/>
      <c r="DA50" s="1282"/>
      <c r="DB50" s="1225"/>
      <c r="DC50" s="243"/>
      <c r="DD50" s="243"/>
      <c r="DR50" s="241" t="s">
        <v>203</v>
      </c>
      <c r="EV50" s="251">
        <f t="shared" ref="EV50:FW50" si="8">EV$59*EV$13/100</f>
        <v>0.10293000000000001</v>
      </c>
      <c r="EW50" s="251">
        <f t="shared" si="8"/>
        <v>5.8969166666666656E-2</v>
      </c>
      <c r="EX50" s="251">
        <f t="shared" si="8"/>
        <v>1.0541666666666666E-2</v>
      </c>
      <c r="EY50" s="1267">
        <f t="shared" si="8"/>
        <v>1.1125000000000001E-2</v>
      </c>
      <c r="EZ50" s="1212">
        <f t="shared" si="8"/>
        <v>0.39342739130434778</v>
      </c>
      <c r="FA50" s="251">
        <f t="shared" si="8"/>
        <v>0.41843750000000002</v>
      </c>
      <c r="FB50" s="251">
        <f t="shared" si="8"/>
        <v>0.40385058823529413</v>
      </c>
      <c r="FC50" s="251">
        <f t="shared" si="8"/>
        <v>0.80928375000000008</v>
      </c>
      <c r="FD50" s="251">
        <f t="shared" si="8"/>
        <v>0.48121124999999998</v>
      </c>
      <c r="FE50" s="251">
        <f t="shared" si="8"/>
        <v>0.56547916666666675</v>
      </c>
      <c r="FF50" s="251">
        <f t="shared" si="8"/>
        <v>0.39833333333333337</v>
      </c>
      <c r="FG50" s="251">
        <f t="shared" si="8"/>
        <v>0.51075999999999999</v>
      </c>
      <c r="FH50" s="1267">
        <f t="shared" si="8"/>
        <v>0.59452125</v>
      </c>
      <c r="FI50" s="1212">
        <f t="shared" si="8"/>
        <v>0</v>
      </c>
      <c r="FJ50" s="251">
        <f t="shared" si="8"/>
        <v>0</v>
      </c>
      <c r="FK50" s="251">
        <f t="shared" si="8"/>
        <v>0</v>
      </c>
      <c r="FL50" s="232">
        <f t="shared" si="8"/>
        <v>0</v>
      </c>
      <c r="FM50" s="232">
        <f t="shared" si="8"/>
        <v>0</v>
      </c>
      <c r="FN50" s="1236">
        <f t="shared" si="8"/>
        <v>0</v>
      </c>
      <c r="FO50" s="643">
        <f t="shared" si="8"/>
        <v>0</v>
      </c>
      <c r="FP50" s="232">
        <f t="shared" si="8"/>
        <v>0</v>
      </c>
      <c r="FQ50" s="232">
        <f t="shared" si="8"/>
        <v>0</v>
      </c>
      <c r="FR50" s="232">
        <f t="shared" si="8"/>
        <v>0</v>
      </c>
      <c r="FS50" s="232">
        <f t="shared" si="8"/>
        <v>0</v>
      </c>
      <c r="FT50" s="232">
        <f t="shared" si="8"/>
        <v>0</v>
      </c>
      <c r="FU50" s="232">
        <f t="shared" si="8"/>
        <v>0</v>
      </c>
      <c r="FV50" s="232">
        <f t="shared" si="8"/>
        <v>0</v>
      </c>
      <c r="FW50" s="232">
        <f t="shared" si="8"/>
        <v>0</v>
      </c>
      <c r="FX50" s="1" t="s">
        <v>203</v>
      </c>
    </row>
    <row r="51" spans="3:180" s="368" customFormat="1" ht="15" thickBot="1" x14ac:dyDescent="0.4">
      <c r="C51" s="364"/>
      <c r="D51" s="364"/>
      <c r="E51" s="364"/>
      <c r="F51" s="1072"/>
      <c r="G51" s="1073"/>
      <c r="H51" s="1073"/>
      <c r="I51" s="1246"/>
      <c r="J51" s="1192"/>
      <c r="K51" s="1073"/>
      <c r="L51" s="1073"/>
      <c r="M51" s="1073"/>
      <c r="N51" s="1073"/>
      <c r="O51" s="1073"/>
      <c r="P51" s="1073"/>
      <c r="Q51" s="1073"/>
      <c r="R51" s="1246"/>
      <c r="S51" s="1192"/>
      <c r="T51" s="1073"/>
      <c r="U51" s="1073"/>
      <c r="V51" s="1073"/>
      <c r="W51" s="1073"/>
      <c r="X51" s="1246"/>
      <c r="Y51" s="1192"/>
      <c r="Z51" s="1073"/>
      <c r="AA51" s="1073"/>
      <c r="AB51" s="1073"/>
      <c r="AC51" s="1073"/>
      <c r="AD51" s="1073"/>
      <c r="AE51" s="1073"/>
      <c r="AF51" s="1073"/>
      <c r="AG51" s="1073"/>
      <c r="AH51" s="369"/>
      <c r="AI51" s="1073"/>
      <c r="AJ51" s="1073"/>
      <c r="AK51" s="1073"/>
      <c r="AL51" s="1246"/>
      <c r="AM51" s="1192"/>
      <c r="AN51" s="1073"/>
      <c r="AO51" s="1073"/>
      <c r="AP51" s="1073"/>
      <c r="AQ51" s="1073"/>
      <c r="AR51" s="1073"/>
      <c r="AS51" s="1073"/>
      <c r="AT51" s="1073"/>
      <c r="AU51" s="1246"/>
      <c r="AV51" s="1192"/>
      <c r="AW51" s="1073"/>
      <c r="AX51" s="1073"/>
      <c r="AY51" s="1073"/>
      <c r="AZ51" s="1073"/>
      <c r="BA51" s="1246"/>
      <c r="BB51" s="1192"/>
      <c r="BC51" s="1073"/>
      <c r="BD51" s="1073"/>
      <c r="BE51" s="1073"/>
      <c r="BF51" s="1073"/>
      <c r="BG51" s="1073"/>
      <c r="BH51" s="1073"/>
      <c r="BI51" s="1073"/>
      <c r="BJ51" s="1073"/>
      <c r="BK51" s="369"/>
      <c r="BL51" s="1073"/>
      <c r="BM51" s="1073"/>
      <c r="BN51" s="1073"/>
      <c r="BO51" s="1246"/>
      <c r="BP51" s="1192"/>
      <c r="BQ51" s="1073"/>
      <c r="BR51" s="1073"/>
      <c r="BS51" s="1073"/>
      <c r="BT51" s="1073"/>
      <c r="BU51" s="1073"/>
      <c r="BV51" s="1073"/>
      <c r="BW51" s="1073"/>
      <c r="BX51" s="1246"/>
      <c r="BY51" s="1192"/>
      <c r="BZ51" s="1073"/>
      <c r="CA51" s="1073"/>
      <c r="CB51" s="1073"/>
      <c r="CC51" s="1073"/>
      <c r="CD51" s="1246"/>
      <c r="CE51" s="1192"/>
      <c r="CF51" s="1073"/>
      <c r="CG51" s="1073"/>
      <c r="CH51" s="1073"/>
      <c r="CI51" s="1073"/>
      <c r="CJ51" s="1073"/>
      <c r="CK51" s="1073"/>
      <c r="CL51" s="1073"/>
      <c r="CM51" s="1073"/>
      <c r="CN51" s="369"/>
      <c r="CO51" s="1074"/>
      <c r="CP51" s="1073"/>
      <c r="CQ51" s="1073"/>
      <c r="CR51" s="1246"/>
      <c r="CS51" s="1192"/>
      <c r="CT51" s="1073"/>
      <c r="CU51" s="1073"/>
      <c r="CV51" s="1074"/>
      <c r="CW51" s="1074"/>
      <c r="CX51" s="1074"/>
      <c r="CY51" s="1074"/>
      <c r="CZ51" s="1074"/>
      <c r="DA51" s="1494"/>
      <c r="DB51" s="1484"/>
      <c r="DC51" s="1074"/>
      <c r="DD51" s="1074"/>
      <c r="DE51" s="365"/>
      <c r="DF51" s="365"/>
      <c r="DG51" s="1234"/>
      <c r="DH51" s="1182"/>
      <c r="DI51" s="365"/>
      <c r="DJ51" s="365"/>
      <c r="DK51" s="365"/>
      <c r="DL51" s="365"/>
      <c r="DM51" s="365"/>
      <c r="DN51" s="365"/>
      <c r="DO51" s="365"/>
      <c r="DP51" s="365"/>
      <c r="DQ51" s="366"/>
      <c r="DR51" s="409" t="s">
        <v>374</v>
      </c>
      <c r="DS51" s="365"/>
      <c r="DT51" s="365"/>
      <c r="DU51" s="365"/>
      <c r="DV51" s="1234"/>
      <c r="DW51" s="1182"/>
      <c r="DX51" s="365"/>
      <c r="DY51" s="365"/>
      <c r="DZ51" s="365"/>
      <c r="EA51" s="365"/>
      <c r="EB51" s="365"/>
      <c r="EC51" s="365"/>
      <c r="ED51" s="365"/>
      <c r="EE51" s="1234"/>
      <c r="EF51" s="1182"/>
      <c r="EG51" s="365"/>
      <c r="EH51" s="365"/>
      <c r="EI51" s="365"/>
      <c r="EJ51" s="365"/>
      <c r="EK51" s="1234"/>
      <c r="EL51" s="1182"/>
      <c r="EM51" s="365"/>
      <c r="EN51" s="365"/>
      <c r="EO51" s="365"/>
      <c r="EP51" s="365"/>
      <c r="EQ51" s="365"/>
      <c r="ER51" s="365"/>
      <c r="ES51" s="365"/>
      <c r="ET51" s="365"/>
      <c r="EU51" s="366"/>
      <c r="EV51" s="1075">
        <f t="shared" ref="EV51:FW51" si="9">EV$59*EV$14/100</f>
        <v>4.5990000000000003E-2</v>
      </c>
      <c r="EW51" s="1075">
        <f t="shared" si="9"/>
        <v>6.4329999999999984E-2</v>
      </c>
      <c r="EX51" s="1075">
        <f t="shared" si="9"/>
        <v>1.1500000000000002E-2</v>
      </c>
      <c r="EY51" s="1548">
        <f t="shared" si="9"/>
        <v>3.89375E-2</v>
      </c>
      <c r="EZ51" s="1531">
        <f t="shared" si="9"/>
        <v>0.73868</v>
      </c>
      <c r="FA51" s="1075">
        <f t="shared" si="9"/>
        <v>0.75104166666666672</v>
      </c>
      <c r="FB51" s="1075">
        <f t="shared" si="9"/>
        <v>0.66954176470588234</v>
      </c>
      <c r="FC51" s="1075">
        <f t="shared" si="9"/>
        <v>0.52779375000000006</v>
      </c>
      <c r="FD51" s="1075">
        <f t="shared" si="9"/>
        <v>0.43185625000000011</v>
      </c>
      <c r="FE51" s="1075">
        <f t="shared" si="9"/>
        <v>0.59940791666666682</v>
      </c>
      <c r="FF51" s="1075">
        <f t="shared" si="9"/>
        <v>0.47799999999999998</v>
      </c>
      <c r="FG51" s="1075">
        <f t="shared" si="9"/>
        <v>0.87254833333333337</v>
      </c>
      <c r="FH51" s="1548">
        <f t="shared" si="9"/>
        <v>0.80131125000000014</v>
      </c>
      <c r="FI51" s="1531">
        <f t="shared" si="9"/>
        <v>0</v>
      </c>
      <c r="FJ51" s="1075">
        <f t="shared" si="9"/>
        <v>0</v>
      </c>
      <c r="FK51" s="1075">
        <f t="shared" si="9"/>
        <v>0</v>
      </c>
      <c r="FL51" s="365">
        <f t="shared" si="9"/>
        <v>0</v>
      </c>
      <c r="FM51" s="365">
        <f t="shared" si="9"/>
        <v>0</v>
      </c>
      <c r="FN51" s="1234">
        <f t="shared" si="9"/>
        <v>0</v>
      </c>
      <c r="FO51" s="1182">
        <f t="shared" si="9"/>
        <v>0</v>
      </c>
      <c r="FP51" s="365">
        <f t="shared" si="9"/>
        <v>0</v>
      </c>
      <c r="FQ51" s="365">
        <f t="shared" si="9"/>
        <v>0</v>
      </c>
      <c r="FR51" s="365">
        <f t="shared" si="9"/>
        <v>0</v>
      </c>
      <c r="FS51" s="365">
        <f t="shared" si="9"/>
        <v>0</v>
      </c>
      <c r="FT51" s="365">
        <f t="shared" si="9"/>
        <v>0</v>
      </c>
      <c r="FU51" s="365">
        <f t="shared" si="9"/>
        <v>0</v>
      </c>
      <c r="FV51" s="365">
        <f t="shared" si="9"/>
        <v>0</v>
      </c>
      <c r="FW51" s="365">
        <f t="shared" si="9"/>
        <v>0</v>
      </c>
      <c r="FX51" s="364" t="s">
        <v>374</v>
      </c>
    </row>
    <row r="52" spans="3:180" ht="15.4" customHeight="1" thickTop="1" thickBot="1" x14ac:dyDescent="0.4">
      <c r="F52" s="1055"/>
      <c r="G52" s="453"/>
      <c r="H52" s="1076"/>
      <c r="I52" s="1247"/>
      <c r="J52" s="1193"/>
      <c r="K52" s="1077"/>
      <c r="L52" s="1077"/>
      <c r="M52" s="1077"/>
      <c r="N52" s="1077"/>
      <c r="O52" s="1077"/>
      <c r="P52" s="1077"/>
      <c r="Q52" s="1077"/>
      <c r="R52" s="1247"/>
      <c r="S52" s="1193"/>
      <c r="T52" s="1077"/>
      <c r="U52" s="1077"/>
      <c r="V52" s="453"/>
      <c r="W52" s="453"/>
      <c r="X52" s="1446"/>
      <c r="Y52" s="1428"/>
      <c r="Z52" s="453"/>
      <c r="AA52" s="453"/>
      <c r="AB52" s="453"/>
      <c r="AC52" s="453"/>
      <c r="AD52" s="453"/>
      <c r="AE52" s="453"/>
      <c r="AF52" s="453"/>
      <c r="AG52" s="453"/>
      <c r="AH52" s="454"/>
      <c r="AI52" s="453"/>
      <c r="AJ52" s="453"/>
      <c r="AK52" s="453"/>
      <c r="AL52" s="1446"/>
      <c r="AM52" s="1428"/>
      <c r="AN52" s="453"/>
      <c r="AO52" s="453"/>
      <c r="AP52" s="453"/>
      <c r="AQ52" s="453"/>
      <c r="AR52" s="453"/>
      <c r="AS52" s="453"/>
      <c r="AT52" s="453"/>
      <c r="AU52" s="1446"/>
      <c r="AV52" s="1428"/>
      <c r="AW52" s="453"/>
      <c r="AX52" s="453"/>
      <c r="AY52" s="453"/>
      <c r="AZ52" s="453"/>
      <c r="BA52" s="1446"/>
      <c r="BB52" s="1428"/>
      <c r="BC52" s="453"/>
      <c r="BD52" s="453"/>
      <c r="BE52" s="453"/>
      <c r="BF52" s="453"/>
      <c r="BG52" s="453"/>
      <c r="BH52" s="453"/>
      <c r="BI52" s="453"/>
      <c r="BJ52" s="453"/>
      <c r="BK52" s="454"/>
      <c r="BL52" s="453"/>
      <c r="BM52" s="453"/>
      <c r="BN52" s="453"/>
      <c r="BO52" s="1446"/>
      <c r="BP52" s="1428"/>
      <c r="BQ52" s="453"/>
      <c r="BR52" s="453"/>
      <c r="BS52" s="453"/>
      <c r="BT52" s="453"/>
      <c r="BU52" s="453"/>
      <c r="BV52" s="453"/>
      <c r="BW52" s="453"/>
      <c r="BX52" s="1446"/>
      <c r="BY52" s="1428"/>
      <c r="BZ52" s="453"/>
      <c r="CA52" s="453"/>
      <c r="CB52" s="453"/>
      <c r="CC52" s="453"/>
      <c r="CD52" s="1446"/>
      <c r="CE52" s="1428"/>
      <c r="CF52" s="453"/>
      <c r="CG52" s="453"/>
      <c r="CH52" s="453"/>
      <c r="CI52" s="453"/>
      <c r="CJ52" s="453"/>
      <c r="CK52" s="453"/>
      <c r="CL52" s="453"/>
      <c r="CM52" s="453"/>
      <c r="CN52" s="454"/>
      <c r="CO52" s="453"/>
      <c r="CP52" s="453"/>
      <c r="CQ52" s="453"/>
      <c r="CR52" s="1446"/>
      <c r="CS52" s="1428"/>
      <c r="CT52" s="453"/>
      <c r="CU52" s="453"/>
      <c r="CV52" s="453"/>
      <c r="CW52" s="453"/>
      <c r="CX52" s="453"/>
      <c r="CY52" s="453"/>
      <c r="CZ52" s="453"/>
      <c r="DA52" s="1446"/>
      <c r="DB52" s="1428"/>
      <c r="DC52" s="453"/>
      <c r="DD52" s="453"/>
      <c r="DE52" s="453"/>
      <c r="DF52" s="453"/>
      <c r="DG52" s="1446"/>
      <c r="DH52" s="1428"/>
      <c r="DI52" s="453"/>
      <c r="DJ52" s="453"/>
      <c r="DK52" s="453"/>
      <c r="DL52" s="453"/>
      <c r="DM52" s="453"/>
      <c r="DN52" s="453"/>
      <c r="DO52" s="453"/>
      <c r="DP52" s="453"/>
      <c r="DQ52" s="454"/>
      <c r="DR52" s="455"/>
      <c r="DS52" s="453"/>
      <c r="DT52" s="453"/>
      <c r="DU52" s="453"/>
      <c r="DV52" s="1446"/>
      <c r="DW52" s="1428"/>
      <c r="DX52" s="453"/>
      <c r="DY52" s="453"/>
      <c r="DZ52" s="453"/>
      <c r="EA52" s="453"/>
      <c r="EB52" s="453"/>
      <c r="EC52" s="453"/>
      <c r="ED52" s="453"/>
      <c r="EE52" s="1446"/>
      <c r="EF52" s="1428"/>
      <c r="EG52" s="453"/>
      <c r="EH52" s="453"/>
      <c r="EI52" s="453"/>
      <c r="EJ52" s="453"/>
      <c r="EK52" s="1446"/>
      <c r="EL52" s="1428"/>
      <c r="EM52" s="453"/>
      <c r="EN52" s="453"/>
      <c r="EO52" s="453"/>
      <c r="EP52" s="453"/>
      <c r="EQ52" s="453"/>
      <c r="ER52" s="453"/>
      <c r="ES52" s="453"/>
      <c r="ET52" s="453"/>
      <c r="EU52" s="454"/>
      <c r="EV52" s="453"/>
      <c r="EW52" s="453"/>
      <c r="EX52" s="453"/>
      <c r="EY52" s="1446"/>
      <c r="EZ52" s="1428"/>
      <c r="FA52" s="453"/>
      <c r="FB52" s="453"/>
      <c r="FC52" s="1078"/>
      <c r="FD52" s="1078"/>
      <c r="FE52" s="1078"/>
      <c r="FF52" s="453"/>
      <c r="FG52" s="453"/>
      <c r="FH52" s="1446"/>
      <c r="FI52" s="1428"/>
      <c r="FJ52" s="453"/>
      <c r="FK52" s="453"/>
      <c r="FL52" s="453"/>
      <c r="FM52" s="453"/>
      <c r="FN52" s="1446"/>
      <c r="FO52" s="1428"/>
      <c r="FP52" s="453"/>
      <c r="FQ52" s="453"/>
      <c r="FR52" s="453"/>
      <c r="FS52" s="453"/>
      <c r="FT52" s="453"/>
      <c r="FU52" s="453"/>
      <c r="FV52" s="453"/>
      <c r="FW52" s="453"/>
    </row>
    <row r="53" spans="3:180" ht="15.5" thickTop="1" thickBot="1" x14ac:dyDescent="0.4">
      <c r="C53" s="1084" t="s">
        <v>364</v>
      </c>
      <c r="D53" s="305"/>
      <c r="E53" s="305"/>
      <c r="F53" s="2715" t="s">
        <v>206</v>
      </c>
      <c r="G53" s="2715"/>
      <c r="H53" s="2715"/>
      <c r="I53" s="2716"/>
      <c r="J53" s="2715" t="s">
        <v>206</v>
      </c>
      <c r="K53" s="2715"/>
      <c r="L53" s="2715"/>
      <c r="M53" s="2715"/>
      <c r="N53" s="2715"/>
      <c r="O53" s="2715"/>
      <c r="P53" s="2715" t="s">
        <v>206</v>
      </c>
      <c r="Q53" s="2715"/>
      <c r="R53" s="2715"/>
      <c r="S53" s="2715"/>
      <c r="T53" s="2715"/>
      <c r="U53" s="2715"/>
      <c r="V53" s="307"/>
      <c r="W53" s="307"/>
      <c r="X53" s="1239"/>
      <c r="Y53" s="1186"/>
      <c r="Z53" s="307"/>
      <c r="AA53" s="307"/>
      <c r="AB53" s="307"/>
      <c r="AC53" s="307"/>
      <c r="AD53" s="307"/>
      <c r="AE53" s="307"/>
      <c r="AF53" s="307"/>
      <c r="AG53" s="307"/>
      <c r="AH53" s="359"/>
      <c r="AI53" s="2715" t="s">
        <v>390</v>
      </c>
      <c r="AJ53" s="2715"/>
      <c r="AK53" s="2715"/>
      <c r="AL53" s="2715"/>
      <c r="AM53" s="2715" t="s">
        <v>390</v>
      </c>
      <c r="AN53" s="2715"/>
      <c r="AO53" s="2715"/>
      <c r="AP53" s="2715"/>
      <c r="AQ53" s="2715"/>
      <c r="AR53" s="2715"/>
      <c r="AS53" s="2719" t="s">
        <v>390</v>
      </c>
      <c r="AT53" s="2719"/>
      <c r="AU53" s="2719"/>
      <c r="AV53" s="2719"/>
      <c r="AW53" s="2719"/>
      <c r="AX53" s="2719"/>
      <c r="AY53" s="980"/>
      <c r="AZ53" s="980"/>
      <c r="BA53" s="1616"/>
      <c r="BB53" s="1608"/>
      <c r="BC53" s="980"/>
      <c r="BD53" s="980"/>
      <c r="BE53" s="980"/>
      <c r="BF53" s="980"/>
      <c r="BG53" s="980"/>
      <c r="BH53" s="980"/>
      <c r="BI53" s="980"/>
      <c r="BJ53" s="980"/>
      <c r="BK53" s="1085"/>
      <c r="BL53" s="2715" t="s">
        <v>15</v>
      </c>
      <c r="BM53" s="2715"/>
      <c r="BN53" s="2715"/>
      <c r="BO53" s="2715"/>
      <c r="BP53" s="2715" t="s">
        <v>15</v>
      </c>
      <c r="BQ53" s="2715"/>
      <c r="BR53" s="2715"/>
      <c r="BS53" s="2715"/>
      <c r="BT53" s="2715"/>
      <c r="BU53" s="2715"/>
      <c r="BV53" s="2715" t="s">
        <v>15</v>
      </c>
      <c r="BW53" s="2715"/>
      <c r="BX53" s="2715"/>
      <c r="BY53" s="2715"/>
      <c r="BZ53" s="2715"/>
      <c r="CA53" s="2715"/>
      <c r="CB53" s="306"/>
      <c r="CC53" s="306"/>
      <c r="CD53" s="1232"/>
      <c r="CE53" s="1180"/>
      <c r="CF53" s="306"/>
      <c r="CG53" s="306"/>
      <c r="CH53" s="306"/>
      <c r="CI53" s="306"/>
      <c r="CJ53" s="306"/>
      <c r="CK53" s="306"/>
      <c r="CL53" s="306"/>
      <c r="CM53" s="306"/>
      <c r="CN53" s="359"/>
      <c r="CO53" s="2715" t="s">
        <v>0</v>
      </c>
      <c r="CP53" s="2715"/>
      <c r="CQ53" s="2715"/>
      <c r="CR53" s="2715"/>
      <c r="CS53" s="2715" t="s">
        <v>0</v>
      </c>
      <c r="CT53" s="2715"/>
      <c r="CU53" s="2715"/>
      <c r="CV53" s="2715"/>
      <c r="CW53" s="2715"/>
      <c r="CX53" s="2715"/>
      <c r="CY53" s="2715" t="s">
        <v>0</v>
      </c>
      <c r="CZ53" s="2715"/>
      <c r="DA53" s="2715"/>
      <c r="DB53" s="2715"/>
      <c r="DC53" s="2715"/>
      <c r="DD53" s="2715"/>
      <c r="DE53" s="307"/>
      <c r="DF53" s="307"/>
      <c r="DG53" s="1239"/>
      <c r="DH53" s="1186"/>
      <c r="DI53" s="307"/>
      <c r="DJ53" s="307"/>
      <c r="DK53" s="307"/>
      <c r="DL53" s="307"/>
      <c r="DM53" s="307"/>
      <c r="DN53" s="307"/>
      <c r="DO53" s="307"/>
      <c r="DP53" s="307"/>
      <c r="DQ53" s="359"/>
      <c r="DR53" s="361"/>
      <c r="DS53" s="2715" t="s">
        <v>349</v>
      </c>
      <c r="DT53" s="2715"/>
      <c r="DU53" s="2715"/>
      <c r="DV53" s="2715"/>
      <c r="DW53" s="2715" t="s">
        <v>349</v>
      </c>
      <c r="DX53" s="2715"/>
      <c r="DY53" s="2715"/>
      <c r="DZ53" s="2715"/>
      <c r="EA53" s="2715"/>
      <c r="EB53" s="2715"/>
      <c r="EC53" s="2715" t="s">
        <v>349</v>
      </c>
      <c r="ED53" s="2715"/>
      <c r="EE53" s="2715"/>
      <c r="EF53" s="2715"/>
      <c r="EG53" s="2715"/>
      <c r="EH53" s="2715"/>
      <c r="EI53" s="306"/>
      <c r="EJ53" s="306"/>
      <c r="EK53" s="1232"/>
      <c r="EL53" s="1180"/>
      <c r="EM53" s="306"/>
      <c r="EN53" s="306"/>
      <c r="EO53" s="306"/>
      <c r="EP53" s="306"/>
      <c r="EQ53" s="306"/>
      <c r="ER53" s="306"/>
      <c r="ES53" s="306"/>
      <c r="ET53" s="306"/>
      <c r="EU53" s="359"/>
      <c r="EV53" s="2718" t="s">
        <v>386</v>
      </c>
      <c r="EW53" s="2718"/>
      <c r="EX53" s="2718"/>
      <c r="EY53" s="2718"/>
      <c r="EZ53" s="2718" t="s">
        <v>386</v>
      </c>
      <c r="FA53" s="2718"/>
      <c r="FB53" s="2718"/>
      <c r="FC53" s="2718"/>
      <c r="FD53" s="2718"/>
      <c r="FE53" s="2718"/>
      <c r="FF53" s="2715" t="s">
        <v>386</v>
      </c>
      <c r="FG53" s="2715"/>
      <c r="FH53" s="2715"/>
      <c r="FI53" s="2715"/>
      <c r="FJ53" s="2715"/>
      <c r="FK53" s="2715"/>
      <c r="FL53" s="307"/>
      <c r="FM53" s="307"/>
      <c r="FN53" s="1239"/>
      <c r="FO53" s="1186"/>
      <c r="FP53" s="307"/>
      <c r="FQ53" s="307"/>
      <c r="FR53" s="307"/>
      <c r="FS53" s="307"/>
      <c r="FT53" s="307"/>
      <c r="FU53" s="307"/>
      <c r="FV53" s="307"/>
      <c r="FW53" s="307"/>
    </row>
    <row r="54" spans="3:180" ht="15.5" thickTop="1" thickBot="1" x14ac:dyDescent="0.4">
      <c r="C54" s="1079" t="s">
        <v>420</v>
      </c>
      <c r="D54" s="449"/>
      <c r="E54" s="449"/>
      <c r="F54" s="1080" cm="1">
        <f t="array" ref="F54:FW59">'Master Template'!F68:FW73</f>
        <v>5466</v>
      </c>
      <c r="G54" s="1081">
        <v>5571</v>
      </c>
      <c r="H54" s="1081">
        <v>5545</v>
      </c>
      <c r="I54" s="1248">
        <v>5422</v>
      </c>
      <c r="J54" s="1194">
        <v>0</v>
      </c>
      <c r="K54" s="1081">
        <v>0</v>
      </c>
      <c r="L54" s="1081">
        <v>0</v>
      </c>
      <c r="M54" s="1081">
        <v>0</v>
      </c>
      <c r="N54" s="1081">
        <v>0</v>
      </c>
      <c r="O54" s="1081">
        <v>0</v>
      </c>
      <c r="P54" s="1081">
        <v>0</v>
      </c>
      <c r="Q54" s="1081">
        <v>0</v>
      </c>
      <c r="R54" s="1248">
        <v>0</v>
      </c>
      <c r="S54" s="1194">
        <v>0</v>
      </c>
      <c r="T54" s="1081">
        <v>0</v>
      </c>
      <c r="U54" s="1081">
        <v>0</v>
      </c>
      <c r="V54" s="1141">
        <v>0</v>
      </c>
      <c r="W54" s="1141">
        <v>0</v>
      </c>
      <c r="X54" s="1447">
        <v>0</v>
      </c>
      <c r="Y54" s="1429">
        <v>0</v>
      </c>
      <c r="Z54" s="1141">
        <v>0</v>
      </c>
      <c r="AA54" s="1141">
        <v>0</v>
      </c>
      <c r="AB54" s="1141">
        <v>0</v>
      </c>
      <c r="AC54" s="1141">
        <v>0</v>
      </c>
      <c r="AD54" s="1141">
        <v>0</v>
      </c>
      <c r="AE54" s="1141">
        <v>0</v>
      </c>
      <c r="AF54" s="1141">
        <v>0</v>
      </c>
      <c r="AG54" s="1141">
        <v>0</v>
      </c>
      <c r="AH54" s="356">
        <v>0</v>
      </c>
      <c r="AI54" s="297">
        <v>0</v>
      </c>
      <c r="AJ54" s="297">
        <v>0</v>
      </c>
      <c r="AK54" s="297">
        <v>0</v>
      </c>
      <c r="AL54" s="1475">
        <v>0</v>
      </c>
      <c r="AM54" s="1463">
        <v>0</v>
      </c>
      <c r="AN54" s="297">
        <v>0</v>
      </c>
      <c r="AO54" s="297">
        <v>0</v>
      </c>
      <c r="AP54" s="297">
        <v>0</v>
      </c>
      <c r="AQ54" s="297">
        <v>0</v>
      </c>
      <c r="AR54" s="297">
        <v>0</v>
      </c>
      <c r="AS54" s="1066">
        <v>0</v>
      </c>
      <c r="AT54" s="1066">
        <v>0</v>
      </c>
      <c r="AU54" s="1617">
        <v>0</v>
      </c>
      <c r="AV54" s="1609">
        <v>0</v>
      </c>
      <c r="AW54" s="1066">
        <v>0</v>
      </c>
      <c r="AX54" s="1066">
        <v>0</v>
      </c>
      <c r="AY54" s="1066">
        <v>0</v>
      </c>
      <c r="AZ54" s="1066">
        <v>0</v>
      </c>
      <c r="BA54" s="1617">
        <v>0</v>
      </c>
      <c r="BB54" s="1609">
        <v>0</v>
      </c>
      <c r="BC54" s="1066">
        <v>0</v>
      </c>
      <c r="BD54" s="1066">
        <v>0</v>
      </c>
      <c r="BE54" s="1066">
        <v>0</v>
      </c>
      <c r="BF54" s="1066">
        <v>0</v>
      </c>
      <c r="BG54" s="1066">
        <v>0</v>
      </c>
      <c r="BH54" s="1066">
        <v>0</v>
      </c>
      <c r="BI54" s="1066">
        <v>0</v>
      </c>
      <c r="BJ54" s="1066">
        <v>0</v>
      </c>
      <c r="BK54" s="1082">
        <v>0</v>
      </c>
      <c r="BL54" s="297">
        <v>0</v>
      </c>
      <c r="BM54" s="297">
        <v>0</v>
      </c>
      <c r="BN54" s="297">
        <v>0</v>
      </c>
      <c r="BO54" s="1475">
        <v>0</v>
      </c>
      <c r="BP54" s="1463">
        <v>0</v>
      </c>
      <c r="BQ54" s="297">
        <v>0</v>
      </c>
      <c r="BR54" s="297">
        <v>0</v>
      </c>
      <c r="BS54" s="297">
        <v>0</v>
      </c>
      <c r="BT54" s="297">
        <v>0</v>
      </c>
      <c r="BU54" s="297">
        <v>0</v>
      </c>
      <c r="BV54" s="297">
        <v>0</v>
      </c>
      <c r="BW54" s="297">
        <v>0</v>
      </c>
      <c r="BX54" s="1475">
        <v>0</v>
      </c>
      <c r="BY54" s="1463">
        <v>0</v>
      </c>
      <c r="BZ54" s="297">
        <v>0</v>
      </c>
      <c r="CA54" s="297">
        <v>0</v>
      </c>
      <c r="CB54" s="297">
        <v>0</v>
      </c>
      <c r="CC54" s="297">
        <v>0</v>
      </c>
      <c r="CD54" s="1475">
        <v>0</v>
      </c>
      <c r="CE54" s="1463">
        <v>0</v>
      </c>
      <c r="CF54" s="297">
        <v>0</v>
      </c>
      <c r="CG54" s="297">
        <v>0</v>
      </c>
      <c r="CH54" s="297">
        <v>0</v>
      </c>
      <c r="CI54" s="297">
        <v>0</v>
      </c>
      <c r="CJ54" s="297">
        <v>0</v>
      </c>
      <c r="CK54" s="297">
        <v>0</v>
      </c>
      <c r="CL54" s="297">
        <v>0</v>
      </c>
      <c r="CM54" s="297">
        <v>0</v>
      </c>
      <c r="CN54" s="356">
        <v>0</v>
      </c>
      <c r="CO54" s="297">
        <v>0</v>
      </c>
      <c r="CP54" s="297">
        <v>0</v>
      </c>
      <c r="CQ54" s="297">
        <v>0</v>
      </c>
      <c r="CR54" s="1475">
        <v>0</v>
      </c>
      <c r="CS54" s="1463">
        <v>0</v>
      </c>
      <c r="CT54" s="297">
        <v>0</v>
      </c>
      <c r="CU54" s="297">
        <v>0</v>
      </c>
      <c r="CV54" s="297">
        <v>0</v>
      </c>
      <c r="CW54" s="297">
        <v>0</v>
      </c>
      <c r="CX54" s="297">
        <v>0</v>
      </c>
      <c r="CY54" s="297">
        <v>0</v>
      </c>
      <c r="CZ54" s="297">
        <v>0</v>
      </c>
      <c r="DA54" s="1475">
        <v>0</v>
      </c>
      <c r="DB54" s="1463">
        <v>0</v>
      </c>
      <c r="DC54" s="297">
        <v>0</v>
      </c>
      <c r="DD54" s="297">
        <v>0</v>
      </c>
      <c r="DE54" s="229">
        <v>0</v>
      </c>
      <c r="DF54" s="229">
        <v>0</v>
      </c>
      <c r="DG54" s="1245">
        <v>0</v>
      </c>
      <c r="DH54" s="538">
        <v>0</v>
      </c>
      <c r="DI54" s="229">
        <v>0</v>
      </c>
      <c r="DJ54" s="229">
        <v>0</v>
      </c>
      <c r="DK54" s="229">
        <v>0</v>
      </c>
      <c r="DL54" s="229">
        <v>0</v>
      </c>
      <c r="DM54" s="229">
        <v>0</v>
      </c>
      <c r="DN54" s="229">
        <v>0</v>
      </c>
      <c r="DO54" s="229">
        <v>0</v>
      </c>
      <c r="DP54" s="229">
        <v>0</v>
      </c>
      <c r="DQ54" s="356">
        <v>0</v>
      </c>
      <c r="DR54" s="358">
        <v>0</v>
      </c>
      <c r="DS54" s="297">
        <v>0</v>
      </c>
      <c r="DT54" s="297">
        <v>0</v>
      </c>
      <c r="DU54" s="297">
        <v>0</v>
      </c>
      <c r="DV54" s="1475">
        <v>0</v>
      </c>
      <c r="DW54" s="1463">
        <v>0</v>
      </c>
      <c r="DX54" s="297">
        <v>0</v>
      </c>
      <c r="DY54" s="297">
        <v>0</v>
      </c>
      <c r="DZ54" s="297">
        <v>0</v>
      </c>
      <c r="EA54" s="297">
        <v>0</v>
      </c>
      <c r="EB54" s="297">
        <v>0</v>
      </c>
      <c r="EC54" s="297">
        <v>0</v>
      </c>
      <c r="ED54" s="297">
        <v>0</v>
      </c>
      <c r="EE54" s="1475">
        <v>0</v>
      </c>
      <c r="EF54" s="1463">
        <v>0</v>
      </c>
      <c r="EG54" s="297">
        <v>0</v>
      </c>
      <c r="EH54" s="297">
        <v>0</v>
      </c>
      <c r="EI54" s="297">
        <v>0</v>
      </c>
      <c r="EJ54" s="297">
        <v>0</v>
      </c>
      <c r="EK54" s="1475">
        <v>0</v>
      </c>
      <c r="EL54" s="1463">
        <v>0</v>
      </c>
      <c r="EM54" s="297">
        <v>0</v>
      </c>
      <c r="EN54" s="297">
        <v>0</v>
      </c>
      <c r="EO54" s="297">
        <v>0</v>
      </c>
      <c r="EP54" s="297">
        <v>0</v>
      </c>
      <c r="EQ54" s="297">
        <v>0</v>
      </c>
      <c r="ER54" s="297">
        <v>0</v>
      </c>
      <c r="ES54" s="297">
        <v>0</v>
      </c>
      <c r="ET54" s="297">
        <v>0</v>
      </c>
      <c r="EU54" s="356">
        <v>0</v>
      </c>
      <c r="EV54" s="1083">
        <v>0</v>
      </c>
      <c r="EW54" s="1083">
        <v>0</v>
      </c>
      <c r="EX54" s="1083">
        <v>0</v>
      </c>
      <c r="EY54" s="1549">
        <v>0</v>
      </c>
      <c r="EZ54" s="1532">
        <v>0</v>
      </c>
      <c r="FA54" s="1083">
        <v>0</v>
      </c>
      <c r="FB54" s="1083">
        <v>0</v>
      </c>
      <c r="FC54" s="1083">
        <v>0</v>
      </c>
      <c r="FD54" s="1083">
        <v>0</v>
      </c>
      <c r="FE54" s="1083">
        <v>0</v>
      </c>
      <c r="FF54" s="297">
        <v>0</v>
      </c>
      <c r="FG54" s="297">
        <v>0</v>
      </c>
      <c r="FH54" s="1475">
        <v>0</v>
      </c>
      <c r="FI54" s="1463">
        <v>0</v>
      </c>
      <c r="FJ54" s="297">
        <v>0</v>
      </c>
      <c r="FK54" s="297">
        <v>0</v>
      </c>
      <c r="FL54" s="229">
        <v>0</v>
      </c>
      <c r="FM54" s="229">
        <v>0</v>
      </c>
      <c r="FN54" s="1245">
        <v>0</v>
      </c>
      <c r="FO54" s="538">
        <v>0</v>
      </c>
      <c r="FP54" s="229">
        <v>0</v>
      </c>
      <c r="FQ54" s="229">
        <v>0</v>
      </c>
      <c r="FR54" s="229">
        <v>0</v>
      </c>
      <c r="FS54" s="229">
        <v>0</v>
      </c>
      <c r="FT54" s="229">
        <v>0</v>
      </c>
      <c r="FU54" s="229">
        <v>0</v>
      </c>
      <c r="FV54" s="229">
        <v>0</v>
      </c>
      <c r="FW54" s="229">
        <v>0</v>
      </c>
    </row>
    <row r="55" spans="3:180" ht="15" thickBot="1" x14ac:dyDescent="0.4">
      <c r="C55" s="418" t="s">
        <v>421</v>
      </c>
      <c r="F55" s="1036">
        <v>232.59574468085106</v>
      </c>
      <c r="G55" s="242">
        <v>232.125</v>
      </c>
      <c r="H55" s="242">
        <v>236.96581196581198</v>
      </c>
      <c r="I55" s="1249">
        <v>230.72340425531914</v>
      </c>
      <c r="J55" s="1195">
        <v>0</v>
      </c>
      <c r="K55" s="480">
        <v>0</v>
      </c>
      <c r="L55" s="242">
        <v>0</v>
      </c>
      <c r="M55" s="242">
        <v>0</v>
      </c>
      <c r="N55" s="242">
        <v>0</v>
      </c>
      <c r="O55" s="242">
        <v>0</v>
      </c>
      <c r="P55" s="232">
        <v>0</v>
      </c>
      <c r="Q55" s="232">
        <v>0</v>
      </c>
      <c r="R55" s="1236">
        <v>0</v>
      </c>
      <c r="S55" s="643">
        <v>0</v>
      </c>
      <c r="T55" s="232">
        <v>0</v>
      </c>
      <c r="U55" s="232">
        <v>0</v>
      </c>
      <c r="V55" s="232">
        <v>0</v>
      </c>
      <c r="W55" s="232">
        <v>0</v>
      </c>
      <c r="X55" s="1236">
        <v>0</v>
      </c>
      <c r="Y55" s="643">
        <v>0</v>
      </c>
      <c r="Z55" s="232">
        <v>0</v>
      </c>
      <c r="AA55" s="232">
        <v>0</v>
      </c>
      <c r="AB55" s="232">
        <v>0</v>
      </c>
      <c r="AC55" s="232">
        <v>0</v>
      </c>
      <c r="AD55" s="232">
        <v>0</v>
      </c>
      <c r="AE55" s="232">
        <v>0</v>
      </c>
      <c r="AF55" s="232">
        <v>0</v>
      </c>
      <c r="AG55" s="232">
        <v>0</v>
      </c>
      <c r="AH55" s="323">
        <v>0</v>
      </c>
      <c r="AI55" s="242">
        <v>0</v>
      </c>
      <c r="AJ55" s="242">
        <v>0</v>
      </c>
      <c r="AK55" s="242">
        <v>0</v>
      </c>
      <c r="AL55" s="1249">
        <v>0</v>
      </c>
      <c r="AM55" s="1195">
        <v>0</v>
      </c>
      <c r="AN55" s="242">
        <v>0</v>
      </c>
      <c r="AO55" s="242">
        <v>0</v>
      </c>
      <c r="AP55" s="242">
        <v>0</v>
      </c>
      <c r="AQ55" s="242">
        <v>0</v>
      </c>
      <c r="AR55" s="242">
        <v>0</v>
      </c>
      <c r="AS55" s="319">
        <v>0</v>
      </c>
      <c r="AT55" s="319">
        <v>0</v>
      </c>
      <c r="AU55" s="1618">
        <v>0</v>
      </c>
      <c r="AV55" s="1610">
        <v>0</v>
      </c>
      <c r="AW55" s="319">
        <v>0</v>
      </c>
      <c r="AX55" s="319">
        <v>0</v>
      </c>
      <c r="AY55" s="319">
        <v>0</v>
      </c>
      <c r="AZ55" s="319">
        <v>0</v>
      </c>
      <c r="BA55" s="1618">
        <v>0</v>
      </c>
      <c r="BB55" s="1610">
        <v>0</v>
      </c>
      <c r="BC55" s="319">
        <v>0</v>
      </c>
      <c r="BD55" s="319">
        <v>0</v>
      </c>
      <c r="BE55" s="319">
        <v>0</v>
      </c>
      <c r="BF55" s="319">
        <v>0</v>
      </c>
      <c r="BG55" s="319">
        <v>0</v>
      </c>
      <c r="BH55" s="319">
        <v>0</v>
      </c>
      <c r="BI55" s="319">
        <v>0</v>
      </c>
      <c r="BJ55" s="319">
        <v>0</v>
      </c>
      <c r="BK55" s="326">
        <v>0</v>
      </c>
      <c r="BL55" s="242">
        <v>0</v>
      </c>
      <c r="BM55" s="242">
        <v>0</v>
      </c>
      <c r="BN55" s="242">
        <v>0</v>
      </c>
      <c r="BO55" s="1249">
        <v>0</v>
      </c>
      <c r="BP55" s="1195">
        <v>0</v>
      </c>
      <c r="BQ55" s="242">
        <v>0</v>
      </c>
      <c r="BR55" s="242">
        <v>0</v>
      </c>
      <c r="BS55" s="242" t="str">
        <v>1732/12</v>
      </c>
      <c r="BT55" s="242">
        <v>3444</v>
      </c>
      <c r="BU55" s="242">
        <v>0</v>
      </c>
      <c r="BV55" s="242">
        <v>0</v>
      </c>
      <c r="BW55" s="242">
        <v>0</v>
      </c>
      <c r="BX55" s="1249">
        <v>0</v>
      </c>
      <c r="BY55" s="1195">
        <v>0</v>
      </c>
      <c r="BZ55" s="242">
        <v>0</v>
      </c>
      <c r="CA55" s="242">
        <v>0</v>
      </c>
      <c r="CB55" s="242">
        <v>0</v>
      </c>
      <c r="CC55" s="242">
        <v>0</v>
      </c>
      <c r="CD55" s="1249">
        <v>0</v>
      </c>
      <c r="CE55" s="1195">
        <v>0</v>
      </c>
      <c r="CF55" s="242">
        <v>0</v>
      </c>
      <c r="CG55" s="242">
        <v>0</v>
      </c>
      <c r="CH55" s="242">
        <v>0</v>
      </c>
      <c r="CI55" s="242">
        <v>0</v>
      </c>
      <c r="CJ55" s="242">
        <v>0</v>
      </c>
      <c r="CK55" s="242">
        <v>0</v>
      </c>
      <c r="CL55" s="242">
        <v>0</v>
      </c>
      <c r="CM55" s="242">
        <v>0</v>
      </c>
      <c r="CN55" s="323">
        <v>0</v>
      </c>
      <c r="CO55" s="242">
        <v>0</v>
      </c>
      <c r="CP55" s="242">
        <v>0</v>
      </c>
      <c r="CQ55" s="242">
        <v>0</v>
      </c>
      <c r="CR55" s="1249">
        <v>0</v>
      </c>
      <c r="CS55" s="1195">
        <v>0</v>
      </c>
      <c r="CT55" s="242">
        <v>0</v>
      </c>
      <c r="CU55" s="242">
        <v>0</v>
      </c>
      <c r="CV55" s="242">
        <v>0</v>
      </c>
      <c r="CW55" s="242">
        <v>0</v>
      </c>
      <c r="CX55" s="242">
        <v>0</v>
      </c>
      <c r="CY55" s="242">
        <v>0</v>
      </c>
      <c r="CZ55" s="242">
        <v>0</v>
      </c>
      <c r="DA55" s="1249">
        <v>0</v>
      </c>
      <c r="DB55" s="1195">
        <v>0</v>
      </c>
      <c r="DC55" s="242">
        <v>0</v>
      </c>
      <c r="DD55" s="242">
        <v>0</v>
      </c>
      <c r="DE55" s="232">
        <v>0</v>
      </c>
      <c r="DF55" s="232">
        <v>0</v>
      </c>
      <c r="DG55" s="1236">
        <v>0</v>
      </c>
      <c r="DH55" s="643">
        <v>0</v>
      </c>
      <c r="DI55" s="232">
        <v>0</v>
      </c>
      <c r="DJ55" s="232">
        <v>0</v>
      </c>
      <c r="DK55" s="232">
        <v>0</v>
      </c>
      <c r="DL55" s="232">
        <v>0</v>
      </c>
      <c r="DM55" s="232">
        <v>0</v>
      </c>
      <c r="DN55" s="232">
        <v>0</v>
      </c>
      <c r="DO55" s="232">
        <v>0</v>
      </c>
      <c r="DP55" s="232">
        <v>0</v>
      </c>
      <c r="DQ55" s="323">
        <v>0</v>
      </c>
      <c r="DR55" s="238">
        <v>0</v>
      </c>
      <c r="DS55" s="242">
        <v>0</v>
      </c>
      <c r="DT55" s="242">
        <v>0</v>
      </c>
      <c r="DU55" s="242">
        <v>0</v>
      </c>
      <c r="DV55" s="1249">
        <v>0</v>
      </c>
      <c r="DW55" s="1195">
        <v>0</v>
      </c>
      <c r="DX55" s="242">
        <v>0</v>
      </c>
      <c r="DY55" s="242">
        <v>0</v>
      </c>
      <c r="DZ55" s="242">
        <v>0</v>
      </c>
      <c r="EA55" s="242">
        <v>0</v>
      </c>
      <c r="EB55" s="242">
        <v>0</v>
      </c>
      <c r="EC55" s="242">
        <v>0</v>
      </c>
      <c r="ED55" s="242">
        <v>0</v>
      </c>
      <c r="EE55" s="1249">
        <v>0</v>
      </c>
      <c r="EF55" s="1195">
        <v>0</v>
      </c>
      <c r="EG55" s="242">
        <v>0</v>
      </c>
      <c r="EH55" s="242">
        <v>0</v>
      </c>
      <c r="EI55" s="242">
        <v>0</v>
      </c>
      <c r="EJ55" s="242">
        <v>0</v>
      </c>
      <c r="EK55" s="1249">
        <v>0</v>
      </c>
      <c r="EL55" s="1195">
        <v>0</v>
      </c>
      <c r="EM55" s="242">
        <v>0</v>
      </c>
      <c r="EN55" s="242">
        <v>0</v>
      </c>
      <c r="EO55" s="242">
        <v>0</v>
      </c>
      <c r="EP55" s="242">
        <v>0</v>
      </c>
      <c r="EQ55" s="242">
        <v>0</v>
      </c>
      <c r="ER55" s="242">
        <v>0</v>
      </c>
      <c r="ES55" s="242">
        <v>0</v>
      </c>
      <c r="ET55" s="242">
        <v>0</v>
      </c>
      <c r="EU55" s="323">
        <v>0</v>
      </c>
      <c r="EV55" s="269">
        <v>0</v>
      </c>
      <c r="EW55" s="269">
        <v>0</v>
      </c>
      <c r="EX55" s="269">
        <v>0</v>
      </c>
      <c r="EY55" s="1268">
        <v>0</v>
      </c>
      <c r="EZ55" s="1213">
        <v>0</v>
      </c>
      <c r="FA55" s="269">
        <v>0</v>
      </c>
      <c r="FB55" s="269">
        <v>0</v>
      </c>
      <c r="FC55" s="269">
        <v>0</v>
      </c>
      <c r="FD55" s="269">
        <v>0</v>
      </c>
      <c r="FE55" s="269">
        <v>0</v>
      </c>
      <c r="FF55" s="242">
        <v>0</v>
      </c>
      <c r="FG55" s="242">
        <v>0</v>
      </c>
      <c r="FH55" s="1249">
        <v>0</v>
      </c>
      <c r="FI55" s="1195">
        <v>0</v>
      </c>
      <c r="FJ55" s="242">
        <v>0</v>
      </c>
      <c r="FK55" s="242">
        <v>0</v>
      </c>
      <c r="FL55" s="232">
        <v>0</v>
      </c>
      <c r="FM55" s="232">
        <v>0</v>
      </c>
      <c r="FN55" s="1236">
        <v>0</v>
      </c>
      <c r="FO55" s="643">
        <v>0</v>
      </c>
      <c r="FP55" s="232">
        <v>0</v>
      </c>
      <c r="FQ55" s="232">
        <v>0</v>
      </c>
      <c r="FR55" s="232">
        <v>0</v>
      </c>
      <c r="FS55" s="232">
        <v>0</v>
      </c>
      <c r="FT55" s="232">
        <v>0</v>
      </c>
      <c r="FU55" s="232">
        <v>0</v>
      </c>
      <c r="FV55" s="232">
        <v>0</v>
      </c>
      <c r="FW55" s="232">
        <v>0</v>
      </c>
    </row>
    <row r="56" spans="3:180" ht="15" thickBot="1" x14ac:dyDescent="0.4">
      <c r="C56" s="448" t="s">
        <v>416</v>
      </c>
      <c r="D56" s="449"/>
      <c r="E56" s="449"/>
      <c r="F56" s="1035">
        <v>2311</v>
      </c>
      <c r="G56" s="450">
        <v>2249</v>
      </c>
      <c r="H56" s="450">
        <v>2159</v>
      </c>
      <c r="I56" s="1250">
        <v>2186</v>
      </c>
      <c r="J56" s="1196">
        <v>0</v>
      </c>
      <c r="K56" s="450">
        <v>0</v>
      </c>
      <c r="L56" s="450">
        <v>0</v>
      </c>
      <c r="M56" s="450">
        <v>0</v>
      </c>
      <c r="N56" s="450">
        <v>0</v>
      </c>
      <c r="O56" s="450">
        <v>0</v>
      </c>
      <c r="P56" s="450">
        <v>0</v>
      </c>
      <c r="Q56" s="450">
        <v>0</v>
      </c>
      <c r="R56" s="1250">
        <v>0</v>
      </c>
      <c r="S56" s="1196">
        <v>0</v>
      </c>
      <c r="T56" s="450">
        <v>0</v>
      </c>
      <c r="U56" s="450">
        <v>0</v>
      </c>
      <c r="V56" s="1140">
        <v>0</v>
      </c>
      <c r="W56" s="1140">
        <v>0</v>
      </c>
      <c r="X56" s="1448">
        <v>0</v>
      </c>
      <c r="Y56" s="1430">
        <v>0</v>
      </c>
      <c r="Z56" s="1140">
        <v>0</v>
      </c>
      <c r="AA56" s="1140">
        <v>0</v>
      </c>
      <c r="AB56" s="1140">
        <v>0</v>
      </c>
      <c r="AC56" s="1140">
        <v>0</v>
      </c>
      <c r="AD56" s="1140">
        <v>0</v>
      </c>
      <c r="AE56" s="1140">
        <v>0</v>
      </c>
      <c r="AF56" s="1140">
        <v>0</v>
      </c>
      <c r="AG56" s="1140">
        <v>0</v>
      </c>
      <c r="AH56" s="323">
        <v>0</v>
      </c>
      <c r="AI56" s="242">
        <v>0</v>
      </c>
      <c r="AJ56" s="242">
        <v>0</v>
      </c>
      <c r="AK56" s="242">
        <v>0</v>
      </c>
      <c r="AL56" s="1249">
        <v>0</v>
      </c>
      <c r="AM56" s="1195">
        <v>0</v>
      </c>
      <c r="AN56" s="242">
        <v>0</v>
      </c>
      <c r="AO56" s="242">
        <v>0</v>
      </c>
      <c r="AP56" s="242">
        <v>0</v>
      </c>
      <c r="AQ56" s="242">
        <v>0</v>
      </c>
      <c r="AR56" s="242">
        <v>0</v>
      </c>
      <c r="AS56" s="319">
        <v>0</v>
      </c>
      <c r="AT56" s="319">
        <v>0</v>
      </c>
      <c r="AU56" s="1618">
        <v>0</v>
      </c>
      <c r="AV56" s="1610">
        <v>0</v>
      </c>
      <c r="AW56" s="319">
        <v>0</v>
      </c>
      <c r="AX56" s="319">
        <v>0</v>
      </c>
      <c r="AY56" s="319">
        <v>0</v>
      </c>
      <c r="AZ56" s="319">
        <v>0</v>
      </c>
      <c r="BA56" s="1618">
        <v>0</v>
      </c>
      <c r="BB56" s="1610">
        <v>0</v>
      </c>
      <c r="BC56" s="319">
        <v>0</v>
      </c>
      <c r="BD56" s="319">
        <v>0</v>
      </c>
      <c r="BE56" s="319">
        <v>0</v>
      </c>
      <c r="BF56" s="319">
        <v>0</v>
      </c>
      <c r="BG56" s="319">
        <v>0</v>
      </c>
      <c r="BH56" s="319">
        <v>0</v>
      </c>
      <c r="BI56" s="319">
        <v>0</v>
      </c>
      <c r="BJ56" s="319">
        <v>0</v>
      </c>
      <c r="BK56" s="326">
        <v>0</v>
      </c>
      <c r="BL56" s="242">
        <v>0</v>
      </c>
      <c r="BM56" s="242">
        <v>0</v>
      </c>
      <c r="BN56" s="242">
        <v>0</v>
      </c>
      <c r="BO56" s="1249">
        <v>0</v>
      </c>
      <c r="BP56" s="1195">
        <v>0</v>
      </c>
      <c r="BQ56" s="242">
        <v>0</v>
      </c>
      <c r="BR56" s="242">
        <v>0</v>
      </c>
      <c r="BS56" s="242">
        <v>0</v>
      </c>
      <c r="BT56" s="242">
        <v>0</v>
      </c>
      <c r="BU56" s="242">
        <v>0</v>
      </c>
      <c r="BV56" s="242">
        <v>0</v>
      </c>
      <c r="BW56" s="242">
        <v>0</v>
      </c>
      <c r="BX56" s="1249">
        <v>0</v>
      </c>
      <c r="BY56" s="1195">
        <v>0</v>
      </c>
      <c r="BZ56" s="242">
        <v>0</v>
      </c>
      <c r="CA56" s="242">
        <v>0</v>
      </c>
      <c r="CB56" s="242">
        <v>0</v>
      </c>
      <c r="CC56" s="242">
        <v>0</v>
      </c>
      <c r="CD56" s="1249">
        <v>0</v>
      </c>
      <c r="CE56" s="1195">
        <v>0</v>
      </c>
      <c r="CF56" s="242">
        <v>0</v>
      </c>
      <c r="CG56" s="242">
        <v>0</v>
      </c>
      <c r="CH56" s="242">
        <v>0</v>
      </c>
      <c r="CI56" s="242">
        <v>0</v>
      </c>
      <c r="CJ56" s="242">
        <v>0</v>
      </c>
      <c r="CK56" s="242">
        <v>0</v>
      </c>
      <c r="CL56" s="242">
        <v>0</v>
      </c>
      <c r="CM56" s="242">
        <v>0</v>
      </c>
      <c r="CN56" s="323">
        <v>0</v>
      </c>
      <c r="CO56" s="242">
        <v>0</v>
      </c>
      <c r="CP56" s="242">
        <v>0</v>
      </c>
      <c r="CQ56" s="242">
        <v>0</v>
      </c>
      <c r="CR56" s="1249">
        <v>0</v>
      </c>
      <c r="CS56" s="1195">
        <v>45990</v>
      </c>
      <c r="CT56" s="242">
        <v>45991</v>
      </c>
      <c r="CU56" s="242">
        <v>45992</v>
      </c>
      <c r="CV56" s="242">
        <v>0</v>
      </c>
      <c r="CW56" s="242">
        <v>0</v>
      </c>
      <c r="CX56" s="242">
        <v>0</v>
      </c>
      <c r="CY56" s="242">
        <v>0</v>
      </c>
      <c r="CZ56" s="242">
        <v>0</v>
      </c>
      <c r="DA56" s="1249">
        <v>0</v>
      </c>
      <c r="DB56" s="1195">
        <v>0</v>
      </c>
      <c r="DC56" s="242">
        <v>0</v>
      </c>
      <c r="DD56" s="242">
        <v>0</v>
      </c>
      <c r="DE56" s="232">
        <v>0</v>
      </c>
      <c r="DF56" s="232">
        <v>0</v>
      </c>
      <c r="DG56" s="1236">
        <v>0</v>
      </c>
      <c r="DH56" s="643">
        <v>0</v>
      </c>
      <c r="DI56" s="232">
        <v>0</v>
      </c>
      <c r="DJ56" s="232">
        <v>0</v>
      </c>
      <c r="DK56" s="232">
        <v>0</v>
      </c>
      <c r="DL56" s="232">
        <v>0</v>
      </c>
      <c r="DM56" s="232">
        <v>0</v>
      </c>
      <c r="DN56" s="232">
        <v>0</v>
      </c>
      <c r="DO56" s="232">
        <v>0</v>
      </c>
      <c r="DP56" s="232">
        <v>0</v>
      </c>
      <c r="DQ56" s="323">
        <v>0</v>
      </c>
      <c r="DR56" s="238">
        <v>0</v>
      </c>
      <c r="DS56" s="242">
        <v>0</v>
      </c>
      <c r="DT56" s="242">
        <v>0</v>
      </c>
      <c r="DU56" s="242">
        <v>0</v>
      </c>
      <c r="DV56" s="1249">
        <v>0</v>
      </c>
      <c r="DW56" s="1195">
        <v>0</v>
      </c>
      <c r="DX56" s="242">
        <v>0</v>
      </c>
      <c r="DY56" s="242">
        <v>0</v>
      </c>
      <c r="DZ56" s="242">
        <v>0</v>
      </c>
      <c r="EA56" s="242">
        <v>0</v>
      </c>
      <c r="EB56" s="242">
        <v>0</v>
      </c>
      <c r="EC56" s="242">
        <v>0</v>
      </c>
      <c r="ED56" s="242">
        <v>0</v>
      </c>
      <c r="EE56" s="1249">
        <v>0</v>
      </c>
      <c r="EF56" s="1195">
        <v>0</v>
      </c>
      <c r="EG56" s="242">
        <v>0</v>
      </c>
      <c r="EH56" s="242">
        <v>0</v>
      </c>
      <c r="EI56" s="242">
        <v>0</v>
      </c>
      <c r="EJ56" s="242">
        <v>0</v>
      </c>
      <c r="EK56" s="1249">
        <v>0</v>
      </c>
      <c r="EL56" s="1195">
        <v>0</v>
      </c>
      <c r="EM56" s="242">
        <v>0</v>
      </c>
      <c r="EN56" s="242">
        <v>0</v>
      </c>
      <c r="EO56" s="242">
        <v>0</v>
      </c>
      <c r="EP56" s="242">
        <v>0</v>
      </c>
      <c r="EQ56" s="242">
        <v>0</v>
      </c>
      <c r="ER56" s="242">
        <v>0</v>
      </c>
      <c r="ES56" s="242">
        <v>0</v>
      </c>
      <c r="ET56" s="242">
        <v>0</v>
      </c>
      <c r="EU56" s="323">
        <v>0</v>
      </c>
      <c r="EV56" s="269">
        <v>0</v>
      </c>
      <c r="EW56" s="269">
        <v>0</v>
      </c>
      <c r="EX56" s="269">
        <v>0</v>
      </c>
      <c r="EY56" s="1268">
        <v>0</v>
      </c>
      <c r="EZ56" s="1213">
        <v>0</v>
      </c>
      <c r="FA56" s="269">
        <v>0</v>
      </c>
      <c r="FB56" s="269">
        <v>0</v>
      </c>
      <c r="FC56" s="269">
        <v>0</v>
      </c>
      <c r="FD56" s="269">
        <v>0</v>
      </c>
      <c r="FE56" s="269">
        <v>0</v>
      </c>
      <c r="FF56" s="242">
        <v>0</v>
      </c>
      <c r="FG56" s="242">
        <v>0</v>
      </c>
      <c r="FH56" s="1249">
        <v>0</v>
      </c>
      <c r="FI56" s="1195">
        <v>0</v>
      </c>
      <c r="FJ56" s="242">
        <v>0</v>
      </c>
      <c r="FK56" s="242">
        <v>0</v>
      </c>
      <c r="FL56" s="232">
        <v>0</v>
      </c>
      <c r="FM56" s="232">
        <v>0</v>
      </c>
      <c r="FN56" s="1236">
        <v>0</v>
      </c>
      <c r="FO56" s="643">
        <v>0</v>
      </c>
      <c r="FP56" s="232">
        <v>0</v>
      </c>
      <c r="FQ56" s="232">
        <v>0</v>
      </c>
      <c r="FR56" s="232">
        <v>0</v>
      </c>
      <c r="FS56" s="232">
        <v>0</v>
      </c>
      <c r="FT56" s="232">
        <v>0</v>
      </c>
      <c r="FU56" s="232">
        <v>0</v>
      </c>
      <c r="FV56" s="232">
        <v>0</v>
      </c>
      <c r="FW56" s="232">
        <v>0</v>
      </c>
    </row>
    <row r="57" spans="3:180" ht="15" thickBot="1" x14ac:dyDescent="0.4">
      <c r="C57" s="418" t="s">
        <v>415</v>
      </c>
      <c r="F57" s="1068">
        <v>98.340425531914889</v>
      </c>
      <c r="G57" s="1069">
        <v>93.708333333333329</v>
      </c>
      <c r="H57" s="1069">
        <v>92.264957264957275</v>
      </c>
      <c r="I57" s="1251">
        <v>93.021276595744681</v>
      </c>
      <c r="J57" s="1197" t="str">
        <v>D5</v>
      </c>
      <c r="K57" s="1069" t="str">
        <v>D6</v>
      </c>
      <c r="L57" s="1069" t="str">
        <v>D7</v>
      </c>
      <c r="M57" s="1069" t="str">
        <v>D8</v>
      </c>
      <c r="N57" s="1069" t="str">
        <v>D9</v>
      </c>
      <c r="O57" s="1069" t="str">
        <v>D10</v>
      </c>
      <c r="P57" s="242" t="str">
        <v>D11</v>
      </c>
      <c r="Q57" s="242" t="str">
        <v>D12</v>
      </c>
      <c r="R57" s="1249" t="str">
        <v>D13</v>
      </c>
      <c r="S57" s="1195" t="str">
        <v>D14</v>
      </c>
      <c r="T57" s="242" t="str">
        <v>D15</v>
      </c>
      <c r="U57" s="242" t="str">
        <v>D16</v>
      </c>
      <c r="V57" s="232" t="str">
        <v>D17</v>
      </c>
      <c r="W57" s="232" t="str">
        <v>D18</v>
      </c>
      <c r="X57" s="1236" t="str">
        <v>D19</v>
      </c>
      <c r="Y57" s="643" t="str">
        <v>D20</v>
      </c>
      <c r="Z57" s="232" t="str">
        <v>D21</v>
      </c>
      <c r="AA57" s="232" t="str">
        <v>D22</v>
      </c>
      <c r="AB57" s="232" t="str">
        <v>D23</v>
      </c>
      <c r="AC57" s="232" t="str">
        <v>D24</v>
      </c>
      <c r="AD57" s="232" t="str">
        <v>D25</v>
      </c>
      <c r="AE57" s="232" t="str">
        <v>D26</v>
      </c>
      <c r="AF57" s="232" t="str">
        <v>D27</v>
      </c>
      <c r="AG57" s="232" t="str">
        <v>D28</v>
      </c>
      <c r="AH57" s="344">
        <v>0</v>
      </c>
      <c r="AI57" s="1069">
        <v>0</v>
      </c>
      <c r="AJ57" s="1069">
        <v>0</v>
      </c>
      <c r="AK57" s="1069">
        <v>0</v>
      </c>
      <c r="AL57" s="1251">
        <v>0</v>
      </c>
      <c r="AM57" s="1197" t="str">
        <v>D5</v>
      </c>
      <c r="AN57" s="1069" t="str">
        <v>D6</v>
      </c>
      <c r="AO57" s="1069" t="str">
        <v>D7</v>
      </c>
      <c r="AP57" s="1069" t="str">
        <v>D8</v>
      </c>
      <c r="AQ57" s="1069" t="str">
        <v>D9</v>
      </c>
      <c r="AR57" s="1069" t="str">
        <v>D10</v>
      </c>
      <c r="AS57" s="1089" t="str">
        <v>D11</v>
      </c>
      <c r="AT57" s="1089" t="str">
        <v>D12</v>
      </c>
      <c r="AU57" s="1619" t="str">
        <v>D13</v>
      </c>
      <c r="AV57" s="1611" t="str">
        <v>D14</v>
      </c>
      <c r="AW57" s="1089" t="str">
        <v>D15</v>
      </c>
      <c r="AX57" s="1089" t="str">
        <v>D16</v>
      </c>
      <c r="AY57" s="1089" t="str">
        <v>D17</v>
      </c>
      <c r="AZ57" s="1089" t="str">
        <v>D18</v>
      </c>
      <c r="BA57" s="1619" t="str">
        <v>D19</v>
      </c>
      <c r="BB57" s="1611" t="str">
        <v>D20</v>
      </c>
      <c r="BC57" s="1089" t="str">
        <v>D21</v>
      </c>
      <c r="BD57" s="1089" t="str">
        <v>D22</v>
      </c>
      <c r="BE57" s="1089" t="str">
        <v>D23</v>
      </c>
      <c r="BF57" s="1089" t="str">
        <v>D24</v>
      </c>
      <c r="BG57" s="1089" t="str">
        <v>D25</v>
      </c>
      <c r="BH57" s="1089" t="str">
        <v>D26</v>
      </c>
      <c r="BI57" s="1089" t="str">
        <v>D27</v>
      </c>
      <c r="BJ57" s="1089" t="str">
        <v>D28</v>
      </c>
      <c r="BK57" s="1090">
        <v>0</v>
      </c>
      <c r="BL57" s="1069" t="str">
        <v>D1</v>
      </c>
      <c r="BM57" s="1069">
        <v>0</v>
      </c>
      <c r="BN57" s="1069">
        <v>0</v>
      </c>
      <c r="BO57" s="1251">
        <v>0</v>
      </c>
      <c r="BP57" s="1197" t="str">
        <v>D5</v>
      </c>
      <c r="BQ57" s="1069" t="str">
        <v>D6</v>
      </c>
      <c r="BR57" s="1069" t="str">
        <v>D7</v>
      </c>
      <c r="BS57" s="1069" t="str">
        <v>D8</v>
      </c>
      <c r="BT57" s="1069" t="str">
        <v>D9</v>
      </c>
      <c r="BU57" s="1069" t="str">
        <v>D10</v>
      </c>
      <c r="BV57" s="1069" t="str">
        <v>D11</v>
      </c>
      <c r="BW57" s="1069" t="str">
        <v>D12</v>
      </c>
      <c r="BX57" s="1251" t="str">
        <v>D13</v>
      </c>
      <c r="BY57" s="1197" t="str">
        <v>D14</v>
      </c>
      <c r="BZ57" s="1069" t="str">
        <v>D15</v>
      </c>
      <c r="CA57" s="1069" t="str">
        <v>D16</v>
      </c>
      <c r="CB57" s="1069" t="str">
        <v>D17</v>
      </c>
      <c r="CC57" s="1069" t="str">
        <v>D18</v>
      </c>
      <c r="CD57" s="1251" t="str">
        <v>D19</v>
      </c>
      <c r="CE57" s="1197" t="str">
        <v>D20</v>
      </c>
      <c r="CF57" s="1069" t="str">
        <v>D21</v>
      </c>
      <c r="CG57" s="1069" t="str">
        <v>D22</v>
      </c>
      <c r="CH57" s="1069" t="str">
        <v>D23</v>
      </c>
      <c r="CI57" s="1069" t="str">
        <v>D24</v>
      </c>
      <c r="CJ57" s="1069" t="str">
        <v>D25</v>
      </c>
      <c r="CK57" s="1069" t="str">
        <v>D26</v>
      </c>
      <c r="CL57" s="1069" t="str">
        <v>D27</v>
      </c>
      <c r="CM57" s="1069" t="str">
        <v>D28</v>
      </c>
      <c r="CN57" s="344">
        <v>0</v>
      </c>
      <c r="CO57" s="1069" t="str">
        <v>D1</v>
      </c>
      <c r="CP57" s="1069" t="str">
        <v>D2</v>
      </c>
      <c r="CQ57" s="1069" t="str">
        <v>D3</v>
      </c>
      <c r="CR57" s="1251" t="str">
        <v>D4</v>
      </c>
      <c r="CS57" s="1197" t="str">
        <v>D5</v>
      </c>
      <c r="CT57" s="1069" t="str">
        <v>D6</v>
      </c>
      <c r="CU57" s="1069" t="str">
        <v>D7</v>
      </c>
      <c r="CV57" s="1069" t="str">
        <v>D8</v>
      </c>
      <c r="CW57" s="1069" t="str">
        <v>D9</v>
      </c>
      <c r="CX57" s="1069" t="str">
        <v>D10</v>
      </c>
      <c r="CY57" s="1069" t="str">
        <v>D11</v>
      </c>
      <c r="CZ57" s="1069" t="str">
        <v>D12</v>
      </c>
      <c r="DA57" s="1251" t="str">
        <v>D13</v>
      </c>
      <c r="DB57" s="1197">
        <v>0</v>
      </c>
      <c r="DC57" s="1069">
        <v>0</v>
      </c>
      <c r="DD57" s="1069">
        <v>0</v>
      </c>
      <c r="DE57" s="225">
        <v>0</v>
      </c>
      <c r="DF57" s="225">
        <v>0</v>
      </c>
      <c r="DG57" s="1269">
        <v>0</v>
      </c>
      <c r="DH57" s="1214">
        <v>0</v>
      </c>
      <c r="DI57" s="225">
        <v>0</v>
      </c>
      <c r="DJ57" s="225">
        <v>0</v>
      </c>
      <c r="DK57" s="225">
        <v>0</v>
      </c>
      <c r="DL57" s="225">
        <v>0</v>
      </c>
      <c r="DM57" s="225">
        <v>0</v>
      </c>
      <c r="DN57" s="225">
        <v>0</v>
      </c>
      <c r="DO57" s="225">
        <v>0</v>
      </c>
      <c r="DP57" s="225">
        <v>0</v>
      </c>
      <c r="DQ57" s="344">
        <v>0</v>
      </c>
      <c r="DR57" s="345">
        <v>0</v>
      </c>
      <c r="DS57" s="1069" t="str">
        <v>D1</v>
      </c>
      <c r="DT57" s="1069" t="str">
        <v>D2</v>
      </c>
      <c r="DU57" s="1069" t="str">
        <v>D3</v>
      </c>
      <c r="DV57" s="1251" t="str">
        <v>D4</v>
      </c>
      <c r="DW57" s="1197" t="str">
        <v>D5</v>
      </c>
      <c r="DX57" s="1069" t="str">
        <v>D6</v>
      </c>
      <c r="DY57" s="1069" t="str">
        <v>D7</v>
      </c>
      <c r="DZ57" s="1069" t="str">
        <v>D8</v>
      </c>
      <c r="EA57" s="1069" t="str">
        <v>D9</v>
      </c>
      <c r="EB57" s="1069" t="str">
        <v>D10</v>
      </c>
      <c r="EC57" s="1069" t="str">
        <v>D11</v>
      </c>
      <c r="ED57" s="1069" t="str">
        <v>D12</v>
      </c>
      <c r="EE57" s="1251" t="str">
        <v>D13</v>
      </c>
      <c r="EF57" s="1197">
        <v>0</v>
      </c>
      <c r="EG57" s="1069">
        <v>0</v>
      </c>
      <c r="EH57" s="1069">
        <v>0</v>
      </c>
      <c r="EI57" s="1069">
        <v>0</v>
      </c>
      <c r="EJ57" s="1069">
        <v>0</v>
      </c>
      <c r="EK57" s="1251">
        <v>0</v>
      </c>
      <c r="EL57" s="1197">
        <v>0</v>
      </c>
      <c r="EM57" s="1069">
        <v>0</v>
      </c>
      <c r="EN57" s="1069">
        <v>0</v>
      </c>
      <c r="EO57" s="1069">
        <v>0</v>
      </c>
      <c r="EP57" s="1069">
        <v>0</v>
      </c>
      <c r="EQ57" s="1069">
        <v>0</v>
      </c>
      <c r="ER57" s="1069">
        <v>0</v>
      </c>
      <c r="ES57" s="1069">
        <v>0</v>
      </c>
      <c r="ET57" s="1069">
        <v>0</v>
      </c>
      <c r="EU57" s="344">
        <v>0</v>
      </c>
      <c r="EV57" s="1086" t="str">
        <v>D1</v>
      </c>
      <c r="EW57" s="389" t="str">
        <v>D2</v>
      </c>
      <c r="EX57" s="1086" t="str">
        <v>D3</v>
      </c>
      <c r="EY57" s="1550" t="str">
        <v>D4</v>
      </c>
      <c r="EZ57" s="1533" t="str">
        <v>D5</v>
      </c>
      <c r="FA57" s="1086" t="str">
        <v>D6</v>
      </c>
      <c r="FB57" s="1086" t="str">
        <v>D7</v>
      </c>
      <c r="FC57" s="1086" t="str">
        <v>D8</v>
      </c>
      <c r="FD57" s="1086" t="str">
        <v>D9</v>
      </c>
      <c r="FE57" s="1086" t="str">
        <v>D10</v>
      </c>
      <c r="FF57" s="1069" t="str">
        <v>D11</v>
      </c>
      <c r="FG57" s="1069" t="str">
        <v>D12</v>
      </c>
      <c r="FH57" s="1251" t="str">
        <v>D13</v>
      </c>
      <c r="FI57" s="1197">
        <v>0</v>
      </c>
      <c r="FJ57" s="1069">
        <v>0</v>
      </c>
      <c r="FK57" s="1069">
        <v>0</v>
      </c>
      <c r="FL57" s="225">
        <v>0</v>
      </c>
      <c r="FM57" s="225">
        <v>0</v>
      </c>
      <c r="FN57" s="1269">
        <v>0</v>
      </c>
      <c r="FO57" s="1214">
        <v>0</v>
      </c>
      <c r="FP57" s="225">
        <v>0</v>
      </c>
      <c r="FQ57" s="225">
        <v>0</v>
      </c>
      <c r="FR57" s="225">
        <v>0</v>
      </c>
      <c r="FS57" s="225">
        <v>0</v>
      </c>
      <c r="FT57" s="225">
        <v>0</v>
      </c>
      <c r="FU57" s="225">
        <v>0</v>
      </c>
      <c r="FV57" s="225">
        <v>0</v>
      </c>
      <c r="FW57" s="225">
        <v>0</v>
      </c>
    </row>
    <row r="58" spans="3:180" ht="15.5" thickTop="1" thickBot="1" x14ac:dyDescent="0.4">
      <c r="C58" s="1133" t="s">
        <v>434</v>
      </c>
      <c r="D58" s="1134"/>
      <c r="E58" s="1135"/>
      <c r="F58" s="1100">
        <v>7777</v>
      </c>
      <c r="G58" s="1101">
        <v>7820</v>
      </c>
      <c r="H58" s="1101">
        <v>7704</v>
      </c>
      <c r="I58" s="1252">
        <v>5515.0212765957449</v>
      </c>
      <c r="J58" s="1198">
        <v>2324</v>
      </c>
      <c r="K58" s="1101">
        <v>4291</v>
      </c>
      <c r="L58" s="1101">
        <v>2987</v>
      </c>
      <c r="M58" s="1101">
        <v>4219</v>
      </c>
      <c r="N58" s="1101">
        <v>3835</v>
      </c>
      <c r="O58" s="1101">
        <v>4348</v>
      </c>
      <c r="P58" s="1101">
        <v>4352</v>
      </c>
      <c r="Q58" s="1101">
        <v>4295</v>
      </c>
      <c r="R58" s="1252">
        <v>4291</v>
      </c>
      <c r="S58" s="1198">
        <v>0</v>
      </c>
      <c r="T58" s="1101">
        <v>0</v>
      </c>
      <c r="U58" s="1101">
        <v>0</v>
      </c>
      <c r="V58" s="1139">
        <v>0</v>
      </c>
      <c r="W58" s="1139">
        <v>0</v>
      </c>
      <c r="X58" s="1449">
        <v>0</v>
      </c>
      <c r="Y58" s="1431">
        <v>0</v>
      </c>
      <c r="Z58" s="1139">
        <v>0</v>
      </c>
      <c r="AA58" s="1139">
        <v>0</v>
      </c>
      <c r="AB58" s="1139">
        <v>0</v>
      </c>
      <c r="AC58" s="1139">
        <v>0</v>
      </c>
      <c r="AD58" s="1139">
        <v>0</v>
      </c>
      <c r="AE58" s="1139">
        <v>0</v>
      </c>
      <c r="AF58" s="1139">
        <v>0</v>
      </c>
      <c r="AG58" s="1139">
        <v>0</v>
      </c>
      <c r="AH58" s="1102">
        <v>0</v>
      </c>
      <c r="AI58" s="1103">
        <v>0</v>
      </c>
      <c r="AJ58" s="1103">
        <v>19</v>
      </c>
      <c r="AK58" s="1103">
        <v>0</v>
      </c>
      <c r="AL58" s="1513">
        <v>0</v>
      </c>
      <c r="AM58" s="1507">
        <v>45</v>
      </c>
      <c r="AN58" s="1103">
        <v>36.228000000000002</v>
      </c>
      <c r="AO58" s="1103">
        <v>0</v>
      </c>
      <c r="AP58" s="1103">
        <v>0</v>
      </c>
      <c r="AQ58" s="1103">
        <v>0</v>
      </c>
      <c r="AR58" s="1103">
        <v>0</v>
      </c>
      <c r="AS58" s="1139">
        <v>27.11</v>
      </c>
      <c r="AT58" s="1103">
        <v>0</v>
      </c>
      <c r="AU58" s="1513">
        <v>0</v>
      </c>
      <c r="AV58" s="1507">
        <v>0</v>
      </c>
      <c r="AW58" s="1103">
        <v>0</v>
      </c>
      <c r="AX58" s="1103">
        <v>0</v>
      </c>
      <c r="AY58" s="1103">
        <v>0</v>
      </c>
      <c r="AZ58" s="1103">
        <v>0</v>
      </c>
      <c r="BA58" s="1513">
        <v>0</v>
      </c>
      <c r="BB58" s="1507">
        <v>0</v>
      </c>
      <c r="BC58" s="1103">
        <v>0</v>
      </c>
      <c r="BD58" s="1103">
        <v>0</v>
      </c>
      <c r="BE58" s="1103">
        <v>0</v>
      </c>
      <c r="BF58" s="1103">
        <v>0</v>
      </c>
      <c r="BG58" s="1103">
        <v>0</v>
      </c>
      <c r="BH58" s="1103">
        <v>0</v>
      </c>
      <c r="BI58" s="1103">
        <v>0</v>
      </c>
      <c r="BJ58" s="1103">
        <v>0</v>
      </c>
      <c r="BK58" s="1102">
        <v>0</v>
      </c>
      <c r="BL58" s="1104">
        <v>7184</v>
      </c>
      <c r="BM58" s="1104">
        <v>6670</v>
      </c>
      <c r="BN58" s="1104">
        <v>7042</v>
      </c>
      <c r="BO58" s="1476">
        <v>6964</v>
      </c>
      <c r="BP58" s="1464">
        <v>1760</v>
      </c>
      <c r="BQ58" s="1104">
        <v>2576</v>
      </c>
      <c r="BR58" s="1104">
        <v>2610</v>
      </c>
      <c r="BS58" s="1104">
        <v>3456</v>
      </c>
      <c r="BT58" s="1104">
        <v>3194</v>
      </c>
      <c r="BU58" s="1104">
        <v>3546</v>
      </c>
      <c r="BV58" s="1104">
        <v>3556</v>
      </c>
      <c r="BW58" s="1104">
        <v>3468</v>
      </c>
      <c r="BX58" s="1476">
        <v>3510</v>
      </c>
      <c r="BY58" s="1485">
        <v>0</v>
      </c>
      <c r="BZ58" s="1104">
        <v>0</v>
      </c>
      <c r="CA58" s="1104">
        <v>0</v>
      </c>
      <c r="CB58" s="1104">
        <v>0</v>
      </c>
      <c r="CC58" s="1104">
        <v>0</v>
      </c>
      <c r="CD58" s="1476">
        <v>0</v>
      </c>
      <c r="CE58" s="1485">
        <v>0</v>
      </c>
      <c r="CF58" s="1104">
        <v>0</v>
      </c>
      <c r="CG58" s="1104">
        <v>0</v>
      </c>
      <c r="CH58" s="1104">
        <v>0</v>
      </c>
      <c r="CI58" s="1104">
        <v>0</v>
      </c>
      <c r="CJ58" s="1104">
        <v>0</v>
      </c>
      <c r="CK58" s="1104">
        <v>0</v>
      </c>
      <c r="CL58" s="1104">
        <v>0</v>
      </c>
      <c r="CM58" s="1104">
        <v>0</v>
      </c>
      <c r="CN58" s="1102">
        <v>0</v>
      </c>
      <c r="CO58" s="1103">
        <v>0</v>
      </c>
      <c r="CP58" s="1104">
        <v>338</v>
      </c>
      <c r="CQ58" s="1104">
        <v>192</v>
      </c>
      <c r="CR58" s="1476">
        <v>272</v>
      </c>
      <c r="CS58" s="1464">
        <v>392</v>
      </c>
      <c r="CT58" s="1104">
        <v>446</v>
      </c>
      <c r="CU58" s="1104">
        <v>372</v>
      </c>
      <c r="CV58" s="1104">
        <v>390</v>
      </c>
      <c r="CW58" s="1104">
        <v>378</v>
      </c>
      <c r="CX58" s="1104">
        <v>436</v>
      </c>
      <c r="CY58" s="1104">
        <v>348</v>
      </c>
      <c r="CZ58" s="1104">
        <v>396</v>
      </c>
      <c r="DA58" s="1476">
        <v>360</v>
      </c>
      <c r="DB58" s="1485">
        <v>0</v>
      </c>
      <c r="DC58" s="1104">
        <v>0</v>
      </c>
      <c r="DD58" s="1104">
        <v>0</v>
      </c>
      <c r="DE58" s="1103">
        <v>0</v>
      </c>
      <c r="DF58" s="1103">
        <v>0</v>
      </c>
      <c r="DG58" s="1513">
        <v>0</v>
      </c>
      <c r="DH58" s="1507">
        <v>0</v>
      </c>
      <c r="DI58" s="1103">
        <v>0</v>
      </c>
      <c r="DJ58" s="1103">
        <v>0</v>
      </c>
      <c r="DK58" s="1103">
        <v>0</v>
      </c>
      <c r="DL58" s="1103">
        <v>0</v>
      </c>
      <c r="DM58" s="1103">
        <v>0</v>
      </c>
      <c r="DN58" s="1103">
        <v>0</v>
      </c>
      <c r="DO58" s="1103">
        <v>0</v>
      </c>
      <c r="DP58" s="1105">
        <v>0</v>
      </c>
      <c r="DQ58" s="1106">
        <v>0</v>
      </c>
      <c r="DR58" s="1107">
        <v>0</v>
      </c>
      <c r="DS58" s="1108">
        <v>753</v>
      </c>
      <c r="DT58" s="1104">
        <v>1558.4</v>
      </c>
      <c r="DU58" s="1104">
        <v>489.4</v>
      </c>
      <c r="DV58" s="1476">
        <v>491.1</v>
      </c>
      <c r="DW58" s="1485">
        <v>315.7</v>
      </c>
      <c r="DX58" s="1104">
        <v>344</v>
      </c>
      <c r="DY58" s="1104">
        <v>347.7</v>
      </c>
      <c r="DZ58" s="1104">
        <v>363.4</v>
      </c>
      <c r="EA58" s="1109">
        <v>348.7</v>
      </c>
      <c r="EB58" s="1109">
        <v>361.6</v>
      </c>
      <c r="EC58" s="1104">
        <v>374.4</v>
      </c>
      <c r="ED58" s="1104">
        <v>373.8</v>
      </c>
      <c r="EE58" s="1476">
        <v>373.5</v>
      </c>
      <c r="EF58" s="1485">
        <v>0</v>
      </c>
      <c r="EG58" s="1104">
        <v>0</v>
      </c>
      <c r="EH58" s="1104">
        <v>0</v>
      </c>
      <c r="EI58" s="1104">
        <v>0</v>
      </c>
      <c r="EJ58" s="1104">
        <v>0</v>
      </c>
      <c r="EK58" s="1476">
        <v>0</v>
      </c>
      <c r="EL58" s="1485">
        <v>0</v>
      </c>
      <c r="EM58" s="1104">
        <v>0</v>
      </c>
      <c r="EN58" s="1104">
        <v>0</v>
      </c>
      <c r="EO58" s="1104">
        <v>0</v>
      </c>
      <c r="EP58" s="1104">
        <v>0</v>
      </c>
      <c r="EQ58" s="1104">
        <v>0</v>
      </c>
      <c r="ER58" s="1104">
        <v>0</v>
      </c>
      <c r="ES58" s="1104">
        <v>0</v>
      </c>
      <c r="ET58" s="1110">
        <v>0</v>
      </c>
      <c r="EU58" s="1111" t="str">
        <v>Litre</v>
      </c>
      <c r="EV58" s="1112">
        <v>131.4</v>
      </c>
      <c r="EW58" s="1113">
        <v>1286.5999999999999</v>
      </c>
      <c r="EX58" s="1113">
        <v>230</v>
      </c>
      <c r="EY58" s="1551">
        <v>222.5</v>
      </c>
      <c r="EZ58" s="1534">
        <v>1846.7</v>
      </c>
      <c r="FA58" s="1113">
        <v>2575</v>
      </c>
      <c r="FB58" s="1114">
        <v>1806.7</v>
      </c>
      <c r="FC58" s="1113">
        <v>2814.9</v>
      </c>
      <c r="FD58" s="1115">
        <v>1974.2</v>
      </c>
      <c r="FE58" s="1116">
        <v>2714.3</v>
      </c>
      <c r="FF58" s="1114">
        <v>2390</v>
      </c>
      <c r="FG58" s="1114">
        <v>2553.8000000000002</v>
      </c>
      <c r="FH58" s="1570">
        <v>2067.9</v>
      </c>
      <c r="FI58" s="1507">
        <v>0</v>
      </c>
      <c r="FJ58" s="1103">
        <v>0</v>
      </c>
      <c r="FK58" s="1103">
        <v>0</v>
      </c>
      <c r="FL58" s="1103">
        <v>0</v>
      </c>
      <c r="FM58" s="1103">
        <v>0</v>
      </c>
      <c r="FN58" s="1513">
        <v>0</v>
      </c>
      <c r="FO58" s="1507">
        <v>0</v>
      </c>
      <c r="FP58" s="1103">
        <v>0</v>
      </c>
      <c r="FQ58" s="1103">
        <v>0</v>
      </c>
      <c r="FR58" s="1103">
        <v>0</v>
      </c>
      <c r="FS58" s="1103">
        <v>0</v>
      </c>
      <c r="FT58" s="1103">
        <v>0</v>
      </c>
      <c r="FU58" s="1103">
        <v>0</v>
      </c>
      <c r="FV58" s="1103">
        <v>0</v>
      </c>
      <c r="FW58" s="1105">
        <v>0</v>
      </c>
    </row>
    <row r="59" spans="3:180" ht="15" thickBot="1" x14ac:dyDescent="0.4">
      <c r="C59" s="1136" t="s">
        <v>419</v>
      </c>
      <c r="D59" s="1137"/>
      <c r="E59" s="1138"/>
      <c r="F59" s="1117">
        <v>330.93617021276594</v>
      </c>
      <c r="G59" s="1118">
        <v>325.83333333333331</v>
      </c>
      <c r="H59" s="1119">
        <v>329.23076923076928</v>
      </c>
      <c r="I59" s="1253">
        <v>325.39</v>
      </c>
      <c r="J59" s="1459">
        <v>193.66666666666666</v>
      </c>
      <c r="K59" s="1119">
        <v>186.56521739130434</v>
      </c>
      <c r="L59" s="1119">
        <v>186.6875</v>
      </c>
      <c r="M59" s="1119">
        <v>183.43478260869566</v>
      </c>
      <c r="N59" s="1119">
        <v>182.61904761904762</v>
      </c>
      <c r="O59" s="1119">
        <v>189.04347826086956</v>
      </c>
      <c r="P59" s="1119">
        <v>189.21739130434781</v>
      </c>
      <c r="Q59" s="1119">
        <v>186.7391304347826</v>
      </c>
      <c r="R59" s="1253">
        <v>186.56521739130434</v>
      </c>
      <c r="S59" s="1199">
        <v>0</v>
      </c>
      <c r="T59" s="1118">
        <v>0</v>
      </c>
      <c r="U59" s="1118">
        <v>0</v>
      </c>
      <c r="V59" s="1120">
        <v>0</v>
      </c>
      <c r="W59" s="1120">
        <v>0</v>
      </c>
      <c r="X59" s="1450">
        <v>0</v>
      </c>
      <c r="Y59" s="1432">
        <v>0</v>
      </c>
      <c r="Z59" s="1120">
        <v>0</v>
      </c>
      <c r="AA59" s="1120">
        <v>0</v>
      </c>
      <c r="AB59" s="1120">
        <v>0</v>
      </c>
      <c r="AC59" s="1120">
        <v>0</v>
      </c>
      <c r="AD59" s="1120">
        <v>0</v>
      </c>
      <c r="AE59" s="1120">
        <v>0</v>
      </c>
      <c r="AF59" s="1120">
        <v>0</v>
      </c>
      <c r="AG59" s="1120">
        <v>0</v>
      </c>
      <c r="AH59" s="1121">
        <v>0</v>
      </c>
      <c r="AI59" s="1120">
        <v>0</v>
      </c>
      <c r="AJ59" s="1120">
        <v>1.5833333333333333</v>
      </c>
      <c r="AK59" s="1120">
        <v>0</v>
      </c>
      <c r="AL59" s="1450">
        <v>0</v>
      </c>
      <c r="AM59" s="1432">
        <v>1.9148936170212767</v>
      </c>
      <c r="AN59" s="1120">
        <v>1.5095000000000001</v>
      </c>
      <c r="AO59" s="1120">
        <v>0</v>
      </c>
      <c r="AP59" s="1120">
        <v>0</v>
      </c>
      <c r="AQ59" s="1120">
        <v>0</v>
      </c>
      <c r="AR59" s="1120">
        <v>0</v>
      </c>
      <c r="AS59" s="1120">
        <v>1.1295833333333334</v>
      </c>
      <c r="AT59" s="1120">
        <v>0</v>
      </c>
      <c r="AU59" s="1450">
        <v>0</v>
      </c>
      <c r="AV59" s="1432">
        <v>0</v>
      </c>
      <c r="AW59" s="1120">
        <v>0</v>
      </c>
      <c r="AX59" s="1120">
        <v>0</v>
      </c>
      <c r="AY59" s="1120">
        <v>0</v>
      </c>
      <c r="AZ59" s="1120">
        <v>0</v>
      </c>
      <c r="BA59" s="1450">
        <v>0</v>
      </c>
      <c r="BB59" s="1432">
        <v>0</v>
      </c>
      <c r="BC59" s="1120">
        <v>0</v>
      </c>
      <c r="BD59" s="1120">
        <v>0</v>
      </c>
      <c r="BE59" s="1120">
        <v>0</v>
      </c>
      <c r="BF59" s="1120">
        <v>0</v>
      </c>
      <c r="BG59" s="1120">
        <v>0</v>
      </c>
      <c r="BH59" s="1120">
        <v>0</v>
      </c>
      <c r="BI59" s="1120">
        <v>0</v>
      </c>
      <c r="BJ59" s="1120">
        <v>0</v>
      </c>
      <c r="BK59" s="1121">
        <v>0</v>
      </c>
      <c r="BL59" s="1122">
        <v>305.70212765957444</v>
      </c>
      <c r="BM59" s="1122">
        <v>277.91666666666669</v>
      </c>
      <c r="BN59" s="1122">
        <v>293.41666666666669</v>
      </c>
      <c r="BO59" s="1595">
        <v>290.16666666666669</v>
      </c>
      <c r="BP59" s="1566">
        <v>146.66666666666666</v>
      </c>
      <c r="BQ59" s="1123">
        <v>143.11111111111111</v>
      </c>
      <c r="BR59" s="1123">
        <v>147.45762711864407</v>
      </c>
      <c r="BS59" s="1123">
        <v>144</v>
      </c>
      <c r="BT59" s="1123">
        <v>143.22869955156949</v>
      </c>
      <c r="BU59" s="1123">
        <v>147.75</v>
      </c>
      <c r="BV59" s="1123">
        <v>148.16666666666666</v>
      </c>
      <c r="BW59" s="1123">
        <v>144.5</v>
      </c>
      <c r="BX59" s="1552">
        <v>146.25</v>
      </c>
      <c r="BY59" s="1566">
        <v>143.5</v>
      </c>
      <c r="BZ59" s="1123">
        <v>0</v>
      </c>
      <c r="CA59" s="1123">
        <v>0</v>
      </c>
      <c r="CB59" s="1123">
        <v>0</v>
      </c>
      <c r="CC59" s="1123">
        <v>0</v>
      </c>
      <c r="CD59" s="1552">
        <v>0</v>
      </c>
      <c r="CE59" s="1566">
        <v>0</v>
      </c>
      <c r="CF59" s="1123">
        <v>0</v>
      </c>
      <c r="CG59" s="1123">
        <v>0</v>
      </c>
      <c r="CH59" s="1123">
        <v>0</v>
      </c>
      <c r="CI59" s="1123">
        <v>0</v>
      </c>
      <c r="CJ59" s="1123">
        <v>0</v>
      </c>
      <c r="CK59" s="1123">
        <v>0</v>
      </c>
      <c r="CL59" s="1123">
        <v>0</v>
      </c>
      <c r="CM59" s="1123">
        <v>0</v>
      </c>
      <c r="CN59" s="1124">
        <v>0</v>
      </c>
      <c r="CO59" s="1118">
        <v>0</v>
      </c>
      <c r="CP59" s="1118">
        <v>14.083333333333334</v>
      </c>
      <c r="CQ59" s="1118">
        <v>8</v>
      </c>
      <c r="CR59" s="1413">
        <v>11.333333333333334</v>
      </c>
      <c r="CS59" s="1199">
        <v>16.333333333333332</v>
      </c>
      <c r="CT59" s="1118">
        <v>18.583333333333332</v>
      </c>
      <c r="CU59" s="1118">
        <v>21.882352941176471</v>
      </c>
      <c r="CV59" s="1118">
        <v>16.25</v>
      </c>
      <c r="CW59" s="1118">
        <v>16.927899686520377</v>
      </c>
      <c r="CX59" s="1118">
        <v>18.166666666666668</v>
      </c>
      <c r="CY59" s="1118">
        <v>14.5</v>
      </c>
      <c r="CZ59" s="1118">
        <v>16.5</v>
      </c>
      <c r="DA59" s="1413">
        <v>15</v>
      </c>
      <c r="DB59" s="1199">
        <v>0</v>
      </c>
      <c r="DC59" s="1118">
        <v>0</v>
      </c>
      <c r="DD59" s="1118">
        <v>0</v>
      </c>
      <c r="DE59" s="1118">
        <v>0</v>
      </c>
      <c r="DF59" s="1118">
        <v>0</v>
      </c>
      <c r="DG59" s="1413">
        <v>0</v>
      </c>
      <c r="DH59" s="1199">
        <v>0</v>
      </c>
      <c r="DI59" s="1118">
        <v>0</v>
      </c>
      <c r="DJ59" s="1118">
        <v>0</v>
      </c>
      <c r="DK59" s="1118">
        <v>0</v>
      </c>
      <c r="DL59" s="1118">
        <v>0</v>
      </c>
      <c r="DM59" s="1118">
        <v>0</v>
      </c>
      <c r="DN59" s="1118">
        <v>0</v>
      </c>
      <c r="DO59" s="1118">
        <v>0</v>
      </c>
      <c r="DP59" s="1125">
        <v>0</v>
      </c>
      <c r="DQ59" s="1126">
        <v>0</v>
      </c>
      <c r="DR59" s="1127">
        <v>0</v>
      </c>
      <c r="DS59" s="1128">
        <v>62.75</v>
      </c>
      <c r="DT59" s="1123">
        <v>64.933333333333337</v>
      </c>
      <c r="DU59" s="1123">
        <v>20.391666666666666</v>
      </c>
      <c r="DV59" s="1552">
        <v>20.462500000000002</v>
      </c>
      <c r="DW59" s="1535">
        <v>13.726086956521739</v>
      </c>
      <c r="DX59" s="1123">
        <v>14.333333333333334</v>
      </c>
      <c r="DY59" s="1123">
        <v>15.117391304347825</v>
      </c>
      <c r="DZ59" s="1123">
        <v>15.141666666666666</v>
      </c>
      <c r="EA59" s="1123">
        <v>14.529166666666667</v>
      </c>
      <c r="EB59" s="1123">
        <v>15.066666666666668</v>
      </c>
      <c r="EC59" s="1123">
        <v>15.6</v>
      </c>
      <c r="ED59" s="1123">
        <v>15.575000000000001</v>
      </c>
      <c r="EE59" s="1552">
        <v>15.5625</v>
      </c>
      <c r="EF59" s="1566">
        <v>0</v>
      </c>
      <c r="EG59" s="1123">
        <v>0</v>
      </c>
      <c r="EH59" s="1123">
        <v>0</v>
      </c>
      <c r="EI59" s="1123">
        <v>0</v>
      </c>
      <c r="EJ59" s="1123">
        <v>0</v>
      </c>
      <c r="EK59" s="1552">
        <v>0</v>
      </c>
      <c r="EL59" s="1566">
        <v>0</v>
      </c>
      <c r="EM59" s="1123">
        <v>0</v>
      </c>
      <c r="EN59" s="1123">
        <v>0</v>
      </c>
      <c r="EO59" s="1123">
        <v>0</v>
      </c>
      <c r="EP59" s="1123">
        <v>0</v>
      </c>
      <c r="EQ59" s="1123">
        <v>0</v>
      </c>
      <c r="ER59" s="1123">
        <v>0</v>
      </c>
      <c r="ES59" s="1123">
        <v>0</v>
      </c>
      <c r="ET59" s="1129">
        <v>0</v>
      </c>
      <c r="EU59" s="1130" t="str">
        <v>L/hr</v>
      </c>
      <c r="EV59" s="1128">
        <v>10.950000000000001</v>
      </c>
      <c r="EW59" s="1123">
        <v>53.608333333333327</v>
      </c>
      <c r="EX59" s="1123">
        <v>9.5833333333333339</v>
      </c>
      <c r="EY59" s="1552">
        <v>9.2708333333333339</v>
      </c>
      <c r="EZ59" s="1535">
        <v>80.291304347826085</v>
      </c>
      <c r="FA59" s="1123">
        <v>107.29166666666667</v>
      </c>
      <c r="FB59" s="1123">
        <v>106.2764705882353</v>
      </c>
      <c r="FC59" s="1123">
        <v>117.28750000000001</v>
      </c>
      <c r="FD59" s="1123">
        <v>82.25833333333334</v>
      </c>
      <c r="FE59" s="1123">
        <v>113.09583333333335</v>
      </c>
      <c r="FF59" s="1123">
        <v>99.583333333333329</v>
      </c>
      <c r="FG59" s="1123">
        <v>106.40833333333335</v>
      </c>
      <c r="FH59" s="1552">
        <v>86.162500000000009</v>
      </c>
      <c r="FI59" s="1566">
        <v>0</v>
      </c>
      <c r="FJ59" s="1123">
        <v>0</v>
      </c>
      <c r="FK59" s="1123">
        <v>0</v>
      </c>
      <c r="FL59" s="1131">
        <v>0</v>
      </c>
      <c r="FM59" s="1131">
        <v>0</v>
      </c>
      <c r="FN59" s="1576">
        <v>0</v>
      </c>
      <c r="FO59" s="1574">
        <v>0</v>
      </c>
      <c r="FP59" s="1131">
        <v>0</v>
      </c>
      <c r="FQ59" s="1131">
        <v>0</v>
      </c>
      <c r="FR59" s="1131">
        <v>0</v>
      </c>
      <c r="FS59" s="1131">
        <v>0</v>
      </c>
      <c r="FT59" s="1131">
        <v>0</v>
      </c>
      <c r="FU59" s="1131">
        <v>0</v>
      </c>
      <c r="FV59" s="1131">
        <v>0</v>
      </c>
      <c r="FW59" s="1132">
        <v>0</v>
      </c>
    </row>
    <row r="60" spans="3:180" ht="15" thickTop="1" x14ac:dyDescent="0.35">
      <c r="C60" s="1" t="s">
        <v>366</v>
      </c>
      <c r="F60" s="1091"/>
      <c r="G60" s="1092"/>
      <c r="H60" s="1092"/>
      <c r="I60" s="1254"/>
      <c r="J60" s="1200"/>
      <c r="K60" s="1092"/>
      <c r="L60" s="1092"/>
      <c r="M60" s="1092"/>
      <c r="N60" s="1092"/>
      <c r="O60" s="1092"/>
      <c r="P60" s="1092"/>
      <c r="Q60" s="1092"/>
      <c r="R60" s="1254"/>
      <c r="S60" s="1200"/>
      <c r="T60" s="1092"/>
      <c r="U60" s="1092"/>
      <c r="V60" s="1093"/>
      <c r="W60" s="1093"/>
      <c r="X60" s="1451"/>
      <c r="Y60" s="1433"/>
      <c r="Z60" s="1093"/>
      <c r="AA60" s="1093"/>
      <c r="AB60" s="1093"/>
      <c r="AC60" s="1093"/>
      <c r="AD60" s="1093"/>
      <c r="AE60" s="1093"/>
      <c r="AF60" s="1093"/>
      <c r="AG60" s="1093"/>
      <c r="AH60" s="1094"/>
      <c r="AI60" s="1093"/>
      <c r="AJ60" s="1093"/>
      <c r="AK60" s="1093"/>
      <c r="AL60" s="1451"/>
      <c r="AM60" s="1433"/>
      <c r="AN60" s="1093"/>
      <c r="AO60" s="1093"/>
      <c r="AP60" s="1093"/>
      <c r="AQ60" s="1093"/>
      <c r="AR60" s="1093"/>
      <c r="AS60" s="1093"/>
      <c r="AT60" s="1093"/>
      <c r="AU60" s="1451"/>
      <c r="AV60" s="1433"/>
      <c r="AW60" s="1093"/>
      <c r="AX60" s="1093"/>
      <c r="AY60" s="1093"/>
      <c r="AZ60" s="1093"/>
      <c r="BA60" s="1451"/>
      <c r="BB60" s="1433"/>
      <c r="BC60" s="1093"/>
      <c r="BD60" s="1093"/>
      <c r="BE60" s="1093"/>
      <c r="BF60" s="1093"/>
      <c r="BG60" s="1093"/>
      <c r="BH60" s="1093"/>
      <c r="BI60" s="1093"/>
      <c r="BJ60" s="1093"/>
      <c r="BK60" s="1094"/>
      <c r="BL60" s="1087"/>
      <c r="BM60" s="1087"/>
      <c r="BN60" s="1087"/>
      <c r="BO60" s="1553"/>
      <c r="BP60" s="1536"/>
      <c r="BQ60" s="1087"/>
      <c r="BR60" s="1087"/>
      <c r="BS60" s="1095"/>
      <c r="BT60" s="1095"/>
      <c r="BU60" s="1095"/>
      <c r="BV60" s="1095"/>
      <c r="BW60" s="1095"/>
      <c r="BX60" s="1603"/>
      <c r="BY60" s="1599"/>
      <c r="BZ60" s="1095"/>
      <c r="CA60" s="1095"/>
      <c r="CB60" s="1095"/>
      <c r="CC60" s="1095"/>
      <c r="CD60" s="1603"/>
      <c r="CE60" s="1599"/>
      <c r="CF60" s="1095"/>
      <c r="CG60" s="1095"/>
      <c r="CH60" s="1095"/>
      <c r="CI60" s="1095"/>
      <c r="CJ60" s="1095"/>
      <c r="CK60" s="1095"/>
      <c r="CL60" s="1095"/>
      <c r="CM60" s="1095"/>
      <c r="CN60" s="1096"/>
      <c r="CO60" s="1097"/>
      <c r="CP60" s="1092"/>
      <c r="CQ60" s="1092"/>
      <c r="CR60" s="1254"/>
      <c r="CS60" s="1200"/>
      <c r="CT60" s="1092"/>
      <c r="CU60" s="1092"/>
      <c r="CV60" s="1092"/>
      <c r="CW60" s="1092"/>
      <c r="CX60" s="1092"/>
      <c r="CY60" s="1092"/>
      <c r="CZ60" s="1092"/>
      <c r="DA60" s="1254"/>
      <c r="DB60" s="1200"/>
      <c r="DC60" s="1092"/>
      <c r="DD60" s="1092"/>
      <c r="DE60" s="300"/>
      <c r="DF60" s="300"/>
      <c r="DG60" s="1512"/>
      <c r="DH60" s="1506"/>
      <c r="DI60" s="300"/>
      <c r="DJ60" s="300"/>
      <c r="DK60" s="300"/>
      <c r="DL60" s="300"/>
      <c r="DM60" s="300"/>
      <c r="DN60" s="300"/>
      <c r="DO60" s="300"/>
      <c r="DP60" s="300"/>
      <c r="DQ60" s="1096"/>
      <c r="DR60" s="1098"/>
      <c r="DS60" s="1087"/>
      <c r="DT60" s="1087"/>
      <c r="DU60" s="1087"/>
      <c r="DV60" s="1553"/>
      <c r="DW60" s="1536"/>
      <c r="DX60" s="1087"/>
      <c r="DY60" s="1087"/>
      <c r="DZ60" s="1087"/>
      <c r="EA60" s="1087"/>
      <c r="EB60" s="1087"/>
      <c r="EC60" s="1087"/>
      <c r="ED60" s="1087"/>
      <c r="EE60" s="1553"/>
      <c r="EF60" s="1536"/>
      <c r="EG60" s="1087"/>
      <c r="EH60" s="1087"/>
      <c r="EI60" s="1087"/>
      <c r="EJ60" s="1087"/>
      <c r="EK60" s="1553"/>
      <c r="EL60" s="1536"/>
      <c r="EM60" s="1087"/>
      <c r="EN60" s="1087"/>
      <c r="EO60" s="1087"/>
      <c r="EP60" s="1087"/>
      <c r="EQ60" s="1087"/>
      <c r="ER60" s="1087"/>
      <c r="ES60" s="1087"/>
      <c r="ET60" s="1087"/>
      <c r="EU60" s="1099"/>
      <c r="EV60" s="1087"/>
      <c r="EW60" s="1087"/>
      <c r="EX60" s="1087"/>
      <c r="EY60" s="1553"/>
      <c r="EZ60" s="1536"/>
      <c r="FA60" s="1087"/>
      <c r="FB60" s="1087"/>
      <c r="FC60" s="1087"/>
      <c r="FD60" s="1088"/>
      <c r="FE60" s="1088"/>
      <c r="FF60" s="1088"/>
      <c r="FG60" s="1088"/>
      <c r="FH60" s="1571"/>
      <c r="FI60" s="1506"/>
      <c r="FJ60" s="300"/>
      <c r="FK60" s="300"/>
      <c r="FL60" s="229"/>
      <c r="FM60" s="229"/>
      <c r="FN60" s="1245"/>
      <c r="FO60" s="538"/>
      <c r="FP60" s="229"/>
      <c r="FQ60" s="229"/>
      <c r="FR60" s="229"/>
      <c r="FS60" s="229"/>
      <c r="FT60" s="229"/>
      <c r="FU60" s="229"/>
      <c r="FV60" s="229"/>
      <c r="FW60" s="229"/>
    </row>
    <row r="61" spans="3:180" x14ac:dyDescent="0.35">
      <c r="C61" s="1" t="s">
        <v>622</v>
      </c>
      <c r="E61" s="1143"/>
      <c r="F61" s="1142">
        <f t="shared" ref="F61:U61" si="10">CO$59*100/(CO$59+BL$59)</f>
        <v>0</v>
      </c>
      <c r="G61" s="252">
        <f t="shared" si="10"/>
        <v>4.8230593607305945</v>
      </c>
      <c r="H61" s="252">
        <f t="shared" si="10"/>
        <v>2.6541332596074092</v>
      </c>
      <c r="I61" s="1255">
        <f t="shared" si="10"/>
        <v>3.7589828634604761</v>
      </c>
      <c r="J61" s="651">
        <f t="shared" si="10"/>
        <v>10.020449897750511</v>
      </c>
      <c r="K61" s="252">
        <f t="shared" si="10"/>
        <v>11.492870640783369</v>
      </c>
      <c r="L61" s="252">
        <f t="shared" si="10"/>
        <v>12.922142150628799</v>
      </c>
      <c r="M61" s="252">
        <f t="shared" si="10"/>
        <v>10.140405616224649</v>
      </c>
      <c r="N61" s="252">
        <f t="shared" si="10"/>
        <v>10.569592365878878</v>
      </c>
      <c r="O61" s="252">
        <f t="shared" si="10"/>
        <v>10.949271722752387</v>
      </c>
      <c r="P61" s="252">
        <f t="shared" si="10"/>
        <v>8.9139344262295079</v>
      </c>
      <c r="Q61" s="252">
        <f t="shared" si="10"/>
        <v>10.248447204968944</v>
      </c>
      <c r="R61" s="1255">
        <f t="shared" si="10"/>
        <v>9.3023255813953494</v>
      </c>
      <c r="S61" s="651">
        <f t="shared" si="10"/>
        <v>0</v>
      </c>
      <c r="T61" s="252" t="e">
        <f t="shared" si="10"/>
        <v>#DIV/0!</v>
      </c>
      <c r="U61" s="252" t="e">
        <f t="shared" si="10"/>
        <v>#DIV/0!</v>
      </c>
      <c r="V61" s="252"/>
      <c r="W61" s="252"/>
      <c r="X61" s="1255"/>
      <c r="Y61" s="651"/>
      <c r="Z61" s="252"/>
      <c r="AA61" s="252"/>
      <c r="AB61" s="252"/>
      <c r="AC61" s="252"/>
      <c r="AD61" s="252"/>
      <c r="AE61" s="252"/>
      <c r="AF61" s="252"/>
      <c r="AG61" s="252"/>
      <c r="AH61" s="327"/>
      <c r="AI61" s="253"/>
      <c r="AJ61" s="253"/>
      <c r="AK61" s="253"/>
      <c r="AL61" s="1620"/>
      <c r="AM61" s="1612"/>
      <c r="AN61" s="253"/>
      <c r="AO61" s="253"/>
      <c r="AP61" s="253"/>
      <c r="AQ61" s="253"/>
      <c r="AR61" s="253"/>
      <c r="AS61" s="253"/>
      <c r="AT61" s="253"/>
      <c r="AU61" s="1620"/>
      <c r="AV61" s="1612"/>
      <c r="AW61" s="253"/>
      <c r="AX61" s="253"/>
      <c r="AY61" s="253"/>
      <c r="AZ61" s="253"/>
      <c r="BA61" s="1620"/>
      <c r="BB61" s="1612"/>
      <c r="BC61" s="253"/>
      <c r="BD61" s="253"/>
      <c r="BE61" s="253"/>
      <c r="BF61" s="253"/>
      <c r="BG61" s="253"/>
      <c r="BH61" s="253"/>
      <c r="BI61" s="253"/>
      <c r="BJ61" s="253"/>
      <c r="BK61" s="327"/>
      <c r="BL61" s="254"/>
      <c r="BM61" s="254"/>
      <c r="BN61" s="254"/>
      <c r="BO61" s="1257"/>
      <c r="BP61" s="1202"/>
      <c r="BQ61" s="254"/>
      <c r="BR61" s="254"/>
      <c r="BS61" s="255"/>
      <c r="BT61" s="255"/>
      <c r="BU61" s="255"/>
      <c r="BV61" s="255"/>
      <c r="BW61" s="255"/>
      <c r="BX61" s="1604"/>
      <c r="BY61" s="1600"/>
      <c r="BZ61" s="255"/>
      <c r="CA61" s="255"/>
      <c r="CB61" s="255"/>
      <c r="CC61" s="255"/>
      <c r="CD61" s="1604"/>
      <c r="CE61" s="1600"/>
      <c r="CF61" s="255"/>
      <c r="CG61" s="255"/>
      <c r="CH61" s="255"/>
      <c r="CI61" s="255"/>
      <c r="CJ61" s="255"/>
      <c r="CK61" s="255"/>
      <c r="CL61" s="255"/>
      <c r="CM61" s="255"/>
      <c r="CN61" s="324"/>
      <c r="CO61" s="320"/>
      <c r="CP61" s="252"/>
      <c r="CQ61" s="252"/>
      <c r="CR61" s="1255"/>
      <c r="CS61" s="651"/>
      <c r="CT61" s="252"/>
      <c r="CU61" s="252"/>
      <c r="CV61" s="252"/>
      <c r="CW61" s="252"/>
      <c r="CX61" s="252"/>
      <c r="CY61" s="252"/>
      <c r="CZ61" s="252"/>
      <c r="DA61" s="1255"/>
      <c r="DB61" s="651"/>
      <c r="DC61" s="252"/>
      <c r="DD61" s="252"/>
      <c r="DE61" s="239"/>
      <c r="DF61" s="239"/>
      <c r="DG61" s="1277"/>
      <c r="DH61" s="1221"/>
      <c r="DI61" s="239"/>
      <c r="DJ61" s="239"/>
      <c r="DK61" s="239"/>
      <c r="DL61" s="239"/>
      <c r="DM61" s="239"/>
      <c r="DN61" s="239"/>
      <c r="DO61" s="239"/>
      <c r="DP61" s="239"/>
      <c r="DQ61" s="324"/>
      <c r="DR61" s="328"/>
      <c r="DS61" s="254"/>
      <c r="DT61" s="254"/>
      <c r="DU61" s="254"/>
      <c r="DV61" s="1257"/>
      <c r="DW61" s="1202"/>
      <c r="DX61" s="254"/>
      <c r="DY61" s="254"/>
      <c r="DZ61" s="254"/>
      <c r="EA61" s="254"/>
      <c r="EB61" s="254"/>
      <c r="EC61" s="254"/>
      <c r="ED61" s="254"/>
      <c r="EE61" s="1257"/>
      <c r="EF61" s="1202"/>
      <c r="EG61" s="254"/>
      <c r="EH61" s="254"/>
      <c r="EI61" s="254"/>
      <c r="EJ61" s="254"/>
      <c r="EK61" s="1257"/>
      <c r="EL61" s="1202"/>
      <c r="EM61" s="254"/>
      <c r="EN61" s="254"/>
      <c r="EO61" s="254"/>
      <c r="EP61" s="254"/>
      <c r="EQ61" s="254"/>
      <c r="ER61" s="254"/>
      <c r="ES61" s="254"/>
      <c r="ET61" s="254"/>
      <c r="EU61" s="329"/>
      <c r="EV61" s="254"/>
      <c r="EW61" s="254"/>
      <c r="EX61" s="254"/>
      <c r="EY61" s="1257"/>
      <c r="EZ61" s="1202"/>
      <c r="FA61" s="254"/>
      <c r="FB61" s="254"/>
      <c r="FC61" s="254"/>
      <c r="FD61" s="245"/>
      <c r="FE61" s="245"/>
      <c r="FF61" s="245"/>
      <c r="FG61" s="245"/>
      <c r="FH61" s="1414"/>
      <c r="FI61" s="1221"/>
      <c r="FJ61" s="239"/>
      <c r="FK61" s="239"/>
    </row>
    <row r="62" spans="3:180" x14ac:dyDescent="0.35">
      <c r="C62" s="1" t="s">
        <v>367</v>
      </c>
      <c r="F62" s="1037">
        <v>1.0489999999999999</v>
      </c>
      <c r="G62" s="252">
        <v>1.0489999999999999</v>
      </c>
      <c r="H62" s="252">
        <v>1.0489999999999999</v>
      </c>
      <c r="I62" s="1255">
        <v>1.0489999999999999</v>
      </c>
      <c r="J62" s="651">
        <f>'HPS DAILY'!$H$12</f>
        <v>1.0509999999999999</v>
      </c>
      <c r="K62" s="252">
        <f>'HPS DAILY'!$H$12</f>
        <v>1.0509999999999999</v>
      </c>
      <c r="L62" s="252">
        <f>'HPS DAILY'!$H$12</f>
        <v>1.0509999999999999</v>
      </c>
      <c r="M62" s="252">
        <f>'HPS DAILY'!$H$12</f>
        <v>1.0509999999999999</v>
      </c>
      <c r="N62" s="252">
        <f>'HPS DAILY'!$H$12</f>
        <v>1.0509999999999999</v>
      </c>
      <c r="O62" s="252">
        <f>'HPS DAILY'!$H$12</f>
        <v>1.0509999999999999</v>
      </c>
      <c r="P62" s="252">
        <f>1.061</f>
        <v>1.0609999999999999</v>
      </c>
      <c r="Q62" s="252">
        <f>1.061</f>
        <v>1.0609999999999999</v>
      </c>
      <c r="R62" s="1255">
        <f t="shared" ref="R62:U62" si="11">1.061</f>
        <v>1.0609999999999999</v>
      </c>
      <c r="S62" s="651">
        <f t="shared" si="11"/>
        <v>1.0609999999999999</v>
      </c>
      <c r="T62" s="252">
        <f t="shared" si="11"/>
        <v>1.0609999999999999</v>
      </c>
      <c r="U62" s="252">
        <f t="shared" si="11"/>
        <v>1.0609999999999999</v>
      </c>
      <c r="V62" s="252"/>
      <c r="W62" s="252"/>
      <c r="X62" s="1255"/>
      <c r="Y62" s="651"/>
      <c r="Z62" s="252"/>
      <c r="AA62" s="252"/>
      <c r="AB62" s="252"/>
      <c r="AC62" s="252"/>
      <c r="AD62" s="252"/>
      <c r="AE62" s="252"/>
      <c r="AF62" s="252"/>
      <c r="AG62" s="252"/>
      <c r="AH62" s="327"/>
      <c r="AI62" s="253"/>
      <c r="AJ62" s="253"/>
      <c r="AK62" s="253"/>
      <c r="AL62" s="1620"/>
      <c r="AM62" s="1612"/>
      <c r="AN62" s="253"/>
      <c r="AO62" s="253"/>
      <c r="AP62" s="253"/>
      <c r="AQ62" s="253"/>
      <c r="AR62" s="253"/>
      <c r="AS62" s="253"/>
      <c r="AT62" s="253"/>
      <c r="AU62" s="1620"/>
      <c r="AV62" s="1612"/>
      <c r="AW62" s="253"/>
      <c r="AX62" s="253"/>
      <c r="AY62" s="253"/>
      <c r="AZ62" s="253"/>
      <c r="BA62" s="1620"/>
      <c r="BB62" s="1612"/>
      <c r="BC62" s="253"/>
      <c r="BD62" s="253"/>
      <c r="BE62" s="253"/>
      <c r="BF62" s="253"/>
      <c r="BG62" s="253"/>
      <c r="BH62" s="253"/>
      <c r="BI62" s="253"/>
      <c r="BJ62" s="253"/>
      <c r="BK62" s="327"/>
      <c r="BL62" s="254"/>
      <c r="BM62" s="254"/>
      <c r="BN62" s="254"/>
      <c r="BO62" s="1257"/>
      <c r="BP62" s="1202"/>
      <c r="BQ62" s="254">
        <f>AVERAGE(BQ59:BU59)</f>
        <v>145.10948755626492</v>
      </c>
      <c r="BR62" s="254"/>
      <c r="BS62" s="255"/>
      <c r="BT62" s="255"/>
      <c r="BU62" s="255"/>
      <c r="BV62" s="255"/>
      <c r="BW62" s="254">
        <f>AVERAGE(BV59:BZ59)</f>
        <v>116.48333333333332</v>
      </c>
      <c r="BX62" s="1604"/>
      <c r="BY62" s="1600"/>
      <c r="BZ62" s="255"/>
      <c r="CA62" s="255"/>
      <c r="CB62" s="255"/>
      <c r="CC62" s="255"/>
      <c r="CD62" s="1604"/>
      <c r="CE62" s="1600"/>
      <c r="CF62" s="255"/>
      <c r="CG62" s="255"/>
      <c r="CH62" s="255"/>
      <c r="CI62" s="255"/>
      <c r="CJ62" s="255"/>
      <c r="CK62" s="255"/>
      <c r="CL62" s="255"/>
      <c r="CM62" s="255"/>
      <c r="CN62" s="324"/>
      <c r="CO62" s="320"/>
      <c r="CP62" s="252"/>
      <c r="CQ62" s="252"/>
      <c r="CR62" s="1255"/>
      <c r="CS62" s="651"/>
      <c r="CT62" s="252">
        <f>AVERAGE(CT59:CX59)</f>
        <v>18.36205052553937</v>
      </c>
      <c r="CU62" s="500"/>
      <c r="CV62" s="252"/>
      <c r="CW62" s="252"/>
      <c r="CX62" s="252"/>
      <c r="CZ62" s="252">
        <f>AVERAGE(CY59:DC59)</f>
        <v>9.1999999999999993</v>
      </c>
      <c r="DA62" s="1255"/>
      <c r="DB62" s="651"/>
      <c r="DC62" s="252"/>
      <c r="DD62" s="252"/>
      <c r="DE62" s="239"/>
      <c r="DF62" s="239"/>
      <c r="DG62" s="1277"/>
      <c r="DH62" s="1221"/>
      <c r="DI62" s="239"/>
      <c r="DJ62" s="239"/>
      <c r="DK62" s="239"/>
      <c r="DL62" s="239"/>
      <c r="DM62" s="239"/>
      <c r="DN62" s="239"/>
      <c r="DO62" s="239"/>
      <c r="DP62" s="239"/>
      <c r="DQ62" s="324"/>
      <c r="DR62" s="328"/>
      <c r="DS62" s="254"/>
      <c r="DT62" s="254"/>
      <c r="DU62" s="254"/>
      <c r="DV62" s="1257"/>
      <c r="DW62" s="1202"/>
      <c r="DX62" s="254"/>
      <c r="DY62" s="254"/>
      <c r="DZ62" s="254"/>
      <c r="EA62" s="254"/>
      <c r="EB62" s="254"/>
      <c r="EC62" s="254"/>
      <c r="ED62" s="254"/>
      <c r="EE62" s="1257"/>
      <c r="EF62" s="1202"/>
      <c r="EG62" s="254"/>
      <c r="EH62" s="254"/>
      <c r="EI62" s="254"/>
      <c r="EJ62" s="254"/>
      <c r="EK62" s="1257"/>
      <c r="EL62" s="1202"/>
      <c r="EM62" s="254"/>
      <c r="EN62" s="254"/>
      <c r="EO62" s="254"/>
      <c r="EP62" s="254"/>
      <c r="EQ62" s="254"/>
      <c r="ER62" s="254"/>
      <c r="ES62" s="254"/>
      <c r="ET62" s="254"/>
      <c r="EU62" s="329"/>
      <c r="EV62" s="254"/>
      <c r="EW62" s="254"/>
      <c r="EX62" s="254"/>
      <c r="EY62" s="1257"/>
      <c r="EZ62" s="1202"/>
      <c r="FA62" s="254"/>
      <c r="FB62" s="254"/>
      <c r="FC62" s="254"/>
      <c r="FD62" s="245"/>
      <c r="FE62" s="245"/>
      <c r="FF62" s="245"/>
      <c r="FG62" s="245"/>
      <c r="FH62" s="1414"/>
      <c r="FI62" s="1221"/>
      <c r="FJ62" s="239"/>
      <c r="FK62" s="239"/>
    </row>
    <row r="63" spans="3:180" s="182" customFormat="1" x14ac:dyDescent="0.35">
      <c r="C63" s="164" t="s">
        <v>323</v>
      </c>
      <c r="D63" s="164"/>
      <c r="E63" s="164"/>
      <c r="F63" s="1038">
        <f>F$59/F$62</f>
        <v>315.47775997403812</v>
      </c>
      <c r="G63" s="256">
        <f t="shared" ref="G63:U63" si="12">G$59/G$62</f>
        <v>310.61328249126154</v>
      </c>
      <c r="H63" s="464">
        <f t="shared" si="12"/>
        <v>313.85202023905561</v>
      </c>
      <c r="I63" s="1256">
        <f t="shared" si="12"/>
        <v>310.1906577693041</v>
      </c>
      <c r="J63" s="1434">
        <f t="shared" si="12"/>
        <v>184.26895020615288</v>
      </c>
      <c r="K63" s="464">
        <f t="shared" si="12"/>
        <v>177.51210027716874</v>
      </c>
      <c r="L63" s="464">
        <f t="shared" si="12"/>
        <v>177.62844909609896</v>
      </c>
      <c r="M63" s="464">
        <f t="shared" si="12"/>
        <v>174.53357051255534</v>
      </c>
      <c r="N63" s="464">
        <f t="shared" si="12"/>
        <v>173.75741923791401</v>
      </c>
      <c r="O63" s="464">
        <f>O$59/O$62</f>
        <v>179.8701030074877</v>
      </c>
      <c r="P63" s="464">
        <f>P$59/P$62</f>
        <v>178.33872884481417</v>
      </c>
      <c r="Q63" s="464">
        <f t="shared" si="12"/>
        <v>176.00295045691104</v>
      </c>
      <c r="R63" s="1256">
        <f t="shared" si="12"/>
        <v>175.83903618407572</v>
      </c>
      <c r="S63" s="1201">
        <f t="shared" si="12"/>
        <v>0</v>
      </c>
      <c r="T63" s="464">
        <f t="shared" si="12"/>
        <v>0</v>
      </c>
      <c r="U63" s="464">
        <f t="shared" si="12"/>
        <v>0</v>
      </c>
      <c r="V63" s="464"/>
      <c r="W63" s="464"/>
      <c r="X63" s="1256"/>
      <c r="Y63" s="1434"/>
      <c r="Z63" s="464"/>
      <c r="AA63" s="464"/>
      <c r="AB63" s="464"/>
      <c r="AC63" s="464"/>
      <c r="AD63" s="464"/>
      <c r="AE63" s="464"/>
      <c r="AF63" s="464"/>
      <c r="AG63" s="464"/>
      <c r="AH63" s="330"/>
      <c r="AI63" s="257"/>
      <c r="AJ63" s="257"/>
      <c r="AK63" s="257"/>
      <c r="AL63" s="1621"/>
      <c r="AM63" s="1613"/>
      <c r="AN63" s="257"/>
      <c r="AO63" s="257"/>
      <c r="AP63" s="257"/>
      <c r="AQ63" s="257"/>
      <c r="AR63" s="257"/>
      <c r="AS63" s="257"/>
      <c r="AT63" s="257"/>
      <c r="AU63" s="1621"/>
      <c r="AV63" s="1613"/>
      <c r="AW63" s="257"/>
      <c r="AX63" s="257"/>
      <c r="AY63" s="257"/>
      <c r="AZ63" s="257"/>
      <c r="BA63" s="1621"/>
      <c r="BB63" s="1613"/>
      <c r="BC63" s="257"/>
      <c r="BD63" s="257"/>
      <c r="BE63" s="257"/>
      <c r="BF63" s="257"/>
      <c r="BG63" s="257"/>
      <c r="BH63" s="257"/>
      <c r="BI63" s="257"/>
      <c r="BJ63" s="257"/>
      <c r="BK63" s="330"/>
      <c r="BL63" s="258"/>
      <c r="BM63" s="259"/>
      <c r="BN63" s="259"/>
      <c r="BO63" s="1596"/>
      <c r="BP63" s="1589"/>
      <c r="BQ63" s="259"/>
      <c r="BR63" s="259"/>
      <c r="BS63" s="260"/>
      <c r="BT63" s="260"/>
      <c r="BU63" s="260"/>
      <c r="BV63" s="260"/>
      <c r="BW63" s="260"/>
      <c r="BX63" s="1605"/>
      <c r="BY63" s="1601"/>
      <c r="BZ63" s="260"/>
      <c r="CA63" s="260"/>
      <c r="CB63" s="260"/>
      <c r="CC63" s="260"/>
      <c r="CD63" s="1605"/>
      <c r="CE63" s="1601"/>
      <c r="CF63" s="260"/>
      <c r="CG63" s="260"/>
      <c r="CH63" s="260"/>
      <c r="CI63" s="260"/>
      <c r="CJ63" s="260"/>
      <c r="CK63" s="260"/>
      <c r="CL63" s="260"/>
      <c r="CM63" s="260"/>
      <c r="CN63" s="330"/>
      <c r="CO63" s="321"/>
      <c r="CP63" s="261"/>
      <c r="CQ63" s="262"/>
      <c r="CR63" s="1477"/>
      <c r="CS63" s="1465"/>
      <c r="CT63" s="239">
        <f>100*CT62/(CT62+BQ62)</f>
        <v>11.232567296424806</v>
      </c>
      <c r="CU63" s="602" t="s">
        <v>586</v>
      </c>
      <c r="CV63" s="263"/>
      <c r="CW63" s="263"/>
      <c r="CX63" s="263"/>
      <c r="CY63" s="263"/>
      <c r="CZ63" s="256">
        <f>100*CZ62/(CZ62+BW62)</f>
        <v>7.3199840869911146</v>
      </c>
      <c r="DA63" s="1495" t="s">
        <v>587</v>
      </c>
      <c r="DB63" s="1486"/>
      <c r="DC63" s="263"/>
      <c r="DD63" s="263"/>
      <c r="DE63" s="230"/>
      <c r="DF63" s="230"/>
      <c r="DG63" s="1455"/>
      <c r="DH63" s="1438"/>
      <c r="DI63" s="230"/>
      <c r="DJ63" s="230"/>
      <c r="DK63" s="230"/>
      <c r="DL63" s="230"/>
      <c r="DM63" s="230"/>
      <c r="DN63" s="230"/>
      <c r="DO63" s="230"/>
      <c r="DP63" s="230"/>
      <c r="DQ63" s="331"/>
      <c r="DR63" s="332"/>
      <c r="DS63" s="258"/>
      <c r="DT63" s="258"/>
      <c r="DU63" s="258"/>
      <c r="DV63" s="1581"/>
      <c r="DW63" s="1579"/>
      <c r="DX63" s="258"/>
      <c r="DY63" s="258"/>
      <c r="DZ63" s="258"/>
      <c r="EA63" s="258"/>
      <c r="EB63" s="258"/>
      <c r="EC63" s="258"/>
      <c r="ED63" s="258"/>
      <c r="EE63" s="1581"/>
      <c r="EF63" s="1579"/>
      <c r="EG63" s="258"/>
      <c r="EH63" s="258"/>
      <c r="EI63" s="258"/>
      <c r="EJ63" s="258"/>
      <c r="EK63" s="1581"/>
      <c r="EL63" s="1579"/>
      <c r="EM63" s="258"/>
      <c r="EN63" s="258"/>
      <c r="EO63" s="258"/>
      <c r="EP63" s="258"/>
      <c r="EQ63" s="258"/>
      <c r="ER63" s="258"/>
      <c r="ES63" s="258"/>
      <c r="ET63" s="258"/>
      <c r="EU63" s="333"/>
      <c r="EV63" s="246"/>
      <c r="EW63" s="246"/>
      <c r="EX63" s="246"/>
      <c r="EY63" s="1554"/>
      <c r="EZ63" s="1537"/>
      <c r="FA63" s="246"/>
      <c r="FB63" s="246"/>
      <c r="FC63" s="246"/>
      <c r="FD63" s="246"/>
      <c r="FE63" s="246"/>
      <c r="FF63" s="246"/>
      <c r="FG63" s="246"/>
      <c r="FH63" s="1554"/>
      <c r="FI63" s="1438"/>
      <c r="FJ63" s="230"/>
      <c r="FK63" s="230"/>
      <c r="FL63" s="230"/>
      <c r="FM63" s="230"/>
      <c r="FN63" s="1455"/>
      <c r="FO63" s="1438"/>
      <c r="FP63" s="230"/>
      <c r="FQ63" s="230"/>
      <c r="FR63" s="230"/>
      <c r="FS63" s="230"/>
      <c r="FT63" s="230"/>
      <c r="FU63" s="230"/>
      <c r="FV63" s="230"/>
      <c r="FW63" s="230"/>
    </row>
    <row r="64" spans="3:180" s="182" customFormat="1" x14ac:dyDescent="0.35">
      <c r="C64" s="1358" t="s">
        <v>425</v>
      </c>
      <c r="D64" s="1358"/>
      <c r="E64" s="1358"/>
      <c r="F64" s="1359">
        <f>F$63/(3*186)</f>
        <v>0.56537232970257723</v>
      </c>
      <c r="G64" s="1360">
        <f>G$63/(3*186)</f>
        <v>0.55665462812054045</v>
      </c>
      <c r="H64" s="1360">
        <f t="shared" ref="H64:U64" si="13">H$63/(3*186)</f>
        <v>0.5624588176327161</v>
      </c>
      <c r="I64" s="1361">
        <f t="shared" si="13"/>
        <v>0.5558972361457063</v>
      </c>
      <c r="J64" s="1362">
        <f t="shared" si="13"/>
        <v>0.33023109355941377</v>
      </c>
      <c r="K64" s="1360">
        <f t="shared" si="13"/>
        <v>0.31812204350747086</v>
      </c>
      <c r="L64" s="1360">
        <f t="shared" si="13"/>
        <v>0.31833055393566123</v>
      </c>
      <c r="M64" s="1360">
        <f t="shared" si="13"/>
        <v>0.3127841765457981</v>
      </c>
      <c r="N64" s="1360">
        <f t="shared" si="13"/>
        <v>0.31139322444070611</v>
      </c>
      <c r="O64" s="1360">
        <f t="shared" si="13"/>
        <v>0.32234785485212847</v>
      </c>
      <c r="P64" s="1360">
        <f t="shared" si="13"/>
        <v>0.31960345671113649</v>
      </c>
      <c r="Q64" s="1360">
        <f t="shared" si="13"/>
        <v>0.31541747393711655</v>
      </c>
      <c r="R64" s="1361">
        <f>R63/(3*186)</f>
        <v>0.31512372075999234</v>
      </c>
      <c r="S64" s="1362">
        <f>S$63/(3*186)</f>
        <v>0</v>
      </c>
      <c r="T64" s="1360">
        <f t="shared" si="13"/>
        <v>0</v>
      </c>
      <c r="U64" s="1360">
        <f t="shared" si="13"/>
        <v>0</v>
      </c>
      <c r="V64" s="1363"/>
      <c r="W64" s="1363"/>
      <c r="X64" s="1452"/>
      <c r="Y64" s="1435"/>
      <c r="Z64" s="1363"/>
      <c r="AA64" s="1363"/>
      <c r="AB64" s="1363"/>
      <c r="AC64" s="1363"/>
      <c r="AD64" s="1363"/>
      <c r="AE64" s="1363"/>
      <c r="AF64" s="1363"/>
      <c r="AG64" s="1363"/>
      <c r="AH64" s="334"/>
      <c r="AI64" s="264"/>
      <c r="AJ64" s="264"/>
      <c r="AK64" s="264"/>
      <c r="AL64" s="1454"/>
      <c r="AM64" s="1437"/>
      <c r="AN64" s="264"/>
      <c r="AO64" s="264"/>
      <c r="AP64" s="264"/>
      <c r="AQ64" s="264"/>
      <c r="AR64" s="264"/>
      <c r="AS64" s="264"/>
      <c r="AT64" s="264"/>
      <c r="AU64" s="1454"/>
      <c r="AV64" s="1437"/>
      <c r="AW64" s="264"/>
      <c r="AX64" s="264"/>
      <c r="AY64" s="264"/>
      <c r="AZ64" s="264"/>
      <c r="BA64" s="1454"/>
      <c r="BB64" s="1437"/>
      <c r="BC64" s="264"/>
      <c r="BD64" s="264"/>
      <c r="BE64" s="264"/>
      <c r="BF64" s="264"/>
      <c r="BG64" s="264"/>
      <c r="BH64" s="264"/>
      <c r="BI64" s="264"/>
      <c r="BJ64" s="264"/>
      <c r="BK64" s="334"/>
      <c r="BL64" s="264"/>
      <c r="BM64" s="230"/>
      <c r="BN64" s="230"/>
      <c r="BO64" s="1455"/>
      <c r="BP64" s="1438"/>
      <c r="BQ64" s="230"/>
      <c r="BR64" s="230"/>
      <c r="BS64" s="230"/>
      <c r="BT64" s="230"/>
      <c r="BU64" s="230"/>
      <c r="BV64" s="230"/>
      <c r="BW64" s="230"/>
      <c r="BX64" s="1455"/>
      <c r="BY64" s="1438"/>
      <c r="BZ64" s="230"/>
      <c r="CA64" s="230"/>
      <c r="CB64" s="230"/>
      <c r="CC64" s="230"/>
      <c r="CD64" s="1455"/>
      <c r="CE64" s="1438"/>
      <c r="CF64" s="230"/>
      <c r="CG64" s="230"/>
      <c r="CH64" s="230"/>
      <c r="CI64" s="230"/>
      <c r="CJ64" s="230"/>
      <c r="CK64" s="230"/>
      <c r="CL64" s="230"/>
      <c r="CM64" s="230"/>
      <c r="CN64" s="331"/>
      <c r="CO64" s="230"/>
      <c r="CP64" s="265"/>
      <c r="CQ64" s="265"/>
      <c r="CR64" s="1478"/>
      <c r="CS64" s="1466"/>
      <c r="CT64" s="265"/>
      <c r="CU64" s="262"/>
      <c r="CV64" s="230"/>
      <c r="CW64" s="230"/>
      <c r="CX64" s="230"/>
      <c r="CY64" s="230"/>
      <c r="CZ64" s="230"/>
      <c r="DA64" s="1455"/>
      <c r="DB64" s="1438"/>
      <c r="DC64" s="230"/>
      <c r="DD64" s="230"/>
      <c r="DE64" s="230"/>
      <c r="DF64" s="230"/>
      <c r="DG64" s="1455"/>
      <c r="DH64" s="1438"/>
      <c r="DI64" s="230"/>
      <c r="DJ64" s="230"/>
      <c r="DK64" s="230"/>
      <c r="DL64" s="230"/>
      <c r="DM64" s="230"/>
      <c r="DN64" s="230"/>
      <c r="DO64" s="230"/>
      <c r="DP64" s="230"/>
      <c r="DQ64" s="331"/>
      <c r="DR64" s="332"/>
      <c r="DS64" s="230"/>
      <c r="DT64" s="230"/>
      <c r="DU64" s="230"/>
      <c r="DV64" s="1455"/>
      <c r="DW64" s="1438"/>
      <c r="DX64" s="230"/>
      <c r="DY64" s="230"/>
      <c r="DZ64" s="230"/>
      <c r="EA64" s="230"/>
      <c r="EB64" s="230"/>
      <c r="EC64" s="230"/>
      <c r="ED64" s="230"/>
      <c r="EE64" s="1455"/>
      <c r="EF64" s="1438"/>
      <c r="EG64" s="230"/>
      <c r="EH64" s="230"/>
      <c r="EI64" s="230"/>
      <c r="EJ64" s="230"/>
      <c r="EK64" s="1455"/>
      <c r="EL64" s="1438"/>
      <c r="EM64" s="230"/>
      <c r="EN64" s="230"/>
      <c r="EO64" s="230"/>
      <c r="EP64" s="230"/>
      <c r="EQ64" s="230"/>
      <c r="ER64" s="230"/>
      <c r="ES64" s="230"/>
      <c r="ET64" s="230"/>
      <c r="EU64" s="331"/>
      <c r="EV64" s="230"/>
      <c r="EW64" s="230"/>
      <c r="EX64" s="230"/>
      <c r="EY64" s="1455"/>
      <c r="EZ64" s="1438"/>
      <c r="FA64" s="230"/>
      <c r="FB64" s="230"/>
      <c r="FC64" s="230"/>
      <c r="FD64" s="230"/>
      <c r="FE64" s="230"/>
      <c r="FF64" s="230"/>
      <c r="FG64" s="230"/>
      <c r="FH64" s="1455"/>
      <c r="FI64" s="1438"/>
      <c r="FJ64" s="230"/>
      <c r="FK64" s="230"/>
      <c r="FL64" s="230"/>
      <c r="FM64" s="230"/>
      <c r="FN64" s="1455"/>
      <c r="FO64" s="1438"/>
      <c r="FP64" s="230"/>
      <c r="FQ64" s="230"/>
      <c r="FR64" s="230"/>
      <c r="FS64" s="230"/>
      <c r="FT64" s="230"/>
      <c r="FU64" s="230"/>
      <c r="FV64" s="230"/>
      <c r="FW64" s="230"/>
    </row>
    <row r="65" spans="3:180" s="182" customFormat="1" x14ac:dyDescent="0.35">
      <c r="C65" s="417" t="s">
        <v>426</v>
      </c>
      <c r="D65" s="417"/>
      <c r="E65" s="417"/>
      <c r="F65" s="1355">
        <v>0.55000000000000004</v>
      </c>
      <c r="G65" s="914">
        <v>0.55000000000000004</v>
      </c>
      <c r="H65" s="914">
        <v>0.55000000000000004</v>
      </c>
      <c r="I65" s="1356">
        <v>0.55000000000000004</v>
      </c>
      <c r="J65" s="913">
        <v>0.31</v>
      </c>
      <c r="K65" s="914">
        <v>0.31</v>
      </c>
      <c r="L65" s="914">
        <v>0.31</v>
      </c>
      <c r="M65" s="914">
        <v>0.31</v>
      </c>
      <c r="N65" s="914">
        <v>0.31</v>
      </c>
      <c r="O65" s="914">
        <v>0.31</v>
      </c>
      <c r="P65" s="914">
        <v>0.31</v>
      </c>
      <c r="Q65" s="914">
        <v>0.31</v>
      </c>
      <c r="R65" s="1356">
        <v>0.31</v>
      </c>
      <c r="S65" s="913">
        <v>0.31</v>
      </c>
      <c r="T65" s="914">
        <v>0.31</v>
      </c>
      <c r="U65" s="914">
        <v>0.31</v>
      </c>
      <c r="V65" s="1357"/>
      <c r="W65" s="1357"/>
      <c r="X65" s="1453"/>
      <c r="Y65" s="1436"/>
      <c r="Z65" s="1357"/>
      <c r="AA65" s="1357"/>
      <c r="AB65" s="1357"/>
      <c r="AC65" s="1357"/>
      <c r="AD65" s="1357"/>
      <c r="AE65" s="1357"/>
      <c r="AF65" s="1357"/>
      <c r="AG65" s="1357"/>
      <c r="AH65" s="334"/>
      <c r="AI65" s="264"/>
      <c r="AJ65" s="264"/>
      <c r="AK65" s="264"/>
      <c r="AL65" s="1454"/>
      <c r="AM65" s="1437"/>
      <c r="AN65" s="264"/>
      <c r="AO65" s="264"/>
      <c r="AP65" s="264"/>
      <c r="AQ65" s="264"/>
      <c r="AR65" s="264"/>
      <c r="AS65" s="264"/>
      <c r="AT65" s="264"/>
      <c r="AU65" s="1454"/>
      <c r="AV65" s="1437"/>
      <c r="AW65" s="264"/>
      <c r="AX65" s="264"/>
      <c r="AY65" s="264"/>
      <c r="AZ65" s="264"/>
      <c r="BA65" s="1454"/>
      <c r="BB65" s="1437"/>
      <c r="BC65" s="264"/>
      <c r="BD65" s="264"/>
      <c r="BE65" s="264"/>
      <c r="BF65" s="264"/>
      <c r="BG65" s="264"/>
      <c r="BH65" s="264"/>
      <c r="BI65" s="264"/>
      <c r="BJ65" s="264"/>
      <c r="BK65" s="334"/>
      <c r="BL65" s="264"/>
      <c r="BM65" s="230"/>
      <c r="BN65" s="230"/>
      <c r="BO65" s="1455"/>
      <c r="BP65" s="1438"/>
      <c r="BQ65" s="230"/>
      <c r="BR65" s="230"/>
      <c r="BS65" s="230"/>
      <c r="BT65" s="230"/>
      <c r="BU65" s="230"/>
      <c r="BV65" s="230"/>
      <c r="BW65" s="230"/>
      <c r="BX65" s="1455"/>
      <c r="BY65" s="1438"/>
      <c r="BZ65" s="230"/>
      <c r="CA65" s="230"/>
      <c r="CB65" s="230"/>
      <c r="CC65" s="230"/>
      <c r="CD65" s="1455"/>
      <c r="CE65" s="1438"/>
      <c r="CF65" s="230"/>
      <c r="CG65" s="230"/>
      <c r="CH65" s="230"/>
      <c r="CI65" s="230"/>
      <c r="CJ65" s="230"/>
      <c r="CK65" s="230"/>
      <c r="CL65" s="230"/>
      <c r="CM65" s="230"/>
      <c r="CN65" s="331"/>
      <c r="CO65" s="230"/>
      <c r="CP65" s="265"/>
      <c r="CQ65" s="265"/>
      <c r="CR65" s="1478"/>
      <c r="CS65" s="1466"/>
      <c r="CT65" s="265"/>
      <c r="CU65" s="262"/>
      <c r="CV65" s="230"/>
      <c r="CW65" s="230"/>
      <c r="CX65" s="230"/>
      <c r="CY65" s="230"/>
      <c r="CZ65" s="230"/>
      <c r="DA65" s="1455"/>
      <c r="DB65" s="1438"/>
      <c r="DC65" s="230"/>
      <c r="DD65" s="230"/>
      <c r="DE65" s="230"/>
      <c r="DF65" s="230"/>
      <c r="DG65" s="1455"/>
      <c r="DH65" s="1438"/>
      <c r="DI65" s="230"/>
      <c r="DJ65" s="230"/>
      <c r="DK65" s="230"/>
      <c r="DL65" s="230"/>
      <c r="DM65" s="230"/>
      <c r="DN65" s="230"/>
      <c r="DO65" s="230"/>
      <c r="DP65" s="230"/>
      <c r="DQ65" s="331"/>
      <c r="DR65" s="332"/>
      <c r="DS65" s="230"/>
      <c r="DT65" s="230"/>
      <c r="DU65" s="230"/>
      <c r="DV65" s="1455"/>
      <c r="DW65" s="1438"/>
      <c r="DX65" s="230"/>
      <c r="DY65" s="230"/>
      <c r="DZ65" s="230"/>
      <c r="EA65" s="230"/>
      <c r="EB65" s="230"/>
      <c r="EC65" s="230"/>
      <c r="ED65" s="230"/>
      <c r="EE65" s="1455"/>
      <c r="EF65" s="1438"/>
      <c r="EG65" s="230"/>
      <c r="EH65" s="230"/>
      <c r="EI65" s="230"/>
      <c r="EJ65" s="230"/>
      <c r="EK65" s="1455"/>
      <c r="EL65" s="1438"/>
      <c r="EM65" s="230"/>
      <c r="EN65" s="230"/>
      <c r="EO65" s="230"/>
      <c r="EP65" s="230"/>
      <c r="EQ65" s="230"/>
      <c r="ER65" s="230"/>
      <c r="ES65" s="230"/>
      <c r="ET65" s="230"/>
      <c r="EU65" s="331"/>
      <c r="EV65" s="230"/>
      <c r="EW65" s="230"/>
      <c r="EX65" s="230"/>
      <c r="EY65" s="1455"/>
      <c r="EZ65" s="1438"/>
      <c r="FA65" s="230"/>
      <c r="FB65" s="230"/>
      <c r="FC65" s="230"/>
      <c r="FD65" s="230"/>
      <c r="FE65" s="230"/>
      <c r="FF65" s="230"/>
      <c r="FG65" s="230"/>
      <c r="FH65" s="1455"/>
      <c r="FI65" s="1438"/>
      <c r="FJ65" s="230"/>
      <c r="FK65" s="230"/>
      <c r="FL65" s="230"/>
      <c r="FM65" s="230"/>
      <c r="FN65" s="1455"/>
      <c r="FO65" s="1438"/>
      <c r="FP65" s="230"/>
      <c r="FQ65" s="230"/>
      <c r="FR65" s="230"/>
      <c r="FS65" s="230"/>
      <c r="FT65" s="230"/>
      <c r="FU65" s="230"/>
      <c r="FV65" s="230"/>
      <c r="FW65" s="230"/>
    </row>
    <row r="66" spans="3:180" s="182" customFormat="1" x14ac:dyDescent="0.35">
      <c r="C66" s="164" t="s">
        <v>424</v>
      </c>
      <c r="D66" s="164"/>
      <c r="E66" s="164"/>
      <c r="F66" s="566">
        <f>F$63/137</f>
        <v>2.302757372073271</v>
      </c>
      <c r="G66" s="254">
        <f t="shared" ref="G66:U66" si="14">G$63/137</f>
        <v>2.267250237162493</v>
      </c>
      <c r="H66" s="254">
        <f t="shared" si="14"/>
        <v>2.2908906586792379</v>
      </c>
      <c r="I66" s="1257">
        <f t="shared" si="14"/>
        <v>2.2641653851774022</v>
      </c>
      <c r="J66" s="1202">
        <f t="shared" si="14"/>
        <v>1.3450288336215539</v>
      </c>
      <c r="K66" s="254">
        <f t="shared" si="14"/>
        <v>1.2957087611472171</v>
      </c>
      <c r="L66" s="254">
        <f t="shared" si="14"/>
        <v>1.2965580225992626</v>
      </c>
      <c r="M66" s="254">
        <f t="shared" si="14"/>
        <v>1.2739676679748566</v>
      </c>
      <c r="N66" s="254">
        <f t="shared" si="14"/>
        <v>1.2683023302037519</v>
      </c>
      <c r="O66" s="254">
        <f t="shared" si="14"/>
        <v>1.3129204599086692</v>
      </c>
      <c r="P66" s="254">
        <f t="shared" si="14"/>
        <v>1.3017425463125123</v>
      </c>
      <c r="Q66" s="254">
        <f t="shared" si="14"/>
        <v>1.2846930690285476</v>
      </c>
      <c r="R66" s="1257">
        <f t="shared" si="14"/>
        <v>1.2834966144823046</v>
      </c>
      <c r="S66" s="1202">
        <f t="shared" si="14"/>
        <v>0</v>
      </c>
      <c r="T66" s="254">
        <f t="shared" si="14"/>
        <v>0</v>
      </c>
      <c r="U66" s="254">
        <f t="shared" si="14"/>
        <v>0</v>
      </c>
      <c r="V66" s="264"/>
      <c r="W66" s="264"/>
      <c r="X66" s="1454"/>
      <c r="Y66" s="1437"/>
      <c r="Z66" s="264"/>
      <c r="AA66" s="264"/>
      <c r="AB66" s="264"/>
      <c r="AC66" s="264"/>
      <c r="AD66" s="264"/>
      <c r="AE66" s="264"/>
      <c r="AF66" s="264"/>
      <c r="AG66" s="264"/>
      <c r="AH66" s="334"/>
      <c r="AI66" s="264"/>
      <c r="AJ66" s="264"/>
      <c r="AK66" s="264"/>
      <c r="AL66" s="1454"/>
      <c r="AM66" s="1437"/>
      <c r="AN66" s="264"/>
      <c r="AO66" s="264"/>
      <c r="AP66" s="264"/>
      <c r="AQ66" s="264"/>
      <c r="AR66" s="264"/>
      <c r="AS66" s="264"/>
      <c r="AT66" s="264"/>
      <c r="AU66" s="1454"/>
      <c r="AV66" s="1437"/>
      <c r="AW66" s="264"/>
      <c r="AX66" s="264"/>
      <c r="AY66" s="264"/>
      <c r="AZ66" s="264"/>
      <c r="BA66" s="1454"/>
      <c r="BB66" s="1437"/>
      <c r="BC66" s="264"/>
      <c r="BD66" s="264"/>
      <c r="BE66" s="264"/>
      <c r="BF66" s="264"/>
      <c r="BG66" s="264"/>
      <c r="BH66" s="264"/>
      <c r="BI66" s="264"/>
      <c r="BJ66" s="264"/>
      <c r="BK66" s="334"/>
      <c r="BL66" s="264"/>
      <c r="BM66" s="230"/>
      <c r="BN66" s="230"/>
      <c r="BO66" s="1455"/>
      <c r="BP66" s="1438"/>
      <c r="BQ66" s="230"/>
      <c r="BR66" s="230"/>
      <c r="BS66" s="230"/>
      <c r="BT66" s="230"/>
      <c r="BU66" s="230"/>
      <c r="BV66" s="230"/>
      <c r="BW66" s="230"/>
      <c r="BX66" s="1455"/>
      <c r="BY66" s="1438"/>
      <c r="BZ66" s="230"/>
      <c r="CA66" s="230"/>
      <c r="CB66" s="230"/>
      <c r="CC66" s="230"/>
      <c r="CD66" s="1455"/>
      <c r="CE66" s="1438"/>
      <c r="CF66" s="230"/>
      <c r="CG66" s="230"/>
      <c r="CH66" s="230"/>
      <c r="CI66" s="230"/>
      <c r="CJ66" s="230"/>
      <c r="CK66" s="230"/>
      <c r="CL66" s="230"/>
      <c r="CM66" s="230"/>
      <c r="CN66" s="331"/>
      <c r="CO66" s="230"/>
      <c r="CP66" s="265"/>
      <c r="CQ66" s="265"/>
      <c r="CR66" s="1478"/>
      <c r="CS66" s="1466"/>
      <c r="CT66" s="265"/>
      <c r="CU66" s="262"/>
      <c r="CV66" s="230"/>
      <c r="CW66" s="230"/>
      <c r="CX66" s="230"/>
      <c r="CY66" s="230"/>
      <c r="CZ66" s="230"/>
      <c r="DA66" s="1455"/>
      <c r="DB66" s="1438"/>
      <c r="DC66" s="230"/>
      <c r="DD66" s="230"/>
      <c r="DE66" s="230"/>
      <c r="DF66" s="230"/>
      <c r="DG66" s="1455"/>
      <c r="DH66" s="1438"/>
      <c r="DI66" s="230"/>
      <c r="DJ66" s="230"/>
      <c r="DK66" s="230"/>
      <c r="DL66" s="230"/>
      <c r="DM66" s="230"/>
      <c r="DN66" s="230"/>
      <c r="DO66" s="230"/>
      <c r="DP66" s="230"/>
      <c r="DQ66" s="331"/>
      <c r="DR66" s="332"/>
      <c r="DS66" s="230"/>
      <c r="DT66" s="230"/>
      <c r="DU66" s="230"/>
      <c r="DV66" s="1455"/>
      <c r="DW66" s="1438"/>
      <c r="DX66" s="230"/>
      <c r="DY66" s="230"/>
      <c r="DZ66" s="230"/>
      <c r="EA66" s="230"/>
      <c r="EB66" s="230"/>
      <c r="EC66" s="230"/>
      <c r="ED66" s="230"/>
      <c r="EE66" s="1455"/>
      <c r="EF66" s="1438"/>
      <c r="EG66" s="230"/>
      <c r="EH66" s="230"/>
      <c r="EI66" s="230"/>
      <c r="EJ66" s="230"/>
      <c r="EK66" s="1455"/>
      <c r="EL66" s="1438"/>
      <c r="EM66" s="230"/>
      <c r="EN66" s="230"/>
      <c r="EO66" s="230"/>
      <c r="EP66" s="230"/>
      <c r="EQ66" s="230"/>
      <c r="ER66" s="230"/>
      <c r="ES66" s="230"/>
      <c r="ET66" s="230"/>
      <c r="EU66" s="331"/>
      <c r="EV66" s="230"/>
      <c r="EW66" s="230"/>
      <c r="EX66" s="230"/>
      <c r="EY66" s="1455"/>
      <c r="EZ66" s="1438"/>
      <c r="FA66" s="230"/>
      <c r="FB66" s="230"/>
      <c r="FC66" s="230"/>
      <c r="FD66" s="230"/>
      <c r="FE66" s="230"/>
      <c r="FF66" s="230"/>
      <c r="FG66" s="230"/>
      <c r="FH66" s="1455"/>
      <c r="FI66" s="1438"/>
      <c r="FJ66" s="230"/>
      <c r="FK66" s="230"/>
      <c r="FL66" s="230"/>
      <c r="FM66" s="230"/>
      <c r="FN66" s="1455"/>
      <c r="FO66" s="1438"/>
      <c r="FP66" s="230"/>
      <c r="FQ66" s="230"/>
      <c r="FR66" s="230"/>
      <c r="FS66" s="230"/>
      <c r="FT66" s="230"/>
      <c r="FU66" s="230"/>
      <c r="FV66" s="230"/>
      <c r="FW66" s="230"/>
    </row>
    <row r="67" spans="3:180" s="182" customFormat="1" x14ac:dyDescent="0.35">
      <c r="C67" s="417" t="s">
        <v>383</v>
      </c>
      <c r="D67" s="417"/>
      <c r="E67" s="417"/>
      <c r="F67" s="1355">
        <v>0.57999999999999996</v>
      </c>
      <c r="G67" s="914">
        <v>0.55000000000000004</v>
      </c>
      <c r="H67" s="914">
        <v>0.54</v>
      </c>
      <c r="I67" s="1356">
        <v>0.54</v>
      </c>
      <c r="J67" s="913">
        <v>0.31</v>
      </c>
      <c r="K67" s="914">
        <v>0.31</v>
      </c>
      <c r="L67" s="914">
        <v>0.31</v>
      </c>
      <c r="M67" s="914">
        <v>0.31</v>
      </c>
      <c r="N67" s="914">
        <v>0.31</v>
      </c>
      <c r="O67" s="914">
        <v>0.31</v>
      </c>
      <c r="P67" s="914">
        <v>0.31</v>
      </c>
      <c r="Q67" s="914">
        <v>0.31</v>
      </c>
      <c r="R67" s="1356">
        <v>0.31</v>
      </c>
      <c r="S67" s="913">
        <v>0.31</v>
      </c>
      <c r="T67" s="914">
        <v>0.31</v>
      </c>
      <c r="U67" s="914">
        <v>0.31</v>
      </c>
      <c r="V67" s="1357"/>
      <c r="W67" s="1357"/>
      <c r="X67" s="1453"/>
      <c r="Y67" s="1436"/>
      <c r="Z67" s="1357"/>
      <c r="AA67" s="1357"/>
      <c r="AB67" s="1357"/>
      <c r="AC67" s="1357"/>
      <c r="AD67" s="1357"/>
      <c r="AE67" s="1357"/>
      <c r="AF67" s="1357"/>
      <c r="AG67" s="1357"/>
      <c r="AH67" s="334"/>
      <c r="AI67" s="264"/>
      <c r="AJ67" s="264"/>
      <c r="AK67" s="264"/>
      <c r="AL67" s="1454"/>
      <c r="AM67" s="1437"/>
      <c r="AN67" s="264"/>
      <c r="AO67" s="264"/>
      <c r="AP67" s="264"/>
      <c r="AQ67" s="264"/>
      <c r="AR67" s="264"/>
      <c r="AS67" s="264"/>
      <c r="AT67" s="264"/>
      <c r="AU67" s="1454"/>
      <c r="AV67" s="1437"/>
      <c r="AW67" s="264"/>
      <c r="AX67" s="264"/>
      <c r="AY67" s="264"/>
      <c r="AZ67" s="264"/>
      <c r="BA67" s="1454"/>
      <c r="BB67" s="1437"/>
      <c r="BC67" s="264"/>
      <c r="BD67" s="264"/>
      <c r="BE67" s="264"/>
      <c r="BF67" s="264"/>
      <c r="BG67" s="264"/>
      <c r="BH67" s="264"/>
      <c r="BI67" s="264"/>
      <c r="BJ67" s="264"/>
      <c r="BK67" s="334"/>
      <c r="BL67" s="264"/>
      <c r="BM67" s="230"/>
      <c r="BN67" s="230"/>
      <c r="BO67" s="1455"/>
      <c r="BP67" s="1438"/>
      <c r="BQ67" s="230"/>
      <c r="BR67" s="230"/>
      <c r="BS67" s="230"/>
      <c r="BT67" s="230"/>
      <c r="BU67" s="230"/>
      <c r="BV67" s="230"/>
      <c r="BW67" s="230"/>
      <c r="BX67" s="1455"/>
      <c r="BY67" s="1438"/>
      <c r="BZ67" s="230"/>
      <c r="CA67" s="230"/>
      <c r="CB67" s="230"/>
      <c r="CC67" s="230"/>
      <c r="CD67" s="1455"/>
      <c r="CE67" s="1438"/>
      <c r="CF67" s="230"/>
      <c r="CG67" s="230"/>
      <c r="CH67" s="230"/>
      <c r="CI67" s="230"/>
      <c r="CJ67" s="230"/>
      <c r="CK67" s="230"/>
      <c r="CL67" s="230"/>
      <c r="CM67" s="230"/>
      <c r="CN67" s="331"/>
      <c r="CO67" s="230"/>
      <c r="CP67" s="265"/>
      <c r="CQ67" s="265"/>
      <c r="CR67" s="1478"/>
      <c r="CS67" s="1466"/>
      <c r="CT67" s="265"/>
      <c r="CU67" s="262"/>
      <c r="CV67" s="230"/>
      <c r="CW67" s="230"/>
      <c r="CX67" s="230"/>
      <c r="CY67" s="230"/>
      <c r="CZ67" s="230"/>
      <c r="DA67" s="1455"/>
      <c r="DB67" s="1438"/>
      <c r="DC67" s="230"/>
      <c r="DD67" s="230"/>
      <c r="DE67" s="230"/>
      <c r="DF67" s="230"/>
      <c r="DG67" s="1455"/>
      <c r="DH67" s="1438"/>
      <c r="DI67" s="230"/>
      <c r="DJ67" s="230"/>
      <c r="DK67" s="230"/>
      <c r="DL67" s="230"/>
      <c r="DM67" s="230"/>
      <c r="DN67" s="230"/>
      <c r="DO67" s="230"/>
      <c r="DP67" s="230"/>
      <c r="DQ67" s="331"/>
      <c r="DR67" s="332"/>
      <c r="DS67" s="230"/>
      <c r="DT67" s="230"/>
      <c r="DU67" s="230"/>
      <c r="DV67" s="1455"/>
      <c r="DW67" s="1438"/>
      <c r="DX67" s="230"/>
      <c r="DY67" s="230"/>
      <c r="DZ67" s="230"/>
      <c r="EA67" s="230"/>
      <c r="EB67" s="230"/>
      <c r="EC67" s="230"/>
      <c r="ED67" s="230"/>
      <c r="EE67" s="1455"/>
      <c r="EF67" s="1438"/>
      <c r="EG67" s="230"/>
      <c r="EH67" s="230"/>
      <c r="EI67" s="230"/>
      <c r="EJ67" s="230"/>
      <c r="EK67" s="1455"/>
      <c r="EL67" s="1438"/>
      <c r="EM67" s="230"/>
      <c r="EN67" s="230"/>
      <c r="EO67" s="230"/>
      <c r="EP67" s="230"/>
      <c r="EQ67" s="230"/>
      <c r="ER67" s="230"/>
      <c r="ES67" s="230"/>
      <c r="ET67" s="230"/>
      <c r="EU67" s="331"/>
      <c r="EV67" s="230"/>
      <c r="EW67" s="230"/>
      <c r="EX67" s="230"/>
      <c r="EY67" s="1455"/>
      <c r="EZ67" s="1438"/>
      <c r="FA67" s="230"/>
      <c r="FB67" s="230"/>
      <c r="FC67" s="230"/>
      <c r="FD67" s="230"/>
      <c r="FE67" s="230"/>
      <c r="FF67" s="230"/>
      <c r="FG67" s="230"/>
      <c r="FH67" s="1455"/>
      <c r="FI67" s="1438"/>
      <c r="FJ67" s="230"/>
      <c r="FK67" s="230"/>
      <c r="FL67" s="230"/>
      <c r="FM67" s="230"/>
      <c r="FN67" s="1455"/>
      <c r="FO67" s="1438"/>
      <c r="FP67" s="230"/>
      <c r="FQ67" s="230"/>
      <c r="FR67" s="230"/>
      <c r="FS67" s="230"/>
      <c r="FT67" s="230"/>
      <c r="FU67" s="230"/>
      <c r="FV67" s="230"/>
      <c r="FW67" s="230"/>
    </row>
    <row r="68" spans="3:180" s="182" customFormat="1" x14ac:dyDescent="0.35">
      <c r="C68" s="164" t="s">
        <v>358</v>
      </c>
      <c r="D68" s="164"/>
      <c r="E68" s="164"/>
      <c r="F68" s="566">
        <v>0.38</v>
      </c>
      <c r="G68" s="254">
        <v>0.38</v>
      </c>
      <c r="H68" s="254">
        <v>0.38</v>
      </c>
      <c r="I68" s="1257">
        <v>0.38</v>
      </c>
      <c r="J68" s="1203">
        <v>0.21</v>
      </c>
      <c r="K68" s="245">
        <v>0.21</v>
      </c>
      <c r="L68" s="245">
        <v>0.21</v>
      </c>
      <c r="M68" s="245">
        <v>0.21</v>
      </c>
      <c r="N68" s="245">
        <v>0.21</v>
      </c>
      <c r="O68" s="245">
        <v>0.21</v>
      </c>
      <c r="P68" s="245">
        <v>0.21</v>
      </c>
      <c r="Q68" s="245">
        <v>0.21</v>
      </c>
      <c r="R68" s="1414">
        <v>0.21</v>
      </c>
      <c r="S68" s="1203">
        <v>0.21</v>
      </c>
      <c r="T68" s="245">
        <v>0.21</v>
      </c>
      <c r="U68" s="245">
        <v>0.21</v>
      </c>
      <c r="V68" s="230"/>
      <c r="W68" s="230"/>
      <c r="X68" s="1455"/>
      <c r="Y68" s="1438"/>
      <c r="Z68" s="230"/>
      <c r="AA68" s="230"/>
      <c r="AB68" s="230"/>
      <c r="AC68" s="230"/>
      <c r="AD68" s="230"/>
      <c r="AE68" s="230"/>
      <c r="AF68" s="230"/>
      <c r="AG68" s="230"/>
      <c r="AH68" s="331"/>
      <c r="AI68" s="230"/>
      <c r="AJ68" s="230"/>
      <c r="AK68" s="230"/>
      <c r="AL68" s="1455"/>
      <c r="AM68" s="1438"/>
      <c r="AN68" s="230"/>
      <c r="AO68" s="230"/>
      <c r="AP68" s="230"/>
      <c r="AQ68" s="230"/>
      <c r="AR68" s="230"/>
      <c r="AS68" s="230"/>
      <c r="AT68" s="230"/>
      <c r="AU68" s="1455"/>
      <c r="AV68" s="1438"/>
      <c r="AW68" s="230"/>
      <c r="AX68" s="230"/>
      <c r="AY68" s="230"/>
      <c r="AZ68" s="230"/>
      <c r="BA68" s="1455"/>
      <c r="BB68" s="1438"/>
      <c r="BC68" s="230"/>
      <c r="BD68" s="230"/>
      <c r="BE68" s="230"/>
      <c r="BF68" s="230"/>
      <c r="BG68" s="230"/>
      <c r="BH68" s="230"/>
      <c r="BI68" s="230"/>
      <c r="BJ68" s="230"/>
      <c r="BK68" s="331"/>
      <c r="BL68" s="230"/>
      <c r="BM68" s="230"/>
      <c r="BN68" s="230"/>
      <c r="BO68" s="1455"/>
      <c r="BP68" s="1438"/>
      <c r="BQ68" s="230"/>
      <c r="BR68" s="230"/>
      <c r="BS68" s="230"/>
      <c r="BT68" s="230"/>
      <c r="BU68" s="230"/>
      <c r="BV68" s="230"/>
      <c r="BW68" s="230"/>
      <c r="BX68" s="1455"/>
      <c r="BY68" s="1438"/>
      <c r="BZ68" s="230"/>
      <c r="CA68" s="230"/>
      <c r="CB68" s="230"/>
      <c r="CC68" s="230"/>
      <c r="CD68" s="1455"/>
      <c r="CE68" s="1438"/>
      <c r="CF68" s="230"/>
      <c r="CG68" s="230"/>
      <c r="CH68" s="230"/>
      <c r="CI68" s="230"/>
      <c r="CJ68" s="230"/>
      <c r="CK68" s="230"/>
      <c r="CL68" s="230"/>
      <c r="CM68" s="230"/>
      <c r="CN68" s="331"/>
      <c r="CO68" s="230"/>
      <c r="CP68" s="230"/>
      <c r="CQ68" s="230"/>
      <c r="CR68" s="1455"/>
      <c r="CS68" s="1438"/>
      <c r="CT68" s="230"/>
      <c r="CU68" s="230"/>
      <c r="CV68" s="230"/>
      <c r="CW68" s="230"/>
      <c r="CX68" s="230"/>
      <c r="CY68" s="230"/>
      <c r="CZ68" s="230"/>
      <c r="DA68" s="1455"/>
      <c r="DB68" s="1438"/>
      <c r="DC68" s="230"/>
      <c r="DD68" s="230"/>
      <c r="DE68" s="230"/>
      <c r="DF68" s="230"/>
      <c r="DG68" s="1455"/>
      <c r="DH68" s="1438"/>
      <c r="DI68" s="230"/>
      <c r="DJ68" s="230"/>
      <c r="DK68" s="230"/>
      <c r="DL68" s="230"/>
      <c r="DM68" s="230"/>
      <c r="DN68" s="230"/>
      <c r="DO68" s="230"/>
      <c r="DP68" s="230"/>
      <c r="DQ68" s="331"/>
      <c r="DR68" s="332"/>
      <c r="DS68" s="230"/>
      <c r="DT68" s="230"/>
      <c r="DU68" s="230"/>
      <c r="DV68" s="1455"/>
      <c r="DW68" s="1438"/>
      <c r="DX68" s="230"/>
      <c r="DY68" s="230"/>
      <c r="DZ68" s="230"/>
      <c r="EA68" s="230"/>
      <c r="EB68" s="230"/>
      <c r="EC68" s="230"/>
      <c r="ED68" s="230"/>
      <c r="EE68" s="1455"/>
      <c r="EF68" s="1438"/>
      <c r="EG68" s="230"/>
      <c r="EH68" s="230"/>
      <c r="EI68" s="230"/>
      <c r="EJ68" s="230"/>
      <c r="EK68" s="1455"/>
      <c r="EL68" s="1438"/>
      <c r="EM68" s="230"/>
      <c r="EN68" s="230"/>
      <c r="EO68" s="230"/>
      <c r="EP68" s="230"/>
      <c r="EQ68" s="230"/>
      <c r="ER68" s="230"/>
      <c r="ES68" s="230"/>
      <c r="ET68" s="230"/>
      <c r="EU68" s="331"/>
      <c r="EV68" s="230"/>
      <c r="EW68" s="230"/>
      <c r="EX68" s="230"/>
      <c r="EY68" s="1455"/>
      <c r="EZ68" s="1438"/>
      <c r="FA68" s="230"/>
      <c r="FB68" s="230"/>
      <c r="FC68" s="230"/>
      <c r="FD68" s="230"/>
      <c r="FE68" s="230"/>
      <c r="FF68" s="230"/>
      <c r="FG68" s="230"/>
      <c r="FH68" s="1455"/>
      <c r="FI68" s="1438"/>
      <c r="FJ68" s="230"/>
      <c r="FK68" s="230"/>
      <c r="FL68" s="230"/>
      <c r="FM68" s="230"/>
      <c r="FN68" s="1455"/>
      <c r="FO68" s="1438"/>
      <c r="FP68" s="230"/>
      <c r="FQ68" s="230"/>
      <c r="FR68" s="230"/>
      <c r="FS68" s="230"/>
      <c r="FT68" s="230"/>
      <c r="FU68" s="230"/>
      <c r="FV68" s="230"/>
      <c r="FW68" s="230"/>
    </row>
    <row r="69" spans="3:180" s="182" customFormat="1" x14ac:dyDescent="0.35">
      <c r="C69" s="1343" t="s">
        <v>359</v>
      </c>
      <c r="D69" s="1343"/>
      <c r="E69" s="1343"/>
      <c r="F69" s="1350">
        <v>176.5</v>
      </c>
      <c r="G69" s="1351">
        <v>176.5</v>
      </c>
      <c r="H69" s="1352">
        <v>176.5</v>
      </c>
      <c r="I69" s="1353">
        <v>176.5</v>
      </c>
      <c r="J69" s="1354">
        <v>176.5</v>
      </c>
      <c r="K69" s="1352">
        <v>176.5</v>
      </c>
      <c r="L69" s="1352">
        <v>176.5</v>
      </c>
      <c r="M69" s="1352">
        <v>176.5</v>
      </c>
      <c r="N69" s="1352">
        <v>176.5</v>
      </c>
      <c r="O69" s="1352">
        <v>176.5</v>
      </c>
      <c r="P69" s="1351">
        <v>176.5</v>
      </c>
      <c r="Q69" s="1352">
        <v>176.5</v>
      </c>
      <c r="R69" s="1353">
        <v>176.5</v>
      </c>
      <c r="S69" s="1408">
        <v>176.5</v>
      </c>
      <c r="T69" s="1352">
        <v>176.5</v>
      </c>
      <c r="U69" s="1352">
        <v>176.5</v>
      </c>
      <c r="V69" s="1349"/>
      <c r="W69" s="1349"/>
      <c r="X69" s="1456"/>
      <c r="Y69" s="1439"/>
      <c r="Z69" s="1349"/>
      <c r="AA69" s="1349"/>
      <c r="AB69" s="1349"/>
      <c r="AC69" s="1349"/>
      <c r="AD69" s="1349"/>
      <c r="AE69" s="1349"/>
      <c r="AF69" s="1349"/>
      <c r="AG69" s="1349"/>
      <c r="AH69" s="331"/>
      <c r="AI69" s="230"/>
      <c r="AJ69" s="230"/>
      <c r="AK69" s="230"/>
      <c r="AL69" s="1455"/>
      <c r="AM69" s="1438"/>
      <c r="AN69" s="230"/>
      <c r="AO69" s="230"/>
      <c r="AP69" s="230"/>
      <c r="AQ69" s="230"/>
      <c r="AR69" s="230"/>
      <c r="AS69" s="230"/>
      <c r="AT69" s="230"/>
      <c r="AU69" s="1455"/>
      <c r="AV69" s="1438"/>
      <c r="AW69" s="230"/>
      <c r="AX69" s="230"/>
      <c r="AY69" s="230"/>
      <c r="AZ69" s="230"/>
      <c r="BA69" s="1455"/>
      <c r="BB69" s="1438"/>
      <c r="BC69" s="230"/>
      <c r="BD69" s="230"/>
      <c r="BE69" s="230"/>
      <c r="BF69" s="230"/>
      <c r="BG69" s="230"/>
      <c r="BH69" s="230"/>
      <c r="BI69" s="230"/>
      <c r="BJ69" s="230"/>
      <c r="BK69" s="331"/>
      <c r="BL69" s="230"/>
      <c r="BM69" s="230"/>
      <c r="BN69" s="230"/>
      <c r="BO69" s="1455"/>
      <c r="BP69" s="1438"/>
      <c r="BQ69" s="230"/>
      <c r="BR69" s="230"/>
      <c r="BS69" s="230"/>
      <c r="BT69" s="230"/>
      <c r="BU69" s="230"/>
      <c r="BV69" s="230"/>
      <c r="BW69" s="230"/>
      <c r="BX69" s="1455"/>
      <c r="BY69" s="1438"/>
      <c r="BZ69" s="230"/>
      <c r="CA69" s="230"/>
      <c r="CB69" s="230"/>
      <c r="CC69" s="230"/>
      <c r="CD69" s="1455"/>
      <c r="CE69" s="1438"/>
      <c r="CF69" s="230"/>
      <c r="CG69" s="230"/>
      <c r="CH69" s="230"/>
      <c r="CI69" s="230"/>
      <c r="CJ69" s="230"/>
      <c r="CK69" s="230"/>
      <c r="CL69" s="230"/>
      <c r="CM69" s="230"/>
      <c r="CN69" s="331"/>
      <c r="CO69" s="230"/>
      <c r="CP69" s="230"/>
      <c r="CQ69" s="230"/>
      <c r="CR69" s="1455"/>
      <c r="CS69" s="1438"/>
      <c r="CT69" s="230"/>
      <c r="CU69" s="230"/>
      <c r="CV69" s="230"/>
      <c r="CW69" s="230"/>
      <c r="CX69" s="230"/>
      <c r="CY69" s="230"/>
      <c r="CZ69" s="230"/>
      <c r="DA69" s="1455"/>
      <c r="DB69" s="1438"/>
      <c r="DC69" s="230"/>
      <c r="DD69" s="230"/>
      <c r="DE69" s="230"/>
      <c r="DF69" s="230"/>
      <c r="DG69" s="1455"/>
      <c r="DH69" s="1438"/>
      <c r="DI69" s="230"/>
      <c r="DJ69" s="230"/>
      <c r="DK69" s="230"/>
      <c r="DL69" s="230"/>
      <c r="DM69" s="230"/>
      <c r="DN69" s="230"/>
      <c r="DO69" s="230"/>
      <c r="DP69" s="230"/>
      <c r="DQ69" s="331"/>
      <c r="DR69" s="332"/>
      <c r="DS69" s="230"/>
      <c r="DT69" s="230"/>
      <c r="DU69" s="230"/>
      <c r="DV69" s="1455"/>
      <c r="DW69" s="1438"/>
      <c r="DX69" s="230"/>
      <c r="DY69" s="230"/>
      <c r="DZ69" s="230"/>
      <c r="EA69" s="230"/>
      <c r="EB69" s="230"/>
      <c r="EC69" s="230"/>
      <c r="ED69" s="230"/>
      <c r="EE69" s="1455"/>
      <c r="EF69" s="1438"/>
      <c r="EG69" s="230"/>
      <c r="EH69" s="230"/>
      <c r="EI69" s="230"/>
      <c r="EJ69" s="230"/>
      <c r="EK69" s="1455"/>
      <c r="EL69" s="1438"/>
      <c r="EM69" s="230"/>
      <c r="EN69" s="230"/>
      <c r="EO69" s="230"/>
      <c r="EP69" s="230"/>
      <c r="EQ69" s="230"/>
      <c r="ER69" s="230"/>
      <c r="ES69" s="230"/>
      <c r="ET69" s="230"/>
      <c r="EU69" s="331"/>
      <c r="EV69" s="230"/>
      <c r="EW69" s="230"/>
      <c r="EX69" s="230"/>
      <c r="EY69" s="1455"/>
      <c r="EZ69" s="1438"/>
      <c r="FA69" s="230"/>
      <c r="FB69" s="230"/>
      <c r="FC69" s="230"/>
      <c r="FD69" s="230"/>
      <c r="FE69" s="230"/>
      <c r="FF69" s="230"/>
      <c r="FG69" s="230"/>
      <c r="FH69" s="1455"/>
      <c r="FI69" s="1438"/>
      <c r="FJ69" s="230"/>
      <c r="FK69" s="230"/>
      <c r="FL69" s="230"/>
      <c r="FM69" s="230"/>
      <c r="FN69" s="1455"/>
      <c r="FO69" s="1438"/>
      <c r="FP69" s="230"/>
      <c r="FQ69" s="230"/>
      <c r="FR69" s="230"/>
      <c r="FS69" s="230"/>
      <c r="FT69" s="230"/>
      <c r="FU69" s="230"/>
      <c r="FV69" s="230"/>
      <c r="FW69" s="230"/>
    </row>
    <row r="70" spans="3:180" s="182" customFormat="1" x14ac:dyDescent="0.35">
      <c r="C70" s="164" t="s">
        <v>382</v>
      </c>
      <c r="D70" s="164"/>
      <c r="E70" s="164"/>
      <c r="F70" s="574">
        <v>176.5</v>
      </c>
      <c r="G70" s="573">
        <v>176.5</v>
      </c>
      <c r="H70" s="573">
        <v>176.5</v>
      </c>
      <c r="I70" s="1258">
        <v>176.5</v>
      </c>
      <c r="J70" s="1204">
        <v>176.5</v>
      </c>
      <c r="K70" s="573">
        <v>176.5</v>
      </c>
      <c r="L70" s="573">
        <v>176.5</v>
      </c>
      <c r="M70" s="573">
        <v>176.5</v>
      </c>
      <c r="N70" s="573">
        <v>176.5</v>
      </c>
      <c r="O70" s="573">
        <v>176.5</v>
      </c>
      <c r="P70" s="573">
        <v>176.5</v>
      </c>
      <c r="Q70" s="573">
        <v>176.5</v>
      </c>
      <c r="R70" s="1258">
        <v>176.5</v>
      </c>
      <c r="S70" s="1204">
        <v>176.5</v>
      </c>
      <c r="T70" s="573">
        <v>176.5</v>
      </c>
      <c r="U70" s="573">
        <v>176.5</v>
      </c>
      <c r="V70" s="230"/>
      <c r="W70" s="230"/>
      <c r="X70" s="1455"/>
      <c r="Y70" s="1438"/>
      <c r="Z70" s="230"/>
      <c r="AA70" s="230"/>
      <c r="AB70" s="230"/>
      <c r="AC70" s="230"/>
      <c r="AD70" s="230"/>
      <c r="AE70" s="230"/>
      <c r="AF70" s="230"/>
      <c r="AG70" s="230"/>
      <c r="AH70" s="331"/>
      <c r="AI70" s="230"/>
      <c r="AJ70" s="230"/>
      <c r="AK70" s="230"/>
      <c r="AL70" s="1455"/>
      <c r="AM70" s="1438"/>
      <c r="AN70" s="230"/>
      <c r="AO70" s="230"/>
      <c r="AP70" s="230"/>
      <c r="AQ70" s="230"/>
      <c r="AR70" s="230"/>
      <c r="AS70" s="230"/>
      <c r="AT70" s="230"/>
      <c r="AU70" s="1455"/>
      <c r="AV70" s="1438"/>
      <c r="AW70" s="230"/>
      <c r="AX70" s="230"/>
      <c r="AY70" s="230"/>
      <c r="AZ70" s="230"/>
      <c r="BA70" s="1455"/>
      <c r="BB70" s="1438"/>
      <c r="BC70" s="230"/>
      <c r="BD70" s="230"/>
      <c r="BE70" s="230"/>
      <c r="BF70" s="230"/>
      <c r="BG70" s="230"/>
      <c r="BH70" s="230"/>
      <c r="BI70" s="230"/>
      <c r="BJ70" s="230"/>
      <c r="BK70" s="331"/>
      <c r="BL70" s="230"/>
      <c r="BM70" s="230"/>
      <c r="BN70" s="230"/>
      <c r="BO70" s="1455"/>
      <c r="BP70" s="1438"/>
      <c r="BQ70" s="230"/>
      <c r="BR70" s="230"/>
      <c r="BS70" s="230"/>
      <c r="BT70" s="230"/>
      <c r="BU70" s="230"/>
      <c r="BV70" s="230"/>
      <c r="BW70" s="230"/>
      <c r="BX70" s="1455"/>
      <c r="BY70" s="1438"/>
      <c r="BZ70" s="230"/>
      <c r="CA70" s="230"/>
      <c r="CB70" s="230"/>
      <c r="CC70" s="230"/>
      <c r="CD70" s="1455"/>
      <c r="CE70" s="1438"/>
      <c r="CF70" s="230"/>
      <c r="CG70" s="230"/>
      <c r="CH70" s="230"/>
      <c r="CI70" s="230"/>
      <c r="CJ70" s="230"/>
      <c r="CK70" s="230"/>
      <c r="CL70" s="230"/>
      <c r="CM70" s="230"/>
      <c r="CN70" s="331"/>
      <c r="CO70" s="230"/>
      <c r="CP70" s="230"/>
      <c r="CQ70" s="230"/>
      <c r="CR70" s="1455"/>
      <c r="CS70" s="1438"/>
      <c r="CT70" s="230"/>
      <c r="CU70" s="230"/>
      <c r="CV70" s="230"/>
      <c r="CW70" s="230"/>
      <c r="CX70" s="230"/>
      <c r="CY70" s="230"/>
      <c r="CZ70" s="230"/>
      <c r="DA70" s="1455"/>
      <c r="DB70" s="1438"/>
      <c r="DC70" s="230"/>
      <c r="DD70" s="230"/>
      <c r="DE70" s="230"/>
      <c r="DF70" s="230"/>
      <c r="DG70" s="1455"/>
      <c r="DH70" s="1438"/>
      <c r="DI70" s="230"/>
      <c r="DJ70" s="230"/>
      <c r="DK70" s="230"/>
      <c r="DL70" s="230"/>
      <c r="DM70" s="230"/>
      <c r="DN70" s="230"/>
      <c r="DO70" s="230"/>
      <c r="DP70" s="230"/>
      <c r="DQ70" s="331"/>
      <c r="DR70" s="332"/>
      <c r="DS70" s="230"/>
      <c r="DT70" s="230"/>
      <c r="DU70" s="230"/>
      <c r="DV70" s="1455"/>
      <c r="DW70" s="1438"/>
      <c r="DX70" s="230"/>
      <c r="DY70" s="230"/>
      <c r="DZ70" s="230"/>
      <c r="EA70" s="230"/>
      <c r="EB70" s="230"/>
      <c r="EC70" s="230"/>
      <c r="ED70" s="230"/>
      <c r="EE70" s="1455"/>
      <c r="EF70" s="1438"/>
      <c r="EG70" s="230"/>
      <c r="EH70" s="230"/>
      <c r="EI70" s="230"/>
      <c r="EJ70" s="230"/>
      <c r="EK70" s="1455"/>
      <c r="EL70" s="1438"/>
      <c r="EM70" s="230"/>
      <c r="EN70" s="230"/>
      <c r="EO70" s="230"/>
      <c r="EP70" s="230"/>
      <c r="EQ70" s="230"/>
      <c r="ER70" s="230"/>
      <c r="ES70" s="230"/>
      <c r="ET70" s="230"/>
      <c r="EU70" s="331"/>
      <c r="EV70" s="230"/>
      <c r="EW70" s="230"/>
      <c r="EX70" s="230"/>
      <c r="EY70" s="1455"/>
      <c r="EZ70" s="1438"/>
      <c r="FA70" s="230"/>
      <c r="FB70" s="230"/>
      <c r="FC70" s="230"/>
      <c r="FD70" s="230"/>
      <c r="FE70" s="230"/>
      <c r="FF70" s="230"/>
      <c r="FG70" s="230"/>
      <c r="FH70" s="1455"/>
      <c r="FI70" s="1438"/>
      <c r="FJ70" s="230"/>
      <c r="FK70" s="230"/>
      <c r="FL70" s="230"/>
      <c r="FM70" s="230"/>
      <c r="FN70" s="1455"/>
      <c r="FO70" s="1438"/>
      <c r="FP70" s="230"/>
      <c r="FQ70" s="230"/>
      <c r="FR70" s="230"/>
      <c r="FS70" s="230"/>
      <c r="FT70" s="230"/>
      <c r="FU70" s="230"/>
      <c r="FV70" s="230"/>
      <c r="FW70" s="230"/>
    </row>
    <row r="71" spans="3:180" s="182" customFormat="1" x14ac:dyDescent="0.35">
      <c r="C71" s="1343" t="s">
        <v>365</v>
      </c>
      <c r="D71" s="1343"/>
      <c r="E71" s="1343"/>
      <c r="F71" s="1344">
        <v>404</v>
      </c>
      <c r="G71" s="1345">
        <v>404</v>
      </c>
      <c r="H71" s="1346">
        <v>404.16</v>
      </c>
      <c r="I71" s="1347">
        <v>404.04</v>
      </c>
      <c r="J71" s="1348">
        <v>418.45</v>
      </c>
      <c r="K71" s="1346">
        <v>418.5</v>
      </c>
      <c r="L71" s="1346">
        <v>418.5</v>
      </c>
      <c r="M71" s="1346">
        <v>418</v>
      </c>
      <c r="N71" s="1346">
        <v>418.72</v>
      </c>
      <c r="O71" s="1346">
        <v>418.46</v>
      </c>
      <c r="P71" s="1346">
        <v>422.08</v>
      </c>
      <c r="Q71" s="1346">
        <v>422.17</v>
      </c>
      <c r="R71" s="1415">
        <v>422.12</v>
      </c>
      <c r="S71" s="1409">
        <v>422.16</v>
      </c>
      <c r="T71" s="1346">
        <v>422.22</v>
      </c>
      <c r="U71" s="1345">
        <v>422.11</v>
      </c>
      <c r="V71" s="1349"/>
      <c r="W71" s="1349"/>
      <c r="X71" s="1456"/>
      <c r="Y71" s="1439"/>
      <c r="Z71" s="1349"/>
      <c r="AA71" s="1349"/>
      <c r="AB71" s="1349"/>
      <c r="AC71" s="1349"/>
      <c r="AD71" s="1349"/>
      <c r="AE71" s="1349"/>
      <c r="AF71" s="1349"/>
      <c r="AG71" s="1349"/>
      <c r="AH71" s="331"/>
      <c r="AI71" s="230"/>
      <c r="AJ71" s="230"/>
      <c r="AK71" s="230"/>
      <c r="AL71" s="1455"/>
      <c r="AM71" s="1438"/>
      <c r="AN71" s="230"/>
      <c r="AO71" s="230"/>
      <c r="AP71" s="230"/>
      <c r="AQ71" s="230"/>
      <c r="AR71" s="230"/>
      <c r="AS71" s="230"/>
      <c r="AT71" s="230"/>
      <c r="AU71" s="1455"/>
      <c r="AV71" s="1438"/>
      <c r="AW71" s="230"/>
      <c r="AX71" s="230"/>
      <c r="AY71" s="230"/>
      <c r="AZ71" s="230"/>
      <c r="BA71" s="1455"/>
      <c r="BB71" s="1438"/>
      <c r="BC71" s="230"/>
      <c r="BD71" s="230"/>
      <c r="BE71" s="230"/>
      <c r="BF71" s="230"/>
      <c r="BG71" s="230"/>
      <c r="BH71" s="230"/>
      <c r="BI71" s="230"/>
      <c r="BJ71" s="230"/>
      <c r="BK71" s="331"/>
      <c r="BL71" s="230"/>
      <c r="BM71" s="230"/>
      <c r="BN71" s="230"/>
      <c r="BO71" s="1455"/>
      <c r="BP71" s="1438"/>
      <c r="BQ71" s="230"/>
      <c r="BR71" s="230"/>
      <c r="BS71" s="230"/>
      <c r="BT71" s="230"/>
      <c r="BU71" s="230"/>
      <c r="BV71" s="230"/>
      <c r="BW71" s="230"/>
      <c r="BX71" s="1455"/>
      <c r="BY71" s="1438"/>
      <c r="BZ71" s="230"/>
      <c r="CA71" s="230"/>
      <c r="CB71" s="230"/>
      <c r="CC71" s="230"/>
      <c r="CD71" s="1455"/>
      <c r="CE71" s="1438"/>
      <c r="CF71" s="230"/>
      <c r="CG71" s="230"/>
      <c r="CH71" s="230"/>
      <c r="CI71" s="230"/>
      <c r="CJ71" s="230"/>
      <c r="CK71" s="230"/>
      <c r="CL71" s="230"/>
      <c r="CM71" s="230"/>
      <c r="CN71" s="331"/>
      <c r="CO71" s="230"/>
      <c r="CP71" s="230"/>
      <c r="CQ71" s="230"/>
      <c r="CR71" s="1455"/>
      <c r="CS71" s="1438"/>
      <c r="CT71" s="230"/>
      <c r="CU71" s="230"/>
      <c r="CV71" s="230"/>
      <c r="CW71" s="230"/>
      <c r="CX71" s="230"/>
      <c r="CY71" s="230"/>
      <c r="CZ71" s="230"/>
      <c r="DA71" s="1455"/>
      <c r="DB71" s="1438"/>
      <c r="DC71" s="230"/>
      <c r="DD71" s="230"/>
      <c r="DE71" s="230"/>
      <c r="DF71" s="230"/>
      <c r="DG71" s="1455"/>
      <c r="DH71" s="1438"/>
      <c r="DI71" s="230"/>
      <c r="DJ71" s="230"/>
      <c r="DK71" s="230"/>
      <c r="DL71" s="230"/>
      <c r="DM71" s="230"/>
      <c r="DN71" s="230"/>
      <c r="DO71" s="230"/>
      <c r="DP71" s="230"/>
      <c r="DQ71" s="331"/>
      <c r="DR71" s="332"/>
      <c r="DS71" s="230"/>
      <c r="DT71" s="230"/>
      <c r="DU71" s="230"/>
      <c r="DV71" s="1455"/>
      <c r="DW71" s="1438"/>
      <c r="DX71" s="230"/>
      <c r="DY71" s="230"/>
      <c r="DZ71" s="230"/>
      <c r="EA71" s="230"/>
      <c r="EB71" s="230"/>
      <c r="EC71" s="230"/>
      <c r="ED71" s="230"/>
      <c r="EE71" s="1455"/>
      <c r="EF71" s="1438"/>
      <c r="EG71" s="230"/>
      <c r="EH71" s="230"/>
      <c r="EI71" s="230"/>
      <c r="EJ71" s="230"/>
      <c r="EK71" s="1455"/>
      <c r="EL71" s="1438"/>
      <c r="EM71" s="230"/>
      <c r="EN71" s="230"/>
      <c r="EO71" s="230"/>
      <c r="EP71" s="230"/>
      <c r="EQ71" s="230"/>
      <c r="ER71" s="230"/>
      <c r="ES71" s="230"/>
      <c r="ET71" s="230"/>
      <c r="EU71" s="331"/>
      <c r="EV71" s="230"/>
      <c r="EW71" s="230"/>
      <c r="EX71" s="230"/>
      <c r="EY71" s="1455"/>
      <c r="EZ71" s="1438"/>
      <c r="FA71" s="230"/>
      <c r="FB71" s="230"/>
      <c r="FC71" s="230"/>
      <c r="FD71" s="230"/>
      <c r="FE71" s="230"/>
      <c r="FF71" s="230"/>
      <c r="FG71" s="230"/>
      <c r="FH71" s="1455"/>
      <c r="FI71" s="1438"/>
      <c r="FJ71" s="230"/>
      <c r="FK71" s="230"/>
      <c r="FL71" s="230"/>
      <c r="FM71" s="230"/>
      <c r="FN71" s="1455"/>
      <c r="FO71" s="1438"/>
      <c r="FP71" s="230"/>
      <c r="FQ71" s="230"/>
      <c r="FR71" s="230"/>
      <c r="FS71" s="230"/>
      <c r="FT71" s="230"/>
      <c r="FU71" s="230"/>
      <c r="FV71" s="230"/>
      <c r="FW71" s="230"/>
    </row>
    <row r="72" spans="3:180" s="182" customFormat="1" ht="15" thickBot="1" x14ac:dyDescent="0.4">
      <c r="C72" s="164" t="s">
        <v>368</v>
      </c>
      <c r="D72" s="164"/>
      <c r="E72" s="164"/>
      <c r="F72" s="1039">
        <v>404</v>
      </c>
      <c r="G72" s="575">
        <v>404</v>
      </c>
      <c r="H72" s="575">
        <v>404</v>
      </c>
      <c r="I72" s="1259">
        <v>404</v>
      </c>
      <c r="J72" s="1205">
        <v>416.93333333333339</v>
      </c>
      <c r="K72" s="575">
        <v>416.93333333333339</v>
      </c>
      <c r="L72" s="575">
        <v>417</v>
      </c>
      <c r="M72" s="575">
        <v>418</v>
      </c>
      <c r="N72" s="575">
        <v>418</v>
      </c>
      <c r="O72" s="575">
        <v>418</v>
      </c>
      <c r="P72" s="575">
        <v>418</v>
      </c>
      <c r="Q72" s="575">
        <v>418</v>
      </c>
      <c r="R72" s="1259">
        <v>418</v>
      </c>
      <c r="S72" s="1205">
        <v>422</v>
      </c>
      <c r="T72" s="575">
        <v>422</v>
      </c>
      <c r="U72" s="575">
        <v>422</v>
      </c>
      <c r="V72" s="378"/>
      <c r="W72" s="378"/>
      <c r="X72" s="1457"/>
      <c r="Y72" s="1440"/>
      <c r="Z72" s="378"/>
      <c r="AA72" s="378"/>
      <c r="AB72" s="378"/>
      <c r="AC72" s="378"/>
      <c r="AD72" s="378"/>
      <c r="AE72" s="378"/>
      <c r="AF72" s="378"/>
      <c r="AG72" s="378"/>
      <c r="AH72" s="379"/>
      <c r="AI72" s="378"/>
      <c r="AJ72" s="378"/>
      <c r="AK72" s="378"/>
      <c r="AL72" s="1457"/>
      <c r="AM72" s="1440"/>
      <c r="AN72" s="378"/>
      <c r="AO72" s="378"/>
      <c r="AP72" s="378"/>
      <c r="AQ72" s="378"/>
      <c r="AR72" s="378"/>
      <c r="AS72" s="378"/>
      <c r="AT72" s="378"/>
      <c r="AU72" s="1457"/>
      <c r="AV72" s="1440"/>
      <c r="AW72" s="378"/>
      <c r="AX72" s="378"/>
      <c r="AY72" s="378"/>
      <c r="AZ72" s="378"/>
      <c r="BA72" s="1457"/>
      <c r="BB72" s="1440"/>
      <c r="BC72" s="378"/>
      <c r="BD72" s="378"/>
      <c r="BE72" s="378"/>
      <c r="BF72" s="378"/>
      <c r="BG72" s="378"/>
      <c r="BH72" s="378"/>
      <c r="BI72" s="378"/>
      <c r="BJ72" s="378"/>
      <c r="BK72" s="379"/>
      <c r="BL72" s="378"/>
      <c r="BM72" s="378"/>
      <c r="BN72" s="378"/>
      <c r="BO72" s="1457"/>
      <c r="BP72" s="1440"/>
      <c r="BQ72" s="378"/>
      <c r="BR72" s="378"/>
      <c r="BS72" s="378"/>
      <c r="BT72" s="378"/>
      <c r="BU72" s="378"/>
      <c r="BV72" s="378"/>
      <c r="BW72" s="378"/>
      <c r="BX72" s="1457"/>
      <c r="BY72" s="1440"/>
      <c r="BZ72" s="378"/>
      <c r="CA72" s="378"/>
      <c r="CB72" s="378"/>
      <c r="CC72" s="378"/>
      <c r="CD72" s="1457"/>
      <c r="CE72" s="1440"/>
      <c r="CF72" s="378"/>
      <c r="CG72" s="378"/>
      <c r="CH72" s="378"/>
      <c r="CI72" s="378"/>
      <c r="CJ72" s="378"/>
      <c r="CK72" s="378"/>
      <c r="CL72" s="378"/>
      <c r="CM72" s="378"/>
      <c r="CN72" s="379"/>
      <c r="CO72" s="378"/>
      <c r="CP72" s="378"/>
      <c r="CQ72" s="378"/>
      <c r="CR72" s="1457"/>
      <c r="CS72" s="1440"/>
      <c r="CT72" s="378"/>
      <c r="CU72" s="378"/>
      <c r="CV72" s="378"/>
      <c r="CW72" s="378"/>
      <c r="CX72" s="378"/>
      <c r="CY72" s="378"/>
      <c r="CZ72" s="378"/>
      <c r="DA72" s="1457"/>
      <c r="DB72" s="1440"/>
      <c r="DC72" s="378"/>
      <c r="DD72" s="378"/>
      <c r="DE72" s="378"/>
      <c r="DF72" s="378"/>
      <c r="DG72" s="1457"/>
      <c r="DH72" s="1440"/>
      <c r="DI72" s="378"/>
      <c r="DJ72" s="378"/>
      <c r="DK72" s="378"/>
      <c r="DL72" s="378"/>
      <c r="DM72" s="378"/>
      <c r="DN72" s="378"/>
      <c r="DO72" s="378"/>
      <c r="DP72" s="378"/>
      <c r="DQ72" s="379"/>
      <c r="DR72" s="380"/>
      <c r="DS72" s="378"/>
      <c r="DT72" s="378"/>
      <c r="DU72" s="378"/>
      <c r="DV72" s="1457"/>
      <c r="DW72" s="1440"/>
      <c r="DX72" s="378"/>
      <c r="DY72" s="378"/>
      <c r="DZ72" s="378"/>
      <c r="EA72" s="378"/>
      <c r="EB72" s="378"/>
      <c r="EC72" s="378"/>
      <c r="ED72" s="378"/>
      <c r="EE72" s="1457"/>
      <c r="EF72" s="1440"/>
      <c r="EG72" s="378"/>
      <c r="EH72" s="378"/>
      <c r="EI72" s="378"/>
      <c r="EJ72" s="378"/>
      <c r="EK72" s="1457"/>
      <c r="EL72" s="1440"/>
      <c r="EM72" s="378"/>
      <c r="EN72" s="378"/>
      <c r="EO72" s="378"/>
      <c r="EP72" s="378"/>
      <c r="EQ72" s="378"/>
      <c r="ER72" s="378"/>
      <c r="ES72" s="378"/>
      <c r="ET72" s="378"/>
      <c r="EU72" s="379"/>
      <c r="EV72" s="378"/>
      <c r="EW72" s="378"/>
      <c r="EX72" s="378"/>
      <c r="EY72" s="1457"/>
      <c r="EZ72" s="1440"/>
      <c r="FA72" s="378"/>
      <c r="FB72" s="378"/>
      <c r="FC72" s="378"/>
      <c r="FD72" s="378"/>
      <c r="FE72" s="378"/>
      <c r="FF72" s="378"/>
      <c r="FG72" s="378"/>
      <c r="FH72" s="1457"/>
      <c r="FI72" s="1440"/>
      <c r="FJ72" s="378"/>
      <c r="FK72" s="378"/>
      <c r="FL72" s="378"/>
      <c r="FM72" s="378"/>
      <c r="FN72" s="1457"/>
      <c r="FO72" s="1440"/>
      <c r="FP72" s="378"/>
      <c r="FQ72" s="378"/>
      <c r="FR72" s="378"/>
      <c r="FS72" s="378"/>
      <c r="FT72" s="378"/>
      <c r="FU72" s="378"/>
      <c r="FV72" s="378"/>
      <c r="FW72" s="378"/>
    </row>
    <row r="73" spans="3:180" s="388" customFormat="1" ht="15.5" thickTop="1" thickBot="1" x14ac:dyDescent="0.4">
      <c r="C73" s="383"/>
      <c r="D73" s="383"/>
      <c r="E73" s="383"/>
      <c r="F73" s="1040"/>
      <c r="G73" s="384"/>
      <c r="H73" s="384"/>
      <c r="I73" s="1260"/>
      <c r="J73" s="1206"/>
      <c r="K73" s="384"/>
      <c r="L73" s="384"/>
      <c r="M73" s="384"/>
      <c r="N73" s="384"/>
      <c r="O73" s="384"/>
      <c r="P73" s="384"/>
      <c r="Q73" s="384"/>
      <c r="R73" s="1260"/>
      <c r="S73" s="1206"/>
      <c r="T73" s="384"/>
      <c r="U73" s="384"/>
      <c r="V73" s="385"/>
      <c r="W73" s="385"/>
      <c r="X73" s="1458"/>
      <c r="Y73" s="1441"/>
      <c r="Z73" s="385"/>
      <c r="AA73" s="385"/>
      <c r="AB73" s="385"/>
      <c r="AC73" s="385"/>
      <c r="AD73" s="385"/>
      <c r="AE73" s="385"/>
      <c r="AF73" s="385"/>
      <c r="AG73" s="385"/>
      <c r="AH73" s="386"/>
      <c r="AI73" s="385"/>
      <c r="AJ73" s="385"/>
      <c r="AK73" s="385"/>
      <c r="AL73" s="1458"/>
      <c r="AM73" s="1441"/>
      <c r="AN73" s="385"/>
      <c r="AO73" s="385"/>
      <c r="AP73" s="385"/>
      <c r="AQ73" s="385"/>
      <c r="AR73" s="385"/>
      <c r="AS73" s="385"/>
      <c r="AT73" s="385"/>
      <c r="AU73" s="1458"/>
      <c r="AV73" s="1441"/>
      <c r="AW73" s="385"/>
      <c r="AX73" s="385"/>
      <c r="AY73" s="385"/>
      <c r="AZ73" s="385"/>
      <c r="BA73" s="1458"/>
      <c r="BB73" s="1441"/>
      <c r="BC73" s="385"/>
      <c r="BD73" s="385"/>
      <c r="BE73" s="385"/>
      <c r="BF73" s="385"/>
      <c r="BG73" s="385"/>
      <c r="BH73" s="385"/>
      <c r="BI73" s="385"/>
      <c r="BJ73" s="385"/>
      <c r="BK73" s="386"/>
      <c r="BL73" s="385"/>
      <c r="BM73" s="385"/>
      <c r="BN73" s="385"/>
      <c r="BO73" s="1458"/>
      <c r="BP73" s="1441"/>
      <c r="BQ73" s="385"/>
      <c r="BR73" s="385"/>
      <c r="BS73" s="385"/>
      <c r="BT73" s="385"/>
      <c r="BU73" s="385"/>
      <c r="BV73" s="385"/>
      <c r="BW73" s="385"/>
      <c r="BX73" s="1458"/>
      <c r="BY73" s="1441"/>
      <c r="BZ73" s="385"/>
      <c r="CA73" s="385"/>
      <c r="CB73" s="385"/>
      <c r="CC73" s="385"/>
      <c r="CD73" s="1458"/>
      <c r="CE73" s="1441"/>
      <c r="CF73" s="385"/>
      <c r="CG73" s="385"/>
      <c r="CH73" s="385"/>
      <c r="CI73" s="385"/>
      <c r="CJ73" s="385"/>
      <c r="CK73" s="385"/>
      <c r="CL73" s="385"/>
      <c r="CM73" s="385"/>
      <c r="CN73" s="386"/>
      <c r="CO73" s="385"/>
      <c r="CP73" s="385"/>
      <c r="CQ73" s="385"/>
      <c r="CR73" s="1458"/>
      <c r="CS73" s="1441"/>
      <c r="CT73" s="385"/>
      <c r="CU73" s="385"/>
      <c r="CV73" s="385"/>
      <c r="CW73" s="385"/>
      <c r="CX73" s="385"/>
      <c r="CY73" s="385"/>
      <c r="CZ73" s="385"/>
      <c r="DA73" s="1458"/>
      <c r="DB73" s="1441"/>
      <c r="DC73" s="385"/>
      <c r="DD73" s="385"/>
      <c r="DE73" s="385"/>
      <c r="DF73" s="385"/>
      <c r="DG73" s="1458"/>
      <c r="DH73" s="1441"/>
      <c r="DI73" s="385"/>
      <c r="DJ73" s="385"/>
      <c r="DK73" s="385"/>
      <c r="DL73" s="385"/>
      <c r="DM73" s="385"/>
      <c r="DN73" s="385"/>
      <c r="DO73" s="385"/>
      <c r="DP73" s="385"/>
      <c r="DQ73" s="386"/>
      <c r="DR73" s="387"/>
      <c r="DS73" s="385"/>
      <c r="DT73" s="385"/>
      <c r="DU73" s="385"/>
      <c r="DV73" s="1458"/>
      <c r="DW73" s="1441"/>
      <c r="DX73" s="385"/>
      <c r="DY73" s="385"/>
      <c r="DZ73" s="385"/>
      <c r="EA73" s="385"/>
      <c r="EB73" s="385"/>
      <c r="EC73" s="385"/>
      <c r="ED73" s="385"/>
      <c r="EE73" s="1458"/>
      <c r="EF73" s="1441"/>
      <c r="EG73" s="385"/>
      <c r="EH73" s="385"/>
      <c r="EI73" s="385"/>
      <c r="EJ73" s="385"/>
      <c r="EK73" s="1458"/>
      <c r="EL73" s="1441"/>
      <c r="EM73" s="385"/>
      <c r="EN73" s="385"/>
      <c r="EO73" s="385"/>
      <c r="EP73" s="385"/>
      <c r="EQ73" s="385"/>
      <c r="ER73" s="385"/>
      <c r="ES73" s="385"/>
      <c r="ET73" s="385"/>
      <c r="EU73" s="386"/>
      <c r="EV73" s="385"/>
      <c r="EW73" s="385"/>
      <c r="EX73" s="385"/>
      <c r="EY73" s="1458"/>
      <c r="EZ73" s="1441"/>
      <c r="FA73" s="385"/>
      <c r="FB73" s="385"/>
      <c r="FC73" s="385"/>
      <c r="FD73" s="385"/>
      <c r="FE73" s="385"/>
      <c r="FF73" s="385"/>
      <c r="FG73" s="385"/>
      <c r="FH73" s="1458"/>
      <c r="FI73" s="1441"/>
      <c r="FJ73" s="385"/>
      <c r="FK73" s="385"/>
      <c r="FL73" s="385"/>
      <c r="FM73" s="385"/>
      <c r="FN73" s="1458"/>
      <c r="FO73" s="1441"/>
      <c r="FP73" s="385"/>
      <c r="FQ73" s="385"/>
      <c r="FR73" s="385"/>
      <c r="FS73" s="385"/>
      <c r="FT73" s="385"/>
      <c r="FU73" s="385"/>
      <c r="FV73" s="385"/>
      <c r="FW73" s="385"/>
    </row>
    <row r="74" spans="3:180" ht="15" thickTop="1" x14ac:dyDescent="0.35">
      <c r="C74" s="1" t="s">
        <v>126</v>
      </c>
      <c r="F74" s="1033" t="e" vm="2">
        <f t="shared" ref="F74:U80" ca="1" si="15">F8*F$59/100</f>
        <v>#VALUE!</v>
      </c>
      <c r="G74" s="309">
        <f t="shared" si="15"/>
        <v>0</v>
      </c>
      <c r="H74" s="309">
        <f t="shared" si="15"/>
        <v>0</v>
      </c>
      <c r="I74" s="422">
        <f t="shared" si="15"/>
        <v>0</v>
      </c>
      <c r="J74" s="421">
        <f t="shared" si="15"/>
        <v>0</v>
      </c>
      <c r="K74" s="309">
        <f t="shared" si="15"/>
        <v>0</v>
      </c>
      <c r="L74" s="309">
        <f t="shared" si="15"/>
        <v>0</v>
      </c>
      <c r="M74" s="309">
        <f t="shared" si="15"/>
        <v>0</v>
      </c>
      <c r="N74" s="309">
        <f t="shared" si="15"/>
        <v>0</v>
      </c>
      <c r="O74" s="309">
        <f t="shared" si="15"/>
        <v>0</v>
      </c>
      <c r="P74" s="309">
        <f t="shared" si="15"/>
        <v>0</v>
      </c>
      <c r="Q74" s="309">
        <f t="shared" si="15"/>
        <v>0</v>
      </c>
      <c r="R74" s="422">
        <f t="shared" si="15"/>
        <v>0</v>
      </c>
      <c r="S74" s="421">
        <f t="shared" si="15"/>
        <v>0</v>
      </c>
      <c r="T74" s="309">
        <f t="shared" si="15"/>
        <v>0</v>
      </c>
      <c r="U74" s="309">
        <f t="shared" si="15"/>
        <v>0</v>
      </c>
      <c r="V74" s="309"/>
      <c r="W74" s="309"/>
      <c r="X74" s="309"/>
      <c r="Y74" s="309"/>
      <c r="Z74" s="309"/>
      <c r="AA74" s="309"/>
      <c r="AB74" s="309"/>
      <c r="AC74" s="309"/>
      <c r="AD74" s="309"/>
      <c r="AE74" s="309"/>
      <c r="AF74" s="309"/>
      <c r="AG74" s="309"/>
      <c r="AH74" s="381"/>
      <c r="AI74" s="309">
        <f t="shared" ref="AI74:AX80" si="16">AI8*AI$59/100</f>
        <v>0</v>
      </c>
      <c r="AJ74" s="309">
        <f t="shared" si="16"/>
        <v>0</v>
      </c>
      <c r="AK74" s="309">
        <f t="shared" si="16"/>
        <v>0</v>
      </c>
      <c r="AL74" s="422">
        <f t="shared" si="16"/>
        <v>0</v>
      </c>
      <c r="AM74" s="421">
        <f t="shared" si="16"/>
        <v>0</v>
      </c>
      <c r="AN74" s="309">
        <f t="shared" si="16"/>
        <v>0</v>
      </c>
      <c r="AO74" s="309">
        <f t="shared" si="16"/>
        <v>0</v>
      </c>
      <c r="AP74" s="309">
        <f t="shared" si="16"/>
        <v>0</v>
      </c>
      <c r="AQ74" s="309">
        <f t="shared" si="16"/>
        <v>0</v>
      </c>
      <c r="AR74" s="309">
        <f t="shared" si="16"/>
        <v>0</v>
      </c>
      <c r="AS74" s="309">
        <f t="shared" si="16"/>
        <v>0</v>
      </c>
      <c r="AT74" s="309">
        <f t="shared" si="16"/>
        <v>0</v>
      </c>
      <c r="AU74" s="422">
        <f t="shared" si="16"/>
        <v>0</v>
      </c>
      <c r="AV74" s="421">
        <f t="shared" si="16"/>
        <v>0</v>
      </c>
      <c r="AW74" s="309">
        <f t="shared" si="16"/>
        <v>0</v>
      </c>
      <c r="AX74" s="309">
        <f t="shared" si="16"/>
        <v>0</v>
      </c>
      <c r="AY74" s="309">
        <f t="shared" ref="AY74:BJ74" si="17">AY8*AY$59/100</f>
        <v>0</v>
      </c>
      <c r="AZ74" s="309">
        <f t="shared" si="17"/>
        <v>0</v>
      </c>
      <c r="BA74" s="422">
        <f t="shared" si="17"/>
        <v>0</v>
      </c>
      <c r="BB74" s="421">
        <f t="shared" si="17"/>
        <v>0</v>
      </c>
      <c r="BC74" s="309">
        <f t="shared" si="17"/>
        <v>0</v>
      </c>
      <c r="BD74" s="309">
        <f t="shared" si="17"/>
        <v>0</v>
      </c>
      <c r="BE74" s="309">
        <f t="shared" si="17"/>
        <v>0</v>
      </c>
      <c r="BF74" s="309">
        <f t="shared" si="17"/>
        <v>0</v>
      </c>
      <c r="BG74" s="309">
        <f t="shared" si="17"/>
        <v>0</v>
      </c>
      <c r="BH74" s="309">
        <f t="shared" si="17"/>
        <v>0</v>
      </c>
      <c r="BI74" s="309">
        <f t="shared" si="17"/>
        <v>0</v>
      </c>
      <c r="BJ74" s="309">
        <f t="shared" si="17"/>
        <v>0</v>
      </c>
      <c r="BK74" s="381"/>
      <c r="BL74" s="309">
        <f t="shared" ref="BL74:CB80" si="18">BL8*BL$59/100</f>
        <v>-4.9646025531914892</v>
      </c>
      <c r="BM74" s="309">
        <f t="shared" si="18"/>
        <v>-4.429991666666667</v>
      </c>
      <c r="BN74" s="309">
        <f t="shared" si="18"/>
        <v>-4.8892997222222219</v>
      </c>
      <c r="BO74" s="422">
        <f t="shared" si="18"/>
        <v>-4.9009150000000004</v>
      </c>
      <c r="BP74" s="421">
        <f t="shared" si="18"/>
        <v>-2.5021333333333331</v>
      </c>
      <c r="BQ74" s="309">
        <f t="shared" si="18"/>
        <v>-2.4271644444444447</v>
      </c>
      <c r="BR74" s="309">
        <f t="shared" si="18"/>
        <v>-2.4949830508474578</v>
      </c>
      <c r="BS74" s="309">
        <f t="shared" si="18"/>
        <v>-2.46096</v>
      </c>
      <c r="BT74" s="309">
        <f t="shared" si="18"/>
        <v>-2.4606690582959638</v>
      </c>
      <c r="BU74" s="309">
        <f t="shared" si="18"/>
        <v>-2.5250474999999999</v>
      </c>
      <c r="BV74" s="309">
        <f t="shared" si="18"/>
        <v>-2.5010533333333331</v>
      </c>
      <c r="BW74" s="309">
        <f t="shared" si="18"/>
        <v>-2.4709500000000002</v>
      </c>
      <c r="BX74" s="422">
        <f t="shared" si="18"/>
        <v>-2.4306749999999999</v>
      </c>
      <c r="BY74" s="421">
        <f t="shared" si="18"/>
        <v>-2.4969000000000001</v>
      </c>
      <c r="BZ74" s="309">
        <f t="shared" si="18"/>
        <v>0</v>
      </c>
      <c r="CA74" s="309">
        <f t="shared" si="18"/>
        <v>0</v>
      </c>
      <c r="CB74" s="309">
        <f t="shared" si="18"/>
        <v>0</v>
      </c>
      <c r="CC74" s="309">
        <f t="shared" ref="CC74:CM74" si="19">CC8*CC$59/100</f>
        <v>0</v>
      </c>
      <c r="CD74" s="422">
        <f t="shared" si="19"/>
        <v>0</v>
      </c>
      <c r="CE74" s="421">
        <f t="shared" si="19"/>
        <v>0</v>
      </c>
      <c r="CF74" s="309">
        <f t="shared" si="19"/>
        <v>0</v>
      </c>
      <c r="CG74" s="309">
        <f t="shared" si="19"/>
        <v>0</v>
      </c>
      <c r="CH74" s="309">
        <f t="shared" si="19"/>
        <v>0</v>
      </c>
      <c r="CI74" s="309">
        <f t="shared" si="19"/>
        <v>0</v>
      </c>
      <c r="CJ74" s="309">
        <f t="shared" si="19"/>
        <v>0</v>
      </c>
      <c r="CK74" s="309">
        <f t="shared" si="19"/>
        <v>0</v>
      </c>
      <c r="CL74" s="309">
        <f t="shared" si="19"/>
        <v>0</v>
      </c>
      <c r="CM74" s="309">
        <f t="shared" si="19"/>
        <v>0</v>
      </c>
      <c r="CN74" s="357"/>
      <c r="CO74" s="309">
        <f t="shared" ref="CO74:DE80" si="20">CO$59*CO8/100</f>
        <v>0</v>
      </c>
      <c r="CP74" s="309">
        <f t="shared" si="20"/>
        <v>0.16899999999999998</v>
      </c>
      <c r="CQ74" s="309">
        <f t="shared" si="20"/>
        <v>0.34399999999999997</v>
      </c>
      <c r="CR74" s="422">
        <f t="shared" si="20"/>
        <v>0.46466666666666667</v>
      </c>
      <c r="CS74" s="421">
        <f t="shared" si="20"/>
        <v>0.245</v>
      </c>
      <c r="CT74" s="309">
        <f t="shared" si="20"/>
        <v>0.78049999999999997</v>
      </c>
      <c r="CU74" s="309">
        <f t="shared" si="20"/>
        <v>0.24070588235294121</v>
      </c>
      <c r="CV74" s="309">
        <f t="shared" si="20"/>
        <v>0.35749999999999998</v>
      </c>
      <c r="CW74" s="309">
        <f t="shared" si="20"/>
        <v>0.18620689655172418</v>
      </c>
      <c r="CX74" s="309">
        <f t="shared" si="20"/>
        <v>0.38150000000000006</v>
      </c>
      <c r="CY74" s="309">
        <f t="shared" si="20"/>
        <v>0.14499999999999999</v>
      </c>
      <c r="CZ74" s="309">
        <f t="shared" si="20"/>
        <v>0.3135</v>
      </c>
      <c r="DA74" s="422">
        <f t="shared" si="20"/>
        <v>0.24</v>
      </c>
      <c r="DB74" s="421">
        <f t="shared" si="20"/>
        <v>0</v>
      </c>
      <c r="DC74" s="309">
        <f t="shared" si="20"/>
        <v>0</v>
      </c>
      <c r="DD74" s="309">
        <f t="shared" si="20"/>
        <v>0</v>
      </c>
      <c r="DE74" s="309">
        <f t="shared" si="20"/>
        <v>0</v>
      </c>
      <c r="DF74" s="309">
        <f t="shared" ref="DF74:DP74" si="21">DF$59*DF8/100</f>
        <v>0</v>
      </c>
      <c r="DG74" s="422">
        <f t="shared" si="21"/>
        <v>0</v>
      </c>
      <c r="DH74" s="421">
        <f t="shared" si="21"/>
        <v>0</v>
      </c>
      <c r="DI74" s="309">
        <f t="shared" si="21"/>
        <v>0</v>
      </c>
      <c r="DJ74" s="309">
        <f t="shared" si="21"/>
        <v>0</v>
      </c>
      <c r="DK74" s="309">
        <f t="shared" si="21"/>
        <v>0</v>
      </c>
      <c r="DL74" s="309">
        <f t="shared" si="21"/>
        <v>0</v>
      </c>
      <c r="DM74" s="309">
        <f t="shared" si="21"/>
        <v>0</v>
      </c>
      <c r="DN74" s="309">
        <f t="shared" si="21"/>
        <v>0</v>
      </c>
      <c r="DO74" s="309">
        <f t="shared" si="21"/>
        <v>0</v>
      </c>
      <c r="DP74" s="309">
        <f t="shared" si="21"/>
        <v>0</v>
      </c>
      <c r="DQ74" s="381"/>
      <c r="DR74" s="382"/>
      <c r="DS74" s="229"/>
      <c r="DT74" s="229"/>
      <c r="DU74" s="229"/>
      <c r="DV74" s="1245"/>
      <c r="DW74" s="538"/>
      <c r="DX74" s="229"/>
      <c r="DY74" s="229"/>
      <c r="DZ74" s="229"/>
      <c r="EA74" s="229"/>
      <c r="EB74" s="229"/>
      <c r="EC74" s="229"/>
      <c r="ED74" s="229"/>
      <c r="EE74" s="1245"/>
      <c r="EF74" s="538"/>
      <c r="EG74" s="229"/>
      <c r="EH74" s="229"/>
      <c r="EI74" s="229"/>
      <c r="EJ74" s="229"/>
      <c r="EK74" s="1245"/>
      <c r="EL74" s="538"/>
      <c r="EM74" s="229"/>
      <c r="EN74" s="229"/>
      <c r="EO74" s="229"/>
      <c r="EP74" s="229"/>
      <c r="EQ74" s="229"/>
      <c r="ER74" s="229"/>
      <c r="ES74" s="229"/>
      <c r="ET74" s="229"/>
      <c r="EU74" s="356"/>
      <c r="EV74" s="229"/>
      <c r="EW74" s="229"/>
      <c r="EX74" s="229"/>
      <c r="EY74" s="1245"/>
      <c r="EZ74" s="538"/>
      <c r="FA74" s="229"/>
      <c r="FB74" s="229"/>
      <c r="FC74" s="229"/>
      <c r="FD74" s="229"/>
      <c r="FE74" s="229"/>
      <c r="FF74" s="229"/>
      <c r="FG74" s="229"/>
      <c r="FH74" s="1245"/>
      <c r="FI74" s="538"/>
      <c r="FJ74" s="229"/>
      <c r="FK74" s="229"/>
      <c r="FL74" s="229"/>
      <c r="FM74" s="229"/>
      <c r="FN74" s="1245"/>
      <c r="FO74" s="538"/>
      <c r="FP74" s="229"/>
      <c r="FQ74" s="229"/>
      <c r="FR74" s="229"/>
      <c r="FS74" s="229"/>
      <c r="FT74" s="229"/>
      <c r="FU74" s="229"/>
      <c r="FV74" s="229"/>
      <c r="FW74" s="229"/>
      <c r="FX74" s="1" t="s">
        <v>191</v>
      </c>
    </row>
    <row r="75" spans="3:180" x14ac:dyDescent="0.35">
      <c r="C75" s="1" t="s">
        <v>125</v>
      </c>
      <c r="F75" s="501">
        <f t="shared" si="15"/>
        <v>0</v>
      </c>
      <c r="G75" s="249">
        <f t="shared" si="15"/>
        <v>0</v>
      </c>
      <c r="H75" s="249">
        <f t="shared" si="15"/>
        <v>0</v>
      </c>
      <c r="I75" s="1242">
        <f t="shared" si="15"/>
        <v>0</v>
      </c>
      <c r="J75" s="419">
        <f t="shared" si="15"/>
        <v>0</v>
      </c>
      <c r="K75" s="249">
        <f t="shared" si="15"/>
        <v>0</v>
      </c>
      <c r="L75" s="249">
        <f t="shared" si="15"/>
        <v>0</v>
      </c>
      <c r="M75" s="249">
        <f t="shared" si="15"/>
        <v>0</v>
      </c>
      <c r="N75" s="249">
        <f t="shared" si="15"/>
        <v>0</v>
      </c>
      <c r="O75" s="249">
        <f t="shared" si="15"/>
        <v>0</v>
      </c>
      <c r="P75" s="249">
        <f t="shared" si="15"/>
        <v>0</v>
      </c>
      <c r="Q75" s="249">
        <f t="shared" si="15"/>
        <v>0</v>
      </c>
      <c r="R75" s="1242">
        <f t="shared" si="15"/>
        <v>0</v>
      </c>
      <c r="S75" s="419">
        <f t="shared" si="15"/>
        <v>0</v>
      </c>
      <c r="T75" s="249">
        <f t="shared" si="15"/>
        <v>0</v>
      </c>
      <c r="U75" s="249">
        <f t="shared" si="15"/>
        <v>0</v>
      </c>
      <c r="V75" s="249"/>
      <c r="W75" s="249"/>
      <c r="X75" s="249"/>
      <c r="Y75" s="249"/>
      <c r="Z75" s="249"/>
      <c r="AA75" s="249"/>
      <c r="AB75" s="249"/>
      <c r="AC75" s="249"/>
      <c r="AD75" s="249"/>
      <c r="AE75" s="249"/>
      <c r="AF75" s="249"/>
      <c r="AG75" s="249"/>
      <c r="AH75" s="335"/>
      <c r="AI75" s="249">
        <f t="shared" si="16"/>
        <v>0</v>
      </c>
      <c r="AJ75" s="249">
        <f t="shared" si="16"/>
        <v>0</v>
      </c>
      <c r="AK75" s="249">
        <f t="shared" si="16"/>
        <v>0</v>
      </c>
      <c r="AL75" s="1242">
        <f t="shared" si="16"/>
        <v>0</v>
      </c>
      <c r="AM75" s="419">
        <f t="shared" si="16"/>
        <v>0</v>
      </c>
      <c r="AN75" s="249">
        <f t="shared" si="16"/>
        <v>0</v>
      </c>
      <c r="AO75" s="249">
        <f t="shared" si="16"/>
        <v>0</v>
      </c>
      <c r="AP75" s="249">
        <f t="shared" si="16"/>
        <v>0</v>
      </c>
      <c r="AQ75" s="249">
        <f t="shared" si="16"/>
        <v>0</v>
      </c>
      <c r="AR75" s="249">
        <f t="shared" si="16"/>
        <v>0</v>
      </c>
      <c r="AS75" s="249">
        <f t="shared" si="16"/>
        <v>0</v>
      </c>
      <c r="AT75" s="249">
        <f t="shared" si="16"/>
        <v>0</v>
      </c>
      <c r="AU75" s="1242">
        <f t="shared" si="16"/>
        <v>0</v>
      </c>
      <c r="AV75" s="419">
        <f t="shared" si="16"/>
        <v>0</v>
      </c>
      <c r="AW75" s="249">
        <f t="shared" si="16"/>
        <v>0</v>
      </c>
      <c r="AX75" s="249">
        <f t="shared" si="16"/>
        <v>0</v>
      </c>
      <c r="AY75" s="249">
        <f t="shared" ref="AY75:BJ75" si="22">AY9*AY$59/100</f>
        <v>0</v>
      </c>
      <c r="AZ75" s="249">
        <f t="shared" si="22"/>
        <v>0</v>
      </c>
      <c r="BA75" s="1242">
        <f t="shared" si="22"/>
        <v>0</v>
      </c>
      <c r="BB75" s="419">
        <f t="shared" si="22"/>
        <v>0</v>
      </c>
      <c r="BC75" s="249">
        <f t="shared" si="22"/>
        <v>0</v>
      </c>
      <c r="BD75" s="249">
        <f t="shared" si="22"/>
        <v>0</v>
      </c>
      <c r="BE75" s="249">
        <f t="shared" si="22"/>
        <v>0</v>
      </c>
      <c r="BF75" s="249">
        <f t="shared" si="22"/>
        <v>0</v>
      </c>
      <c r="BG75" s="249">
        <f t="shared" si="22"/>
        <v>0</v>
      </c>
      <c r="BH75" s="249">
        <f t="shared" si="22"/>
        <v>0</v>
      </c>
      <c r="BI75" s="249">
        <f t="shared" si="22"/>
        <v>0</v>
      </c>
      <c r="BJ75" s="249">
        <f t="shared" si="22"/>
        <v>0</v>
      </c>
      <c r="BK75" s="335"/>
      <c r="BL75" s="249">
        <f t="shared" si="18"/>
        <v>-3.7662502127659572</v>
      </c>
      <c r="BM75" s="249">
        <f t="shared" si="18"/>
        <v>-3.4739583333333339</v>
      </c>
      <c r="BN75" s="249">
        <f t="shared" si="18"/>
        <v>-3.7498650000000002</v>
      </c>
      <c r="BO75" s="1242">
        <f t="shared" si="18"/>
        <v>-3.6096733333333333</v>
      </c>
      <c r="BP75" s="419">
        <f t="shared" si="18"/>
        <v>-0.46933333333333338</v>
      </c>
      <c r="BQ75" s="249">
        <f t="shared" si="18"/>
        <v>-0.42074666666666671</v>
      </c>
      <c r="BR75" s="249">
        <f t="shared" si="18"/>
        <v>-0.42172881355932212</v>
      </c>
      <c r="BS75" s="249">
        <f t="shared" si="18"/>
        <v>-0.4737599999999999</v>
      </c>
      <c r="BT75" s="249">
        <f t="shared" si="18"/>
        <v>-1.056311659192825</v>
      </c>
      <c r="BU75" s="249">
        <f t="shared" si="18"/>
        <v>-0.78012000000000004</v>
      </c>
      <c r="BV75" s="249">
        <f t="shared" si="18"/>
        <v>-0.93048666666666646</v>
      </c>
      <c r="BW75" s="249">
        <f t="shared" si="18"/>
        <v>-0.94069500000000006</v>
      </c>
      <c r="BX75" s="1242">
        <f t="shared" si="18"/>
        <v>-0.9433125</v>
      </c>
      <c r="BY75" s="419">
        <f t="shared" si="18"/>
        <v>-2.4969000000000001</v>
      </c>
      <c r="BZ75" s="249">
        <f t="shared" si="18"/>
        <v>0</v>
      </c>
      <c r="CA75" s="249">
        <f t="shared" si="18"/>
        <v>0</v>
      </c>
      <c r="CB75" s="249">
        <f t="shared" si="18"/>
        <v>0</v>
      </c>
      <c r="CC75" s="249">
        <f t="shared" ref="CC75:CM75" si="23">CC9*CC$59/100</f>
        <v>0</v>
      </c>
      <c r="CD75" s="1242">
        <f t="shared" si="23"/>
        <v>0</v>
      </c>
      <c r="CE75" s="419">
        <f t="shared" si="23"/>
        <v>0</v>
      </c>
      <c r="CF75" s="249">
        <f t="shared" si="23"/>
        <v>0</v>
      </c>
      <c r="CG75" s="249">
        <f t="shared" si="23"/>
        <v>0</v>
      </c>
      <c r="CH75" s="249">
        <f t="shared" si="23"/>
        <v>0</v>
      </c>
      <c r="CI75" s="249">
        <f t="shared" si="23"/>
        <v>0</v>
      </c>
      <c r="CJ75" s="249">
        <f t="shared" si="23"/>
        <v>0</v>
      </c>
      <c r="CK75" s="249">
        <f t="shared" si="23"/>
        <v>0</v>
      </c>
      <c r="CL75" s="249">
        <f t="shared" si="23"/>
        <v>0</v>
      </c>
      <c r="CM75" s="249">
        <f t="shared" si="23"/>
        <v>0</v>
      </c>
      <c r="CN75" s="325"/>
      <c r="CO75" s="249">
        <f t="shared" si="20"/>
        <v>0</v>
      </c>
      <c r="CP75" s="249">
        <f t="shared" si="20"/>
        <v>2.7039999999999997</v>
      </c>
      <c r="CQ75" s="249">
        <f t="shared" si="20"/>
        <v>1.496</v>
      </c>
      <c r="CR75" s="1242">
        <f t="shared" si="20"/>
        <v>2.2780000000000005</v>
      </c>
      <c r="CS75" s="419">
        <f t="shared" si="20"/>
        <v>2.7766666666666664</v>
      </c>
      <c r="CT75" s="249">
        <f t="shared" si="20"/>
        <v>3.6795</v>
      </c>
      <c r="CU75" s="249">
        <f t="shared" si="20"/>
        <v>3.1729411764705886</v>
      </c>
      <c r="CV75" s="249">
        <f t="shared" si="20"/>
        <v>2.6974999999999998</v>
      </c>
      <c r="CW75" s="249">
        <f t="shared" si="20"/>
        <v>2.5603448275862064</v>
      </c>
      <c r="CX75" s="249">
        <f t="shared" si="20"/>
        <v>2.9793333333333334</v>
      </c>
      <c r="CY75" s="249">
        <f t="shared" si="20"/>
        <v>2.1315</v>
      </c>
      <c r="CZ75" s="249">
        <f t="shared" si="20"/>
        <v>2.7555000000000001</v>
      </c>
      <c r="DA75" s="1242">
        <f t="shared" si="20"/>
        <v>2.4599999999999995</v>
      </c>
      <c r="DB75" s="419">
        <f t="shared" si="20"/>
        <v>0</v>
      </c>
      <c r="DC75" s="249">
        <f t="shared" si="20"/>
        <v>0</v>
      </c>
      <c r="DD75" s="249">
        <f t="shared" si="20"/>
        <v>0</v>
      </c>
      <c r="DE75" s="249">
        <f t="shared" si="20"/>
        <v>0</v>
      </c>
      <c r="DF75" s="249">
        <f t="shared" ref="DF75:DP75" si="24">DF$59*DF9/100</f>
        <v>0</v>
      </c>
      <c r="DG75" s="1242">
        <f t="shared" si="24"/>
        <v>0</v>
      </c>
      <c r="DH75" s="419">
        <f t="shared" si="24"/>
        <v>0</v>
      </c>
      <c r="DI75" s="249">
        <f t="shared" si="24"/>
        <v>0</v>
      </c>
      <c r="DJ75" s="249">
        <f t="shared" si="24"/>
        <v>0</v>
      </c>
      <c r="DK75" s="249">
        <f t="shared" si="24"/>
        <v>0</v>
      </c>
      <c r="DL75" s="249">
        <f t="shared" si="24"/>
        <v>0</v>
      </c>
      <c r="DM75" s="249">
        <f t="shared" si="24"/>
        <v>0</v>
      </c>
      <c r="DN75" s="249">
        <f t="shared" si="24"/>
        <v>0</v>
      </c>
      <c r="DO75" s="249">
        <f t="shared" si="24"/>
        <v>0</v>
      </c>
      <c r="DP75" s="249">
        <f t="shared" si="24"/>
        <v>0</v>
      </c>
      <c r="DQ75" s="335"/>
      <c r="DR75" s="336"/>
      <c r="FF75" s="242"/>
      <c r="FG75" s="242"/>
      <c r="FH75" s="1249"/>
      <c r="FX75" s="1" t="s">
        <v>178</v>
      </c>
    </row>
    <row r="76" spans="3:180" x14ac:dyDescent="0.35">
      <c r="C76" s="1" t="s">
        <v>127</v>
      </c>
      <c r="F76" s="501">
        <f t="shared" si="15"/>
        <v>0</v>
      </c>
      <c r="G76" s="249">
        <f t="shared" si="15"/>
        <v>0</v>
      </c>
      <c r="H76" s="249">
        <f t="shared" si="15"/>
        <v>0</v>
      </c>
      <c r="I76" s="1242">
        <f t="shared" si="15"/>
        <v>0</v>
      </c>
      <c r="J76" s="419">
        <f t="shared" si="15"/>
        <v>0</v>
      </c>
      <c r="K76" s="249">
        <f t="shared" si="15"/>
        <v>0</v>
      </c>
      <c r="L76" s="249">
        <f t="shared" si="15"/>
        <v>0</v>
      </c>
      <c r="M76" s="249">
        <f t="shared" si="15"/>
        <v>0</v>
      </c>
      <c r="N76" s="249">
        <f t="shared" si="15"/>
        <v>0</v>
      </c>
      <c r="O76" s="249">
        <f t="shared" si="15"/>
        <v>0</v>
      </c>
      <c r="P76" s="249">
        <f t="shared" si="15"/>
        <v>0</v>
      </c>
      <c r="Q76" s="249">
        <f t="shared" si="15"/>
        <v>0</v>
      </c>
      <c r="R76" s="1242">
        <f t="shared" si="15"/>
        <v>0</v>
      </c>
      <c r="S76" s="419">
        <f t="shared" si="15"/>
        <v>0</v>
      </c>
      <c r="T76" s="249">
        <f t="shared" si="15"/>
        <v>0</v>
      </c>
      <c r="U76" s="249">
        <f t="shared" si="15"/>
        <v>0</v>
      </c>
      <c r="V76" s="249"/>
      <c r="W76" s="249"/>
      <c r="X76" s="249"/>
      <c r="Y76" s="249"/>
      <c r="Z76" s="249"/>
      <c r="AA76" s="249"/>
      <c r="AB76" s="249"/>
      <c r="AC76" s="249"/>
      <c r="AD76" s="249"/>
      <c r="AE76" s="249"/>
      <c r="AF76" s="249"/>
      <c r="AG76" s="249"/>
      <c r="AH76" s="335"/>
      <c r="AI76" s="249">
        <f t="shared" si="16"/>
        <v>0</v>
      </c>
      <c r="AJ76" s="249">
        <f t="shared" si="16"/>
        <v>0</v>
      </c>
      <c r="AK76" s="249">
        <f t="shared" si="16"/>
        <v>0</v>
      </c>
      <c r="AL76" s="1242">
        <f t="shared" si="16"/>
        <v>0</v>
      </c>
      <c r="AM76" s="419">
        <f t="shared" si="16"/>
        <v>0</v>
      </c>
      <c r="AN76" s="249">
        <f t="shared" si="16"/>
        <v>0</v>
      </c>
      <c r="AO76" s="249">
        <f t="shared" si="16"/>
        <v>0</v>
      </c>
      <c r="AP76" s="249">
        <f t="shared" si="16"/>
        <v>0</v>
      </c>
      <c r="AQ76" s="249">
        <f t="shared" si="16"/>
        <v>0</v>
      </c>
      <c r="AR76" s="249">
        <f t="shared" si="16"/>
        <v>0</v>
      </c>
      <c r="AS76" s="249">
        <f t="shared" si="16"/>
        <v>0</v>
      </c>
      <c r="AT76" s="249">
        <f t="shared" si="16"/>
        <v>0</v>
      </c>
      <c r="AU76" s="1242">
        <f t="shared" si="16"/>
        <v>0</v>
      </c>
      <c r="AV76" s="419">
        <f t="shared" si="16"/>
        <v>0</v>
      </c>
      <c r="AW76" s="249">
        <f t="shared" si="16"/>
        <v>0</v>
      </c>
      <c r="AX76" s="249">
        <f t="shared" si="16"/>
        <v>0</v>
      </c>
      <c r="AY76" s="249">
        <f t="shared" ref="AY76:BJ76" si="25">AY10*AY$59/100</f>
        <v>0</v>
      </c>
      <c r="AZ76" s="249">
        <f t="shared" si="25"/>
        <v>0</v>
      </c>
      <c r="BA76" s="1242">
        <f t="shared" si="25"/>
        <v>0</v>
      </c>
      <c r="BB76" s="419">
        <f t="shared" si="25"/>
        <v>0</v>
      </c>
      <c r="BC76" s="249">
        <f t="shared" si="25"/>
        <v>0</v>
      </c>
      <c r="BD76" s="249">
        <f t="shared" si="25"/>
        <v>0</v>
      </c>
      <c r="BE76" s="249">
        <f t="shared" si="25"/>
        <v>0</v>
      </c>
      <c r="BF76" s="249">
        <f t="shared" si="25"/>
        <v>0</v>
      </c>
      <c r="BG76" s="249">
        <f t="shared" si="25"/>
        <v>0</v>
      </c>
      <c r="BH76" s="249">
        <f t="shared" si="25"/>
        <v>0</v>
      </c>
      <c r="BI76" s="249">
        <f t="shared" si="25"/>
        <v>0</v>
      </c>
      <c r="BJ76" s="249">
        <f t="shared" si="25"/>
        <v>0</v>
      </c>
      <c r="BK76" s="335"/>
      <c r="BL76" s="249">
        <f t="shared" si="18"/>
        <v>1.0714859574468092</v>
      </c>
      <c r="BM76" s="249">
        <f t="shared" si="18"/>
        <v>0.70035000000000069</v>
      </c>
      <c r="BN76" s="249">
        <f t="shared" si="18"/>
        <v>0.86264500000000011</v>
      </c>
      <c r="BO76" s="1242">
        <f t="shared" si="18"/>
        <v>1.9818383333333345</v>
      </c>
      <c r="BP76" s="419">
        <f t="shared" si="18"/>
        <v>9.1930666666666667</v>
      </c>
      <c r="BQ76" s="249">
        <f t="shared" si="18"/>
        <v>9.3480177777777786</v>
      </c>
      <c r="BR76" s="249">
        <f t="shared" si="18"/>
        <v>9.2632881355932213</v>
      </c>
      <c r="BS76" s="249">
        <f t="shared" si="18"/>
        <v>8.5924800000000001</v>
      </c>
      <c r="BT76" s="249">
        <f t="shared" si="18"/>
        <v>7.7221753363228682</v>
      </c>
      <c r="BU76" s="249">
        <f t="shared" si="18"/>
        <v>8.2429725000000005</v>
      </c>
      <c r="BV76" s="249">
        <f t="shared" si="18"/>
        <v>8.2899250000000002</v>
      </c>
      <c r="BW76" s="249">
        <f t="shared" si="18"/>
        <v>7.9287149999999995</v>
      </c>
      <c r="BX76" s="1242">
        <f t="shared" si="18"/>
        <v>8.1168750000000003</v>
      </c>
      <c r="BY76" s="419">
        <f t="shared" si="18"/>
        <v>-2.9417499999999994</v>
      </c>
      <c r="BZ76" s="249">
        <f t="shared" si="18"/>
        <v>0</v>
      </c>
      <c r="CA76" s="249">
        <f t="shared" si="18"/>
        <v>0</v>
      </c>
      <c r="CB76" s="249">
        <f t="shared" si="18"/>
        <v>0</v>
      </c>
      <c r="CC76" s="249">
        <f t="shared" ref="CC76:CM76" si="26">CC10*CC$59/100</f>
        <v>0</v>
      </c>
      <c r="CD76" s="1242">
        <f t="shared" si="26"/>
        <v>0</v>
      </c>
      <c r="CE76" s="419">
        <f t="shared" si="26"/>
        <v>0</v>
      </c>
      <c r="CF76" s="249">
        <f t="shared" si="26"/>
        <v>0</v>
      </c>
      <c r="CG76" s="249">
        <f t="shared" si="26"/>
        <v>0</v>
      </c>
      <c r="CH76" s="249">
        <f t="shared" si="26"/>
        <v>0</v>
      </c>
      <c r="CI76" s="249">
        <f t="shared" si="26"/>
        <v>0</v>
      </c>
      <c r="CJ76" s="249">
        <f t="shared" si="26"/>
        <v>0</v>
      </c>
      <c r="CK76" s="249">
        <f t="shared" si="26"/>
        <v>0</v>
      </c>
      <c r="CL76" s="249">
        <f t="shared" si="26"/>
        <v>0</v>
      </c>
      <c r="CM76" s="249">
        <f t="shared" si="26"/>
        <v>0</v>
      </c>
      <c r="CN76" s="325"/>
      <c r="CO76" s="249">
        <f t="shared" si="20"/>
        <v>0</v>
      </c>
      <c r="CP76" s="249">
        <f t="shared" si="20"/>
        <v>4.9995833333333337</v>
      </c>
      <c r="CQ76" s="249">
        <f t="shared" si="20"/>
        <v>2.9279999999999999</v>
      </c>
      <c r="CR76" s="1242">
        <f t="shared" si="20"/>
        <v>4.2953333333333337</v>
      </c>
      <c r="CS76" s="419">
        <f t="shared" si="20"/>
        <v>6.8763333333333332</v>
      </c>
      <c r="CT76" s="249">
        <f t="shared" si="20"/>
        <v>7.6377499999999996</v>
      </c>
      <c r="CU76" s="249">
        <f t="shared" si="20"/>
        <v>9.9127058823529417</v>
      </c>
      <c r="CV76" s="249">
        <f t="shared" si="20"/>
        <v>7.13375</v>
      </c>
      <c r="CW76" s="249">
        <f t="shared" si="20"/>
        <v>6.8642633228840122</v>
      </c>
      <c r="CX76" s="249">
        <f t="shared" si="20"/>
        <v>7.7753333333333332</v>
      </c>
      <c r="CY76" s="249">
        <f t="shared" si="20"/>
        <v>6.5684999999999993</v>
      </c>
      <c r="CZ76" s="249">
        <f t="shared" si="20"/>
        <v>7.309499999999999</v>
      </c>
      <c r="DA76" s="1242">
        <f t="shared" si="20"/>
        <v>6.69</v>
      </c>
      <c r="DB76" s="419">
        <f t="shared" si="20"/>
        <v>0</v>
      </c>
      <c r="DC76" s="249">
        <f t="shared" si="20"/>
        <v>0</v>
      </c>
      <c r="DD76" s="249">
        <f t="shared" si="20"/>
        <v>0</v>
      </c>
      <c r="DE76" s="249">
        <f t="shared" si="20"/>
        <v>0</v>
      </c>
      <c r="DF76" s="249">
        <f t="shared" ref="DF76:DP76" si="27">DF$59*DF10/100</f>
        <v>0</v>
      </c>
      <c r="DG76" s="1242">
        <f t="shared" si="27"/>
        <v>0</v>
      </c>
      <c r="DH76" s="419">
        <f t="shared" si="27"/>
        <v>0</v>
      </c>
      <c r="DI76" s="249">
        <f t="shared" si="27"/>
        <v>0</v>
      </c>
      <c r="DJ76" s="249">
        <f t="shared" si="27"/>
        <v>0</v>
      </c>
      <c r="DK76" s="249">
        <f t="shared" si="27"/>
        <v>0</v>
      </c>
      <c r="DL76" s="249">
        <f t="shared" si="27"/>
        <v>0</v>
      </c>
      <c r="DM76" s="249">
        <f t="shared" si="27"/>
        <v>0</v>
      </c>
      <c r="DN76" s="249">
        <f t="shared" si="27"/>
        <v>0</v>
      </c>
      <c r="DO76" s="249">
        <f t="shared" si="27"/>
        <v>0</v>
      </c>
      <c r="DP76" s="249">
        <f t="shared" si="27"/>
        <v>0</v>
      </c>
      <c r="DQ76" s="335"/>
      <c r="DR76" s="336"/>
      <c r="FX76" s="1" t="s">
        <v>179</v>
      </c>
    </row>
    <row r="77" spans="3:180" x14ac:dyDescent="0.35">
      <c r="C77" s="1" t="s">
        <v>128</v>
      </c>
      <c r="F77" s="501">
        <f t="shared" si="15"/>
        <v>0</v>
      </c>
      <c r="G77" s="249">
        <f t="shared" si="15"/>
        <v>0</v>
      </c>
      <c r="H77" s="249">
        <f t="shared" si="15"/>
        <v>0</v>
      </c>
      <c r="I77" s="1242">
        <f t="shared" si="15"/>
        <v>0</v>
      </c>
      <c r="J77" s="419">
        <f t="shared" si="15"/>
        <v>0</v>
      </c>
      <c r="K77" s="249">
        <f t="shared" si="15"/>
        <v>0</v>
      </c>
      <c r="L77" s="249">
        <f t="shared" si="15"/>
        <v>0</v>
      </c>
      <c r="M77" s="249">
        <f t="shared" si="15"/>
        <v>0</v>
      </c>
      <c r="N77" s="249">
        <f t="shared" si="15"/>
        <v>0</v>
      </c>
      <c r="O77" s="249">
        <f t="shared" si="15"/>
        <v>0</v>
      </c>
      <c r="P77" s="249">
        <f t="shared" si="15"/>
        <v>0</v>
      </c>
      <c r="Q77" s="249">
        <f t="shared" si="15"/>
        <v>0</v>
      </c>
      <c r="R77" s="1242">
        <f t="shared" si="15"/>
        <v>0</v>
      </c>
      <c r="S77" s="419">
        <f t="shared" si="15"/>
        <v>0</v>
      </c>
      <c r="T77" s="249">
        <f t="shared" si="15"/>
        <v>0</v>
      </c>
      <c r="U77" s="249">
        <f t="shared" si="15"/>
        <v>0</v>
      </c>
      <c r="V77" s="249"/>
      <c r="W77" s="249"/>
      <c r="X77" s="249"/>
      <c r="Y77" s="249"/>
      <c r="Z77" s="249"/>
      <c r="AA77" s="249"/>
      <c r="AB77" s="249"/>
      <c r="AC77" s="249"/>
      <c r="AD77" s="249"/>
      <c r="AE77" s="249"/>
      <c r="AF77" s="249"/>
      <c r="AG77" s="249"/>
      <c r="AH77" s="335"/>
      <c r="AI77" s="249">
        <f t="shared" si="16"/>
        <v>0</v>
      </c>
      <c r="AJ77" s="249">
        <f t="shared" si="16"/>
        <v>0</v>
      </c>
      <c r="AK77" s="249">
        <f t="shared" si="16"/>
        <v>0</v>
      </c>
      <c r="AL77" s="1242">
        <f t="shared" si="16"/>
        <v>0</v>
      </c>
      <c r="AM77" s="419">
        <f t="shared" si="16"/>
        <v>0</v>
      </c>
      <c r="AN77" s="249">
        <f t="shared" si="16"/>
        <v>0</v>
      </c>
      <c r="AO77" s="249">
        <f t="shared" si="16"/>
        <v>0</v>
      </c>
      <c r="AP77" s="249">
        <f t="shared" si="16"/>
        <v>0</v>
      </c>
      <c r="AQ77" s="249">
        <f t="shared" si="16"/>
        <v>0</v>
      </c>
      <c r="AR77" s="249">
        <f t="shared" si="16"/>
        <v>0</v>
      </c>
      <c r="AS77" s="249">
        <f t="shared" si="16"/>
        <v>0</v>
      </c>
      <c r="AT77" s="249">
        <f t="shared" si="16"/>
        <v>0</v>
      </c>
      <c r="AU77" s="1242">
        <f t="shared" si="16"/>
        <v>0</v>
      </c>
      <c r="AV77" s="419">
        <f t="shared" si="16"/>
        <v>0</v>
      </c>
      <c r="AW77" s="249">
        <f t="shared" si="16"/>
        <v>0</v>
      </c>
      <c r="AX77" s="249">
        <f t="shared" si="16"/>
        <v>0</v>
      </c>
      <c r="AY77" s="249">
        <f t="shared" ref="AY77:BJ77" si="28">AY11*AY$59/100</f>
        <v>0</v>
      </c>
      <c r="AZ77" s="249">
        <f t="shared" si="28"/>
        <v>0</v>
      </c>
      <c r="BA77" s="1242">
        <f t="shared" si="28"/>
        <v>0</v>
      </c>
      <c r="BB77" s="419">
        <f t="shared" si="28"/>
        <v>0</v>
      </c>
      <c r="BC77" s="249">
        <f t="shared" si="28"/>
        <v>0</v>
      </c>
      <c r="BD77" s="249">
        <f t="shared" si="28"/>
        <v>0</v>
      </c>
      <c r="BE77" s="249">
        <f t="shared" si="28"/>
        <v>0</v>
      </c>
      <c r="BF77" s="249">
        <f t="shared" si="28"/>
        <v>0</v>
      </c>
      <c r="BG77" s="249">
        <f t="shared" si="28"/>
        <v>0</v>
      </c>
      <c r="BH77" s="249">
        <f t="shared" si="28"/>
        <v>0</v>
      </c>
      <c r="BI77" s="249">
        <f t="shared" si="28"/>
        <v>0</v>
      </c>
      <c r="BJ77" s="249">
        <f t="shared" si="28"/>
        <v>0</v>
      </c>
      <c r="BK77" s="335"/>
      <c r="BL77" s="249">
        <f t="shared" si="18"/>
        <v>15.094042553191489</v>
      </c>
      <c r="BM77" s="249">
        <f t="shared" si="18"/>
        <v>12.343668750000004</v>
      </c>
      <c r="BN77" s="249">
        <f t="shared" si="18"/>
        <v>13.539223055555556</v>
      </c>
      <c r="BO77" s="1242">
        <f t="shared" si="18"/>
        <v>14.975501666666666</v>
      </c>
      <c r="BP77" s="419">
        <f t="shared" si="18"/>
        <v>23.32</v>
      </c>
      <c r="BQ77" s="249">
        <f t="shared" si="18"/>
        <v>24.12710222222222</v>
      </c>
      <c r="BR77" s="249">
        <f t="shared" si="18"/>
        <v>23.976610169491522</v>
      </c>
      <c r="BS77" s="249">
        <f t="shared" si="18"/>
        <v>22.6296</v>
      </c>
      <c r="BT77" s="249">
        <f t="shared" si="18"/>
        <v>22.136711659192823</v>
      </c>
      <c r="BU77" s="249">
        <f t="shared" si="18"/>
        <v>23.077072500000003</v>
      </c>
      <c r="BV77" s="249">
        <f t="shared" si="18"/>
        <v>22.918420000000001</v>
      </c>
      <c r="BW77" s="249">
        <f t="shared" si="18"/>
        <v>22.557894999999998</v>
      </c>
      <c r="BX77" s="1242">
        <f t="shared" si="18"/>
        <v>23.1703875</v>
      </c>
      <c r="BY77" s="419">
        <f t="shared" si="18"/>
        <v>-3.2717999999999994</v>
      </c>
      <c r="BZ77" s="249">
        <f t="shared" si="18"/>
        <v>0</v>
      </c>
      <c r="CA77" s="249">
        <f t="shared" si="18"/>
        <v>0</v>
      </c>
      <c r="CB77" s="249">
        <f t="shared" si="18"/>
        <v>0</v>
      </c>
      <c r="CC77" s="249">
        <f t="shared" ref="CC77:CM77" si="29">CC11*CC$59/100</f>
        <v>0</v>
      </c>
      <c r="CD77" s="1242">
        <f t="shared" si="29"/>
        <v>0</v>
      </c>
      <c r="CE77" s="419">
        <f t="shared" si="29"/>
        <v>0</v>
      </c>
      <c r="CF77" s="249">
        <f t="shared" si="29"/>
        <v>0</v>
      </c>
      <c r="CG77" s="249">
        <f t="shared" si="29"/>
        <v>0</v>
      </c>
      <c r="CH77" s="249">
        <f t="shared" si="29"/>
        <v>0</v>
      </c>
      <c r="CI77" s="249">
        <f t="shared" si="29"/>
        <v>0</v>
      </c>
      <c r="CJ77" s="249">
        <f t="shared" si="29"/>
        <v>0</v>
      </c>
      <c r="CK77" s="249">
        <f t="shared" si="29"/>
        <v>0</v>
      </c>
      <c r="CL77" s="249">
        <f t="shared" si="29"/>
        <v>0</v>
      </c>
      <c r="CM77" s="249">
        <f t="shared" si="29"/>
        <v>0</v>
      </c>
      <c r="CN77" s="325"/>
      <c r="CO77" s="249">
        <f t="shared" si="20"/>
        <v>0</v>
      </c>
      <c r="CP77" s="249">
        <f t="shared" si="20"/>
        <v>4.253166666666667</v>
      </c>
      <c r="CQ77" s="249">
        <f t="shared" si="20"/>
        <v>2.3759999999999999</v>
      </c>
      <c r="CR77" s="1242">
        <f t="shared" si="20"/>
        <v>3.2640000000000002</v>
      </c>
      <c r="CS77" s="419">
        <f t="shared" si="20"/>
        <v>5.0143333333333331</v>
      </c>
      <c r="CT77" s="249">
        <f t="shared" si="20"/>
        <v>5.2590833333333329</v>
      </c>
      <c r="CU77" s="249">
        <f t="shared" si="20"/>
        <v>6.9585882352941182</v>
      </c>
      <c r="CV77" s="249">
        <f t="shared" si="20"/>
        <v>4.9400000000000004</v>
      </c>
      <c r="CW77" s="249">
        <f t="shared" si="20"/>
        <v>5.2899686520376177</v>
      </c>
      <c r="CX77" s="249">
        <f t="shared" si="20"/>
        <v>5.4863333333333335</v>
      </c>
      <c r="CY77" s="249">
        <f t="shared" si="20"/>
        <v>4.5820000000000007</v>
      </c>
      <c r="CZ77" s="249">
        <f t="shared" si="20"/>
        <v>4.9830000000000005</v>
      </c>
      <c r="DA77" s="1242">
        <f t="shared" si="20"/>
        <v>4.5750000000000002</v>
      </c>
      <c r="DB77" s="419">
        <f t="shared" si="20"/>
        <v>0</v>
      </c>
      <c r="DC77" s="249">
        <f t="shared" si="20"/>
        <v>0</v>
      </c>
      <c r="DD77" s="249">
        <f t="shared" si="20"/>
        <v>0</v>
      </c>
      <c r="DE77" s="249">
        <f t="shared" si="20"/>
        <v>0</v>
      </c>
      <c r="DF77" s="249">
        <f t="shared" ref="DF77:DP77" si="30">DF$59*DF11/100</f>
        <v>0</v>
      </c>
      <c r="DG77" s="1242">
        <f t="shared" si="30"/>
        <v>0</v>
      </c>
      <c r="DH77" s="419">
        <f t="shared" si="30"/>
        <v>0</v>
      </c>
      <c r="DI77" s="249">
        <f t="shared" si="30"/>
        <v>0</v>
      </c>
      <c r="DJ77" s="249">
        <f t="shared" si="30"/>
        <v>0</v>
      </c>
      <c r="DK77" s="249">
        <f t="shared" si="30"/>
        <v>0</v>
      </c>
      <c r="DL77" s="249">
        <f t="shared" si="30"/>
        <v>0</v>
      </c>
      <c r="DM77" s="249">
        <f t="shared" si="30"/>
        <v>0</v>
      </c>
      <c r="DN77" s="249">
        <f t="shared" si="30"/>
        <v>0</v>
      </c>
      <c r="DO77" s="249">
        <f t="shared" si="30"/>
        <v>0</v>
      </c>
      <c r="DP77" s="249">
        <f t="shared" si="30"/>
        <v>0</v>
      </c>
      <c r="DQ77" s="335"/>
      <c r="DR77" s="336"/>
      <c r="FF77" s="251"/>
      <c r="FG77" s="251"/>
      <c r="FH77" s="1267"/>
      <c r="FX77" s="1" t="s">
        <v>180</v>
      </c>
    </row>
    <row r="78" spans="3:180" x14ac:dyDescent="0.35">
      <c r="C78" s="1" t="s">
        <v>168</v>
      </c>
      <c r="F78" s="501">
        <f t="shared" si="15"/>
        <v>0</v>
      </c>
      <c r="G78" s="249">
        <f t="shared" si="15"/>
        <v>0</v>
      </c>
      <c r="H78" s="249">
        <f t="shared" si="15"/>
        <v>0</v>
      </c>
      <c r="I78" s="1242">
        <f t="shared" si="15"/>
        <v>0</v>
      </c>
      <c r="J78" s="419">
        <f t="shared" si="15"/>
        <v>0</v>
      </c>
      <c r="K78" s="249">
        <f t="shared" si="15"/>
        <v>0</v>
      </c>
      <c r="L78" s="249">
        <f t="shared" si="15"/>
        <v>0</v>
      </c>
      <c r="M78" s="249">
        <f t="shared" si="15"/>
        <v>0</v>
      </c>
      <c r="N78" s="249">
        <f t="shared" si="15"/>
        <v>0</v>
      </c>
      <c r="O78" s="249">
        <f t="shared" si="15"/>
        <v>0</v>
      </c>
      <c r="P78" s="249">
        <f t="shared" si="15"/>
        <v>0</v>
      </c>
      <c r="Q78" s="249">
        <f t="shared" si="15"/>
        <v>0</v>
      </c>
      <c r="R78" s="1242">
        <f t="shared" si="15"/>
        <v>0</v>
      </c>
      <c r="S78" s="419">
        <f t="shared" si="15"/>
        <v>0</v>
      </c>
      <c r="T78" s="249">
        <f t="shared" si="15"/>
        <v>0</v>
      </c>
      <c r="U78" s="249">
        <f t="shared" si="15"/>
        <v>0</v>
      </c>
      <c r="V78" s="249"/>
      <c r="W78" s="249"/>
      <c r="X78" s="249"/>
      <c r="Y78" s="249"/>
      <c r="Z78" s="249"/>
      <c r="AA78" s="249"/>
      <c r="AB78" s="249"/>
      <c r="AC78" s="249"/>
      <c r="AD78" s="249"/>
      <c r="AE78" s="249"/>
      <c r="AF78" s="249"/>
      <c r="AG78" s="249"/>
      <c r="AH78" s="335"/>
      <c r="AI78" s="249">
        <f t="shared" si="16"/>
        <v>0</v>
      </c>
      <c r="AJ78" s="249">
        <f t="shared" si="16"/>
        <v>0</v>
      </c>
      <c r="AK78" s="249">
        <f t="shared" si="16"/>
        <v>0</v>
      </c>
      <c r="AL78" s="1242">
        <f t="shared" si="16"/>
        <v>0</v>
      </c>
      <c r="AM78" s="419">
        <f t="shared" si="16"/>
        <v>0</v>
      </c>
      <c r="AN78" s="249">
        <f t="shared" si="16"/>
        <v>0</v>
      </c>
      <c r="AO78" s="249">
        <f t="shared" si="16"/>
        <v>0</v>
      </c>
      <c r="AP78" s="249">
        <f t="shared" si="16"/>
        <v>0</v>
      </c>
      <c r="AQ78" s="249">
        <f t="shared" si="16"/>
        <v>0</v>
      </c>
      <c r="AR78" s="249">
        <f t="shared" si="16"/>
        <v>0</v>
      </c>
      <c r="AS78" s="249">
        <f t="shared" si="16"/>
        <v>0</v>
      </c>
      <c r="AT78" s="249">
        <f t="shared" si="16"/>
        <v>0</v>
      </c>
      <c r="AU78" s="1242">
        <f t="shared" si="16"/>
        <v>0</v>
      </c>
      <c r="AV78" s="419">
        <f t="shared" si="16"/>
        <v>0</v>
      </c>
      <c r="AW78" s="249">
        <f t="shared" si="16"/>
        <v>0</v>
      </c>
      <c r="AX78" s="249">
        <f t="shared" si="16"/>
        <v>0</v>
      </c>
      <c r="AY78" s="249">
        <f t="shared" ref="AY78:BJ78" si="31">AY12*AY$59/100</f>
        <v>0</v>
      </c>
      <c r="AZ78" s="249">
        <f t="shared" si="31"/>
        <v>0</v>
      </c>
      <c r="BA78" s="1242">
        <f t="shared" si="31"/>
        <v>0</v>
      </c>
      <c r="BB78" s="419">
        <f t="shared" si="31"/>
        <v>0</v>
      </c>
      <c r="BC78" s="249">
        <f t="shared" si="31"/>
        <v>0</v>
      </c>
      <c r="BD78" s="249">
        <f t="shared" si="31"/>
        <v>0</v>
      </c>
      <c r="BE78" s="249">
        <f t="shared" si="31"/>
        <v>0</v>
      </c>
      <c r="BF78" s="249">
        <f t="shared" si="31"/>
        <v>0</v>
      </c>
      <c r="BG78" s="249">
        <f t="shared" si="31"/>
        <v>0</v>
      </c>
      <c r="BH78" s="249">
        <f t="shared" si="31"/>
        <v>0</v>
      </c>
      <c r="BI78" s="249">
        <f t="shared" si="31"/>
        <v>0</v>
      </c>
      <c r="BJ78" s="249">
        <f t="shared" si="31"/>
        <v>0</v>
      </c>
      <c r="BK78" s="335"/>
      <c r="BL78" s="249">
        <f t="shared" si="18"/>
        <v>61.21990808510639</v>
      </c>
      <c r="BM78" s="249">
        <f t="shared" si="18"/>
        <v>49.123160416666671</v>
      </c>
      <c r="BN78" s="249">
        <f t="shared" si="18"/>
        <v>48.436245277777779</v>
      </c>
      <c r="BO78" s="1242">
        <f t="shared" si="18"/>
        <v>48.817640000000004</v>
      </c>
      <c r="BP78" s="419">
        <f t="shared" si="18"/>
        <v>40.546000000000006</v>
      </c>
      <c r="BQ78" s="249">
        <f t="shared" si="18"/>
        <v>41.872880000000002</v>
      </c>
      <c r="BR78" s="249">
        <f t="shared" si="18"/>
        <v>42.523830508474575</v>
      </c>
      <c r="BS78" s="249">
        <f t="shared" si="18"/>
        <v>40.782239999999994</v>
      </c>
      <c r="BT78" s="249">
        <f t="shared" si="18"/>
        <v>39.889908968609866</v>
      </c>
      <c r="BU78" s="249">
        <f t="shared" si="18"/>
        <v>41.043472500000007</v>
      </c>
      <c r="BV78" s="249">
        <f t="shared" si="18"/>
        <v>41.925239999999995</v>
      </c>
      <c r="BW78" s="249">
        <f t="shared" si="18"/>
        <v>40.828475000000005</v>
      </c>
      <c r="BX78" s="1242">
        <f t="shared" si="18"/>
        <v>41.976674999999993</v>
      </c>
      <c r="BY78" s="419">
        <f t="shared" si="18"/>
        <v>-3.7023000000000001</v>
      </c>
      <c r="BZ78" s="249">
        <f t="shared" si="18"/>
        <v>0</v>
      </c>
      <c r="CA78" s="249">
        <f t="shared" si="18"/>
        <v>0</v>
      </c>
      <c r="CB78" s="249">
        <f t="shared" si="18"/>
        <v>0</v>
      </c>
      <c r="CC78" s="249">
        <f t="shared" ref="CC78:CM78" si="32">CC12*CC$59/100</f>
        <v>0</v>
      </c>
      <c r="CD78" s="1242">
        <f t="shared" si="32"/>
        <v>0</v>
      </c>
      <c r="CE78" s="419">
        <f t="shared" si="32"/>
        <v>0</v>
      </c>
      <c r="CF78" s="249">
        <f t="shared" si="32"/>
        <v>0</v>
      </c>
      <c r="CG78" s="249">
        <f t="shared" si="32"/>
        <v>0</v>
      </c>
      <c r="CH78" s="249">
        <f t="shared" si="32"/>
        <v>0</v>
      </c>
      <c r="CI78" s="249">
        <f t="shared" si="32"/>
        <v>0</v>
      </c>
      <c r="CJ78" s="249">
        <f t="shared" si="32"/>
        <v>0</v>
      </c>
      <c r="CK78" s="249">
        <f t="shared" si="32"/>
        <v>0</v>
      </c>
      <c r="CL78" s="249">
        <f t="shared" si="32"/>
        <v>0</v>
      </c>
      <c r="CM78" s="249">
        <f t="shared" si="32"/>
        <v>0</v>
      </c>
      <c r="CN78" s="325"/>
      <c r="CO78" s="249">
        <f t="shared" si="20"/>
        <v>0</v>
      </c>
      <c r="CP78" s="249">
        <f t="shared" si="20"/>
        <v>1.9435000000000002</v>
      </c>
      <c r="CQ78" s="249">
        <f t="shared" si="20"/>
        <v>0.85599999999999998</v>
      </c>
      <c r="CR78" s="1242">
        <f t="shared" si="20"/>
        <v>1.0313333333333334</v>
      </c>
      <c r="CS78" s="419">
        <f t="shared" si="20"/>
        <v>1.4209999999999996</v>
      </c>
      <c r="CT78" s="249">
        <f t="shared" si="20"/>
        <v>1.2264999999999999</v>
      </c>
      <c r="CU78" s="249">
        <f t="shared" si="20"/>
        <v>1.5974117647058825</v>
      </c>
      <c r="CV78" s="249">
        <f t="shared" si="20"/>
        <v>1.1212500000000001</v>
      </c>
      <c r="CW78" s="249">
        <f t="shared" si="20"/>
        <v>2.0271159874608151</v>
      </c>
      <c r="CX78" s="249">
        <f t="shared" si="20"/>
        <v>1.5441666666666669</v>
      </c>
      <c r="CY78" s="249">
        <f t="shared" si="20"/>
        <v>1.0730000000000002</v>
      </c>
      <c r="CZ78" s="249">
        <f t="shared" si="20"/>
        <v>1.1385000000000001</v>
      </c>
      <c r="DA78" s="1242">
        <f t="shared" si="20"/>
        <v>1.0349999999999999</v>
      </c>
      <c r="DB78" s="419">
        <f t="shared" si="20"/>
        <v>0</v>
      </c>
      <c r="DC78" s="249">
        <f t="shared" si="20"/>
        <v>0</v>
      </c>
      <c r="DD78" s="249">
        <f t="shared" si="20"/>
        <v>0</v>
      </c>
      <c r="DE78" s="249">
        <f t="shared" si="20"/>
        <v>0</v>
      </c>
      <c r="DF78" s="249">
        <f t="shared" ref="DF78:DP78" si="33">DF$59*DF12/100</f>
        <v>0</v>
      </c>
      <c r="DG78" s="1242">
        <f t="shared" si="33"/>
        <v>0</v>
      </c>
      <c r="DH78" s="419">
        <f t="shared" si="33"/>
        <v>0</v>
      </c>
      <c r="DI78" s="249">
        <f t="shared" si="33"/>
        <v>0</v>
      </c>
      <c r="DJ78" s="249">
        <f t="shared" si="33"/>
        <v>0</v>
      </c>
      <c r="DK78" s="249">
        <f t="shared" si="33"/>
        <v>0</v>
      </c>
      <c r="DL78" s="249">
        <f t="shared" si="33"/>
        <v>0</v>
      </c>
      <c r="DM78" s="249">
        <f t="shared" si="33"/>
        <v>0</v>
      </c>
      <c r="DN78" s="249">
        <f t="shared" si="33"/>
        <v>0</v>
      </c>
      <c r="DO78" s="249">
        <f t="shared" si="33"/>
        <v>0</v>
      </c>
      <c r="DP78" s="249">
        <f t="shared" si="33"/>
        <v>0</v>
      </c>
      <c r="DQ78" s="335"/>
      <c r="DR78" s="336"/>
      <c r="FF78" s="251"/>
      <c r="FG78" s="251"/>
      <c r="FH78" s="1267"/>
      <c r="FX78" s="1" t="s">
        <v>181</v>
      </c>
    </row>
    <row r="79" spans="3:180" x14ac:dyDescent="0.35">
      <c r="C79" s="1" t="s">
        <v>169</v>
      </c>
      <c r="F79" s="501">
        <f t="shared" si="15"/>
        <v>0</v>
      </c>
      <c r="G79" s="249">
        <f t="shared" si="15"/>
        <v>0</v>
      </c>
      <c r="H79" s="249">
        <f t="shared" si="15"/>
        <v>0</v>
      </c>
      <c r="I79" s="1242">
        <f t="shared" si="15"/>
        <v>0</v>
      </c>
      <c r="J79" s="419">
        <f t="shared" si="15"/>
        <v>0</v>
      </c>
      <c r="K79" s="249">
        <f t="shared" si="15"/>
        <v>0</v>
      </c>
      <c r="L79" s="249">
        <f t="shared" si="15"/>
        <v>0</v>
      </c>
      <c r="M79" s="249">
        <f t="shared" si="15"/>
        <v>0</v>
      </c>
      <c r="N79" s="249">
        <f t="shared" si="15"/>
        <v>0</v>
      </c>
      <c r="O79" s="249">
        <f t="shared" si="15"/>
        <v>0</v>
      </c>
      <c r="P79" s="249">
        <f t="shared" si="15"/>
        <v>0</v>
      </c>
      <c r="Q79" s="249">
        <f t="shared" si="15"/>
        <v>0</v>
      </c>
      <c r="R79" s="1242">
        <f t="shared" si="15"/>
        <v>0</v>
      </c>
      <c r="S79" s="419">
        <f t="shared" si="15"/>
        <v>0</v>
      </c>
      <c r="T79" s="249">
        <f t="shared" si="15"/>
        <v>0</v>
      </c>
      <c r="U79" s="249">
        <f t="shared" si="15"/>
        <v>0</v>
      </c>
      <c r="V79" s="249"/>
      <c r="W79" s="249"/>
      <c r="X79" s="249"/>
      <c r="Y79" s="249"/>
      <c r="Z79" s="249"/>
      <c r="AA79" s="249"/>
      <c r="AB79" s="249"/>
      <c r="AC79" s="249"/>
      <c r="AD79" s="249"/>
      <c r="AE79" s="249"/>
      <c r="AF79" s="249"/>
      <c r="AG79" s="249"/>
      <c r="AH79" s="335"/>
      <c r="AI79" s="249">
        <f t="shared" si="16"/>
        <v>0</v>
      </c>
      <c r="AJ79" s="249">
        <f t="shared" si="16"/>
        <v>0</v>
      </c>
      <c r="AK79" s="249">
        <f t="shared" si="16"/>
        <v>0</v>
      </c>
      <c r="AL79" s="1242">
        <f t="shared" si="16"/>
        <v>0</v>
      </c>
      <c r="AM79" s="419">
        <f t="shared" si="16"/>
        <v>0</v>
      </c>
      <c r="AN79" s="249">
        <f t="shared" si="16"/>
        <v>0</v>
      </c>
      <c r="AO79" s="249">
        <f t="shared" si="16"/>
        <v>0</v>
      </c>
      <c r="AP79" s="249">
        <f t="shared" si="16"/>
        <v>0</v>
      </c>
      <c r="AQ79" s="249">
        <f t="shared" si="16"/>
        <v>0</v>
      </c>
      <c r="AR79" s="249">
        <f t="shared" si="16"/>
        <v>0</v>
      </c>
      <c r="AS79" s="249">
        <f t="shared" si="16"/>
        <v>0</v>
      </c>
      <c r="AT79" s="249">
        <f t="shared" si="16"/>
        <v>0</v>
      </c>
      <c r="AU79" s="1242">
        <f t="shared" si="16"/>
        <v>0</v>
      </c>
      <c r="AV79" s="419">
        <f t="shared" si="16"/>
        <v>0</v>
      </c>
      <c r="AW79" s="249">
        <f t="shared" si="16"/>
        <v>0</v>
      </c>
      <c r="AX79" s="249">
        <f t="shared" si="16"/>
        <v>0</v>
      </c>
      <c r="AY79" s="249">
        <f t="shared" ref="AY79:BJ79" si="34">AY13*AY$59/100</f>
        <v>0</v>
      </c>
      <c r="AZ79" s="249">
        <f t="shared" si="34"/>
        <v>0</v>
      </c>
      <c r="BA79" s="1242">
        <f t="shared" si="34"/>
        <v>0</v>
      </c>
      <c r="BB79" s="419">
        <f t="shared" si="34"/>
        <v>0</v>
      </c>
      <c r="BC79" s="249">
        <f t="shared" si="34"/>
        <v>0</v>
      </c>
      <c r="BD79" s="249">
        <f t="shared" si="34"/>
        <v>0</v>
      </c>
      <c r="BE79" s="249">
        <f t="shared" si="34"/>
        <v>0</v>
      </c>
      <c r="BF79" s="249">
        <f t="shared" si="34"/>
        <v>0</v>
      </c>
      <c r="BG79" s="249">
        <f t="shared" si="34"/>
        <v>0</v>
      </c>
      <c r="BH79" s="249">
        <f t="shared" si="34"/>
        <v>0</v>
      </c>
      <c r="BI79" s="249">
        <f t="shared" si="34"/>
        <v>0</v>
      </c>
      <c r="BJ79" s="249">
        <f t="shared" si="34"/>
        <v>0</v>
      </c>
      <c r="BK79" s="335"/>
      <c r="BL79" s="249">
        <f t="shared" si="18"/>
        <v>34.594781276595739</v>
      </c>
      <c r="BM79" s="249">
        <f t="shared" si="18"/>
        <v>30.538872916666669</v>
      </c>
      <c r="BN79" s="249">
        <f t="shared" si="18"/>
        <v>33.739004444444454</v>
      </c>
      <c r="BO79" s="1242">
        <f t="shared" si="18"/>
        <v>35.89651833333334</v>
      </c>
      <c r="BP79" s="419">
        <f t="shared" si="18"/>
        <v>15.963199999999999</v>
      </c>
      <c r="BQ79" s="249">
        <f t="shared" si="18"/>
        <v>16.410980444444444</v>
      </c>
      <c r="BR79" s="249">
        <f t="shared" si="18"/>
        <v>17.016610169491525</v>
      </c>
      <c r="BS79" s="249">
        <f t="shared" si="18"/>
        <v>16.417439999999999</v>
      </c>
      <c r="BT79" s="249">
        <f t="shared" si="18"/>
        <v>16.088879820627799</v>
      </c>
      <c r="BU79" s="249">
        <f t="shared" si="18"/>
        <v>16.509585000000001</v>
      </c>
      <c r="BV79" s="249">
        <f t="shared" si="18"/>
        <v>17.071763333333333</v>
      </c>
      <c r="BW79" s="249">
        <f t="shared" si="18"/>
        <v>16.433985</v>
      </c>
      <c r="BX79" s="1242">
        <f t="shared" si="18"/>
        <v>16.6154625</v>
      </c>
      <c r="BY79" s="419">
        <f t="shared" si="18"/>
        <v>-3.7023000000000001</v>
      </c>
      <c r="BZ79" s="249">
        <f t="shared" si="18"/>
        <v>0</v>
      </c>
      <c r="CA79" s="249">
        <f t="shared" si="18"/>
        <v>0</v>
      </c>
      <c r="CB79" s="249">
        <f t="shared" si="18"/>
        <v>0</v>
      </c>
      <c r="CC79" s="249">
        <f t="shared" ref="CC79:CM79" si="35">CC13*CC$59/100</f>
        <v>0</v>
      </c>
      <c r="CD79" s="1242">
        <f t="shared" si="35"/>
        <v>0</v>
      </c>
      <c r="CE79" s="419">
        <f t="shared" si="35"/>
        <v>0</v>
      </c>
      <c r="CF79" s="249">
        <f t="shared" si="35"/>
        <v>0</v>
      </c>
      <c r="CG79" s="249">
        <f t="shared" si="35"/>
        <v>0</v>
      </c>
      <c r="CH79" s="249">
        <f t="shared" si="35"/>
        <v>0</v>
      </c>
      <c r="CI79" s="249">
        <f t="shared" si="35"/>
        <v>0</v>
      </c>
      <c r="CJ79" s="249">
        <f t="shared" si="35"/>
        <v>0</v>
      </c>
      <c r="CK79" s="249">
        <f t="shared" si="35"/>
        <v>0</v>
      </c>
      <c r="CL79" s="249">
        <f t="shared" si="35"/>
        <v>0</v>
      </c>
      <c r="CM79" s="249">
        <f t="shared" si="35"/>
        <v>0</v>
      </c>
      <c r="CN79" s="325"/>
      <c r="CO79" s="249">
        <f t="shared" si="20"/>
        <v>0</v>
      </c>
      <c r="CP79" s="249">
        <f t="shared" si="20"/>
        <v>1.4083333333333335E-2</v>
      </c>
      <c r="CQ79" s="249">
        <f t="shared" si="20"/>
        <v>0</v>
      </c>
      <c r="CR79" s="1242">
        <f t="shared" si="20"/>
        <v>0</v>
      </c>
      <c r="CS79" s="419">
        <f t="shared" si="20"/>
        <v>0</v>
      </c>
      <c r="CT79" s="249">
        <f t="shared" si="20"/>
        <v>0</v>
      </c>
      <c r="CU79" s="249">
        <f t="shared" si="20"/>
        <v>0</v>
      </c>
      <c r="CV79" s="249">
        <f t="shared" si="20"/>
        <v>0</v>
      </c>
      <c r="CW79" s="249">
        <f t="shared" si="20"/>
        <v>0</v>
      </c>
      <c r="CX79" s="249">
        <f t="shared" si="20"/>
        <v>0</v>
      </c>
      <c r="CY79" s="249">
        <f t="shared" si="20"/>
        <v>0</v>
      </c>
      <c r="CZ79" s="249">
        <f t="shared" si="20"/>
        <v>0</v>
      </c>
      <c r="DA79" s="1242">
        <f t="shared" si="20"/>
        <v>0</v>
      </c>
      <c r="DB79" s="419">
        <f t="shared" si="20"/>
        <v>0</v>
      </c>
      <c r="DC79" s="249">
        <f t="shared" si="20"/>
        <v>0</v>
      </c>
      <c r="DD79" s="249">
        <f t="shared" si="20"/>
        <v>0</v>
      </c>
      <c r="DE79" s="249">
        <f t="shared" si="20"/>
        <v>0</v>
      </c>
      <c r="DF79" s="249">
        <f t="shared" ref="DF79:DP79" si="36">DF$59*DF13/100</f>
        <v>0</v>
      </c>
      <c r="DG79" s="1242">
        <f t="shared" si="36"/>
        <v>0</v>
      </c>
      <c r="DH79" s="419">
        <f t="shared" si="36"/>
        <v>0</v>
      </c>
      <c r="DI79" s="249">
        <f t="shared" si="36"/>
        <v>0</v>
      </c>
      <c r="DJ79" s="249">
        <f t="shared" si="36"/>
        <v>0</v>
      </c>
      <c r="DK79" s="249">
        <f t="shared" si="36"/>
        <v>0</v>
      </c>
      <c r="DL79" s="249">
        <f t="shared" si="36"/>
        <v>0</v>
      </c>
      <c r="DM79" s="249">
        <f t="shared" si="36"/>
        <v>0</v>
      </c>
      <c r="DN79" s="249">
        <f t="shared" si="36"/>
        <v>0</v>
      </c>
      <c r="DO79" s="249">
        <f t="shared" si="36"/>
        <v>0</v>
      </c>
      <c r="DP79" s="249">
        <f t="shared" si="36"/>
        <v>0</v>
      </c>
      <c r="DQ79" s="335"/>
      <c r="DR79" s="336"/>
      <c r="FF79" s="251"/>
      <c r="FG79" s="251"/>
      <c r="FH79" s="1267"/>
      <c r="FX79" s="1" t="s">
        <v>182</v>
      </c>
    </row>
    <row r="80" spans="3:180" x14ac:dyDescent="0.35">
      <c r="C80" s="1" t="s">
        <v>395</v>
      </c>
      <c r="F80" s="501">
        <f t="shared" si="15"/>
        <v>0</v>
      </c>
      <c r="G80" s="249">
        <f t="shared" si="15"/>
        <v>0</v>
      </c>
      <c r="H80" s="249">
        <f t="shared" si="15"/>
        <v>0</v>
      </c>
      <c r="I80" s="1242">
        <f t="shared" si="15"/>
        <v>0</v>
      </c>
      <c r="J80" s="419">
        <f t="shared" si="15"/>
        <v>0</v>
      </c>
      <c r="K80" s="249">
        <f t="shared" si="15"/>
        <v>0</v>
      </c>
      <c r="L80" s="249">
        <f t="shared" si="15"/>
        <v>0</v>
      </c>
      <c r="M80" s="249">
        <f t="shared" si="15"/>
        <v>0</v>
      </c>
      <c r="N80" s="249">
        <f t="shared" si="15"/>
        <v>0</v>
      </c>
      <c r="O80" s="249">
        <f t="shared" si="15"/>
        <v>0</v>
      </c>
      <c r="P80" s="249">
        <f t="shared" si="15"/>
        <v>0</v>
      </c>
      <c r="Q80" s="249">
        <f t="shared" si="15"/>
        <v>0</v>
      </c>
      <c r="R80" s="1242">
        <f t="shared" si="15"/>
        <v>0</v>
      </c>
      <c r="S80" s="419">
        <f t="shared" si="15"/>
        <v>0</v>
      </c>
      <c r="T80" s="249">
        <f t="shared" si="15"/>
        <v>0</v>
      </c>
      <c r="U80" s="249">
        <f t="shared" si="15"/>
        <v>0</v>
      </c>
      <c r="V80" s="249"/>
      <c r="W80" s="249"/>
      <c r="X80" s="249"/>
      <c r="Y80" s="249"/>
      <c r="Z80" s="249"/>
      <c r="AA80" s="249"/>
      <c r="AB80" s="249"/>
      <c r="AC80" s="249"/>
      <c r="AD80" s="249"/>
      <c r="AE80" s="249"/>
      <c r="AF80" s="249"/>
      <c r="AG80" s="249"/>
      <c r="AH80" s="335"/>
      <c r="AI80" s="249">
        <f t="shared" si="16"/>
        <v>0</v>
      </c>
      <c r="AJ80" s="249">
        <f t="shared" si="16"/>
        <v>0</v>
      </c>
      <c r="AK80" s="249">
        <f t="shared" si="16"/>
        <v>0</v>
      </c>
      <c r="AL80" s="1242">
        <f t="shared" si="16"/>
        <v>0</v>
      </c>
      <c r="AM80" s="419">
        <f t="shared" si="16"/>
        <v>0</v>
      </c>
      <c r="AN80" s="249">
        <f t="shared" si="16"/>
        <v>0</v>
      </c>
      <c r="AO80" s="249">
        <f t="shared" si="16"/>
        <v>0</v>
      </c>
      <c r="AP80" s="249">
        <f t="shared" si="16"/>
        <v>0</v>
      </c>
      <c r="AQ80" s="249">
        <f t="shared" si="16"/>
        <v>0</v>
      </c>
      <c r="AR80" s="249">
        <f t="shared" si="16"/>
        <v>0</v>
      </c>
      <c r="AS80" s="249">
        <f t="shared" si="16"/>
        <v>0</v>
      </c>
      <c r="AT80" s="249">
        <f t="shared" si="16"/>
        <v>0</v>
      </c>
      <c r="AU80" s="1242">
        <f t="shared" si="16"/>
        <v>0</v>
      </c>
      <c r="AV80" s="419">
        <f t="shared" si="16"/>
        <v>0</v>
      </c>
      <c r="AW80" s="249">
        <f t="shared" si="16"/>
        <v>0</v>
      </c>
      <c r="AX80" s="249">
        <f t="shared" si="16"/>
        <v>0</v>
      </c>
      <c r="AY80" s="249">
        <f t="shared" ref="AY80:BJ80" si="37">AY14*AY$59/100</f>
        <v>0</v>
      </c>
      <c r="AZ80" s="249">
        <f t="shared" si="37"/>
        <v>0</v>
      </c>
      <c r="BA80" s="1242">
        <f t="shared" si="37"/>
        <v>0</v>
      </c>
      <c r="BB80" s="419">
        <f t="shared" si="37"/>
        <v>0</v>
      </c>
      <c r="BC80" s="249">
        <f t="shared" si="37"/>
        <v>0</v>
      </c>
      <c r="BD80" s="249">
        <f t="shared" si="37"/>
        <v>0</v>
      </c>
      <c r="BE80" s="249">
        <f t="shared" si="37"/>
        <v>0</v>
      </c>
      <c r="BF80" s="249">
        <f t="shared" si="37"/>
        <v>0</v>
      </c>
      <c r="BG80" s="249">
        <f t="shared" si="37"/>
        <v>0</v>
      </c>
      <c r="BH80" s="249">
        <f t="shared" si="37"/>
        <v>0</v>
      </c>
      <c r="BI80" s="249">
        <f t="shared" si="37"/>
        <v>0</v>
      </c>
      <c r="BJ80" s="249">
        <f t="shared" si="37"/>
        <v>0</v>
      </c>
      <c r="BK80" s="335"/>
      <c r="BL80" s="249">
        <f t="shared" si="18"/>
        <v>153.54042212765955</v>
      </c>
      <c r="BM80" s="249">
        <f t="shared" si="18"/>
        <v>148.64789791666669</v>
      </c>
      <c r="BN80" s="249">
        <f t="shared" si="18"/>
        <v>158.53204694444446</v>
      </c>
      <c r="BO80" s="1242">
        <f t="shared" si="18"/>
        <v>150.57909000000001</v>
      </c>
      <c r="BP80" s="419">
        <f t="shared" si="18"/>
        <v>37.149199999999986</v>
      </c>
      <c r="BQ80" s="249">
        <f t="shared" si="18"/>
        <v>31.302264000000015</v>
      </c>
      <c r="BR80" s="249">
        <f t="shared" si="18"/>
        <v>34.000779661016942</v>
      </c>
      <c r="BS80" s="249">
        <f t="shared" si="18"/>
        <v>35.47296</v>
      </c>
      <c r="BT80" s="249">
        <f t="shared" si="18"/>
        <v>37.991412556053803</v>
      </c>
      <c r="BU80" s="249">
        <f t="shared" si="18"/>
        <v>38.542065000000001</v>
      </c>
      <c r="BV80" s="249">
        <f t="shared" si="18"/>
        <v>37.686191666666645</v>
      </c>
      <c r="BW80" s="249">
        <f t="shared" si="18"/>
        <v>37.042575000000006</v>
      </c>
      <c r="BX80" s="1242">
        <f t="shared" si="18"/>
        <v>36.344587499999996</v>
      </c>
      <c r="BY80" s="419">
        <f t="shared" si="18"/>
        <v>139.15195</v>
      </c>
      <c r="BZ80" s="249">
        <f t="shared" si="18"/>
        <v>0</v>
      </c>
      <c r="CA80" s="249">
        <f t="shared" si="18"/>
        <v>0</v>
      </c>
      <c r="CB80" s="249">
        <f t="shared" si="18"/>
        <v>0</v>
      </c>
      <c r="CC80" s="249">
        <f t="shared" ref="CC80:CM80" si="38">CC14*CC$59/100</f>
        <v>0</v>
      </c>
      <c r="CD80" s="1242">
        <f t="shared" si="38"/>
        <v>0</v>
      </c>
      <c r="CE80" s="419">
        <f t="shared" si="38"/>
        <v>0</v>
      </c>
      <c r="CF80" s="249">
        <f t="shared" si="38"/>
        <v>0</v>
      </c>
      <c r="CG80" s="249">
        <f t="shared" si="38"/>
        <v>0</v>
      </c>
      <c r="CH80" s="249">
        <f t="shared" si="38"/>
        <v>0</v>
      </c>
      <c r="CI80" s="249">
        <f t="shared" si="38"/>
        <v>0</v>
      </c>
      <c r="CJ80" s="249">
        <f t="shared" si="38"/>
        <v>0</v>
      </c>
      <c r="CK80" s="249">
        <f t="shared" si="38"/>
        <v>0</v>
      </c>
      <c r="CL80" s="249">
        <f t="shared" si="38"/>
        <v>0</v>
      </c>
      <c r="CM80" s="249">
        <f t="shared" si="38"/>
        <v>0</v>
      </c>
      <c r="CN80" s="325"/>
      <c r="CO80" s="249">
        <f t="shared" si="20"/>
        <v>0</v>
      </c>
      <c r="CP80" s="249">
        <f t="shared" si="20"/>
        <v>0</v>
      </c>
      <c r="CQ80" s="249">
        <f t="shared" si="20"/>
        <v>0</v>
      </c>
      <c r="CR80" s="1242">
        <f t="shared" si="20"/>
        <v>0</v>
      </c>
      <c r="CS80" s="419">
        <f t="shared" si="20"/>
        <v>0</v>
      </c>
      <c r="CT80" s="249">
        <f t="shared" si="20"/>
        <v>0</v>
      </c>
      <c r="CU80" s="249">
        <f t="shared" si="20"/>
        <v>0</v>
      </c>
      <c r="CV80" s="249">
        <f t="shared" si="20"/>
        <v>0</v>
      </c>
      <c r="CW80" s="249">
        <f t="shared" si="20"/>
        <v>0</v>
      </c>
      <c r="CX80" s="249">
        <f t="shared" si="20"/>
        <v>0</v>
      </c>
      <c r="CY80" s="249">
        <f t="shared" si="20"/>
        <v>0</v>
      </c>
      <c r="CZ80" s="249">
        <f t="shared" si="20"/>
        <v>0</v>
      </c>
      <c r="DA80" s="1242">
        <f t="shared" si="20"/>
        <v>0</v>
      </c>
      <c r="DB80" s="419">
        <f t="shared" si="20"/>
        <v>0</v>
      </c>
      <c r="DC80" s="249">
        <f t="shared" si="20"/>
        <v>0</v>
      </c>
      <c r="DD80" s="249">
        <f t="shared" si="20"/>
        <v>0</v>
      </c>
      <c r="DE80" s="249">
        <f t="shared" si="20"/>
        <v>0</v>
      </c>
      <c r="DF80" s="249">
        <f t="shared" ref="DF80:DP80" si="39">DF$59*DF14/100</f>
        <v>0</v>
      </c>
      <c r="DG80" s="1242">
        <f t="shared" si="39"/>
        <v>0</v>
      </c>
      <c r="DH80" s="419">
        <f t="shared" si="39"/>
        <v>0</v>
      </c>
      <c r="DI80" s="249">
        <f t="shared" si="39"/>
        <v>0</v>
      </c>
      <c r="DJ80" s="249">
        <f t="shared" si="39"/>
        <v>0</v>
      </c>
      <c r="DK80" s="249">
        <f t="shared" si="39"/>
        <v>0</v>
      </c>
      <c r="DL80" s="249">
        <f t="shared" si="39"/>
        <v>0</v>
      </c>
      <c r="DM80" s="249">
        <f t="shared" si="39"/>
        <v>0</v>
      </c>
      <c r="DN80" s="249">
        <f t="shared" si="39"/>
        <v>0</v>
      </c>
      <c r="DO80" s="249">
        <f t="shared" si="39"/>
        <v>0</v>
      </c>
      <c r="DP80" s="249">
        <f t="shared" si="39"/>
        <v>0</v>
      </c>
      <c r="DQ80" s="335"/>
      <c r="DR80" s="336"/>
      <c r="FF80" s="251"/>
      <c r="FG80" s="251"/>
      <c r="FH80" s="1267"/>
      <c r="FX80" s="1" t="s">
        <v>346</v>
      </c>
    </row>
    <row r="81" spans="3:179" ht="15" thickBot="1" x14ac:dyDescent="0.4">
      <c r="C81" s="1" t="s">
        <v>167</v>
      </c>
      <c r="F81" s="1041" t="e" vm="2">
        <f t="shared" ref="F81" ca="1" si="40">SUM(F74:F80)</f>
        <v>#VALUE!</v>
      </c>
      <c r="G81" s="389">
        <f t="shared" ref="G81:U81" si="41">SUM(G74:G80)</f>
        <v>0</v>
      </c>
      <c r="H81" s="389">
        <f t="shared" si="41"/>
        <v>0</v>
      </c>
      <c r="I81" s="1261">
        <f t="shared" si="41"/>
        <v>0</v>
      </c>
      <c r="J81" s="1207">
        <f t="shared" si="41"/>
        <v>0</v>
      </c>
      <c r="K81" s="389">
        <f t="shared" si="41"/>
        <v>0</v>
      </c>
      <c r="L81" s="389">
        <f t="shared" si="41"/>
        <v>0</v>
      </c>
      <c r="M81" s="389">
        <f t="shared" si="41"/>
        <v>0</v>
      </c>
      <c r="N81" s="389">
        <f t="shared" si="41"/>
        <v>0</v>
      </c>
      <c r="O81" s="389">
        <f t="shared" si="41"/>
        <v>0</v>
      </c>
      <c r="P81" s="389">
        <f t="shared" si="41"/>
        <v>0</v>
      </c>
      <c r="Q81" s="389">
        <f t="shared" si="41"/>
        <v>0</v>
      </c>
      <c r="R81" s="1261">
        <f t="shared" si="41"/>
        <v>0</v>
      </c>
      <c r="S81" s="1207">
        <f t="shared" si="41"/>
        <v>0</v>
      </c>
      <c r="T81" s="389">
        <f t="shared" si="41"/>
        <v>0</v>
      </c>
      <c r="U81" s="389">
        <f t="shared" si="41"/>
        <v>0</v>
      </c>
      <c r="V81" s="389"/>
      <c r="W81" s="389"/>
      <c r="X81" s="389"/>
      <c r="Y81" s="389"/>
      <c r="Z81" s="389"/>
      <c r="AA81" s="389"/>
      <c r="AB81" s="389"/>
      <c r="AC81" s="389"/>
      <c r="AD81" s="389"/>
      <c r="AE81" s="389"/>
      <c r="AF81" s="389"/>
      <c r="AG81" s="389"/>
      <c r="AH81" s="390"/>
      <c r="AI81" s="389">
        <f t="shared" ref="AI81:CB81" si="42">SUM(AI74:AI80)</f>
        <v>0</v>
      </c>
      <c r="AJ81" s="389">
        <f t="shared" si="42"/>
        <v>0</v>
      </c>
      <c r="AK81" s="389">
        <f t="shared" si="42"/>
        <v>0</v>
      </c>
      <c r="AL81" s="1261">
        <f t="shared" si="42"/>
        <v>0</v>
      </c>
      <c r="AM81" s="1207">
        <f t="shared" si="42"/>
        <v>0</v>
      </c>
      <c r="AN81" s="389">
        <f t="shared" si="42"/>
        <v>0</v>
      </c>
      <c r="AO81" s="389">
        <f t="shared" si="42"/>
        <v>0</v>
      </c>
      <c r="AP81" s="389">
        <f t="shared" si="42"/>
        <v>0</v>
      </c>
      <c r="AQ81" s="389">
        <f t="shared" si="42"/>
        <v>0</v>
      </c>
      <c r="AR81" s="389">
        <f t="shared" si="42"/>
        <v>0</v>
      </c>
      <c r="AS81" s="389">
        <f t="shared" si="42"/>
        <v>0</v>
      </c>
      <c r="AT81" s="389">
        <f t="shared" si="42"/>
        <v>0</v>
      </c>
      <c r="AU81" s="1261">
        <f t="shared" si="42"/>
        <v>0</v>
      </c>
      <c r="AV81" s="1207">
        <f t="shared" si="42"/>
        <v>0</v>
      </c>
      <c r="AW81" s="389">
        <f t="shared" si="42"/>
        <v>0</v>
      </c>
      <c r="AX81" s="389">
        <f t="shared" si="42"/>
        <v>0</v>
      </c>
      <c r="AY81" s="389">
        <f t="shared" ref="AY81:BJ81" si="43">SUM(AY74:AY80)</f>
        <v>0</v>
      </c>
      <c r="AZ81" s="389">
        <f t="shared" si="43"/>
        <v>0</v>
      </c>
      <c r="BA81" s="1261">
        <f t="shared" si="43"/>
        <v>0</v>
      </c>
      <c r="BB81" s="1207">
        <f t="shared" si="43"/>
        <v>0</v>
      </c>
      <c r="BC81" s="389">
        <f t="shared" si="43"/>
        <v>0</v>
      </c>
      <c r="BD81" s="389">
        <f t="shared" si="43"/>
        <v>0</v>
      </c>
      <c r="BE81" s="389">
        <f t="shared" si="43"/>
        <v>0</v>
      </c>
      <c r="BF81" s="389">
        <f t="shared" si="43"/>
        <v>0</v>
      </c>
      <c r="BG81" s="389">
        <f t="shared" si="43"/>
        <v>0</v>
      </c>
      <c r="BH81" s="389">
        <f t="shared" si="43"/>
        <v>0</v>
      </c>
      <c r="BI81" s="389">
        <f t="shared" si="43"/>
        <v>0</v>
      </c>
      <c r="BJ81" s="389">
        <f t="shared" si="43"/>
        <v>0</v>
      </c>
      <c r="BK81" s="390"/>
      <c r="BL81" s="389">
        <f t="shared" si="42"/>
        <v>256.78978723404254</v>
      </c>
      <c r="BM81" s="389">
        <f t="shared" si="42"/>
        <v>233.45000000000005</v>
      </c>
      <c r="BN81" s="389">
        <f t="shared" si="42"/>
        <v>246.47000000000003</v>
      </c>
      <c r="BO81" s="1261">
        <f t="shared" si="42"/>
        <v>243.74</v>
      </c>
      <c r="BP81" s="1207">
        <f t="shared" si="42"/>
        <v>123.19999999999999</v>
      </c>
      <c r="BQ81" s="389">
        <f t="shared" si="42"/>
        <v>120.21333333333334</v>
      </c>
      <c r="BR81" s="389">
        <f t="shared" si="42"/>
        <v>123.86440677966101</v>
      </c>
      <c r="BS81" s="389">
        <f t="shared" si="42"/>
        <v>120.96</v>
      </c>
      <c r="BT81" s="389">
        <f t="shared" si="42"/>
        <v>120.31210762331837</v>
      </c>
      <c r="BU81" s="389">
        <f t="shared" si="42"/>
        <v>124.11000000000001</v>
      </c>
      <c r="BV81" s="389">
        <f t="shared" si="42"/>
        <v>124.45999999999998</v>
      </c>
      <c r="BW81" s="389">
        <f t="shared" si="42"/>
        <v>121.38</v>
      </c>
      <c r="BX81" s="1261">
        <f t="shared" si="42"/>
        <v>122.85</v>
      </c>
      <c r="BY81" s="1207">
        <f t="shared" si="42"/>
        <v>120.53999999999999</v>
      </c>
      <c r="BZ81" s="389">
        <f t="shared" si="42"/>
        <v>0</v>
      </c>
      <c r="CA81" s="389">
        <f t="shared" si="42"/>
        <v>0</v>
      </c>
      <c r="CB81" s="389">
        <f t="shared" si="42"/>
        <v>0</v>
      </c>
      <c r="CC81" s="389">
        <f t="shared" ref="CC81:CM81" si="44">SUM(CC74:CC80)</f>
        <v>0</v>
      </c>
      <c r="CD81" s="1261">
        <f t="shared" si="44"/>
        <v>0</v>
      </c>
      <c r="CE81" s="1207">
        <f t="shared" si="44"/>
        <v>0</v>
      </c>
      <c r="CF81" s="389">
        <f t="shared" si="44"/>
        <v>0</v>
      </c>
      <c r="CG81" s="389">
        <f t="shared" si="44"/>
        <v>0</v>
      </c>
      <c r="CH81" s="389">
        <f t="shared" si="44"/>
        <v>0</v>
      </c>
      <c r="CI81" s="389">
        <f t="shared" si="44"/>
        <v>0</v>
      </c>
      <c r="CJ81" s="389">
        <f t="shared" si="44"/>
        <v>0</v>
      </c>
      <c r="CK81" s="389">
        <f t="shared" si="44"/>
        <v>0</v>
      </c>
      <c r="CL81" s="389">
        <f t="shared" si="44"/>
        <v>0</v>
      </c>
      <c r="CM81" s="389">
        <f t="shared" si="44"/>
        <v>0</v>
      </c>
      <c r="CN81" s="391"/>
      <c r="CO81" s="389">
        <f t="shared" ref="CO81:DE81" si="45">SUM(CO74:CO80)</f>
        <v>0</v>
      </c>
      <c r="CP81" s="389">
        <f t="shared" si="45"/>
        <v>14.083333333333334</v>
      </c>
      <c r="CQ81" s="389">
        <f t="shared" si="45"/>
        <v>8</v>
      </c>
      <c r="CR81" s="1261">
        <f t="shared" si="45"/>
        <v>11.333333333333332</v>
      </c>
      <c r="CS81" s="1207">
        <f t="shared" si="45"/>
        <v>16.333333333333332</v>
      </c>
      <c r="CT81" s="389">
        <f t="shared" si="45"/>
        <v>18.583333333333336</v>
      </c>
      <c r="CU81" s="389">
        <f t="shared" si="45"/>
        <v>21.882352941176471</v>
      </c>
      <c r="CV81" s="389">
        <f t="shared" si="45"/>
        <v>16.25</v>
      </c>
      <c r="CW81" s="389">
        <f t="shared" si="45"/>
        <v>16.927899686520373</v>
      </c>
      <c r="CX81" s="389">
        <f t="shared" si="45"/>
        <v>18.166666666666664</v>
      </c>
      <c r="CY81" s="389">
        <f t="shared" si="45"/>
        <v>14.5</v>
      </c>
      <c r="CZ81" s="389">
        <f t="shared" si="45"/>
        <v>16.5</v>
      </c>
      <c r="DA81" s="1261">
        <f t="shared" si="45"/>
        <v>15</v>
      </c>
      <c r="DB81" s="1207">
        <f t="shared" si="45"/>
        <v>0</v>
      </c>
      <c r="DC81" s="389">
        <f t="shared" si="45"/>
        <v>0</v>
      </c>
      <c r="DD81" s="389">
        <f t="shared" si="45"/>
        <v>0</v>
      </c>
      <c r="DE81" s="389">
        <f t="shared" si="45"/>
        <v>0</v>
      </c>
      <c r="DF81" s="389">
        <f t="shared" ref="DF81:DP81" si="46">SUM(DF74:DF80)</f>
        <v>0</v>
      </c>
      <c r="DG81" s="1261">
        <f t="shared" si="46"/>
        <v>0</v>
      </c>
      <c r="DH81" s="1207">
        <f t="shared" si="46"/>
        <v>0</v>
      </c>
      <c r="DI81" s="389">
        <f t="shared" si="46"/>
        <v>0</v>
      </c>
      <c r="DJ81" s="389">
        <f t="shared" si="46"/>
        <v>0</v>
      </c>
      <c r="DK81" s="389">
        <f t="shared" si="46"/>
        <v>0</v>
      </c>
      <c r="DL81" s="389">
        <f t="shared" si="46"/>
        <v>0</v>
      </c>
      <c r="DM81" s="389">
        <f t="shared" si="46"/>
        <v>0</v>
      </c>
      <c r="DN81" s="389">
        <f t="shared" si="46"/>
        <v>0</v>
      </c>
      <c r="DO81" s="389">
        <f t="shared" si="46"/>
        <v>0</v>
      </c>
      <c r="DP81" s="389">
        <f t="shared" si="46"/>
        <v>0</v>
      </c>
      <c r="DQ81" s="344"/>
      <c r="DR81" s="345"/>
      <c r="DS81" s="225"/>
      <c r="DT81" s="225"/>
      <c r="DU81" s="225"/>
      <c r="DV81" s="1269"/>
      <c r="DW81" s="1214"/>
      <c r="DX81" s="225"/>
      <c r="DY81" s="225"/>
      <c r="DZ81" s="225"/>
      <c r="EA81" s="225"/>
      <c r="EB81" s="225"/>
      <c r="EC81" s="225"/>
      <c r="ED81" s="225"/>
      <c r="EE81" s="1269"/>
      <c r="EF81" s="1214"/>
      <c r="EG81" s="225"/>
      <c r="EH81" s="225"/>
      <c r="EI81" s="225"/>
      <c r="EJ81" s="225"/>
      <c r="EK81" s="1269"/>
      <c r="EL81" s="1214"/>
      <c r="EM81" s="225"/>
      <c r="EN81" s="225"/>
      <c r="EO81" s="225"/>
      <c r="EP81" s="225"/>
      <c r="EQ81" s="225"/>
      <c r="ER81" s="225"/>
      <c r="ES81" s="225"/>
      <c r="ET81" s="225"/>
      <c r="EU81" s="344"/>
      <c r="EV81" s="225"/>
      <c r="EW81" s="225"/>
      <c r="EX81" s="225"/>
      <c r="EY81" s="1269"/>
      <c r="EZ81" s="1214"/>
      <c r="FA81" s="225"/>
      <c r="FB81" s="225"/>
      <c r="FC81" s="225"/>
      <c r="FD81" s="225"/>
      <c r="FE81" s="225"/>
      <c r="FF81" s="392"/>
      <c r="FG81" s="392"/>
      <c r="FH81" s="1273"/>
      <c r="FI81" s="1214"/>
      <c r="FJ81" s="225"/>
      <c r="FK81" s="225"/>
      <c r="FL81" s="225"/>
      <c r="FM81" s="225"/>
      <c r="FN81" s="1269"/>
      <c r="FO81" s="1214"/>
      <c r="FP81" s="225"/>
      <c r="FQ81" s="225"/>
      <c r="FR81" s="225"/>
      <c r="FS81" s="225"/>
      <c r="FT81" s="225"/>
      <c r="FU81" s="225"/>
      <c r="FV81" s="225"/>
      <c r="FW81" s="225"/>
    </row>
    <row r="82" spans="3:179" s="299" customFormat="1" ht="15.5" thickTop="1" thickBot="1" x14ac:dyDescent="0.4">
      <c r="C82" s="305"/>
      <c r="D82" s="305"/>
      <c r="E82" s="305"/>
      <c r="F82" s="1031"/>
      <c r="G82" s="307"/>
      <c r="H82" s="307"/>
      <c r="I82" s="1239"/>
      <c r="J82" s="1186"/>
      <c r="K82" s="307"/>
      <c r="L82" s="307"/>
      <c r="M82" s="307"/>
      <c r="N82" s="307"/>
      <c r="O82" s="307"/>
      <c r="P82" s="307"/>
      <c r="Q82" s="307"/>
      <c r="R82" s="1239"/>
      <c r="S82" s="1186"/>
      <c r="T82" s="307"/>
      <c r="U82" s="307"/>
      <c r="V82" s="307"/>
      <c r="W82" s="307"/>
      <c r="X82" s="1239"/>
      <c r="Y82" s="1186"/>
      <c r="Z82" s="307"/>
      <c r="AA82" s="307"/>
      <c r="AB82" s="307"/>
      <c r="AC82" s="307"/>
      <c r="AD82" s="307"/>
      <c r="AE82" s="307"/>
      <c r="AF82" s="307"/>
      <c r="AG82" s="307"/>
      <c r="AH82" s="359"/>
      <c r="AI82" s="307"/>
      <c r="AJ82" s="307"/>
      <c r="AK82" s="307"/>
      <c r="AL82" s="1239"/>
      <c r="AM82" s="1186"/>
      <c r="AN82" s="307"/>
      <c r="AO82" s="307"/>
      <c r="AP82" s="307"/>
      <c r="AQ82" s="307"/>
      <c r="AR82" s="307"/>
      <c r="AS82" s="307"/>
      <c r="AT82" s="307"/>
      <c r="AU82" s="1239"/>
      <c r="AV82" s="1186"/>
      <c r="AW82" s="307"/>
      <c r="AX82" s="307"/>
      <c r="AY82" s="307"/>
      <c r="AZ82" s="307"/>
      <c r="BA82" s="1239"/>
      <c r="BB82" s="1186"/>
      <c r="BC82" s="307"/>
      <c r="BD82" s="307"/>
      <c r="BE82" s="307"/>
      <c r="BF82" s="307"/>
      <c r="BG82" s="307"/>
      <c r="BH82" s="307"/>
      <c r="BI82" s="307"/>
      <c r="BJ82" s="307"/>
      <c r="BK82" s="359"/>
      <c r="BL82" s="307"/>
      <c r="BM82" s="307"/>
      <c r="BN82" s="307"/>
      <c r="BO82" s="1239"/>
      <c r="BP82" s="1186"/>
      <c r="BQ82" s="307"/>
      <c r="BR82" s="307"/>
      <c r="BS82" s="307"/>
      <c r="BT82" s="307"/>
      <c r="BU82" s="307"/>
      <c r="BV82" s="307"/>
      <c r="BW82" s="307"/>
      <c r="BX82" s="1239"/>
      <c r="BY82" s="1186"/>
      <c r="BZ82" s="307"/>
      <c r="CA82" s="307"/>
      <c r="CB82" s="307"/>
      <c r="CC82" s="307"/>
      <c r="CD82" s="1239"/>
      <c r="CE82" s="1186"/>
      <c r="CF82" s="307"/>
      <c r="CG82" s="307"/>
      <c r="CH82" s="307"/>
      <c r="CI82" s="307"/>
      <c r="CJ82" s="307"/>
      <c r="CK82" s="307"/>
      <c r="CL82" s="307"/>
      <c r="CM82" s="307"/>
      <c r="CN82" s="359"/>
      <c r="CO82" s="307"/>
      <c r="CP82" s="307"/>
      <c r="CQ82" s="307"/>
      <c r="CR82" s="1239"/>
      <c r="CS82" s="1186"/>
      <c r="CT82" s="307"/>
      <c r="CU82" s="307"/>
      <c r="CV82" s="307"/>
      <c r="CW82" s="307"/>
      <c r="CX82" s="307"/>
      <c r="CY82" s="307"/>
      <c r="CZ82" s="307"/>
      <c r="DA82" s="1239"/>
      <c r="DB82" s="1186"/>
      <c r="DC82" s="307"/>
      <c r="DD82" s="307"/>
      <c r="DE82" s="307"/>
      <c r="DF82" s="307"/>
      <c r="DG82" s="1239"/>
      <c r="DH82" s="1186"/>
      <c r="DI82" s="307"/>
      <c r="DJ82" s="307"/>
      <c r="DK82" s="307"/>
      <c r="DL82" s="307"/>
      <c r="DM82" s="307"/>
      <c r="DN82" s="307"/>
      <c r="DO82" s="307"/>
      <c r="DP82" s="307"/>
      <c r="DQ82" s="359"/>
      <c r="DR82" s="361"/>
      <c r="DS82" s="307"/>
      <c r="DT82" s="307"/>
      <c r="DU82" s="307"/>
      <c r="DV82" s="1239"/>
      <c r="DW82" s="1186"/>
      <c r="DX82" s="307"/>
      <c r="DY82" s="307"/>
      <c r="DZ82" s="307"/>
      <c r="EA82" s="307"/>
      <c r="EB82" s="307"/>
      <c r="EC82" s="307"/>
      <c r="ED82" s="307"/>
      <c r="EE82" s="1239"/>
      <c r="EF82" s="1186"/>
      <c r="EG82" s="307"/>
      <c r="EH82" s="307"/>
      <c r="EI82" s="307"/>
      <c r="EJ82" s="307"/>
      <c r="EK82" s="1239"/>
      <c r="EL82" s="1186"/>
      <c r="EM82" s="307"/>
      <c r="EN82" s="307"/>
      <c r="EO82" s="307"/>
      <c r="EP82" s="307"/>
      <c r="EQ82" s="307"/>
      <c r="ER82" s="307"/>
      <c r="ES82" s="307"/>
      <c r="ET82" s="307"/>
      <c r="EU82" s="359"/>
      <c r="EV82" s="307"/>
      <c r="EW82" s="307"/>
      <c r="EX82" s="307"/>
      <c r="EY82" s="1239"/>
      <c r="EZ82" s="1186"/>
      <c r="FA82" s="307"/>
      <c r="FB82" s="307"/>
      <c r="FC82" s="307"/>
      <c r="FD82" s="307"/>
      <c r="FE82" s="307"/>
      <c r="FF82" s="1144"/>
      <c r="FG82" s="1144"/>
      <c r="FH82" s="1572"/>
      <c r="FI82" s="1186"/>
      <c r="FJ82" s="307"/>
      <c r="FK82" s="307"/>
      <c r="FL82" s="307"/>
      <c r="FM82" s="307"/>
      <c r="FN82" s="1239"/>
      <c r="FO82" s="1186"/>
      <c r="FP82" s="307"/>
      <c r="FQ82" s="307"/>
      <c r="FR82" s="307"/>
      <c r="FS82" s="307"/>
      <c r="FT82" s="307"/>
      <c r="FU82" s="307"/>
      <c r="FV82" s="307"/>
      <c r="FW82" s="307"/>
    </row>
    <row r="83" spans="3:179" ht="15" thickTop="1" x14ac:dyDescent="0.35">
      <c r="C83" s="1" t="s">
        <v>423</v>
      </c>
      <c r="F83" s="896">
        <f>F$18*F$55*10^-6</f>
        <v>0</v>
      </c>
      <c r="G83" s="895">
        <f t="shared" ref="G83:I83" si="47">G$18*G$55*10^-6</f>
        <v>0</v>
      </c>
      <c r="H83" s="894">
        <f t="shared" si="47"/>
        <v>0</v>
      </c>
      <c r="I83" s="1262">
        <f t="shared" si="47"/>
        <v>0</v>
      </c>
      <c r="J83" s="1208"/>
      <c r="K83" s="894"/>
      <c r="L83" s="894"/>
      <c r="M83" s="894"/>
      <c r="N83" s="894"/>
      <c r="O83" s="894"/>
      <c r="P83" s="894"/>
      <c r="Q83" s="894"/>
      <c r="R83" s="1262"/>
      <c r="S83" s="1208"/>
      <c r="T83" s="894"/>
      <c r="U83" s="894"/>
      <c r="V83" s="894"/>
      <c r="W83" s="894"/>
      <c r="X83" s="1262"/>
      <c r="Y83" s="1208"/>
      <c r="Z83" s="894"/>
      <c r="AA83" s="894"/>
      <c r="AB83" s="894"/>
      <c r="AC83" s="894"/>
      <c r="AD83" s="894"/>
      <c r="AE83" s="894"/>
      <c r="AF83" s="894"/>
      <c r="AG83" s="894"/>
      <c r="AH83" s="356"/>
      <c r="AI83" s="229"/>
      <c r="AJ83" s="229"/>
      <c r="AK83" s="229"/>
      <c r="AL83" s="1245"/>
      <c r="AM83" s="538"/>
      <c r="AN83" s="229"/>
      <c r="AO83" s="229"/>
      <c r="AP83" s="229"/>
      <c r="AQ83" s="229"/>
      <c r="AR83" s="229"/>
      <c r="AS83" s="229"/>
      <c r="AT83" s="229"/>
      <c r="AU83" s="1245"/>
      <c r="AV83" s="538"/>
      <c r="AW83" s="229"/>
      <c r="AX83" s="229"/>
      <c r="AY83" s="229"/>
      <c r="AZ83" s="229"/>
      <c r="BA83" s="1245"/>
      <c r="BB83" s="538"/>
      <c r="BC83" s="229"/>
      <c r="BD83" s="229"/>
      <c r="BE83" s="229"/>
      <c r="BF83" s="229"/>
      <c r="BG83" s="229"/>
      <c r="BH83" s="229"/>
      <c r="BI83" s="229"/>
      <c r="BJ83" s="229"/>
      <c r="BK83" s="356"/>
      <c r="BL83" s="229"/>
      <c r="BM83" s="229"/>
      <c r="BN83" s="229"/>
      <c r="BO83" s="1245"/>
      <c r="BP83" s="538"/>
      <c r="BQ83" s="229"/>
      <c r="BR83" s="229"/>
      <c r="BS83" s="229"/>
      <c r="BT83" s="229"/>
      <c r="BU83" s="229"/>
      <c r="BV83" s="229"/>
      <c r="BW83" s="229"/>
      <c r="BX83" s="1245"/>
      <c r="BY83" s="538"/>
      <c r="BZ83" s="229"/>
      <c r="CA83" s="229"/>
      <c r="CB83" s="229"/>
      <c r="CC83" s="229"/>
      <c r="CD83" s="1245"/>
      <c r="CE83" s="538"/>
      <c r="CF83" s="229"/>
      <c r="CG83" s="229"/>
      <c r="CH83" s="229"/>
      <c r="CI83" s="229"/>
      <c r="CJ83" s="229"/>
      <c r="CK83" s="229"/>
      <c r="CL83" s="229"/>
      <c r="CM83" s="229"/>
      <c r="CN83" s="356"/>
      <c r="CO83" s="229"/>
      <c r="CP83" s="229"/>
      <c r="CQ83" s="229"/>
      <c r="CR83" s="1245"/>
      <c r="CS83" s="538"/>
      <c r="CT83" s="229"/>
      <c r="CU83" s="229"/>
      <c r="CV83" s="229"/>
      <c r="CW83" s="229"/>
      <c r="CX83" s="229"/>
      <c r="CY83" s="229"/>
      <c r="CZ83" s="229"/>
      <c r="DA83" s="1245"/>
      <c r="DB83" s="538"/>
      <c r="DC83" s="229"/>
      <c r="DD83" s="229"/>
      <c r="DE83" s="229"/>
      <c r="DF83" s="229"/>
      <c r="DG83" s="1245"/>
      <c r="DH83" s="538"/>
      <c r="DI83" s="229"/>
      <c r="DJ83" s="229"/>
      <c r="DK83" s="229"/>
      <c r="DL83" s="229"/>
      <c r="DM83" s="229"/>
      <c r="DN83" s="229"/>
      <c r="DO83" s="229"/>
      <c r="DP83" s="229"/>
      <c r="DQ83" s="356"/>
      <c r="DR83" s="358"/>
      <c r="DS83" s="229"/>
      <c r="DT83" s="229"/>
      <c r="DU83" s="229"/>
      <c r="DV83" s="1245"/>
      <c r="DW83" s="538"/>
      <c r="DX83" s="229"/>
      <c r="DY83" s="229"/>
      <c r="DZ83" s="229"/>
      <c r="EA83" s="229"/>
      <c r="EB83" s="229"/>
      <c r="EC83" s="229"/>
      <c r="ED83" s="229"/>
      <c r="EE83" s="1245"/>
      <c r="EF83" s="538"/>
      <c r="EG83" s="229"/>
      <c r="EH83" s="229"/>
      <c r="EI83" s="229"/>
      <c r="EJ83" s="229"/>
      <c r="EK83" s="1245"/>
      <c r="EL83" s="538"/>
      <c r="EM83" s="229"/>
      <c r="EN83" s="229"/>
      <c r="EO83" s="229"/>
      <c r="EP83" s="229"/>
      <c r="EQ83" s="229"/>
      <c r="ER83" s="229"/>
      <c r="ES83" s="229"/>
      <c r="ET83" s="229"/>
      <c r="EU83" s="356"/>
      <c r="EV83" s="229"/>
      <c r="EW83" s="229"/>
      <c r="EX83" s="229"/>
      <c r="EY83" s="1245"/>
      <c r="EZ83" s="538"/>
      <c r="FA83" s="229"/>
      <c r="FB83" s="229"/>
      <c r="FC83" s="229"/>
      <c r="FD83" s="229"/>
      <c r="FE83" s="229"/>
      <c r="FF83" s="393"/>
      <c r="FG83" s="393"/>
      <c r="FH83" s="1266"/>
      <c r="FI83" s="538"/>
      <c r="FJ83" s="229"/>
      <c r="FK83" s="229"/>
      <c r="FL83" s="229"/>
      <c r="FM83" s="229"/>
      <c r="FN83" s="1245"/>
      <c r="FO83" s="538"/>
      <c r="FP83" s="229"/>
      <c r="FQ83" s="229"/>
      <c r="FR83" s="229"/>
      <c r="FS83" s="229"/>
      <c r="FT83" s="229"/>
      <c r="FU83" s="229"/>
      <c r="FV83" s="229"/>
      <c r="FW83" s="229"/>
    </row>
    <row r="84" spans="3:179" x14ac:dyDescent="0.35">
      <c r="C84" s="1" t="s">
        <v>422</v>
      </c>
      <c r="F84" s="1042">
        <f>F$57*F$18*10^-6</f>
        <v>0</v>
      </c>
      <c r="G84" s="232">
        <f t="shared" ref="G84:I84" si="48">G$57*G$18*10^-6</f>
        <v>0</v>
      </c>
      <c r="H84" s="232">
        <f t="shared" si="48"/>
        <v>0</v>
      </c>
      <c r="I84" s="1236">
        <f t="shared" si="48"/>
        <v>0</v>
      </c>
      <c r="J84" s="898"/>
      <c r="K84" s="465"/>
      <c r="L84" s="465"/>
      <c r="M84" s="465"/>
      <c r="N84" s="465"/>
      <c r="O84" s="465"/>
      <c r="P84" s="465"/>
      <c r="Q84" s="465"/>
      <c r="R84" s="1416"/>
      <c r="S84" s="898"/>
      <c r="T84" s="465"/>
      <c r="U84" s="465"/>
      <c r="FF84" s="251"/>
      <c r="FG84" s="251"/>
      <c r="FH84" s="1267"/>
    </row>
    <row r="85" spans="3:179" s="1147" customFormat="1" x14ac:dyDescent="0.35">
      <c r="C85" s="911" t="s">
        <v>129</v>
      </c>
      <c r="D85" s="911"/>
      <c r="E85" s="911"/>
      <c r="F85" s="1043">
        <f>F$59*F$18*(10^-6)</f>
        <v>0</v>
      </c>
      <c r="G85" s="912">
        <f t="shared" ref="G85:AG85" si="49">G$59*G$18*(10^-6)</f>
        <v>0</v>
      </c>
      <c r="H85" s="912">
        <f t="shared" si="49"/>
        <v>0</v>
      </c>
      <c r="I85" s="1263">
        <f>I$59*I$18*(10^-6)</f>
        <v>0</v>
      </c>
      <c r="J85" s="1209">
        <f>J$59*J$18*(10^-6)</f>
        <v>0</v>
      </c>
      <c r="K85" s="912">
        <f t="shared" si="49"/>
        <v>0</v>
      </c>
      <c r="L85" s="912">
        <f t="shared" si="49"/>
        <v>0</v>
      </c>
      <c r="M85" s="912">
        <f t="shared" si="49"/>
        <v>0</v>
      </c>
      <c r="N85" s="912">
        <f t="shared" si="49"/>
        <v>0</v>
      </c>
      <c r="O85" s="912">
        <f t="shared" si="49"/>
        <v>0</v>
      </c>
      <c r="P85" s="912">
        <f t="shared" si="49"/>
        <v>0</v>
      </c>
      <c r="Q85" s="912">
        <f t="shared" si="49"/>
        <v>0</v>
      </c>
      <c r="R85" s="1263">
        <f t="shared" si="49"/>
        <v>0</v>
      </c>
      <c r="S85" s="1209">
        <f t="shared" si="49"/>
        <v>0</v>
      </c>
      <c r="T85" s="912">
        <f t="shared" si="49"/>
        <v>0</v>
      </c>
      <c r="U85" s="912">
        <f t="shared" si="49"/>
        <v>0</v>
      </c>
      <c r="V85" s="912">
        <f t="shared" si="49"/>
        <v>0</v>
      </c>
      <c r="W85" s="912">
        <f t="shared" si="49"/>
        <v>0</v>
      </c>
      <c r="X85" s="1263">
        <f t="shared" si="49"/>
        <v>0</v>
      </c>
      <c r="Y85" s="1209">
        <f t="shared" si="49"/>
        <v>0</v>
      </c>
      <c r="Z85" s="912">
        <f t="shared" si="49"/>
        <v>0</v>
      </c>
      <c r="AA85" s="912">
        <f t="shared" si="49"/>
        <v>0</v>
      </c>
      <c r="AB85" s="912">
        <f t="shared" si="49"/>
        <v>0</v>
      </c>
      <c r="AC85" s="912">
        <f t="shared" si="49"/>
        <v>0</v>
      </c>
      <c r="AD85" s="912">
        <f t="shared" si="49"/>
        <v>0</v>
      </c>
      <c r="AE85" s="912">
        <f t="shared" si="49"/>
        <v>0</v>
      </c>
      <c r="AF85" s="912">
        <f t="shared" si="49"/>
        <v>0</v>
      </c>
      <c r="AG85" s="912">
        <f t="shared" si="49"/>
        <v>0</v>
      </c>
      <c r="AH85" s="323"/>
      <c r="AI85" s="912">
        <f>AI$59*AI$18*(10^-6)</f>
        <v>0</v>
      </c>
      <c r="AJ85" s="912">
        <f t="shared" ref="AJ85:BJ85" si="50">AJ$59*AJ$18*(10^-6)</f>
        <v>0</v>
      </c>
      <c r="AK85" s="912">
        <f t="shared" si="50"/>
        <v>0</v>
      </c>
      <c r="AL85" s="1263">
        <f t="shared" si="50"/>
        <v>0</v>
      </c>
      <c r="AM85" s="1209">
        <f t="shared" si="50"/>
        <v>0</v>
      </c>
      <c r="AN85" s="912">
        <f t="shared" si="50"/>
        <v>0</v>
      </c>
      <c r="AO85" s="912">
        <f t="shared" si="50"/>
        <v>0</v>
      </c>
      <c r="AP85" s="912">
        <f t="shared" si="50"/>
        <v>0</v>
      </c>
      <c r="AQ85" s="912">
        <f t="shared" si="50"/>
        <v>0</v>
      </c>
      <c r="AR85" s="912">
        <f t="shared" si="50"/>
        <v>0</v>
      </c>
      <c r="AS85" s="912">
        <f t="shared" si="50"/>
        <v>0</v>
      </c>
      <c r="AT85" s="912">
        <f t="shared" si="50"/>
        <v>0</v>
      </c>
      <c r="AU85" s="1263">
        <f t="shared" si="50"/>
        <v>0</v>
      </c>
      <c r="AV85" s="1209">
        <f t="shared" si="50"/>
        <v>0</v>
      </c>
      <c r="AW85" s="912">
        <f t="shared" si="50"/>
        <v>0</v>
      </c>
      <c r="AX85" s="912">
        <f t="shared" si="50"/>
        <v>0</v>
      </c>
      <c r="AY85" s="912">
        <f t="shared" si="50"/>
        <v>0</v>
      </c>
      <c r="AZ85" s="912">
        <f t="shared" si="50"/>
        <v>0</v>
      </c>
      <c r="BA85" s="1263">
        <f t="shared" si="50"/>
        <v>0</v>
      </c>
      <c r="BB85" s="1209">
        <f t="shared" si="50"/>
        <v>0</v>
      </c>
      <c r="BC85" s="912">
        <f t="shared" si="50"/>
        <v>0</v>
      </c>
      <c r="BD85" s="912">
        <f t="shared" si="50"/>
        <v>0</v>
      </c>
      <c r="BE85" s="912">
        <f t="shared" si="50"/>
        <v>0</v>
      </c>
      <c r="BF85" s="912">
        <f t="shared" si="50"/>
        <v>0</v>
      </c>
      <c r="BG85" s="912">
        <f t="shared" si="50"/>
        <v>0</v>
      </c>
      <c r="BH85" s="912">
        <f t="shared" si="50"/>
        <v>0</v>
      </c>
      <c r="BI85" s="912">
        <f t="shared" si="50"/>
        <v>0</v>
      </c>
      <c r="BJ85" s="912">
        <f t="shared" si="50"/>
        <v>0</v>
      </c>
      <c r="BK85" s="323"/>
      <c r="BL85" s="912">
        <f t="shared" ref="BL85:CM85" si="51">BL$59*BL$18*(10^-6)</f>
        <v>6.0295281989567314E-3</v>
      </c>
      <c r="BM85" s="912">
        <f t="shared" si="51"/>
        <v>5.7919303492709392E-3</v>
      </c>
      <c r="BN85" s="912">
        <f t="shared" si="51"/>
        <v>6.5859375697976718E-3</v>
      </c>
      <c r="BO85" s="1263">
        <f t="shared" si="51"/>
        <v>6.2344920718887756E-3</v>
      </c>
      <c r="BP85" s="1209" t="e">
        <f t="shared" si="51"/>
        <v>#REF!</v>
      </c>
      <c r="BQ85" s="912">
        <f t="shared" si="51"/>
        <v>6.7493704080479262E-4</v>
      </c>
      <c r="BR85" s="912">
        <f t="shared" si="51"/>
        <v>8.7844543683293966E-4</v>
      </c>
      <c r="BS85" s="912">
        <f t="shared" si="51"/>
        <v>9.736568056968462E-4</v>
      </c>
      <c r="BT85" s="912">
        <f t="shared" si="51"/>
        <v>1.0886080553261955E-3</v>
      </c>
      <c r="BU85" s="912">
        <f t="shared" si="51"/>
        <v>1.2190592472024412E-3</v>
      </c>
      <c r="BV85" s="912">
        <f t="shared" si="51"/>
        <v>1.3696086537809426E-3</v>
      </c>
      <c r="BW85" s="912">
        <f t="shared" si="51"/>
        <v>1.3213679755849442E-3</v>
      </c>
      <c r="BX85" s="1263">
        <f t="shared" si="51"/>
        <v>1.394002034587996E-3</v>
      </c>
      <c r="BY85" s="1209">
        <f t="shared" si="51"/>
        <v>0</v>
      </c>
      <c r="BZ85" s="912">
        <f t="shared" si="51"/>
        <v>0</v>
      </c>
      <c r="CA85" s="912">
        <f t="shared" si="51"/>
        <v>0</v>
      </c>
      <c r="CB85" s="912">
        <f t="shared" si="51"/>
        <v>0</v>
      </c>
      <c r="CC85" s="912">
        <f t="shared" si="51"/>
        <v>0</v>
      </c>
      <c r="CD85" s="1263">
        <f t="shared" si="51"/>
        <v>0</v>
      </c>
      <c r="CE85" s="1209">
        <f t="shared" si="51"/>
        <v>0</v>
      </c>
      <c r="CF85" s="912">
        <f t="shared" si="51"/>
        <v>0</v>
      </c>
      <c r="CG85" s="912">
        <f t="shared" si="51"/>
        <v>0</v>
      </c>
      <c r="CH85" s="912">
        <f t="shared" si="51"/>
        <v>0</v>
      </c>
      <c r="CI85" s="912">
        <f t="shared" si="51"/>
        <v>0</v>
      </c>
      <c r="CJ85" s="912">
        <f t="shared" si="51"/>
        <v>0</v>
      </c>
      <c r="CK85" s="912">
        <f t="shared" si="51"/>
        <v>0</v>
      </c>
      <c r="CL85" s="912">
        <f t="shared" si="51"/>
        <v>0</v>
      </c>
      <c r="CM85" s="912">
        <f t="shared" si="51"/>
        <v>0</v>
      </c>
      <c r="CN85" s="323"/>
      <c r="CO85" s="912"/>
      <c r="CP85" s="912"/>
      <c r="CQ85" s="912"/>
      <c r="CR85" s="1263"/>
      <c r="CS85" s="1209"/>
      <c r="CT85" s="912"/>
      <c r="CU85" s="912"/>
      <c r="CV85" s="912"/>
      <c r="CW85" s="912"/>
      <c r="CX85" s="912"/>
      <c r="CY85" s="912"/>
      <c r="CZ85" s="912"/>
      <c r="DA85" s="1263"/>
      <c r="DB85" s="1209"/>
      <c r="DC85" s="912"/>
      <c r="DD85" s="912"/>
      <c r="DE85" s="912"/>
      <c r="DF85" s="912"/>
      <c r="DG85" s="1263"/>
      <c r="DH85" s="1209"/>
      <c r="DI85" s="912"/>
      <c r="DJ85" s="912"/>
      <c r="DK85" s="912"/>
      <c r="DL85" s="912"/>
      <c r="DM85" s="912"/>
      <c r="DN85" s="912"/>
      <c r="DO85" s="912"/>
      <c r="DP85" s="912"/>
      <c r="DQ85" s="323"/>
      <c r="DR85" s="1145"/>
      <c r="DS85" s="912"/>
      <c r="DT85" s="912"/>
      <c r="DU85" s="912"/>
      <c r="DV85" s="1263"/>
      <c r="DW85" s="1209"/>
      <c r="DX85" s="912"/>
      <c r="DY85" s="912"/>
      <c r="DZ85" s="912"/>
      <c r="EA85" s="912"/>
      <c r="EB85" s="912"/>
      <c r="EC85" s="912"/>
      <c r="ED85" s="912"/>
      <c r="EE85" s="1263"/>
      <c r="EF85" s="1209"/>
      <c r="EG85" s="912"/>
      <c r="EH85" s="912"/>
      <c r="EI85" s="912"/>
      <c r="EJ85" s="912"/>
      <c r="EK85" s="1263"/>
      <c r="EL85" s="1209"/>
      <c r="EM85" s="912"/>
      <c r="EN85" s="912"/>
      <c r="EO85" s="912"/>
      <c r="EP85" s="912"/>
      <c r="EQ85" s="912"/>
      <c r="ER85" s="912"/>
      <c r="ES85" s="912"/>
      <c r="ET85" s="912"/>
      <c r="EU85" s="323"/>
      <c r="EV85" s="912"/>
      <c r="EW85" s="912"/>
      <c r="EX85" s="912"/>
      <c r="EY85" s="1263"/>
      <c r="EZ85" s="1209"/>
      <c r="FA85" s="912"/>
      <c r="FB85" s="912"/>
      <c r="FC85" s="912"/>
      <c r="FD85" s="912"/>
      <c r="FE85" s="912"/>
      <c r="FF85" s="912"/>
      <c r="FG85" s="912"/>
      <c r="FH85" s="1263"/>
      <c r="FI85" s="1209"/>
      <c r="FJ85" s="1146"/>
      <c r="FK85" s="912"/>
      <c r="FL85" s="912"/>
      <c r="FM85" s="912"/>
      <c r="FN85" s="1263"/>
      <c r="FO85" s="1209"/>
      <c r="FP85" s="912"/>
      <c r="FQ85" s="912"/>
      <c r="FR85" s="912"/>
      <c r="FS85" s="912"/>
      <c r="FT85" s="912"/>
      <c r="FU85" s="912"/>
      <c r="FV85" s="912"/>
      <c r="FW85" s="912"/>
    </row>
    <row r="86" spans="3:179" x14ac:dyDescent="0.35">
      <c r="C86" s="1" t="s">
        <v>417</v>
      </c>
      <c r="F86" s="1042">
        <f>F$55*F$20*10^-6</f>
        <v>0</v>
      </c>
      <c r="G86" s="232">
        <f t="shared" ref="G86:I86" si="52">G$55*G$20*10^-6</f>
        <v>0</v>
      </c>
      <c r="H86" s="232">
        <f t="shared" si="52"/>
        <v>0</v>
      </c>
      <c r="I86" s="1236">
        <f t="shared" si="52"/>
        <v>0</v>
      </c>
      <c r="AH86" s="337"/>
      <c r="AI86" s="266"/>
      <c r="AJ86" s="266"/>
      <c r="AK86" s="266"/>
      <c r="AL86" s="1479"/>
      <c r="AM86" s="1467"/>
      <c r="AN86" s="266"/>
      <c r="AO86" s="266"/>
      <c r="AP86" s="266"/>
      <c r="AQ86" s="266"/>
      <c r="AR86" s="266"/>
      <c r="AS86" s="266"/>
      <c r="AT86" s="266"/>
      <c r="AU86" s="1479"/>
      <c r="AV86" s="1467"/>
      <c r="AW86" s="266"/>
      <c r="AX86" s="266"/>
      <c r="AY86" s="266"/>
      <c r="AZ86" s="266"/>
      <c r="BA86" s="1479"/>
      <c r="BB86" s="1467"/>
      <c r="BC86" s="266"/>
      <c r="BD86" s="266"/>
      <c r="BE86" s="266"/>
      <c r="BF86" s="266"/>
      <c r="BG86" s="266"/>
      <c r="BH86" s="266"/>
      <c r="BI86" s="266"/>
      <c r="BJ86" s="266"/>
      <c r="BK86" s="337"/>
      <c r="BP86" s="898"/>
      <c r="BQ86" s="465"/>
      <c r="BR86" s="465"/>
      <c r="BS86" s="465"/>
      <c r="BT86" s="465"/>
      <c r="BU86" s="465"/>
      <c r="BV86" s="465"/>
      <c r="BW86" s="465"/>
      <c r="BX86" s="1416"/>
      <c r="BY86" s="898"/>
      <c r="BZ86" s="465"/>
      <c r="CA86" s="465"/>
      <c r="CB86" s="266"/>
      <c r="CC86" s="266"/>
      <c r="CD86" s="1479"/>
      <c r="CE86" s="1467"/>
      <c r="CF86" s="266"/>
      <c r="CG86" s="266"/>
      <c r="CH86" s="266"/>
      <c r="CI86" s="266"/>
      <c r="CJ86" s="266"/>
      <c r="CK86" s="266"/>
      <c r="CL86" s="266"/>
      <c r="CM86" s="266"/>
      <c r="CN86" s="337"/>
      <c r="CO86" s="266"/>
      <c r="CP86" s="266"/>
      <c r="CQ86" s="266"/>
      <c r="CR86" s="1479"/>
      <c r="CS86" s="1467"/>
      <c r="CT86" s="266"/>
      <c r="CU86" s="266"/>
      <c r="CV86" s="266"/>
      <c r="CW86" s="266"/>
      <c r="CX86" s="266"/>
      <c r="CY86" s="266"/>
      <c r="CZ86" s="266"/>
      <c r="DA86" s="1479"/>
      <c r="DB86" s="1467"/>
      <c r="DC86" s="266"/>
      <c r="DD86" s="266"/>
      <c r="FJ86" s="240"/>
    </row>
    <row r="87" spans="3:179" x14ac:dyDescent="0.35">
      <c r="C87" s="1" t="s">
        <v>418</v>
      </c>
      <c r="F87" s="1042">
        <f>F$57*F$20*10^-6</f>
        <v>0</v>
      </c>
      <c r="G87" s="232">
        <f t="shared" ref="G87:I87" si="53">G$57*G$20*10^-6</f>
        <v>0</v>
      </c>
      <c r="H87" s="232">
        <f t="shared" si="53"/>
        <v>0</v>
      </c>
      <c r="I87" s="1236">
        <f t="shared" si="53"/>
        <v>0</v>
      </c>
      <c r="J87" s="898"/>
      <c r="K87" s="465"/>
      <c r="L87" s="465"/>
      <c r="M87" s="465"/>
      <c r="N87" s="465"/>
      <c r="O87" s="465"/>
      <c r="P87" s="465"/>
      <c r="Q87" s="465"/>
      <c r="R87" s="1416"/>
      <c r="S87" s="898"/>
      <c r="T87" s="465"/>
      <c r="U87" s="465"/>
      <c r="V87" s="465"/>
      <c r="W87" s="465"/>
      <c r="X87" s="1416"/>
      <c r="Y87" s="898"/>
      <c r="Z87" s="465"/>
      <c r="AA87" s="465"/>
      <c r="AB87" s="465"/>
      <c r="AC87" s="465"/>
      <c r="AD87" s="465"/>
      <c r="AE87" s="465"/>
      <c r="AF87" s="465"/>
      <c r="AG87" s="465"/>
      <c r="AH87" s="337"/>
      <c r="AI87" s="266"/>
      <c r="AJ87" s="266"/>
      <c r="AK87" s="266"/>
      <c r="AL87" s="1479"/>
      <c r="AM87" s="1467"/>
      <c r="AN87" s="266"/>
      <c r="AO87" s="266"/>
      <c r="AP87" s="266"/>
      <c r="AQ87" s="266"/>
      <c r="AR87" s="266"/>
      <c r="AS87" s="266"/>
      <c r="AT87" s="266"/>
      <c r="AU87" s="1479"/>
      <c r="AV87" s="1467"/>
      <c r="AW87" s="266"/>
      <c r="AX87" s="266"/>
      <c r="AY87" s="266"/>
      <c r="AZ87" s="266"/>
      <c r="BA87" s="1479"/>
      <c r="BB87" s="1467"/>
      <c r="BC87" s="266"/>
      <c r="BD87" s="266"/>
      <c r="BE87" s="266"/>
      <c r="BF87" s="266"/>
      <c r="BG87" s="266"/>
      <c r="BH87" s="266"/>
      <c r="BI87" s="266"/>
      <c r="BJ87" s="266"/>
      <c r="BK87" s="337"/>
      <c r="BP87" s="898"/>
      <c r="BQ87" s="465"/>
      <c r="BR87" s="465"/>
      <c r="BS87" s="465"/>
      <c r="BT87" s="465"/>
      <c r="BU87" s="465"/>
      <c r="BV87" s="465"/>
      <c r="BW87" s="465"/>
      <c r="BX87" s="1416"/>
      <c r="BY87" s="898"/>
      <c r="BZ87" s="465"/>
      <c r="CA87" s="465"/>
      <c r="CB87" s="266"/>
      <c r="CC87" s="266"/>
      <c r="CD87" s="1479"/>
      <c r="CE87" s="1467"/>
      <c r="CF87" s="266"/>
      <c r="CG87" s="266"/>
      <c r="CH87" s="266"/>
      <c r="CI87" s="266"/>
      <c r="CJ87" s="266"/>
      <c r="CK87" s="266"/>
      <c r="CL87" s="266"/>
      <c r="CM87" s="266"/>
      <c r="CN87" s="337"/>
      <c r="CO87" s="266"/>
      <c r="CP87" s="266"/>
      <c r="CQ87" s="266"/>
      <c r="CR87" s="1479"/>
      <c r="CS87" s="1467"/>
      <c r="CT87" s="266"/>
      <c r="CU87" s="266"/>
      <c r="CV87" s="266"/>
      <c r="CW87" s="266"/>
      <c r="CX87" s="266"/>
      <c r="CY87" s="266"/>
      <c r="CZ87" s="266"/>
      <c r="DA87" s="1479"/>
      <c r="DB87" s="1467"/>
      <c r="DC87" s="266"/>
      <c r="DD87" s="266"/>
      <c r="FJ87" s="240"/>
    </row>
    <row r="88" spans="3:179" s="1148" customFormat="1" x14ac:dyDescent="0.35">
      <c r="C88" s="444" t="s">
        <v>130</v>
      </c>
      <c r="D88" s="444"/>
      <c r="E88" s="444"/>
      <c r="F88" s="1044">
        <f t="shared" ref="F88:AG88" si="54">F$59*F$20*(10^-6)</f>
        <v>0</v>
      </c>
      <c r="G88" s="468">
        <f t="shared" si="54"/>
        <v>0</v>
      </c>
      <c r="H88" s="468">
        <f t="shared" si="54"/>
        <v>0</v>
      </c>
      <c r="I88" s="1264">
        <f t="shared" si="54"/>
        <v>0</v>
      </c>
      <c r="J88" s="1210">
        <f t="shared" si="54"/>
        <v>0</v>
      </c>
      <c r="K88" s="468">
        <f t="shared" si="54"/>
        <v>0</v>
      </c>
      <c r="L88" s="468">
        <f t="shared" si="54"/>
        <v>0</v>
      </c>
      <c r="M88" s="468">
        <f t="shared" si="54"/>
        <v>0</v>
      </c>
      <c r="N88" s="468">
        <f t="shared" si="54"/>
        <v>0</v>
      </c>
      <c r="O88" s="468">
        <f t="shared" si="54"/>
        <v>0</v>
      </c>
      <c r="P88" s="468">
        <f t="shared" si="54"/>
        <v>0</v>
      </c>
      <c r="Q88" s="468">
        <f t="shared" si="54"/>
        <v>0</v>
      </c>
      <c r="R88" s="1264">
        <f t="shared" si="54"/>
        <v>0</v>
      </c>
      <c r="S88" s="1210">
        <f t="shared" si="54"/>
        <v>0</v>
      </c>
      <c r="T88" s="468">
        <f t="shared" si="54"/>
        <v>0</v>
      </c>
      <c r="U88" s="468">
        <f t="shared" si="54"/>
        <v>0</v>
      </c>
      <c r="V88" s="468">
        <f t="shared" si="54"/>
        <v>0</v>
      </c>
      <c r="W88" s="468">
        <f t="shared" si="54"/>
        <v>0</v>
      </c>
      <c r="X88" s="1264">
        <f t="shared" si="54"/>
        <v>0</v>
      </c>
      <c r="Y88" s="1210">
        <f t="shared" si="54"/>
        <v>0</v>
      </c>
      <c r="Z88" s="468">
        <f t="shared" si="54"/>
        <v>0</v>
      </c>
      <c r="AA88" s="468">
        <f t="shared" si="54"/>
        <v>0</v>
      </c>
      <c r="AB88" s="468">
        <f t="shared" si="54"/>
        <v>0</v>
      </c>
      <c r="AC88" s="468">
        <f t="shared" si="54"/>
        <v>0</v>
      </c>
      <c r="AD88" s="468">
        <f t="shared" si="54"/>
        <v>0</v>
      </c>
      <c r="AE88" s="468">
        <f t="shared" si="54"/>
        <v>0</v>
      </c>
      <c r="AF88" s="468">
        <f t="shared" si="54"/>
        <v>0</v>
      </c>
      <c r="AG88" s="468">
        <f t="shared" si="54"/>
        <v>0</v>
      </c>
      <c r="AH88" s="323"/>
      <c r="AI88" s="468">
        <f t="shared" ref="AI88:BJ88" si="55">AI$59*AI$20*(10^-6)</f>
        <v>0</v>
      </c>
      <c r="AJ88" s="468">
        <f t="shared" si="55"/>
        <v>0</v>
      </c>
      <c r="AK88" s="468">
        <f t="shared" si="55"/>
        <v>0</v>
      </c>
      <c r="AL88" s="1264">
        <f t="shared" si="55"/>
        <v>0</v>
      </c>
      <c r="AM88" s="1210">
        <f t="shared" si="55"/>
        <v>0</v>
      </c>
      <c r="AN88" s="468">
        <f t="shared" si="55"/>
        <v>0</v>
      </c>
      <c r="AO88" s="468">
        <f t="shared" si="55"/>
        <v>0</v>
      </c>
      <c r="AP88" s="468">
        <f t="shared" si="55"/>
        <v>0</v>
      </c>
      <c r="AQ88" s="468">
        <f t="shared" si="55"/>
        <v>0</v>
      </c>
      <c r="AR88" s="468">
        <f t="shared" si="55"/>
        <v>0</v>
      </c>
      <c r="AS88" s="468">
        <f t="shared" si="55"/>
        <v>0</v>
      </c>
      <c r="AT88" s="468">
        <f t="shared" si="55"/>
        <v>0</v>
      </c>
      <c r="AU88" s="1264">
        <f t="shared" si="55"/>
        <v>0</v>
      </c>
      <c r="AV88" s="1210">
        <f t="shared" si="55"/>
        <v>0</v>
      </c>
      <c r="AW88" s="468">
        <f t="shared" si="55"/>
        <v>0</v>
      </c>
      <c r="AX88" s="468">
        <f t="shared" si="55"/>
        <v>0</v>
      </c>
      <c r="AY88" s="468">
        <f t="shared" si="55"/>
        <v>0</v>
      </c>
      <c r="AZ88" s="468">
        <f t="shared" si="55"/>
        <v>0</v>
      </c>
      <c r="BA88" s="1264">
        <f t="shared" si="55"/>
        <v>0</v>
      </c>
      <c r="BB88" s="1210">
        <f t="shared" si="55"/>
        <v>0</v>
      </c>
      <c r="BC88" s="468">
        <f t="shared" si="55"/>
        <v>0</v>
      </c>
      <c r="BD88" s="468">
        <f t="shared" si="55"/>
        <v>0</v>
      </c>
      <c r="BE88" s="468">
        <f t="shared" si="55"/>
        <v>0</v>
      </c>
      <c r="BF88" s="468">
        <f t="shared" si="55"/>
        <v>0</v>
      </c>
      <c r="BG88" s="468">
        <f t="shared" si="55"/>
        <v>0</v>
      </c>
      <c r="BH88" s="468">
        <f t="shared" si="55"/>
        <v>0</v>
      </c>
      <c r="BI88" s="468">
        <f t="shared" si="55"/>
        <v>0</v>
      </c>
      <c r="BJ88" s="468">
        <f t="shared" si="55"/>
        <v>0</v>
      </c>
      <c r="BK88" s="323"/>
      <c r="BL88" s="468">
        <f t="shared" ref="BL88:CM88" si="56">BL$59*BL$20*(10^-6)</f>
        <v>7.584312780098989E-3</v>
      </c>
      <c r="BM88" s="468">
        <f t="shared" si="56"/>
        <v>8.1568121852970809E-3</v>
      </c>
      <c r="BN88" s="468">
        <f t="shared" si="56"/>
        <v>1.0394768534743203E-2</v>
      </c>
      <c r="BO88" s="1264">
        <f t="shared" si="56"/>
        <v>1.0213901732124876E-2</v>
      </c>
      <c r="BP88" s="1210" t="e">
        <f t="shared" si="56"/>
        <v>#REF!</v>
      </c>
      <c r="BQ88" s="468">
        <f t="shared" si="56"/>
        <v>1.1557843571668343E-4</v>
      </c>
      <c r="BR88" s="468">
        <f t="shared" si="56"/>
        <v>1.757285063239285E-4</v>
      </c>
      <c r="BS88" s="468">
        <f t="shared" si="56"/>
        <v>2.4110211480362536E-4</v>
      </c>
      <c r="BT88" s="468">
        <f t="shared" si="56"/>
        <v>3.7452790429870069E-4</v>
      </c>
      <c r="BU88" s="468">
        <f t="shared" si="56"/>
        <v>4.0163003021148033E-4</v>
      </c>
      <c r="BV88" s="468">
        <f t="shared" si="56"/>
        <v>4.96156898288016E-4</v>
      </c>
      <c r="BW88" s="468">
        <f t="shared" si="56"/>
        <v>4.7818586102719036E-4</v>
      </c>
      <c r="BX88" s="1264">
        <f t="shared" si="56"/>
        <v>5.3871253776435041E-4</v>
      </c>
      <c r="BY88" s="1210">
        <f t="shared" si="56"/>
        <v>0</v>
      </c>
      <c r="BZ88" s="468">
        <f t="shared" si="56"/>
        <v>0</v>
      </c>
      <c r="CA88" s="468">
        <f t="shared" si="56"/>
        <v>0</v>
      </c>
      <c r="CB88" s="468">
        <f t="shared" si="56"/>
        <v>0</v>
      </c>
      <c r="CC88" s="468">
        <f t="shared" si="56"/>
        <v>0</v>
      </c>
      <c r="CD88" s="1264">
        <f t="shared" si="56"/>
        <v>0</v>
      </c>
      <c r="CE88" s="1210">
        <f t="shared" si="56"/>
        <v>0</v>
      </c>
      <c r="CF88" s="468">
        <f t="shared" si="56"/>
        <v>0</v>
      </c>
      <c r="CG88" s="468">
        <f t="shared" si="56"/>
        <v>0</v>
      </c>
      <c r="CH88" s="468">
        <f t="shared" si="56"/>
        <v>0</v>
      </c>
      <c r="CI88" s="468">
        <f t="shared" si="56"/>
        <v>0</v>
      </c>
      <c r="CJ88" s="468">
        <f t="shared" si="56"/>
        <v>0</v>
      </c>
      <c r="CK88" s="468">
        <f t="shared" si="56"/>
        <v>0</v>
      </c>
      <c r="CL88" s="468">
        <f t="shared" si="56"/>
        <v>0</v>
      </c>
      <c r="CM88" s="468">
        <f t="shared" si="56"/>
        <v>0</v>
      </c>
      <c r="CN88" s="323"/>
      <c r="CO88" s="468"/>
      <c r="CP88" s="468"/>
      <c r="CQ88" s="468"/>
      <c r="CR88" s="1264"/>
      <c r="CS88" s="1210"/>
      <c r="CT88" s="468"/>
      <c r="CU88" s="468"/>
      <c r="CV88" s="468"/>
      <c r="CW88" s="468"/>
      <c r="CX88" s="468"/>
      <c r="CY88" s="468"/>
      <c r="CZ88" s="468"/>
      <c r="DA88" s="1264"/>
      <c r="DB88" s="1210"/>
      <c r="DC88" s="468"/>
      <c r="DD88" s="468"/>
      <c r="DE88" s="468"/>
      <c r="DF88" s="468"/>
      <c r="DG88" s="1264"/>
      <c r="DH88" s="1210"/>
      <c r="DI88" s="468"/>
      <c r="DJ88" s="468"/>
      <c r="DK88" s="468"/>
      <c r="DL88" s="468"/>
      <c r="DM88" s="468"/>
      <c r="DN88" s="468"/>
      <c r="DO88" s="468"/>
      <c r="DP88" s="468"/>
      <c r="DQ88" s="323"/>
      <c r="DR88" s="471"/>
      <c r="DS88" s="468"/>
      <c r="DT88" s="468"/>
      <c r="DU88" s="468"/>
      <c r="DV88" s="1264"/>
      <c r="DW88" s="1210"/>
      <c r="DX88" s="468"/>
      <c r="DY88" s="468"/>
      <c r="DZ88" s="468"/>
      <c r="EA88" s="468"/>
      <c r="EB88" s="468"/>
      <c r="EC88" s="468"/>
      <c r="ED88" s="468"/>
      <c r="EE88" s="1264"/>
      <c r="EF88" s="1210"/>
      <c r="EG88" s="468"/>
      <c r="EH88" s="468"/>
      <c r="EI88" s="468"/>
      <c r="EJ88" s="468"/>
      <c r="EK88" s="1264"/>
      <c r="EL88" s="1210"/>
      <c r="EM88" s="468"/>
      <c r="EN88" s="468"/>
      <c r="EO88" s="468"/>
      <c r="EP88" s="468"/>
      <c r="EQ88" s="468"/>
      <c r="ER88" s="468"/>
      <c r="ES88" s="468"/>
      <c r="ET88" s="468"/>
      <c r="EU88" s="323"/>
      <c r="EV88" s="468"/>
      <c r="EW88" s="468"/>
      <c r="EX88" s="468"/>
      <c r="EY88" s="1264"/>
      <c r="EZ88" s="1210"/>
      <c r="FA88" s="468"/>
      <c r="FB88" s="468"/>
      <c r="FC88" s="468"/>
      <c r="FD88" s="468"/>
      <c r="FE88" s="468"/>
      <c r="FF88" s="468"/>
      <c r="FG88" s="468"/>
      <c r="FH88" s="1264"/>
      <c r="FI88" s="1210"/>
      <c r="FJ88" s="473"/>
      <c r="FK88" s="468"/>
      <c r="FL88" s="468"/>
      <c r="FM88" s="468"/>
      <c r="FN88" s="1264"/>
      <c r="FO88" s="1210"/>
      <c r="FP88" s="468"/>
      <c r="FQ88" s="468"/>
      <c r="FR88" s="468"/>
      <c r="FS88" s="468"/>
      <c r="FT88" s="468"/>
      <c r="FU88" s="468"/>
      <c r="FV88" s="468"/>
      <c r="FW88" s="468"/>
    </row>
    <row r="89" spans="3:179" x14ac:dyDescent="0.35">
      <c r="C89" s="1" t="s">
        <v>131</v>
      </c>
      <c r="F89" s="1042">
        <f t="shared" ref="F89:AG89" si="57">F$59*F$22*(10^-6)</f>
        <v>0</v>
      </c>
      <c r="G89" s="232">
        <f t="shared" si="57"/>
        <v>0</v>
      </c>
      <c r="H89" s="232">
        <f t="shared" si="57"/>
        <v>0</v>
      </c>
      <c r="I89" s="1236">
        <f t="shared" si="57"/>
        <v>0</v>
      </c>
      <c r="J89" s="898">
        <f t="shared" si="57"/>
        <v>0</v>
      </c>
      <c r="K89" s="465">
        <f t="shared" si="57"/>
        <v>0</v>
      </c>
      <c r="L89" s="465">
        <f t="shared" si="57"/>
        <v>0</v>
      </c>
      <c r="M89" s="465">
        <f t="shared" si="57"/>
        <v>0</v>
      </c>
      <c r="N89" s="465">
        <f t="shared" si="57"/>
        <v>0</v>
      </c>
      <c r="O89" s="465">
        <f t="shared" si="57"/>
        <v>0</v>
      </c>
      <c r="P89" s="465">
        <f t="shared" si="57"/>
        <v>0</v>
      </c>
      <c r="Q89" s="465">
        <f t="shared" si="57"/>
        <v>0</v>
      </c>
      <c r="R89" s="1416">
        <f t="shared" si="57"/>
        <v>0</v>
      </c>
      <c r="S89" s="898">
        <f t="shared" si="57"/>
        <v>0</v>
      </c>
      <c r="T89" s="465">
        <f t="shared" si="57"/>
        <v>0</v>
      </c>
      <c r="U89" s="465">
        <f t="shared" si="57"/>
        <v>0</v>
      </c>
      <c r="V89" s="465">
        <f t="shared" si="57"/>
        <v>0</v>
      </c>
      <c r="W89" s="465">
        <f t="shared" si="57"/>
        <v>0</v>
      </c>
      <c r="X89" s="1416">
        <f t="shared" si="57"/>
        <v>0</v>
      </c>
      <c r="Y89" s="898">
        <f t="shared" si="57"/>
        <v>0</v>
      </c>
      <c r="Z89" s="465">
        <f t="shared" si="57"/>
        <v>0</v>
      </c>
      <c r="AA89" s="465">
        <f t="shared" si="57"/>
        <v>0</v>
      </c>
      <c r="AB89" s="465">
        <f t="shared" si="57"/>
        <v>0</v>
      </c>
      <c r="AC89" s="465">
        <f t="shared" si="57"/>
        <v>0</v>
      </c>
      <c r="AD89" s="465">
        <f t="shared" si="57"/>
        <v>0</v>
      </c>
      <c r="AE89" s="465">
        <f t="shared" si="57"/>
        <v>0</v>
      </c>
      <c r="AF89" s="465">
        <f t="shared" si="57"/>
        <v>0</v>
      </c>
      <c r="AG89" s="465">
        <f t="shared" si="57"/>
        <v>0</v>
      </c>
      <c r="AH89" s="337"/>
      <c r="AI89" s="465">
        <f t="shared" ref="AI89:BJ89" si="58">AI$59*AI$22*(10^-6)</f>
        <v>0</v>
      </c>
      <c r="AJ89" s="465">
        <f t="shared" si="58"/>
        <v>0</v>
      </c>
      <c r="AK89" s="465">
        <f t="shared" si="58"/>
        <v>0</v>
      </c>
      <c r="AL89" s="1416">
        <f t="shared" si="58"/>
        <v>0</v>
      </c>
      <c r="AM89" s="898">
        <f t="shared" si="58"/>
        <v>0</v>
      </c>
      <c r="AN89" s="465">
        <f t="shared" si="58"/>
        <v>0</v>
      </c>
      <c r="AO89" s="465">
        <f t="shared" si="58"/>
        <v>0</v>
      </c>
      <c r="AP89" s="465">
        <f t="shared" si="58"/>
        <v>0</v>
      </c>
      <c r="AQ89" s="465">
        <f t="shared" si="58"/>
        <v>0</v>
      </c>
      <c r="AR89" s="465">
        <f t="shared" si="58"/>
        <v>0</v>
      </c>
      <c r="AS89" s="465">
        <f t="shared" si="58"/>
        <v>0</v>
      </c>
      <c r="AT89" s="465">
        <f t="shared" si="58"/>
        <v>0</v>
      </c>
      <c r="AU89" s="1416">
        <f t="shared" si="58"/>
        <v>0</v>
      </c>
      <c r="AV89" s="898">
        <f t="shared" si="58"/>
        <v>0</v>
      </c>
      <c r="AW89" s="465">
        <f t="shared" si="58"/>
        <v>0</v>
      </c>
      <c r="AX89" s="465">
        <f t="shared" si="58"/>
        <v>0</v>
      </c>
      <c r="AY89" s="465">
        <f t="shared" si="58"/>
        <v>0</v>
      </c>
      <c r="AZ89" s="465">
        <f t="shared" si="58"/>
        <v>0</v>
      </c>
      <c r="BA89" s="1416">
        <f t="shared" si="58"/>
        <v>0</v>
      </c>
      <c r="BB89" s="898">
        <f t="shared" si="58"/>
        <v>0</v>
      </c>
      <c r="BC89" s="465">
        <f t="shared" si="58"/>
        <v>0</v>
      </c>
      <c r="BD89" s="465">
        <f t="shared" si="58"/>
        <v>0</v>
      </c>
      <c r="BE89" s="465">
        <f t="shared" si="58"/>
        <v>0</v>
      </c>
      <c r="BF89" s="465">
        <f t="shared" si="58"/>
        <v>0</v>
      </c>
      <c r="BG89" s="465">
        <f t="shared" si="58"/>
        <v>0</v>
      </c>
      <c r="BH89" s="465">
        <f t="shared" si="58"/>
        <v>0</v>
      </c>
      <c r="BI89" s="465">
        <f t="shared" si="58"/>
        <v>0</v>
      </c>
      <c r="BJ89" s="465">
        <f t="shared" si="58"/>
        <v>0</v>
      </c>
      <c r="BK89" s="337"/>
      <c r="BL89" s="232">
        <f t="shared" ref="BL89:CM89" si="59">BL$59*BL$22*(10^-6)</f>
        <v>6.6520782978723384E-3</v>
      </c>
      <c r="BM89" s="232">
        <f t="shared" si="59"/>
        <v>3.9853250000000005E-3</v>
      </c>
      <c r="BN89" s="232">
        <f t="shared" si="59"/>
        <v>4.175319166666666E-3</v>
      </c>
      <c r="BO89" s="1236">
        <f t="shared" si="59"/>
        <v>1.8512633333333333E-3</v>
      </c>
      <c r="BP89" s="898">
        <f t="shared" si="59"/>
        <v>2.3466666666666663E-4</v>
      </c>
      <c r="BQ89" s="465">
        <f t="shared" si="59"/>
        <v>2.0321777777777776E-4</v>
      </c>
      <c r="BR89" s="465">
        <f t="shared" si="59"/>
        <v>1.7842372881355929E-4</v>
      </c>
      <c r="BS89" s="465">
        <f t="shared" si="59"/>
        <v>2.7071999999999996E-4</v>
      </c>
      <c r="BT89" s="465">
        <f t="shared" si="59"/>
        <v>2.263013452914798E-4</v>
      </c>
      <c r="BU89" s="465">
        <f t="shared" si="59"/>
        <v>1.9207500000000002E-4</v>
      </c>
      <c r="BV89" s="465">
        <f t="shared" si="59"/>
        <v>1.7631833333333331E-4</v>
      </c>
      <c r="BW89" s="465">
        <f t="shared" si="59"/>
        <v>1.9074000000000001E-4</v>
      </c>
      <c r="BX89" s="1416">
        <f t="shared" si="59"/>
        <v>2.36925E-4</v>
      </c>
      <c r="BY89" s="898">
        <f t="shared" si="59"/>
        <v>0</v>
      </c>
      <c r="BZ89" s="465">
        <f t="shared" si="59"/>
        <v>0</v>
      </c>
      <c r="CA89" s="465">
        <f t="shared" si="59"/>
        <v>0</v>
      </c>
      <c r="CB89" s="465">
        <f t="shared" si="59"/>
        <v>0</v>
      </c>
      <c r="CC89" s="465">
        <f t="shared" si="59"/>
        <v>0</v>
      </c>
      <c r="CD89" s="1416">
        <f t="shared" si="59"/>
        <v>0</v>
      </c>
      <c r="CE89" s="898">
        <f t="shared" si="59"/>
        <v>0</v>
      </c>
      <c r="CF89" s="465">
        <f t="shared" si="59"/>
        <v>0</v>
      </c>
      <c r="CG89" s="465">
        <f t="shared" si="59"/>
        <v>0</v>
      </c>
      <c r="CH89" s="465">
        <f t="shared" si="59"/>
        <v>0</v>
      </c>
      <c r="CI89" s="465">
        <f t="shared" si="59"/>
        <v>0</v>
      </c>
      <c r="CJ89" s="465">
        <f t="shared" si="59"/>
        <v>0</v>
      </c>
      <c r="CK89" s="465">
        <f t="shared" si="59"/>
        <v>0</v>
      </c>
      <c r="CL89" s="465">
        <f t="shared" si="59"/>
        <v>0</v>
      </c>
      <c r="CM89" s="465">
        <f t="shared" si="59"/>
        <v>0</v>
      </c>
      <c r="CN89" s="337"/>
      <c r="CO89" s="266"/>
      <c r="CP89" s="266"/>
      <c r="CQ89" s="266"/>
      <c r="CR89" s="1479"/>
      <c r="CS89" s="1467"/>
      <c r="CT89" s="266"/>
      <c r="CU89" s="266"/>
      <c r="CV89" s="266"/>
      <c r="CW89" s="266"/>
      <c r="CX89" s="266"/>
      <c r="CY89" s="266"/>
      <c r="CZ89" s="266"/>
      <c r="DA89" s="1479"/>
      <c r="DB89" s="1467"/>
      <c r="DC89" s="266"/>
      <c r="DD89" s="266"/>
    </row>
    <row r="90" spans="3:179" ht="15" thickBot="1" x14ac:dyDescent="0.4">
      <c r="C90" s="1" t="s">
        <v>389</v>
      </c>
      <c r="F90" s="1168">
        <f>F$85+F$88</f>
        <v>0</v>
      </c>
      <c r="G90" s="403">
        <f t="shared" ref="G90:AG90" si="60">G$85+G$88</f>
        <v>0</v>
      </c>
      <c r="H90" s="403">
        <f t="shared" si="60"/>
        <v>0</v>
      </c>
      <c r="I90" s="1265">
        <f t="shared" si="60"/>
        <v>0</v>
      </c>
      <c r="J90" s="892">
        <f t="shared" si="60"/>
        <v>0</v>
      </c>
      <c r="K90" s="403">
        <f t="shared" si="60"/>
        <v>0</v>
      </c>
      <c r="L90" s="403">
        <f t="shared" si="60"/>
        <v>0</v>
      </c>
      <c r="M90" s="403">
        <f t="shared" si="60"/>
        <v>0</v>
      </c>
      <c r="N90" s="403">
        <f t="shared" si="60"/>
        <v>0</v>
      </c>
      <c r="O90" s="403">
        <f t="shared" si="60"/>
        <v>0</v>
      </c>
      <c r="P90" s="403">
        <f t="shared" si="60"/>
        <v>0</v>
      </c>
      <c r="Q90" s="403">
        <f t="shared" si="60"/>
        <v>0</v>
      </c>
      <c r="R90" s="1265">
        <f t="shared" si="60"/>
        <v>0</v>
      </c>
      <c r="S90" s="892">
        <f t="shared" si="60"/>
        <v>0</v>
      </c>
      <c r="T90" s="403">
        <f t="shared" si="60"/>
        <v>0</v>
      </c>
      <c r="U90" s="403">
        <f t="shared" si="60"/>
        <v>0</v>
      </c>
      <c r="V90" s="403">
        <f t="shared" si="60"/>
        <v>0</v>
      </c>
      <c r="W90" s="403">
        <f t="shared" si="60"/>
        <v>0</v>
      </c>
      <c r="X90" s="1265">
        <f t="shared" si="60"/>
        <v>0</v>
      </c>
      <c r="Y90" s="892">
        <f t="shared" si="60"/>
        <v>0</v>
      </c>
      <c r="Z90" s="403">
        <f t="shared" si="60"/>
        <v>0</v>
      </c>
      <c r="AA90" s="403">
        <f t="shared" si="60"/>
        <v>0</v>
      </c>
      <c r="AB90" s="403">
        <f t="shared" si="60"/>
        <v>0</v>
      </c>
      <c r="AC90" s="403">
        <f t="shared" si="60"/>
        <v>0</v>
      </c>
      <c r="AD90" s="403">
        <f t="shared" si="60"/>
        <v>0</v>
      </c>
      <c r="AE90" s="403">
        <f t="shared" si="60"/>
        <v>0</v>
      </c>
      <c r="AF90" s="403">
        <f t="shared" si="60"/>
        <v>0</v>
      </c>
      <c r="AG90" s="403">
        <f t="shared" si="60"/>
        <v>0</v>
      </c>
      <c r="AH90" s="893"/>
      <c r="AI90" s="403">
        <f t="shared" ref="AI90:CA90" si="61">SUM(AI85:AI89)</f>
        <v>0</v>
      </c>
      <c r="AJ90" s="403">
        <f t="shared" si="61"/>
        <v>0</v>
      </c>
      <c r="AK90" s="403">
        <f t="shared" si="61"/>
        <v>0</v>
      </c>
      <c r="AL90" s="1265">
        <f t="shared" si="61"/>
        <v>0</v>
      </c>
      <c r="AM90" s="892">
        <f t="shared" si="61"/>
        <v>0</v>
      </c>
      <c r="AN90" s="403">
        <f t="shared" si="61"/>
        <v>0</v>
      </c>
      <c r="AO90" s="403">
        <f t="shared" si="61"/>
        <v>0</v>
      </c>
      <c r="AP90" s="403">
        <f t="shared" si="61"/>
        <v>0</v>
      </c>
      <c r="AQ90" s="403">
        <f t="shared" si="61"/>
        <v>0</v>
      </c>
      <c r="AR90" s="403">
        <f t="shared" si="61"/>
        <v>0</v>
      </c>
      <c r="AS90" s="403">
        <f t="shared" si="61"/>
        <v>0</v>
      </c>
      <c r="AT90" s="403">
        <f t="shared" si="61"/>
        <v>0</v>
      </c>
      <c r="AU90" s="1265">
        <f t="shared" si="61"/>
        <v>0</v>
      </c>
      <c r="AV90" s="892">
        <f t="shared" si="61"/>
        <v>0</v>
      </c>
      <c r="AW90" s="403">
        <f t="shared" si="61"/>
        <v>0</v>
      </c>
      <c r="AX90" s="403">
        <f t="shared" ref="AX90" si="62">SUM(AX85:AX89)</f>
        <v>0</v>
      </c>
      <c r="AY90" s="403">
        <f t="shared" ref="AY90:BJ90" si="63">SUM(AY85:AY89)</f>
        <v>0</v>
      </c>
      <c r="AZ90" s="403">
        <f t="shared" si="63"/>
        <v>0</v>
      </c>
      <c r="BA90" s="1265">
        <f t="shared" si="63"/>
        <v>0</v>
      </c>
      <c r="BB90" s="892">
        <f t="shared" si="63"/>
        <v>0</v>
      </c>
      <c r="BC90" s="403">
        <f t="shared" si="63"/>
        <v>0</v>
      </c>
      <c r="BD90" s="403">
        <f t="shared" si="63"/>
        <v>0</v>
      </c>
      <c r="BE90" s="403">
        <f t="shared" si="63"/>
        <v>0</v>
      </c>
      <c r="BF90" s="403">
        <f t="shared" si="63"/>
        <v>0</v>
      </c>
      <c r="BG90" s="403">
        <f t="shared" si="63"/>
        <v>0</v>
      </c>
      <c r="BH90" s="403">
        <f t="shared" si="63"/>
        <v>0</v>
      </c>
      <c r="BI90" s="403">
        <f t="shared" si="63"/>
        <v>0</v>
      </c>
      <c r="BJ90" s="403">
        <f t="shared" si="63"/>
        <v>0</v>
      </c>
      <c r="BK90" s="893"/>
      <c r="BL90" s="403">
        <f t="shared" si="61"/>
        <v>2.0265919276928057E-2</v>
      </c>
      <c r="BM90" s="403">
        <f t="shared" si="61"/>
        <v>1.793406753456802E-2</v>
      </c>
      <c r="BN90" s="403">
        <f t="shared" si="61"/>
        <v>2.1156025271207541E-2</v>
      </c>
      <c r="BO90" s="1265">
        <f t="shared" si="61"/>
        <v>1.8299657137346985E-2</v>
      </c>
      <c r="BP90" s="892" t="e">
        <f t="shared" si="61"/>
        <v>#REF!</v>
      </c>
      <c r="BQ90" s="403">
        <f t="shared" si="61"/>
        <v>9.9373325429925386E-4</v>
      </c>
      <c r="BR90" s="403">
        <f t="shared" si="61"/>
        <v>1.2325976719704274E-3</v>
      </c>
      <c r="BS90" s="403">
        <f t="shared" si="61"/>
        <v>1.4854789205004716E-3</v>
      </c>
      <c r="BT90" s="403">
        <f t="shared" si="61"/>
        <v>1.689437304916376E-3</v>
      </c>
      <c r="BU90" s="403">
        <f t="shared" si="61"/>
        <v>1.8127642774139216E-3</v>
      </c>
      <c r="BV90" s="403">
        <f t="shared" si="61"/>
        <v>2.0420838854022919E-3</v>
      </c>
      <c r="BW90" s="403">
        <f t="shared" si="61"/>
        <v>1.9902938366121344E-3</v>
      </c>
      <c r="BX90" s="1265">
        <f t="shared" si="61"/>
        <v>2.1696395723523462E-3</v>
      </c>
      <c r="BY90" s="892">
        <f t="shared" si="61"/>
        <v>0</v>
      </c>
      <c r="BZ90" s="403">
        <f t="shared" si="61"/>
        <v>0</v>
      </c>
      <c r="CA90" s="403">
        <f t="shared" si="61"/>
        <v>0</v>
      </c>
      <c r="CB90" s="403">
        <f t="shared" ref="CB90" si="64">SUM(CB85:CB89)</f>
        <v>0</v>
      </c>
      <c r="CC90" s="403">
        <f t="shared" ref="CC90:CM90" si="65">SUM(CC85:CC89)</f>
        <v>0</v>
      </c>
      <c r="CD90" s="1265">
        <f t="shared" si="65"/>
        <v>0</v>
      </c>
      <c r="CE90" s="892">
        <f t="shared" si="65"/>
        <v>0</v>
      </c>
      <c r="CF90" s="403">
        <f t="shared" si="65"/>
        <v>0</v>
      </c>
      <c r="CG90" s="403">
        <f t="shared" si="65"/>
        <v>0</v>
      </c>
      <c r="CH90" s="403">
        <f t="shared" si="65"/>
        <v>0</v>
      </c>
      <c r="CI90" s="403">
        <f t="shared" si="65"/>
        <v>0</v>
      </c>
      <c r="CJ90" s="403">
        <f t="shared" si="65"/>
        <v>0</v>
      </c>
      <c r="CK90" s="403">
        <f t="shared" si="65"/>
        <v>0</v>
      </c>
      <c r="CL90" s="403">
        <f t="shared" si="65"/>
        <v>0</v>
      </c>
      <c r="CM90" s="403">
        <f t="shared" si="65"/>
        <v>0</v>
      </c>
      <c r="CN90" s="395"/>
      <c r="CO90" s="394"/>
      <c r="CP90" s="394"/>
      <c r="CQ90" s="394"/>
      <c r="CR90" s="1480"/>
      <c r="CS90" s="1468"/>
      <c r="CT90" s="394"/>
      <c r="CU90" s="394"/>
      <c r="CV90" s="394"/>
      <c r="CW90" s="394"/>
      <c r="CX90" s="394"/>
      <c r="CY90" s="394"/>
      <c r="CZ90" s="394"/>
      <c r="DA90" s="1480"/>
      <c r="DB90" s="1468"/>
      <c r="DC90" s="394"/>
      <c r="DD90" s="394"/>
      <c r="DE90" s="225"/>
      <c r="DF90" s="225"/>
      <c r="DG90" s="1269"/>
      <c r="DH90" s="1214"/>
      <c r="DI90" s="225"/>
      <c r="DJ90" s="225"/>
      <c r="DK90" s="225"/>
      <c r="DL90" s="225"/>
      <c r="DM90" s="225"/>
      <c r="DN90" s="225"/>
      <c r="DO90" s="225"/>
      <c r="DP90" s="225"/>
      <c r="DQ90" s="344"/>
      <c r="DR90" s="345"/>
      <c r="DS90" s="225"/>
      <c r="DT90" s="225"/>
      <c r="DU90" s="225"/>
      <c r="DV90" s="1269"/>
      <c r="DW90" s="1214"/>
      <c r="DX90" s="225"/>
      <c r="DY90" s="225"/>
      <c r="DZ90" s="225"/>
      <c r="EA90" s="225"/>
      <c r="EB90" s="225"/>
      <c r="EC90" s="225"/>
      <c r="ED90" s="225"/>
      <c r="EE90" s="1269"/>
      <c r="EF90" s="1214"/>
      <c r="EG90" s="225"/>
      <c r="EH90" s="225"/>
      <c r="EI90" s="225"/>
      <c r="EJ90" s="225"/>
      <c r="EK90" s="1269"/>
      <c r="EL90" s="1214"/>
      <c r="EM90" s="225"/>
      <c r="EN90" s="225"/>
      <c r="EO90" s="225"/>
      <c r="EP90" s="225"/>
      <c r="EQ90" s="225"/>
      <c r="ER90" s="225"/>
      <c r="ES90" s="225"/>
      <c r="ET90" s="225"/>
      <c r="EU90" s="344"/>
      <c r="EV90" s="225"/>
      <c r="EW90" s="225"/>
      <c r="EX90" s="225"/>
      <c r="EY90" s="1269"/>
      <c r="EZ90" s="1214"/>
      <c r="FA90" s="225"/>
      <c r="FB90" s="225"/>
      <c r="FC90" s="225"/>
      <c r="FD90" s="225"/>
      <c r="FE90" s="225"/>
      <c r="FF90" s="225"/>
      <c r="FG90" s="225"/>
      <c r="FH90" s="1269"/>
      <c r="FI90" s="1214"/>
      <c r="FJ90" s="225"/>
      <c r="FK90" s="225"/>
      <c r="FL90" s="225"/>
      <c r="FM90" s="225"/>
      <c r="FN90" s="1269"/>
      <c r="FO90" s="1214"/>
      <c r="FP90" s="225"/>
      <c r="FQ90" s="225"/>
      <c r="FR90" s="225"/>
      <c r="FS90" s="225"/>
      <c r="FT90" s="225"/>
      <c r="FU90" s="225"/>
      <c r="FV90" s="225"/>
      <c r="FW90" s="225"/>
    </row>
    <row r="91" spans="3:179" s="299" customFormat="1" ht="15.5" thickTop="1" thickBot="1" x14ac:dyDescent="0.4">
      <c r="C91" s="305"/>
      <c r="D91" s="305"/>
      <c r="E91" s="305"/>
      <c r="F91" s="1031"/>
      <c r="G91" s="307"/>
      <c r="H91" s="307"/>
      <c r="I91" s="1239"/>
      <c r="J91" s="1186"/>
      <c r="K91" s="307"/>
      <c r="L91" s="307"/>
      <c r="M91" s="307"/>
      <c r="N91" s="307"/>
      <c r="O91" s="307"/>
      <c r="P91" s="307"/>
      <c r="Q91" s="307"/>
      <c r="R91" s="1239"/>
      <c r="S91" s="1186"/>
      <c r="T91" s="307"/>
      <c r="U91" s="307"/>
      <c r="V91" s="307"/>
      <c r="W91" s="307"/>
      <c r="X91" s="1239"/>
      <c r="Y91" s="1186"/>
      <c r="Z91" s="307"/>
      <c r="AA91" s="307"/>
      <c r="AB91" s="307"/>
      <c r="AC91" s="307"/>
      <c r="AD91" s="307"/>
      <c r="AE91" s="307"/>
      <c r="AF91" s="307"/>
      <c r="AG91" s="307"/>
      <c r="AH91" s="359"/>
      <c r="AI91" s="307"/>
      <c r="AJ91" s="307"/>
      <c r="AK91" s="307"/>
      <c r="AL91" s="1239"/>
      <c r="AM91" s="1186"/>
      <c r="AN91" s="307"/>
      <c r="AO91" s="307"/>
      <c r="AP91" s="307"/>
      <c r="AQ91" s="307"/>
      <c r="AR91" s="307"/>
      <c r="AS91" s="307"/>
      <c r="AT91" s="307"/>
      <c r="AU91" s="1239"/>
      <c r="AV91" s="1186"/>
      <c r="AW91" s="307"/>
      <c r="AX91" s="307"/>
      <c r="AY91" s="307"/>
      <c r="AZ91" s="307"/>
      <c r="BA91" s="1239"/>
      <c r="BB91" s="1186"/>
      <c r="BC91" s="307"/>
      <c r="BD91" s="307"/>
      <c r="BE91" s="307"/>
      <c r="BF91" s="307"/>
      <c r="BG91" s="307"/>
      <c r="BH91" s="307"/>
      <c r="BI91" s="307"/>
      <c r="BJ91" s="307"/>
      <c r="BK91" s="359"/>
      <c r="BL91" s="307"/>
      <c r="BM91" s="307"/>
      <c r="BN91" s="307"/>
      <c r="BO91" s="1239"/>
      <c r="BP91" s="1186"/>
      <c r="BQ91" s="307"/>
      <c r="BR91" s="307"/>
      <c r="BS91" s="307"/>
      <c r="BT91" s="307"/>
      <c r="BU91" s="307"/>
      <c r="BV91" s="307"/>
      <c r="BW91" s="307"/>
      <c r="BX91" s="1239"/>
      <c r="BY91" s="1186"/>
      <c r="BZ91" s="307"/>
      <c r="CA91" s="307"/>
      <c r="CB91" s="307"/>
      <c r="CC91" s="307"/>
      <c r="CD91" s="1239"/>
      <c r="CE91" s="1186"/>
      <c r="CF91" s="307"/>
      <c r="CG91" s="307"/>
      <c r="CH91" s="307"/>
      <c r="CI91" s="307"/>
      <c r="CJ91" s="307"/>
      <c r="CK91" s="307"/>
      <c r="CL91" s="307"/>
      <c r="CM91" s="307"/>
      <c r="CN91" s="359"/>
      <c r="CO91" s="307"/>
      <c r="CP91" s="307"/>
      <c r="CQ91" s="307"/>
      <c r="CR91" s="1239"/>
      <c r="CS91" s="1186"/>
      <c r="CT91" s="307"/>
      <c r="CU91" s="307"/>
      <c r="CV91" s="307"/>
      <c r="CW91" s="307"/>
      <c r="CX91" s="307"/>
      <c r="CY91" s="307"/>
      <c r="CZ91" s="307"/>
      <c r="DA91" s="1239"/>
      <c r="DB91" s="1186"/>
      <c r="DC91" s="307"/>
      <c r="DD91" s="307"/>
      <c r="DE91" s="307"/>
      <c r="DF91" s="307"/>
      <c r="DG91" s="1239"/>
      <c r="DH91" s="1186"/>
      <c r="DI91" s="307"/>
      <c r="DJ91" s="307"/>
      <c r="DK91" s="307"/>
      <c r="DL91" s="307"/>
      <c r="DM91" s="307"/>
      <c r="DN91" s="307"/>
      <c r="DO91" s="307"/>
      <c r="DP91" s="307"/>
      <c r="DQ91" s="359"/>
      <c r="DR91" s="361"/>
      <c r="DS91" s="307"/>
      <c r="DT91" s="307"/>
      <c r="DU91" s="307"/>
      <c r="DV91" s="1239"/>
      <c r="DW91" s="1186"/>
      <c r="DX91" s="307"/>
      <c r="DY91" s="307"/>
      <c r="DZ91" s="307"/>
      <c r="EA91" s="307"/>
      <c r="EB91" s="307"/>
      <c r="EC91" s="307"/>
      <c r="ED91" s="307"/>
      <c r="EE91" s="1239"/>
      <c r="EF91" s="1186"/>
      <c r="EG91" s="307"/>
      <c r="EH91" s="307"/>
      <c r="EI91" s="307"/>
      <c r="EJ91" s="307"/>
      <c r="EK91" s="1239"/>
      <c r="EL91" s="1186"/>
      <c r="EM91" s="307"/>
      <c r="EN91" s="307"/>
      <c r="EO91" s="307"/>
      <c r="EP91" s="307"/>
      <c r="EQ91" s="307"/>
      <c r="ER91" s="307"/>
      <c r="ES91" s="307"/>
      <c r="ET91" s="307"/>
      <c r="EU91" s="359"/>
      <c r="EV91" s="307"/>
      <c r="EW91" s="307"/>
      <c r="EX91" s="307"/>
      <c r="EY91" s="1239"/>
      <c r="EZ91" s="1186"/>
      <c r="FA91" s="307"/>
      <c r="FB91" s="307"/>
      <c r="FC91" s="307"/>
      <c r="FD91" s="307"/>
      <c r="FE91" s="307"/>
      <c r="FF91" s="307"/>
      <c r="FG91" s="307"/>
      <c r="FH91" s="1239"/>
      <c r="FI91" s="1186"/>
      <c r="FJ91" s="307"/>
      <c r="FK91" s="307"/>
      <c r="FL91" s="307"/>
      <c r="FM91" s="307"/>
      <c r="FN91" s="1239"/>
      <c r="FO91" s="1186"/>
      <c r="FP91" s="307"/>
      <c r="FQ91" s="307"/>
      <c r="FR91" s="307"/>
      <c r="FS91" s="307"/>
      <c r="FT91" s="307"/>
      <c r="FU91" s="307"/>
      <c r="FV91" s="307"/>
      <c r="FW91" s="307"/>
    </row>
    <row r="92" spans="3:179" ht="15" thickTop="1" x14ac:dyDescent="0.35">
      <c r="C92" s="1" t="s">
        <v>170</v>
      </c>
      <c r="F92" s="1045">
        <f t="shared" ref="F92:AG92" si="66">F$59*F$26/100</f>
        <v>0</v>
      </c>
      <c r="G92" s="393">
        <f t="shared" si="66"/>
        <v>0</v>
      </c>
      <c r="H92" s="393">
        <f t="shared" si="66"/>
        <v>0</v>
      </c>
      <c r="I92" s="1266">
        <f t="shared" si="66"/>
        <v>0</v>
      </c>
      <c r="J92" s="1211">
        <f t="shared" si="66"/>
        <v>0</v>
      </c>
      <c r="K92" s="393">
        <f t="shared" si="66"/>
        <v>0</v>
      </c>
      <c r="L92" s="393">
        <f t="shared" si="66"/>
        <v>0</v>
      </c>
      <c r="M92" s="393">
        <f t="shared" si="66"/>
        <v>0</v>
      </c>
      <c r="N92" s="393">
        <f t="shared" si="66"/>
        <v>0</v>
      </c>
      <c r="O92" s="393">
        <f t="shared" si="66"/>
        <v>0</v>
      </c>
      <c r="P92" s="393">
        <f t="shared" si="66"/>
        <v>0</v>
      </c>
      <c r="Q92" s="393">
        <f t="shared" si="66"/>
        <v>0</v>
      </c>
      <c r="R92" s="1266">
        <f t="shared" si="66"/>
        <v>0</v>
      </c>
      <c r="S92" s="1211">
        <f t="shared" si="66"/>
        <v>0</v>
      </c>
      <c r="T92" s="393">
        <f t="shared" si="66"/>
        <v>0</v>
      </c>
      <c r="U92" s="393">
        <f t="shared" si="66"/>
        <v>0</v>
      </c>
      <c r="V92" s="393">
        <f t="shared" si="66"/>
        <v>0</v>
      </c>
      <c r="W92" s="393">
        <f t="shared" si="66"/>
        <v>0</v>
      </c>
      <c r="X92" s="1266">
        <f t="shared" si="66"/>
        <v>0</v>
      </c>
      <c r="Y92" s="1211">
        <f t="shared" si="66"/>
        <v>0</v>
      </c>
      <c r="Z92" s="393">
        <f t="shared" si="66"/>
        <v>0</v>
      </c>
      <c r="AA92" s="393">
        <f t="shared" si="66"/>
        <v>0</v>
      </c>
      <c r="AB92" s="393">
        <f t="shared" si="66"/>
        <v>0</v>
      </c>
      <c r="AC92" s="393">
        <f t="shared" si="66"/>
        <v>0</v>
      </c>
      <c r="AD92" s="393">
        <f t="shared" si="66"/>
        <v>0</v>
      </c>
      <c r="AE92" s="393">
        <f t="shared" si="66"/>
        <v>0</v>
      </c>
      <c r="AF92" s="393">
        <f t="shared" si="66"/>
        <v>0</v>
      </c>
      <c r="AG92" s="393">
        <f t="shared" si="66"/>
        <v>0</v>
      </c>
      <c r="AH92" s="396"/>
      <c r="AI92" s="393">
        <f t="shared" ref="AI92:BJ92" si="67">AI$59*AI$26/100</f>
        <v>0</v>
      </c>
      <c r="AJ92" s="393">
        <f t="shared" si="67"/>
        <v>0</v>
      </c>
      <c r="AK92" s="393">
        <f t="shared" si="67"/>
        <v>0</v>
      </c>
      <c r="AL92" s="1266">
        <f t="shared" si="67"/>
        <v>0</v>
      </c>
      <c r="AM92" s="1211">
        <f t="shared" si="67"/>
        <v>0</v>
      </c>
      <c r="AN92" s="393">
        <f t="shared" si="67"/>
        <v>0</v>
      </c>
      <c r="AO92" s="393">
        <f t="shared" si="67"/>
        <v>0</v>
      </c>
      <c r="AP92" s="393">
        <f t="shared" si="67"/>
        <v>0</v>
      </c>
      <c r="AQ92" s="393">
        <f t="shared" si="67"/>
        <v>0</v>
      </c>
      <c r="AR92" s="393">
        <f t="shared" si="67"/>
        <v>0</v>
      </c>
      <c r="AS92" s="393">
        <f t="shared" si="67"/>
        <v>0</v>
      </c>
      <c r="AT92" s="393">
        <f t="shared" si="67"/>
        <v>0</v>
      </c>
      <c r="AU92" s="1266">
        <f t="shared" si="67"/>
        <v>0</v>
      </c>
      <c r="AV92" s="1211">
        <f t="shared" si="67"/>
        <v>0</v>
      </c>
      <c r="AW92" s="393">
        <f t="shared" si="67"/>
        <v>0</v>
      </c>
      <c r="AX92" s="393">
        <f t="shared" si="67"/>
        <v>0</v>
      </c>
      <c r="AY92" s="393">
        <f t="shared" si="67"/>
        <v>0</v>
      </c>
      <c r="AZ92" s="393">
        <f t="shared" si="67"/>
        <v>0</v>
      </c>
      <c r="BA92" s="1266">
        <f t="shared" si="67"/>
        <v>0</v>
      </c>
      <c r="BB92" s="1211">
        <f t="shared" si="67"/>
        <v>0</v>
      </c>
      <c r="BC92" s="393">
        <f t="shared" si="67"/>
        <v>0</v>
      </c>
      <c r="BD92" s="393">
        <f t="shared" si="67"/>
        <v>0</v>
      </c>
      <c r="BE92" s="393">
        <f t="shared" si="67"/>
        <v>0</v>
      </c>
      <c r="BF92" s="393">
        <f t="shared" si="67"/>
        <v>0</v>
      </c>
      <c r="BG92" s="393">
        <f t="shared" si="67"/>
        <v>0</v>
      </c>
      <c r="BH92" s="393">
        <f t="shared" si="67"/>
        <v>0</v>
      </c>
      <c r="BI92" s="393">
        <f t="shared" si="67"/>
        <v>0</v>
      </c>
      <c r="BJ92" s="393">
        <f t="shared" si="67"/>
        <v>0</v>
      </c>
      <c r="BK92" s="396"/>
      <c r="BL92" s="393">
        <f t="shared" ref="BL92:CM92" si="68">BL$59*BL$26/100</f>
        <v>5.6445927940264893</v>
      </c>
      <c r="BM92" s="393">
        <f t="shared" si="68"/>
        <v>5.4796706963091841</v>
      </c>
      <c r="BN92" s="393">
        <f t="shared" si="68"/>
        <v>6.3272368177233425</v>
      </c>
      <c r="BO92" s="1266">
        <f t="shared" si="68"/>
        <v>6.1591541018171654</v>
      </c>
      <c r="BP92" s="1211">
        <f t="shared" si="68"/>
        <v>1.1743986227163896</v>
      </c>
      <c r="BQ92" s="393">
        <f t="shared" si="68"/>
        <v>1.2466886537586397</v>
      </c>
      <c r="BR92" s="393">
        <f t="shared" si="68"/>
        <v>1.4194544132566791</v>
      </c>
      <c r="BS92" s="393">
        <f t="shared" si="68"/>
        <v>1.5016156865336263</v>
      </c>
      <c r="BT92" s="393">
        <f t="shared" si="68"/>
        <v>1.5606224440156711</v>
      </c>
      <c r="BU92" s="393">
        <f t="shared" si="68"/>
        <v>1.6720359444095516</v>
      </c>
      <c r="BV92" s="393">
        <f t="shared" si="68"/>
        <v>1.751872629133608</v>
      </c>
      <c r="BW92" s="393">
        <f t="shared" si="68"/>
        <v>1.7417109210532131</v>
      </c>
      <c r="BX92" s="1266">
        <f t="shared" si="68"/>
        <v>1.7964079220465843</v>
      </c>
      <c r="BY92" s="1211">
        <f t="shared" si="68"/>
        <v>0</v>
      </c>
      <c r="BZ92" s="393">
        <f t="shared" si="68"/>
        <v>0</v>
      </c>
      <c r="CA92" s="393">
        <f t="shared" si="68"/>
        <v>0</v>
      </c>
      <c r="CB92" s="393">
        <f t="shared" si="68"/>
        <v>0</v>
      </c>
      <c r="CC92" s="393">
        <f t="shared" si="68"/>
        <v>0</v>
      </c>
      <c r="CD92" s="1266">
        <f t="shared" si="68"/>
        <v>0</v>
      </c>
      <c r="CE92" s="1211">
        <f t="shared" si="68"/>
        <v>0</v>
      </c>
      <c r="CF92" s="393">
        <f t="shared" si="68"/>
        <v>0</v>
      </c>
      <c r="CG92" s="393">
        <f t="shared" si="68"/>
        <v>0</v>
      </c>
      <c r="CH92" s="393">
        <f t="shared" si="68"/>
        <v>0</v>
      </c>
      <c r="CI92" s="393">
        <f t="shared" si="68"/>
        <v>0</v>
      </c>
      <c r="CJ92" s="393">
        <f t="shared" si="68"/>
        <v>0</v>
      </c>
      <c r="CK92" s="393">
        <f t="shared" si="68"/>
        <v>0</v>
      </c>
      <c r="CL92" s="393">
        <f t="shared" si="68"/>
        <v>0</v>
      </c>
      <c r="CM92" s="393">
        <f t="shared" si="68"/>
        <v>0</v>
      </c>
      <c r="CN92" s="396"/>
      <c r="CO92" s="393">
        <f t="shared" ref="CO92:DP92" si="69">CO$59*CO$26/100</f>
        <v>0</v>
      </c>
      <c r="CP92" s="393">
        <f t="shared" si="69"/>
        <v>2.3096666666666668E-2</v>
      </c>
      <c r="CQ92" s="393">
        <f t="shared" si="69"/>
        <v>1.376E-2</v>
      </c>
      <c r="CR92" s="1266">
        <f t="shared" si="69"/>
        <v>1.7793333333333335E-2</v>
      </c>
      <c r="CS92" s="1211">
        <f t="shared" si="69"/>
        <v>2.1685766666666665E-2</v>
      </c>
      <c r="CT92" s="393">
        <f t="shared" si="69"/>
        <v>1.680305E-2</v>
      </c>
      <c r="CU92" s="393">
        <f t="shared" si="69"/>
        <v>2.2538823529411764E-2</v>
      </c>
      <c r="CV92" s="393">
        <f t="shared" si="69"/>
        <v>1.755E-2</v>
      </c>
      <c r="CW92" s="393">
        <f t="shared" si="69"/>
        <v>2.8043605015673982E-2</v>
      </c>
      <c r="CX92" s="393">
        <f t="shared" si="69"/>
        <v>2.6452483333333335E-2</v>
      </c>
      <c r="CY92" s="393">
        <f t="shared" si="69"/>
        <v>1.9821499999999999E-2</v>
      </c>
      <c r="CZ92" s="393">
        <f t="shared" si="69"/>
        <v>2.0537549999999998E-2</v>
      </c>
      <c r="DA92" s="1266">
        <f t="shared" si="69"/>
        <v>1.8454499999999999E-2</v>
      </c>
      <c r="DB92" s="1211">
        <f t="shared" si="69"/>
        <v>0</v>
      </c>
      <c r="DC92" s="393">
        <f t="shared" si="69"/>
        <v>0</v>
      </c>
      <c r="DD92" s="393">
        <f t="shared" si="69"/>
        <v>0</v>
      </c>
      <c r="DE92" s="393">
        <f t="shared" si="69"/>
        <v>0</v>
      </c>
      <c r="DF92" s="393">
        <f t="shared" si="69"/>
        <v>0</v>
      </c>
      <c r="DG92" s="1266">
        <f t="shared" si="69"/>
        <v>0</v>
      </c>
      <c r="DH92" s="1211">
        <f t="shared" si="69"/>
        <v>0</v>
      </c>
      <c r="DI92" s="393">
        <f t="shared" si="69"/>
        <v>0</v>
      </c>
      <c r="DJ92" s="393">
        <f t="shared" si="69"/>
        <v>0</v>
      </c>
      <c r="DK92" s="393">
        <f t="shared" si="69"/>
        <v>0</v>
      </c>
      <c r="DL92" s="393">
        <f t="shared" si="69"/>
        <v>0</v>
      </c>
      <c r="DM92" s="393">
        <f t="shared" si="69"/>
        <v>0</v>
      </c>
      <c r="DN92" s="393">
        <f t="shared" si="69"/>
        <v>0</v>
      </c>
      <c r="DO92" s="393">
        <f t="shared" si="69"/>
        <v>0</v>
      </c>
      <c r="DP92" s="393">
        <f t="shared" si="69"/>
        <v>0</v>
      </c>
      <c r="DQ92" s="397"/>
      <c r="DR92" s="398"/>
      <c r="DS92" s="229"/>
      <c r="DT92" s="229"/>
      <c r="DU92" s="229"/>
      <c r="DV92" s="1245"/>
      <c r="DW92" s="538"/>
      <c r="DX92" s="229"/>
      <c r="DY92" s="229"/>
      <c r="DZ92" s="229"/>
      <c r="EA92" s="229"/>
      <c r="EB92" s="229"/>
      <c r="EC92" s="229"/>
      <c r="ED92" s="229"/>
      <c r="EE92" s="1245"/>
      <c r="EF92" s="538"/>
      <c r="EG92" s="229"/>
      <c r="EH92" s="229"/>
      <c r="EI92" s="229"/>
      <c r="EJ92" s="229"/>
      <c r="EK92" s="1245"/>
      <c r="EL92" s="538"/>
      <c r="EM92" s="229"/>
      <c r="EN92" s="229"/>
      <c r="EO92" s="229"/>
      <c r="EP92" s="229"/>
      <c r="EQ92" s="229"/>
      <c r="ER92" s="229"/>
      <c r="ES92" s="229"/>
      <c r="ET92" s="229"/>
      <c r="EU92" s="356"/>
      <c r="EV92" s="229"/>
      <c r="EW92" s="229"/>
      <c r="EX92" s="229"/>
      <c r="EY92" s="1245"/>
      <c r="EZ92" s="538"/>
      <c r="FA92" s="229"/>
      <c r="FB92" s="229"/>
      <c r="FC92" s="229"/>
      <c r="FD92" s="229"/>
      <c r="FE92" s="229"/>
      <c r="FF92" s="229"/>
      <c r="FG92" s="229"/>
      <c r="FH92" s="1245"/>
      <c r="FI92" s="538"/>
      <c r="FJ92" s="229"/>
      <c r="FK92" s="229"/>
      <c r="FL92" s="229"/>
      <c r="FM92" s="229"/>
      <c r="FN92" s="1245"/>
      <c r="FO92" s="538"/>
      <c r="FP92" s="229"/>
      <c r="FQ92" s="229"/>
      <c r="FR92" s="229"/>
      <c r="FS92" s="229"/>
      <c r="FT92" s="229"/>
      <c r="FU92" s="229"/>
      <c r="FV92" s="229"/>
      <c r="FW92" s="229"/>
    </row>
    <row r="93" spans="3:179" x14ac:dyDescent="0.35">
      <c r="C93" s="1" t="s">
        <v>171</v>
      </c>
      <c r="F93" s="604">
        <f t="shared" ref="F93:AG93" si="70">F$59*F$24/100</f>
        <v>0</v>
      </c>
      <c r="G93" s="251">
        <f t="shared" si="70"/>
        <v>0</v>
      </c>
      <c r="H93" s="251">
        <f t="shared" si="70"/>
        <v>0</v>
      </c>
      <c r="I93" s="1267">
        <f t="shared" si="70"/>
        <v>0</v>
      </c>
      <c r="J93" s="1212">
        <f t="shared" si="70"/>
        <v>0</v>
      </c>
      <c r="K93" s="251">
        <f t="shared" si="70"/>
        <v>0</v>
      </c>
      <c r="L93" s="251">
        <f t="shared" si="70"/>
        <v>0</v>
      </c>
      <c r="M93" s="251">
        <f t="shared" si="70"/>
        <v>0</v>
      </c>
      <c r="N93" s="251">
        <f t="shared" si="70"/>
        <v>0</v>
      </c>
      <c r="O93" s="251">
        <f t="shared" si="70"/>
        <v>0</v>
      </c>
      <c r="P93" s="251">
        <f t="shared" si="70"/>
        <v>0</v>
      </c>
      <c r="Q93" s="251">
        <f t="shared" si="70"/>
        <v>0</v>
      </c>
      <c r="R93" s="1267">
        <f t="shared" si="70"/>
        <v>0</v>
      </c>
      <c r="S93" s="1212">
        <f t="shared" si="70"/>
        <v>0</v>
      </c>
      <c r="T93" s="251">
        <f t="shared" si="70"/>
        <v>0</v>
      </c>
      <c r="U93" s="251">
        <f t="shared" si="70"/>
        <v>0</v>
      </c>
      <c r="V93" s="251">
        <f t="shared" si="70"/>
        <v>0</v>
      </c>
      <c r="W93" s="251">
        <f t="shared" si="70"/>
        <v>0</v>
      </c>
      <c r="X93" s="1267">
        <f t="shared" si="70"/>
        <v>0</v>
      </c>
      <c r="Y93" s="1212">
        <f t="shared" si="70"/>
        <v>0</v>
      </c>
      <c r="Z93" s="251">
        <f t="shared" si="70"/>
        <v>0</v>
      </c>
      <c r="AA93" s="251">
        <f t="shared" si="70"/>
        <v>0</v>
      </c>
      <c r="AB93" s="251">
        <f t="shared" si="70"/>
        <v>0</v>
      </c>
      <c r="AC93" s="251">
        <f t="shared" si="70"/>
        <v>0</v>
      </c>
      <c r="AD93" s="251">
        <f t="shared" si="70"/>
        <v>0</v>
      </c>
      <c r="AE93" s="251">
        <f t="shared" si="70"/>
        <v>0</v>
      </c>
      <c r="AF93" s="251">
        <f t="shared" si="70"/>
        <v>0</v>
      </c>
      <c r="AG93" s="251">
        <f t="shared" si="70"/>
        <v>0</v>
      </c>
      <c r="AH93" s="338"/>
      <c r="AI93" s="251">
        <f t="shared" ref="AI93:BJ93" si="71">AI$59*AI$24/100</f>
        <v>0</v>
      </c>
      <c r="AJ93" s="251">
        <f t="shared" si="71"/>
        <v>0</v>
      </c>
      <c r="AK93" s="251">
        <f t="shared" si="71"/>
        <v>0</v>
      </c>
      <c r="AL93" s="1267">
        <f t="shared" si="71"/>
        <v>0</v>
      </c>
      <c r="AM93" s="1212">
        <f t="shared" si="71"/>
        <v>0</v>
      </c>
      <c r="AN93" s="251">
        <f t="shared" si="71"/>
        <v>0</v>
      </c>
      <c r="AO93" s="251">
        <f t="shared" si="71"/>
        <v>0</v>
      </c>
      <c r="AP93" s="251">
        <f t="shared" si="71"/>
        <v>0</v>
      </c>
      <c r="AQ93" s="251">
        <f t="shared" si="71"/>
        <v>0</v>
      </c>
      <c r="AR93" s="251">
        <f t="shared" si="71"/>
        <v>0</v>
      </c>
      <c r="AS93" s="251">
        <f t="shared" si="71"/>
        <v>0</v>
      </c>
      <c r="AT93" s="251">
        <f t="shared" si="71"/>
        <v>0</v>
      </c>
      <c r="AU93" s="1267">
        <f t="shared" si="71"/>
        <v>0</v>
      </c>
      <c r="AV93" s="1212">
        <f t="shared" si="71"/>
        <v>0</v>
      </c>
      <c r="AW93" s="251">
        <f t="shared" si="71"/>
        <v>0</v>
      </c>
      <c r="AX93" s="251">
        <f t="shared" si="71"/>
        <v>0</v>
      </c>
      <c r="AY93" s="251">
        <f t="shared" si="71"/>
        <v>0</v>
      </c>
      <c r="AZ93" s="251">
        <f t="shared" si="71"/>
        <v>0</v>
      </c>
      <c r="BA93" s="1267">
        <f t="shared" si="71"/>
        <v>0</v>
      </c>
      <c r="BB93" s="1212">
        <f t="shared" si="71"/>
        <v>0</v>
      </c>
      <c r="BC93" s="251">
        <f t="shared" si="71"/>
        <v>0</v>
      </c>
      <c r="BD93" s="251">
        <f t="shared" si="71"/>
        <v>0</v>
      </c>
      <c r="BE93" s="251">
        <f t="shared" si="71"/>
        <v>0</v>
      </c>
      <c r="BF93" s="251">
        <f t="shared" si="71"/>
        <v>0</v>
      </c>
      <c r="BG93" s="251">
        <f t="shared" si="71"/>
        <v>0</v>
      </c>
      <c r="BH93" s="251">
        <f t="shared" si="71"/>
        <v>0</v>
      </c>
      <c r="BI93" s="251">
        <f t="shared" si="71"/>
        <v>0</v>
      </c>
      <c r="BJ93" s="251">
        <f t="shared" si="71"/>
        <v>0</v>
      </c>
      <c r="BK93" s="338"/>
      <c r="BL93" s="251">
        <f t="shared" ref="BL93:CM93" si="72">BL$59*BL$24/100</f>
        <v>0.7862417218723402</v>
      </c>
      <c r="BM93" s="251">
        <f t="shared" si="72"/>
        <v>0.74725689589374999</v>
      </c>
      <c r="BN93" s="251">
        <f t="shared" si="72"/>
        <v>0.82980889927833346</v>
      </c>
      <c r="BO93" s="1267">
        <f t="shared" si="72"/>
        <v>0.79957483732500012</v>
      </c>
      <c r="BP93" s="1212">
        <f t="shared" si="72"/>
        <v>0.32365241333333328</v>
      </c>
      <c r="BQ93" s="251">
        <f t="shared" si="72"/>
        <v>0.33419283196444438</v>
      </c>
      <c r="BR93" s="251">
        <f t="shared" si="72"/>
        <v>0.35872520516949158</v>
      </c>
      <c r="BS93" s="251">
        <f t="shared" si="72"/>
        <v>0.33683126400000007</v>
      </c>
      <c r="BT93" s="251">
        <f t="shared" si="72"/>
        <v>0.34137065660179366</v>
      </c>
      <c r="BU93" s="251">
        <f t="shared" si="72"/>
        <v>0.34303989224999998</v>
      </c>
      <c r="BV93" s="251">
        <f t="shared" si="72"/>
        <v>0.37551108190749993</v>
      </c>
      <c r="BW93" s="251">
        <f t="shared" si="72"/>
        <v>0.34211170905999999</v>
      </c>
      <c r="BX93" s="1267">
        <f t="shared" si="72"/>
        <v>0.35645500068750002</v>
      </c>
      <c r="BY93" s="1212">
        <f t="shared" si="72"/>
        <v>0</v>
      </c>
      <c r="BZ93" s="251">
        <f t="shared" si="72"/>
        <v>0</v>
      </c>
      <c r="CA93" s="251">
        <f t="shared" si="72"/>
        <v>0</v>
      </c>
      <c r="CB93" s="251">
        <f t="shared" si="72"/>
        <v>0</v>
      </c>
      <c r="CC93" s="251">
        <f t="shared" si="72"/>
        <v>0</v>
      </c>
      <c r="CD93" s="1267">
        <f t="shared" si="72"/>
        <v>0</v>
      </c>
      <c r="CE93" s="1212">
        <f t="shared" si="72"/>
        <v>0</v>
      </c>
      <c r="CF93" s="251">
        <f t="shared" si="72"/>
        <v>0</v>
      </c>
      <c r="CG93" s="251">
        <f t="shared" si="72"/>
        <v>0</v>
      </c>
      <c r="CH93" s="251">
        <f t="shared" si="72"/>
        <v>0</v>
      </c>
      <c r="CI93" s="251">
        <f t="shared" si="72"/>
        <v>0</v>
      </c>
      <c r="CJ93" s="251">
        <f t="shared" si="72"/>
        <v>0</v>
      </c>
      <c r="CK93" s="251">
        <f t="shared" si="72"/>
        <v>0</v>
      </c>
      <c r="CL93" s="251">
        <f t="shared" si="72"/>
        <v>0</v>
      </c>
      <c r="CM93" s="251">
        <f t="shared" si="72"/>
        <v>0</v>
      </c>
      <c r="CN93" s="338"/>
      <c r="CO93" s="251">
        <f t="shared" ref="CO93:DP93" si="73">CO$59*CO$24/100</f>
        <v>0</v>
      </c>
      <c r="CP93" s="251">
        <f t="shared" si="73"/>
        <v>6.453969166666667E-3</v>
      </c>
      <c r="CQ93" s="251">
        <f t="shared" si="73"/>
        <v>3.9360000000000003E-3</v>
      </c>
      <c r="CR93" s="1267">
        <f t="shared" si="73"/>
        <v>6.1614800000000004E-3</v>
      </c>
      <c r="CS93" s="1212">
        <f t="shared" si="73"/>
        <v>9.122493333333332E-3</v>
      </c>
      <c r="CT93" s="251">
        <f t="shared" si="73"/>
        <v>8.8205791666666668E-3</v>
      </c>
      <c r="CU93" s="251">
        <f t="shared" si="73"/>
        <v>1.2009035294117646E-2</v>
      </c>
      <c r="CV93" s="251">
        <f t="shared" si="73"/>
        <v>8.9017499999999999E-3</v>
      </c>
      <c r="CW93" s="251">
        <f t="shared" si="73"/>
        <v>9.4520482758620687E-3</v>
      </c>
      <c r="CX93" s="251">
        <f t="shared" si="73"/>
        <v>1.0408410000000002E-2</v>
      </c>
      <c r="CY93" s="251">
        <f t="shared" si="73"/>
        <v>8.8738549999999999E-3</v>
      </c>
      <c r="CZ93" s="251">
        <f t="shared" si="73"/>
        <v>9.9641850000000004E-3</v>
      </c>
      <c r="DA93" s="1267">
        <f t="shared" si="73"/>
        <v>9.2558999999999992E-3</v>
      </c>
      <c r="DB93" s="1212">
        <f t="shared" si="73"/>
        <v>0</v>
      </c>
      <c r="DC93" s="251">
        <f t="shared" si="73"/>
        <v>0</v>
      </c>
      <c r="DD93" s="251">
        <f t="shared" si="73"/>
        <v>0</v>
      </c>
      <c r="DE93" s="251">
        <f t="shared" si="73"/>
        <v>0</v>
      </c>
      <c r="DF93" s="251">
        <f t="shared" si="73"/>
        <v>0</v>
      </c>
      <c r="DG93" s="1267">
        <f t="shared" si="73"/>
        <v>0</v>
      </c>
      <c r="DH93" s="1212">
        <f t="shared" si="73"/>
        <v>0</v>
      </c>
      <c r="DI93" s="251">
        <f t="shared" si="73"/>
        <v>0</v>
      </c>
      <c r="DJ93" s="251">
        <f t="shared" si="73"/>
        <v>0</v>
      </c>
      <c r="DK93" s="251">
        <f t="shared" si="73"/>
        <v>0</v>
      </c>
      <c r="DL93" s="251">
        <f t="shared" si="73"/>
        <v>0</v>
      </c>
      <c r="DM93" s="251">
        <f t="shared" si="73"/>
        <v>0</v>
      </c>
      <c r="DN93" s="251">
        <f t="shared" si="73"/>
        <v>0</v>
      </c>
      <c r="DO93" s="251">
        <f t="shared" si="73"/>
        <v>0</v>
      </c>
      <c r="DP93" s="251">
        <f t="shared" si="73"/>
        <v>0</v>
      </c>
      <c r="DQ93" s="339"/>
      <c r="DR93" s="268"/>
    </row>
    <row r="94" spans="3:179" x14ac:dyDescent="0.35">
      <c r="C94" s="1" t="s">
        <v>387</v>
      </c>
      <c r="F94" s="1046">
        <f t="shared" ref="F94" si="74">SUM(F92:F93)</f>
        <v>0</v>
      </c>
      <c r="G94" s="269">
        <f t="shared" ref="G94:CZ94" si="75">SUM(G92:G93)</f>
        <v>0</v>
      </c>
      <c r="H94" s="269">
        <f t="shared" si="75"/>
        <v>0</v>
      </c>
      <c r="I94" s="1268">
        <f t="shared" si="75"/>
        <v>0</v>
      </c>
      <c r="J94" s="1213">
        <f t="shared" si="75"/>
        <v>0</v>
      </c>
      <c r="K94" s="269">
        <f t="shared" si="75"/>
        <v>0</v>
      </c>
      <c r="L94" s="269">
        <f t="shared" si="75"/>
        <v>0</v>
      </c>
      <c r="M94" s="269">
        <f t="shared" si="75"/>
        <v>0</v>
      </c>
      <c r="N94" s="269">
        <f t="shared" si="75"/>
        <v>0</v>
      </c>
      <c r="O94" s="269">
        <f t="shared" si="75"/>
        <v>0</v>
      </c>
      <c r="P94" s="269">
        <f t="shared" si="75"/>
        <v>0</v>
      </c>
      <c r="Q94" s="269">
        <f t="shared" si="75"/>
        <v>0</v>
      </c>
      <c r="R94" s="1268">
        <f t="shared" si="75"/>
        <v>0</v>
      </c>
      <c r="S94" s="1213">
        <f t="shared" si="75"/>
        <v>0</v>
      </c>
      <c r="T94" s="269">
        <f t="shared" si="75"/>
        <v>0</v>
      </c>
      <c r="U94" s="269">
        <f t="shared" si="75"/>
        <v>0</v>
      </c>
      <c r="V94" s="269">
        <f t="shared" si="75"/>
        <v>0</v>
      </c>
      <c r="W94" s="269">
        <f t="shared" ref="W94:AG94" si="76">SUM(W92:W93)</f>
        <v>0</v>
      </c>
      <c r="X94" s="1268">
        <f t="shared" si="76"/>
        <v>0</v>
      </c>
      <c r="Y94" s="1213">
        <f t="shared" si="76"/>
        <v>0</v>
      </c>
      <c r="Z94" s="269">
        <f t="shared" si="76"/>
        <v>0</v>
      </c>
      <c r="AA94" s="269">
        <f t="shared" si="76"/>
        <v>0</v>
      </c>
      <c r="AB94" s="269">
        <f t="shared" si="76"/>
        <v>0</v>
      </c>
      <c r="AC94" s="269">
        <f t="shared" si="76"/>
        <v>0</v>
      </c>
      <c r="AD94" s="269">
        <f t="shared" si="76"/>
        <v>0</v>
      </c>
      <c r="AE94" s="269">
        <f t="shared" si="76"/>
        <v>0</v>
      </c>
      <c r="AF94" s="269">
        <f t="shared" si="76"/>
        <v>0</v>
      </c>
      <c r="AG94" s="269">
        <f t="shared" si="76"/>
        <v>0</v>
      </c>
      <c r="AH94" s="340"/>
      <c r="AI94" s="269">
        <f t="shared" si="75"/>
        <v>0</v>
      </c>
      <c r="AJ94" s="269">
        <f t="shared" si="75"/>
        <v>0</v>
      </c>
      <c r="AK94" s="269">
        <f t="shared" si="75"/>
        <v>0</v>
      </c>
      <c r="AL94" s="1268">
        <f t="shared" si="75"/>
        <v>0</v>
      </c>
      <c r="AM94" s="1213">
        <f t="shared" si="75"/>
        <v>0</v>
      </c>
      <c r="AN94" s="269">
        <f t="shared" si="75"/>
        <v>0</v>
      </c>
      <c r="AO94" s="269">
        <f t="shared" si="75"/>
        <v>0</v>
      </c>
      <c r="AP94" s="269">
        <f t="shared" si="75"/>
        <v>0</v>
      </c>
      <c r="AQ94" s="269">
        <f t="shared" si="75"/>
        <v>0</v>
      </c>
      <c r="AR94" s="269">
        <f t="shared" si="75"/>
        <v>0</v>
      </c>
      <c r="AS94" s="269">
        <f t="shared" si="75"/>
        <v>0</v>
      </c>
      <c r="AT94" s="269">
        <f t="shared" si="75"/>
        <v>0</v>
      </c>
      <c r="AU94" s="1268">
        <f t="shared" si="75"/>
        <v>0</v>
      </c>
      <c r="AV94" s="1213">
        <f t="shared" si="75"/>
        <v>0</v>
      </c>
      <c r="AW94" s="269">
        <f t="shared" si="75"/>
        <v>0</v>
      </c>
      <c r="AX94" s="269">
        <f t="shared" si="75"/>
        <v>0</v>
      </c>
      <c r="AY94" s="269">
        <f t="shared" ref="AY94:BJ94" si="77">SUM(AY92:AY93)</f>
        <v>0</v>
      </c>
      <c r="AZ94" s="269">
        <f t="shared" si="77"/>
        <v>0</v>
      </c>
      <c r="BA94" s="1268">
        <f t="shared" si="77"/>
        <v>0</v>
      </c>
      <c r="BB94" s="1213">
        <f t="shared" si="77"/>
        <v>0</v>
      </c>
      <c r="BC94" s="269">
        <f t="shared" si="77"/>
        <v>0</v>
      </c>
      <c r="BD94" s="269">
        <f t="shared" si="77"/>
        <v>0</v>
      </c>
      <c r="BE94" s="269">
        <f t="shared" si="77"/>
        <v>0</v>
      </c>
      <c r="BF94" s="269">
        <f t="shared" si="77"/>
        <v>0</v>
      </c>
      <c r="BG94" s="269">
        <f t="shared" si="77"/>
        <v>0</v>
      </c>
      <c r="BH94" s="269">
        <f t="shared" si="77"/>
        <v>0</v>
      </c>
      <c r="BI94" s="269">
        <f t="shared" si="77"/>
        <v>0</v>
      </c>
      <c r="BJ94" s="269">
        <f t="shared" si="77"/>
        <v>0</v>
      </c>
      <c r="BK94" s="340"/>
      <c r="BL94" s="269">
        <f t="shared" si="75"/>
        <v>6.4308345158988294</v>
      </c>
      <c r="BM94" s="269">
        <f t="shared" si="75"/>
        <v>6.2269275922029337</v>
      </c>
      <c r="BN94" s="269">
        <f t="shared" si="75"/>
        <v>7.1570457170016759</v>
      </c>
      <c r="BO94" s="1268">
        <f t="shared" si="75"/>
        <v>6.9587289391421656</v>
      </c>
      <c r="BP94" s="1213">
        <f t="shared" si="75"/>
        <v>1.498051036049723</v>
      </c>
      <c r="BQ94" s="269">
        <f t="shared" si="75"/>
        <v>1.5808814857230842</v>
      </c>
      <c r="BR94" s="269">
        <f t="shared" si="75"/>
        <v>1.7781796184261707</v>
      </c>
      <c r="BS94" s="269">
        <f t="shared" si="75"/>
        <v>1.8384469505336263</v>
      </c>
      <c r="BT94" s="269">
        <f t="shared" si="75"/>
        <v>1.9019931006174646</v>
      </c>
      <c r="BU94" s="269">
        <f t="shared" si="75"/>
        <v>2.0150758366595518</v>
      </c>
      <c r="BV94" s="269">
        <f t="shared" si="75"/>
        <v>2.1273837110411078</v>
      </c>
      <c r="BW94" s="269">
        <f t="shared" si="75"/>
        <v>2.0838226301132132</v>
      </c>
      <c r="BX94" s="1268">
        <f t="shared" si="75"/>
        <v>2.1528629227340845</v>
      </c>
      <c r="BY94" s="1213">
        <f t="shared" si="75"/>
        <v>0</v>
      </c>
      <c r="BZ94" s="269">
        <f t="shared" si="75"/>
        <v>0</v>
      </c>
      <c r="CA94" s="269">
        <f t="shared" si="75"/>
        <v>0</v>
      </c>
      <c r="CB94" s="269">
        <f t="shared" si="75"/>
        <v>0</v>
      </c>
      <c r="CC94" s="269">
        <f t="shared" ref="CC94:CM94" si="78">SUM(CC92:CC93)</f>
        <v>0</v>
      </c>
      <c r="CD94" s="1268">
        <f t="shared" si="78"/>
        <v>0</v>
      </c>
      <c r="CE94" s="1213">
        <f t="shared" si="78"/>
        <v>0</v>
      </c>
      <c r="CF94" s="269">
        <f t="shared" si="78"/>
        <v>0</v>
      </c>
      <c r="CG94" s="269">
        <f t="shared" si="78"/>
        <v>0</v>
      </c>
      <c r="CH94" s="269">
        <f t="shared" si="78"/>
        <v>0</v>
      </c>
      <c r="CI94" s="269">
        <f t="shared" si="78"/>
        <v>0</v>
      </c>
      <c r="CJ94" s="269">
        <f t="shared" si="78"/>
        <v>0</v>
      </c>
      <c r="CK94" s="269">
        <f t="shared" si="78"/>
        <v>0</v>
      </c>
      <c r="CL94" s="269">
        <f t="shared" si="78"/>
        <v>0</v>
      </c>
      <c r="CM94" s="269">
        <f t="shared" si="78"/>
        <v>0</v>
      </c>
      <c r="CN94" s="340"/>
      <c r="CO94" s="269">
        <f t="shared" si="75"/>
        <v>0</v>
      </c>
      <c r="CP94" s="269">
        <f t="shared" si="75"/>
        <v>2.9550635833333335E-2</v>
      </c>
      <c r="CQ94" s="269">
        <f t="shared" si="75"/>
        <v>1.7696E-2</v>
      </c>
      <c r="CR94" s="1268">
        <f t="shared" si="75"/>
        <v>2.3954813333333335E-2</v>
      </c>
      <c r="CS94" s="1213">
        <f t="shared" si="75"/>
        <v>3.0808259999999997E-2</v>
      </c>
      <c r="CT94" s="269">
        <f t="shared" si="75"/>
        <v>2.5623629166666669E-2</v>
      </c>
      <c r="CU94" s="269">
        <f t="shared" si="75"/>
        <v>3.4547858823529412E-2</v>
      </c>
      <c r="CV94" s="269">
        <f t="shared" si="75"/>
        <v>2.645175E-2</v>
      </c>
      <c r="CW94" s="269">
        <f t="shared" si="75"/>
        <v>3.7495653291536049E-2</v>
      </c>
      <c r="CX94" s="269">
        <f t="shared" si="75"/>
        <v>3.6860893333333339E-2</v>
      </c>
      <c r="CY94" s="269">
        <f t="shared" si="75"/>
        <v>2.8695354999999999E-2</v>
      </c>
      <c r="CZ94" s="269">
        <f t="shared" si="75"/>
        <v>3.0501734999999999E-2</v>
      </c>
      <c r="DA94" s="1268">
        <f t="shared" ref="DA94:DE94" si="79">SUM(DA92:DA93)</f>
        <v>2.7710399999999996E-2</v>
      </c>
      <c r="DB94" s="1213">
        <f t="shared" si="79"/>
        <v>0</v>
      </c>
      <c r="DC94" s="269">
        <f t="shared" si="79"/>
        <v>0</v>
      </c>
      <c r="DD94" s="269">
        <f t="shared" si="79"/>
        <v>0</v>
      </c>
      <c r="DE94" s="269">
        <f t="shared" si="79"/>
        <v>0</v>
      </c>
      <c r="DF94" s="269">
        <f t="shared" ref="DF94:DP94" si="80">SUM(DF92:DF93)</f>
        <v>0</v>
      </c>
      <c r="DG94" s="1268">
        <f t="shared" si="80"/>
        <v>0</v>
      </c>
      <c r="DH94" s="1213">
        <f t="shared" si="80"/>
        <v>0</v>
      </c>
      <c r="DI94" s="269">
        <f t="shared" si="80"/>
        <v>0</v>
      </c>
      <c r="DJ94" s="269">
        <f t="shared" si="80"/>
        <v>0</v>
      </c>
      <c r="DK94" s="269">
        <f t="shared" si="80"/>
        <v>0</v>
      </c>
      <c r="DL94" s="269">
        <f t="shared" si="80"/>
        <v>0</v>
      </c>
      <c r="DM94" s="269">
        <f t="shared" si="80"/>
        <v>0</v>
      </c>
      <c r="DN94" s="269">
        <f t="shared" si="80"/>
        <v>0</v>
      </c>
      <c r="DO94" s="269">
        <f t="shared" si="80"/>
        <v>0</v>
      </c>
      <c r="DP94" s="269">
        <f t="shared" si="80"/>
        <v>0</v>
      </c>
      <c r="DQ94" s="339"/>
      <c r="DR94" s="268"/>
    </row>
    <row r="95" spans="3:179" ht="15" thickBot="1" x14ac:dyDescent="0.4">
      <c r="F95" s="1047"/>
      <c r="G95" s="225"/>
      <c r="H95" s="225"/>
      <c r="I95" s="1269"/>
      <c r="J95" s="1214"/>
      <c r="K95" s="225"/>
      <c r="L95" s="225"/>
      <c r="M95" s="225"/>
      <c r="N95" s="225"/>
      <c r="O95" s="225"/>
      <c r="P95" s="225"/>
      <c r="Q95" s="225"/>
      <c r="R95" s="1269"/>
      <c r="S95" s="1214"/>
      <c r="T95" s="225"/>
      <c r="U95" s="225"/>
      <c r="V95" s="225"/>
      <c r="W95" s="225"/>
      <c r="X95" s="1269"/>
      <c r="Y95" s="1214"/>
      <c r="Z95" s="225"/>
      <c r="AA95" s="225"/>
      <c r="AB95" s="225"/>
      <c r="AC95" s="225"/>
      <c r="AD95" s="225"/>
      <c r="AE95" s="225"/>
      <c r="AF95" s="225"/>
      <c r="AG95" s="225"/>
      <c r="AH95" s="344"/>
      <c r="AI95" s="225"/>
      <c r="AJ95" s="225"/>
      <c r="AK95" s="225"/>
      <c r="AL95" s="1269"/>
      <c r="AM95" s="1214"/>
      <c r="AN95" s="225"/>
      <c r="AO95" s="225"/>
      <c r="AP95" s="225"/>
      <c r="AQ95" s="225"/>
      <c r="AR95" s="225"/>
      <c r="AS95" s="225"/>
      <c r="AT95" s="225"/>
      <c r="AU95" s="1269"/>
      <c r="AV95" s="1214"/>
      <c r="AW95" s="225"/>
      <c r="AX95" s="225"/>
      <c r="AY95" s="225"/>
      <c r="AZ95" s="225"/>
      <c r="BA95" s="1269"/>
      <c r="BB95" s="1214"/>
      <c r="BC95" s="225"/>
      <c r="BD95" s="225"/>
      <c r="BE95" s="225"/>
      <c r="BF95" s="225"/>
      <c r="BG95" s="225"/>
      <c r="BH95" s="225"/>
      <c r="BI95" s="225"/>
      <c r="BJ95" s="225"/>
      <c r="BK95" s="344"/>
      <c r="BL95" s="225"/>
      <c r="BM95" s="225"/>
      <c r="BN95" s="225"/>
      <c r="BO95" s="1269"/>
      <c r="BP95" s="1214"/>
      <c r="BQ95" s="225"/>
      <c r="BR95" s="225"/>
      <c r="BS95" s="225"/>
      <c r="BT95" s="225"/>
      <c r="BU95" s="225"/>
      <c r="BV95" s="225"/>
      <c r="BW95" s="225"/>
      <c r="BX95" s="1269"/>
      <c r="BY95" s="1214"/>
      <c r="BZ95" s="225"/>
      <c r="CA95" s="225"/>
      <c r="CB95" s="225"/>
      <c r="CC95" s="225"/>
      <c r="CD95" s="1269"/>
      <c r="CE95" s="1214"/>
      <c r="CF95" s="225"/>
      <c r="CG95" s="225"/>
      <c r="CH95" s="225"/>
      <c r="CI95" s="225"/>
      <c r="CJ95" s="225"/>
      <c r="CK95" s="225"/>
      <c r="CL95" s="225"/>
      <c r="CM95" s="225"/>
      <c r="CN95" s="344"/>
      <c r="CO95" s="225"/>
      <c r="CP95" s="225"/>
      <c r="CQ95" s="225"/>
      <c r="CR95" s="1269"/>
      <c r="CS95" s="1214"/>
      <c r="CT95" s="225"/>
      <c r="CU95" s="225"/>
      <c r="CV95" s="225"/>
      <c r="CW95" s="225"/>
      <c r="CX95" s="225"/>
      <c r="CY95" s="225"/>
      <c r="CZ95" s="225"/>
      <c r="DA95" s="1269"/>
      <c r="DB95" s="1214"/>
      <c r="DC95" s="225"/>
      <c r="DD95" s="225"/>
      <c r="DE95" s="225"/>
      <c r="DF95" s="225"/>
      <c r="DG95" s="1269"/>
      <c r="DH95" s="1214"/>
      <c r="DI95" s="225"/>
      <c r="DJ95" s="225"/>
      <c r="DK95" s="225"/>
      <c r="DL95" s="225"/>
      <c r="DM95" s="225"/>
      <c r="DN95" s="225"/>
      <c r="DO95" s="225"/>
      <c r="DP95" s="225"/>
      <c r="DQ95" s="344"/>
      <c r="DR95" s="345"/>
      <c r="DS95" s="225"/>
      <c r="DT95" s="225"/>
      <c r="DU95" s="225"/>
      <c r="DV95" s="1269"/>
      <c r="DW95" s="1214"/>
      <c r="DX95" s="225"/>
      <c r="DY95" s="225"/>
      <c r="DZ95" s="225"/>
      <c r="EA95" s="225"/>
      <c r="EB95" s="225"/>
      <c r="EC95" s="225"/>
      <c r="ED95" s="225"/>
      <c r="EE95" s="1269"/>
      <c r="EF95" s="1214"/>
      <c r="EG95" s="225"/>
      <c r="EH95" s="225"/>
      <c r="EI95" s="225"/>
      <c r="EJ95" s="225"/>
      <c r="EK95" s="1269"/>
      <c r="EL95" s="1214"/>
      <c r="EM95" s="225"/>
      <c r="EN95" s="225"/>
      <c r="EO95" s="225"/>
      <c r="EP95" s="225"/>
      <c r="EQ95" s="225"/>
      <c r="ER95" s="225"/>
      <c r="ES95" s="225"/>
      <c r="ET95" s="225"/>
      <c r="EU95" s="344"/>
      <c r="EV95" s="225"/>
      <c r="EW95" s="225"/>
      <c r="EX95" s="225"/>
      <c r="EY95" s="1269"/>
      <c r="EZ95" s="1214"/>
      <c r="FA95" s="225"/>
      <c r="FB95" s="225"/>
      <c r="FC95" s="225"/>
      <c r="FD95" s="225"/>
      <c r="FE95" s="225"/>
      <c r="FF95" s="225"/>
      <c r="FG95" s="225"/>
      <c r="FH95" s="1269"/>
      <c r="FI95" s="1214"/>
      <c r="FJ95" s="225"/>
      <c r="FK95" s="225"/>
      <c r="FL95" s="225"/>
      <c r="FM95" s="225"/>
      <c r="FN95" s="1269"/>
      <c r="FO95" s="1214"/>
      <c r="FP95" s="225"/>
      <c r="FQ95" s="225"/>
      <c r="FR95" s="225"/>
      <c r="FS95" s="225"/>
      <c r="FT95" s="225"/>
      <c r="FU95" s="225"/>
      <c r="FV95" s="225"/>
      <c r="FW95" s="225"/>
    </row>
    <row r="96" spans="3:179" s="377" customFormat="1" ht="15" thickTop="1" x14ac:dyDescent="0.35">
      <c r="C96" s="375" t="s">
        <v>132</v>
      </c>
      <c r="D96" s="375"/>
      <c r="E96" s="375"/>
      <c r="F96" s="1048">
        <f t="shared" ref="F96:AG96" si="81">F$59*F$28/100</f>
        <v>0</v>
      </c>
      <c r="G96" s="376">
        <f>G$59*G$28/100</f>
        <v>0</v>
      </c>
      <c r="H96" s="371">
        <f t="shared" si="81"/>
        <v>0</v>
      </c>
      <c r="I96" s="1270">
        <f t="shared" si="81"/>
        <v>0</v>
      </c>
      <c r="J96" s="1215">
        <f t="shared" si="81"/>
        <v>0</v>
      </c>
      <c r="K96" s="376">
        <f t="shared" si="81"/>
        <v>0</v>
      </c>
      <c r="L96" s="376">
        <f t="shared" si="81"/>
        <v>0</v>
      </c>
      <c r="M96" s="376">
        <f t="shared" si="81"/>
        <v>0</v>
      </c>
      <c r="N96" s="376">
        <f t="shared" si="81"/>
        <v>0</v>
      </c>
      <c r="O96" s="376">
        <f t="shared" si="81"/>
        <v>0</v>
      </c>
      <c r="P96" s="376">
        <f t="shared" si="81"/>
        <v>0</v>
      </c>
      <c r="Q96" s="376">
        <f t="shared" si="81"/>
        <v>0</v>
      </c>
      <c r="R96" s="1270">
        <f t="shared" si="81"/>
        <v>0</v>
      </c>
      <c r="S96" s="1215">
        <f t="shared" si="81"/>
        <v>0</v>
      </c>
      <c r="T96" s="376">
        <f t="shared" si="81"/>
        <v>0</v>
      </c>
      <c r="U96" s="376">
        <f t="shared" si="81"/>
        <v>0</v>
      </c>
      <c r="V96" s="376">
        <f t="shared" si="81"/>
        <v>0</v>
      </c>
      <c r="W96" s="376">
        <f t="shared" si="81"/>
        <v>0</v>
      </c>
      <c r="X96" s="1270">
        <f t="shared" si="81"/>
        <v>0</v>
      </c>
      <c r="Y96" s="1215">
        <f t="shared" si="81"/>
        <v>0</v>
      </c>
      <c r="Z96" s="376">
        <f t="shared" si="81"/>
        <v>0</v>
      </c>
      <c r="AA96" s="376">
        <f t="shared" si="81"/>
        <v>0</v>
      </c>
      <c r="AB96" s="376">
        <f t="shared" si="81"/>
        <v>0</v>
      </c>
      <c r="AC96" s="376">
        <f t="shared" si="81"/>
        <v>0</v>
      </c>
      <c r="AD96" s="376">
        <f t="shared" si="81"/>
        <v>0</v>
      </c>
      <c r="AE96" s="376">
        <f t="shared" si="81"/>
        <v>0</v>
      </c>
      <c r="AF96" s="376">
        <f t="shared" si="81"/>
        <v>0</v>
      </c>
      <c r="AG96" s="376">
        <f t="shared" si="81"/>
        <v>0</v>
      </c>
      <c r="AH96" s="399"/>
      <c r="AI96" s="376">
        <f t="shared" ref="AI96:BJ96" si="82">AI$59*AI$28/100</f>
        <v>0</v>
      </c>
      <c r="AJ96" s="376">
        <f t="shared" si="82"/>
        <v>0</v>
      </c>
      <c r="AK96" s="376">
        <f t="shared" si="82"/>
        <v>0</v>
      </c>
      <c r="AL96" s="1270">
        <f t="shared" si="82"/>
        <v>0</v>
      </c>
      <c r="AM96" s="1215">
        <f t="shared" si="82"/>
        <v>0</v>
      </c>
      <c r="AN96" s="376">
        <f t="shared" si="82"/>
        <v>0</v>
      </c>
      <c r="AO96" s="376">
        <f t="shared" si="82"/>
        <v>0</v>
      </c>
      <c r="AP96" s="376">
        <f t="shared" si="82"/>
        <v>0</v>
      </c>
      <c r="AQ96" s="376">
        <f t="shared" si="82"/>
        <v>0</v>
      </c>
      <c r="AR96" s="376">
        <f t="shared" si="82"/>
        <v>0</v>
      </c>
      <c r="AS96" s="376">
        <f t="shared" si="82"/>
        <v>0</v>
      </c>
      <c r="AT96" s="376">
        <f t="shared" si="82"/>
        <v>0</v>
      </c>
      <c r="AU96" s="1270">
        <f t="shared" si="82"/>
        <v>0</v>
      </c>
      <c r="AV96" s="1215">
        <f t="shared" si="82"/>
        <v>0</v>
      </c>
      <c r="AW96" s="376">
        <f t="shared" si="82"/>
        <v>0</v>
      </c>
      <c r="AX96" s="376">
        <f t="shared" si="82"/>
        <v>0</v>
      </c>
      <c r="AY96" s="376">
        <f t="shared" si="82"/>
        <v>0</v>
      </c>
      <c r="AZ96" s="376">
        <f t="shared" si="82"/>
        <v>0</v>
      </c>
      <c r="BA96" s="1270">
        <f t="shared" si="82"/>
        <v>0</v>
      </c>
      <c r="BB96" s="1215">
        <f t="shared" si="82"/>
        <v>0</v>
      </c>
      <c r="BC96" s="376">
        <f t="shared" si="82"/>
        <v>0</v>
      </c>
      <c r="BD96" s="376">
        <f t="shared" si="82"/>
        <v>0</v>
      </c>
      <c r="BE96" s="376">
        <f t="shared" si="82"/>
        <v>0</v>
      </c>
      <c r="BF96" s="376">
        <f t="shared" si="82"/>
        <v>0</v>
      </c>
      <c r="BG96" s="376">
        <f t="shared" si="82"/>
        <v>0</v>
      </c>
      <c r="BH96" s="376">
        <f t="shared" si="82"/>
        <v>0</v>
      </c>
      <c r="BI96" s="376">
        <f t="shared" si="82"/>
        <v>0</v>
      </c>
      <c r="BJ96" s="376">
        <f t="shared" si="82"/>
        <v>0</v>
      </c>
      <c r="BK96" s="399"/>
      <c r="BL96" s="376">
        <f t="shared" ref="BL96:CM96" si="83">BL$59*BL$28/100</f>
        <v>17.978889294242155</v>
      </c>
      <c r="BM96" s="376">
        <f t="shared" si="83"/>
        <v>16.839874612396681</v>
      </c>
      <c r="BN96" s="376">
        <f t="shared" si="83"/>
        <v>19.958619333631788</v>
      </c>
      <c r="BO96" s="1270">
        <f t="shared" si="83"/>
        <v>20.179415769268655</v>
      </c>
      <c r="BP96" s="1215">
        <f t="shared" si="83"/>
        <v>2.971814149663039</v>
      </c>
      <c r="BQ96" s="376">
        <f t="shared" si="83"/>
        <v>3.2027411520805247</v>
      </c>
      <c r="BR96" s="376">
        <f t="shared" si="83"/>
        <v>4.0380694220038782</v>
      </c>
      <c r="BS96" s="376">
        <f t="shared" si="83"/>
        <v>4.1260346037853299</v>
      </c>
      <c r="BT96" s="376">
        <f t="shared" si="83"/>
        <v>4.6746362493599802</v>
      </c>
      <c r="BU96" s="376">
        <f t="shared" si="83"/>
        <v>4.8539661135932342</v>
      </c>
      <c r="BV96" s="376">
        <f t="shared" si="83"/>
        <v>5.1339574159765302</v>
      </c>
      <c r="BW96" s="376">
        <f t="shared" si="83"/>
        <v>4.8716762575522958</v>
      </c>
      <c r="BX96" s="1270">
        <f t="shared" si="83"/>
        <v>5.1836594757771941</v>
      </c>
      <c r="BY96" s="1215">
        <f t="shared" si="83"/>
        <v>0</v>
      </c>
      <c r="BZ96" s="376">
        <f t="shared" si="83"/>
        <v>0</v>
      </c>
      <c r="CA96" s="376">
        <f t="shared" si="83"/>
        <v>0</v>
      </c>
      <c r="CB96" s="376">
        <f t="shared" si="83"/>
        <v>0</v>
      </c>
      <c r="CC96" s="376">
        <f t="shared" si="83"/>
        <v>0</v>
      </c>
      <c r="CD96" s="1270">
        <f t="shared" si="83"/>
        <v>0</v>
      </c>
      <c r="CE96" s="1215">
        <f t="shared" si="83"/>
        <v>0</v>
      </c>
      <c r="CF96" s="376">
        <f t="shared" si="83"/>
        <v>0</v>
      </c>
      <c r="CG96" s="376">
        <f t="shared" si="83"/>
        <v>0</v>
      </c>
      <c r="CH96" s="376">
        <f t="shared" si="83"/>
        <v>0</v>
      </c>
      <c r="CI96" s="376">
        <f t="shared" si="83"/>
        <v>0</v>
      </c>
      <c r="CJ96" s="376">
        <f t="shared" si="83"/>
        <v>0</v>
      </c>
      <c r="CK96" s="376">
        <f t="shared" si="83"/>
        <v>0</v>
      </c>
      <c r="CL96" s="376">
        <f t="shared" si="83"/>
        <v>0</v>
      </c>
      <c r="CM96" s="376">
        <f t="shared" si="83"/>
        <v>0</v>
      </c>
      <c r="CN96" s="354"/>
      <c r="CO96" s="376"/>
      <c r="CP96" s="376"/>
      <c r="CQ96" s="376"/>
      <c r="CR96" s="1270"/>
      <c r="CS96" s="1215"/>
      <c r="CT96" s="376"/>
      <c r="CU96" s="376"/>
      <c r="CV96" s="376"/>
      <c r="CW96" s="376"/>
      <c r="CX96" s="376"/>
      <c r="CY96" s="376"/>
      <c r="CZ96" s="376"/>
      <c r="DA96" s="1270"/>
      <c r="DB96" s="1215"/>
      <c r="DC96" s="376"/>
      <c r="DD96" s="376"/>
      <c r="DE96" s="376"/>
      <c r="DF96" s="376"/>
      <c r="DG96" s="1270"/>
      <c r="DH96" s="1215"/>
      <c r="DI96" s="376"/>
      <c r="DJ96" s="376"/>
      <c r="DK96" s="376"/>
      <c r="DL96" s="376"/>
      <c r="DM96" s="376"/>
      <c r="DN96" s="376"/>
      <c r="DO96" s="376"/>
      <c r="DP96" s="376"/>
      <c r="DQ96" s="352"/>
      <c r="DR96" s="355"/>
      <c r="DS96" s="347"/>
      <c r="DT96" s="347"/>
      <c r="DU96" s="347"/>
      <c r="DV96" s="1278"/>
      <c r="DW96" s="1222"/>
      <c r="DX96" s="347"/>
      <c r="DY96" s="347"/>
      <c r="DZ96" s="347"/>
      <c r="EA96" s="347"/>
      <c r="EB96" s="347"/>
      <c r="EC96" s="347"/>
      <c r="ED96" s="347"/>
      <c r="EE96" s="1278"/>
      <c r="EF96" s="1222"/>
      <c r="EG96" s="347"/>
      <c r="EH96" s="347"/>
      <c r="EI96" s="347"/>
      <c r="EJ96" s="347"/>
      <c r="EK96" s="1278"/>
      <c r="EL96" s="1222"/>
      <c r="EM96" s="347"/>
      <c r="EN96" s="347"/>
      <c r="EO96" s="347"/>
      <c r="EP96" s="347"/>
      <c r="EQ96" s="347"/>
      <c r="ER96" s="347"/>
      <c r="ES96" s="347"/>
      <c r="ET96" s="347"/>
      <c r="EU96" s="352"/>
      <c r="EV96" s="347"/>
      <c r="EW96" s="347"/>
      <c r="EX96" s="347"/>
      <c r="EY96" s="1278"/>
      <c r="EZ96" s="1222"/>
      <c r="FA96" s="347"/>
      <c r="FB96" s="347"/>
      <c r="FC96" s="347"/>
      <c r="FD96" s="347"/>
      <c r="FE96" s="347"/>
      <c r="FF96" s="347"/>
      <c r="FG96" s="347"/>
      <c r="FH96" s="1278"/>
      <c r="FI96" s="1222"/>
      <c r="FJ96" s="347"/>
      <c r="FK96" s="347"/>
      <c r="FL96" s="347"/>
      <c r="FM96" s="347"/>
      <c r="FN96" s="1278"/>
      <c r="FO96" s="1222"/>
      <c r="FP96" s="347"/>
      <c r="FQ96" s="347"/>
      <c r="FR96" s="347"/>
      <c r="FS96" s="347"/>
      <c r="FT96" s="347"/>
      <c r="FU96" s="347"/>
      <c r="FV96" s="347"/>
      <c r="FW96" s="347"/>
    </row>
    <row r="97" spans="3:180" s="368" customFormat="1" ht="15" thickBot="1" x14ac:dyDescent="0.4">
      <c r="C97" s="364" t="s">
        <v>133</v>
      </c>
      <c r="D97" s="364"/>
      <c r="E97" s="364"/>
      <c r="F97" s="1049">
        <f t="shared" ref="F97:AG97" si="84">F$59*F$30/100</f>
        <v>0</v>
      </c>
      <c r="G97" s="400">
        <f t="shared" si="84"/>
        <v>0</v>
      </c>
      <c r="H97" s="374">
        <f t="shared" si="84"/>
        <v>0</v>
      </c>
      <c r="I97" s="1271">
        <f t="shared" si="84"/>
        <v>0</v>
      </c>
      <c r="J97" s="1216">
        <f t="shared" si="84"/>
        <v>0</v>
      </c>
      <c r="K97" s="400">
        <f t="shared" si="84"/>
        <v>0</v>
      </c>
      <c r="L97" s="400">
        <f t="shared" si="84"/>
        <v>0</v>
      </c>
      <c r="M97" s="400">
        <f t="shared" si="84"/>
        <v>0</v>
      </c>
      <c r="N97" s="400">
        <f t="shared" si="84"/>
        <v>0</v>
      </c>
      <c r="O97" s="400">
        <f t="shared" si="84"/>
        <v>0</v>
      </c>
      <c r="P97" s="400">
        <f t="shared" si="84"/>
        <v>0</v>
      </c>
      <c r="Q97" s="400">
        <f t="shared" si="84"/>
        <v>0</v>
      </c>
      <c r="R97" s="1271">
        <f t="shared" si="84"/>
        <v>0</v>
      </c>
      <c r="S97" s="1216">
        <f t="shared" si="84"/>
        <v>0</v>
      </c>
      <c r="T97" s="400">
        <f t="shared" si="84"/>
        <v>0</v>
      </c>
      <c r="U97" s="400">
        <f t="shared" si="84"/>
        <v>0</v>
      </c>
      <c r="V97" s="400">
        <f t="shared" si="84"/>
        <v>0</v>
      </c>
      <c r="W97" s="400">
        <f t="shared" si="84"/>
        <v>0</v>
      </c>
      <c r="X97" s="1271">
        <f t="shared" si="84"/>
        <v>0</v>
      </c>
      <c r="Y97" s="1216">
        <f t="shared" si="84"/>
        <v>0</v>
      </c>
      <c r="Z97" s="400">
        <f t="shared" si="84"/>
        <v>0</v>
      </c>
      <c r="AA97" s="400">
        <f t="shared" si="84"/>
        <v>0</v>
      </c>
      <c r="AB97" s="400">
        <f t="shared" si="84"/>
        <v>0</v>
      </c>
      <c r="AC97" s="400">
        <f t="shared" si="84"/>
        <v>0</v>
      </c>
      <c r="AD97" s="400">
        <f t="shared" si="84"/>
        <v>0</v>
      </c>
      <c r="AE97" s="400">
        <f t="shared" si="84"/>
        <v>0</v>
      </c>
      <c r="AF97" s="400">
        <f t="shared" si="84"/>
        <v>0</v>
      </c>
      <c r="AG97" s="400">
        <f t="shared" si="84"/>
        <v>0</v>
      </c>
      <c r="AH97" s="401"/>
      <c r="AI97" s="400">
        <f t="shared" ref="AI97:BJ97" si="85">AI$59*AI$30/100</f>
        <v>0</v>
      </c>
      <c r="AJ97" s="400">
        <f t="shared" si="85"/>
        <v>0</v>
      </c>
      <c r="AK97" s="400">
        <f t="shared" si="85"/>
        <v>0</v>
      </c>
      <c r="AL97" s="1271">
        <f t="shared" si="85"/>
        <v>0</v>
      </c>
      <c r="AM97" s="1216">
        <f t="shared" si="85"/>
        <v>0</v>
      </c>
      <c r="AN97" s="400">
        <f t="shared" si="85"/>
        <v>0</v>
      </c>
      <c r="AO97" s="400">
        <f t="shared" si="85"/>
        <v>0</v>
      </c>
      <c r="AP97" s="400">
        <f t="shared" si="85"/>
        <v>0</v>
      </c>
      <c r="AQ97" s="400">
        <f t="shared" si="85"/>
        <v>0</v>
      </c>
      <c r="AR97" s="400">
        <f t="shared" si="85"/>
        <v>0</v>
      </c>
      <c r="AS97" s="400">
        <f t="shared" si="85"/>
        <v>0</v>
      </c>
      <c r="AT97" s="400">
        <f t="shared" si="85"/>
        <v>0</v>
      </c>
      <c r="AU97" s="1271">
        <f t="shared" si="85"/>
        <v>0</v>
      </c>
      <c r="AV97" s="1216">
        <f t="shared" si="85"/>
        <v>0</v>
      </c>
      <c r="AW97" s="400">
        <f t="shared" si="85"/>
        <v>0</v>
      </c>
      <c r="AX97" s="400">
        <f t="shared" si="85"/>
        <v>0</v>
      </c>
      <c r="AY97" s="400">
        <f t="shared" si="85"/>
        <v>0</v>
      </c>
      <c r="AZ97" s="400">
        <f t="shared" si="85"/>
        <v>0</v>
      </c>
      <c r="BA97" s="1271">
        <f t="shared" si="85"/>
        <v>0</v>
      </c>
      <c r="BB97" s="1216">
        <f t="shared" si="85"/>
        <v>0</v>
      </c>
      <c r="BC97" s="400">
        <f t="shared" si="85"/>
        <v>0</v>
      </c>
      <c r="BD97" s="400">
        <f t="shared" si="85"/>
        <v>0</v>
      </c>
      <c r="BE97" s="400">
        <f t="shared" si="85"/>
        <v>0</v>
      </c>
      <c r="BF97" s="400">
        <f t="shared" si="85"/>
        <v>0</v>
      </c>
      <c r="BG97" s="400">
        <f t="shared" si="85"/>
        <v>0</v>
      </c>
      <c r="BH97" s="400">
        <f t="shared" si="85"/>
        <v>0</v>
      </c>
      <c r="BI97" s="400">
        <f t="shared" si="85"/>
        <v>0</v>
      </c>
      <c r="BJ97" s="400">
        <f t="shared" si="85"/>
        <v>0</v>
      </c>
      <c r="BK97" s="401"/>
      <c r="BL97" s="400">
        <f t="shared" ref="BL97:CM97" si="86">BL$59*BL$30/100</f>
        <v>3.0631353191489366</v>
      </c>
      <c r="BM97" s="400">
        <f t="shared" si="86"/>
        <v>3.8463666666666665</v>
      </c>
      <c r="BN97" s="400">
        <f t="shared" si="86"/>
        <v>7.7755416666666664</v>
      </c>
      <c r="BO97" s="1271">
        <f t="shared" si="86"/>
        <v>7.5211200000000007</v>
      </c>
      <c r="BP97" s="1216">
        <f t="shared" si="86"/>
        <v>-2.1325333333333329</v>
      </c>
      <c r="BQ97" s="400">
        <f t="shared" si="86"/>
        <v>-1.8890666666666664</v>
      </c>
      <c r="BR97" s="400">
        <f t="shared" si="86"/>
        <v>-1.9464406779661017</v>
      </c>
      <c r="BS97" s="400">
        <f t="shared" si="86"/>
        <v>-0.63359999999999994</v>
      </c>
      <c r="BT97" s="400">
        <f t="shared" si="86"/>
        <v>0.17187443946188352</v>
      </c>
      <c r="BU97" s="400">
        <f t="shared" si="86"/>
        <v>-0.54667499999999947</v>
      </c>
      <c r="BV97" s="400">
        <f t="shared" si="86"/>
        <v>0.23706666666666684</v>
      </c>
      <c r="BW97" s="400">
        <f t="shared" si="86"/>
        <v>0.18785000000000049</v>
      </c>
      <c r="BX97" s="1271">
        <f t="shared" si="86"/>
        <v>-0.3802499999999997</v>
      </c>
      <c r="BY97" s="1216">
        <f t="shared" si="86"/>
        <v>-3.9892999999999996</v>
      </c>
      <c r="BZ97" s="400">
        <f t="shared" si="86"/>
        <v>0</v>
      </c>
      <c r="CA97" s="400">
        <f t="shared" si="86"/>
        <v>0</v>
      </c>
      <c r="CB97" s="400">
        <f t="shared" si="86"/>
        <v>0</v>
      </c>
      <c r="CC97" s="400">
        <f t="shared" si="86"/>
        <v>0</v>
      </c>
      <c r="CD97" s="1271">
        <f t="shared" si="86"/>
        <v>0</v>
      </c>
      <c r="CE97" s="1216">
        <f t="shared" si="86"/>
        <v>0</v>
      </c>
      <c r="CF97" s="400">
        <f t="shared" si="86"/>
        <v>0</v>
      </c>
      <c r="CG97" s="400">
        <f t="shared" si="86"/>
        <v>0</v>
      </c>
      <c r="CH97" s="400">
        <f t="shared" si="86"/>
        <v>0</v>
      </c>
      <c r="CI97" s="400">
        <f t="shared" si="86"/>
        <v>0</v>
      </c>
      <c r="CJ97" s="400">
        <f t="shared" si="86"/>
        <v>0</v>
      </c>
      <c r="CK97" s="400">
        <f t="shared" si="86"/>
        <v>0</v>
      </c>
      <c r="CL97" s="400">
        <f t="shared" si="86"/>
        <v>0</v>
      </c>
      <c r="CM97" s="400">
        <f t="shared" si="86"/>
        <v>0</v>
      </c>
      <c r="CN97" s="369"/>
      <c r="CO97" s="400"/>
      <c r="CP97" s="400"/>
      <c r="CQ97" s="400"/>
      <c r="CR97" s="1271"/>
      <c r="CS97" s="1216"/>
      <c r="CT97" s="400"/>
      <c r="CU97" s="400"/>
      <c r="CV97" s="400"/>
      <c r="CW97" s="400"/>
      <c r="CX97" s="400"/>
      <c r="CY97" s="400"/>
      <c r="CZ97" s="400"/>
      <c r="DA97" s="1271"/>
      <c r="DB97" s="1216"/>
      <c r="DC97" s="400"/>
      <c r="DD97" s="400"/>
      <c r="DE97" s="400"/>
      <c r="DF97" s="400"/>
      <c r="DG97" s="1271"/>
      <c r="DH97" s="1216"/>
      <c r="DI97" s="400"/>
      <c r="DJ97" s="400"/>
      <c r="DK97" s="400"/>
      <c r="DL97" s="400"/>
      <c r="DM97" s="400"/>
      <c r="DN97" s="400"/>
      <c r="DO97" s="400"/>
      <c r="DP97" s="400"/>
      <c r="DQ97" s="366"/>
      <c r="DR97" s="367"/>
      <c r="DS97" s="365"/>
      <c r="DT97" s="365"/>
      <c r="DU97" s="365"/>
      <c r="DV97" s="1234"/>
      <c r="DW97" s="1182"/>
      <c r="DX97" s="365"/>
      <c r="DY97" s="365"/>
      <c r="DZ97" s="365"/>
      <c r="EA97" s="365"/>
      <c r="EB97" s="365"/>
      <c r="EC97" s="365"/>
      <c r="ED97" s="365"/>
      <c r="EE97" s="1234"/>
      <c r="EF97" s="1182"/>
      <c r="EG97" s="365"/>
      <c r="EH97" s="365"/>
      <c r="EI97" s="365"/>
      <c r="EJ97" s="365"/>
      <c r="EK97" s="1234"/>
      <c r="EL97" s="1182"/>
      <c r="EM97" s="365"/>
      <c r="EN97" s="365"/>
      <c r="EO97" s="365"/>
      <c r="EP97" s="365"/>
      <c r="EQ97" s="365"/>
      <c r="ER97" s="365"/>
      <c r="ES97" s="365"/>
      <c r="ET97" s="365"/>
      <c r="EU97" s="366"/>
      <c r="EV97" s="365"/>
      <c r="EW97" s="365"/>
      <c r="EX97" s="365"/>
      <c r="EY97" s="1234"/>
      <c r="EZ97" s="1182"/>
      <c r="FA97" s="365"/>
      <c r="FB97" s="365"/>
      <c r="FC97" s="365"/>
      <c r="FD97" s="365"/>
      <c r="FE97" s="365"/>
      <c r="FF97" s="365"/>
      <c r="FG97" s="365"/>
      <c r="FH97" s="1234"/>
      <c r="FI97" s="1182"/>
      <c r="FJ97" s="365"/>
      <c r="FK97" s="365"/>
      <c r="FL97" s="365"/>
      <c r="FM97" s="365"/>
      <c r="FN97" s="1234"/>
      <c r="FO97" s="1182"/>
      <c r="FP97" s="365"/>
      <c r="FQ97" s="365"/>
      <c r="FR97" s="365"/>
      <c r="FS97" s="365"/>
      <c r="FT97" s="365"/>
      <c r="FU97" s="365"/>
      <c r="FV97" s="365"/>
      <c r="FW97" s="365"/>
    </row>
    <row r="98" spans="3:180" s="377" customFormat="1" ht="15" thickTop="1" x14ac:dyDescent="0.35">
      <c r="C98" s="375"/>
      <c r="D98" s="375"/>
      <c r="E98" s="375"/>
      <c r="F98" s="1166"/>
      <c r="G98" s="370"/>
      <c r="H98" s="371"/>
      <c r="I98" s="1272"/>
      <c r="J98" s="1217"/>
      <c r="K98" s="370"/>
      <c r="L98" s="370"/>
      <c r="M98" s="370"/>
      <c r="N98" s="370"/>
      <c r="O98" s="370"/>
      <c r="P98" s="370"/>
      <c r="Q98" s="370"/>
      <c r="R98" s="1272"/>
      <c r="S98" s="1217"/>
      <c r="T98" s="370"/>
      <c r="U98" s="370"/>
      <c r="V98" s="370"/>
      <c r="W98" s="370"/>
      <c r="X98" s="1272"/>
      <c r="Y98" s="1217"/>
      <c r="Z98" s="370"/>
      <c r="AA98" s="370"/>
      <c r="AB98" s="370"/>
      <c r="AC98" s="370"/>
      <c r="AD98" s="370"/>
      <c r="AE98" s="370"/>
      <c r="AF98" s="370"/>
      <c r="AG98" s="370"/>
      <c r="AH98" s="354"/>
      <c r="AI98" s="370"/>
      <c r="AJ98" s="370"/>
      <c r="AK98" s="370"/>
      <c r="AL98" s="1272"/>
      <c r="AM98" s="1217"/>
      <c r="AN98" s="370"/>
      <c r="AO98" s="370"/>
      <c r="AP98" s="370"/>
      <c r="AQ98" s="370"/>
      <c r="AR98" s="370"/>
      <c r="AS98" s="370"/>
      <c r="AT98" s="370"/>
      <c r="AU98" s="1272"/>
      <c r="AV98" s="1217"/>
      <c r="AW98" s="370"/>
      <c r="AX98" s="370"/>
      <c r="AY98" s="370"/>
      <c r="AZ98" s="370"/>
      <c r="BA98" s="1272"/>
      <c r="BB98" s="1217"/>
      <c r="BC98" s="370"/>
      <c r="BD98" s="370"/>
      <c r="BE98" s="370"/>
      <c r="BF98" s="370"/>
      <c r="BG98" s="370"/>
      <c r="BH98" s="370"/>
      <c r="BI98" s="370"/>
      <c r="BJ98" s="370"/>
      <c r="BK98" s="354"/>
      <c r="BL98" s="370"/>
      <c r="BM98" s="370"/>
      <c r="BN98" s="370"/>
      <c r="BO98" s="1272"/>
      <c r="BP98" s="1217"/>
      <c r="BQ98" s="370"/>
      <c r="BR98" s="370"/>
      <c r="BS98" s="370"/>
      <c r="BT98" s="370"/>
      <c r="BU98" s="370"/>
      <c r="BV98" s="370"/>
      <c r="BW98" s="370"/>
      <c r="BX98" s="1272"/>
      <c r="BY98" s="1217"/>
      <c r="BZ98" s="370"/>
      <c r="CA98" s="370"/>
      <c r="CB98" s="370"/>
      <c r="CC98" s="370"/>
      <c r="CD98" s="1272"/>
      <c r="CE98" s="1217"/>
      <c r="CF98" s="370"/>
      <c r="CG98" s="370"/>
      <c r="CH98" s="370"/>
      <c r="CI98" s="370"/>
      <c r="CJ98" s="370"/>
      <c r="CK98" s="370"/>
      <c r="CL98" s="370"/>
      <c r="CM98" s="370"/>
      <c r="CN98" s="354"/>
      <c r="CO98" s="370"/>
      <c r="CP98" s="370"/>
      <c r="CQ98" s="370"/>
      <c r="CR98" s="1272"/>
      <c r="CS98" s="1217"/>
      <c r="CT98" s="370"/>
      <c r="CU98" s="370"/>
      <c r="CV98" s="370"/>
      <c r="CW98" s="370"/>
      <c r="CX98" s="370"/>
      <c r="CY98" s="370"/>
      <c r="CZ98" s="370"/>
      <c r="DA98" s="1272"/>
      <c r="DB98" s="1217"/>
      <c r="DC98" s="370"/>
      <c r="DD98" s="370"/>
      <c r="DE98" s="370"/>
      <c r="DF98" s="370"/>
      <c r="DG98" s="1272"/>
      <c r="DH98" s="1217"/>
      <c r="DI98" s="370"/>
      <c r="DJ98" s="370"/>
      <c r="DK98" s="370"/>
      <c r="DL98" s="370"/>
      <c r="DM98" s="370"/>
      <c r="DN98" s="370"/>
      <c r="DO98" s="370"/>
      <c r="DP98" s="370"/>
      <c r="DQ98" s="352"/>
      <c r="DR98" s="355"/>
      <c r="DS98" s="347"/>
      <c r="DT98" s="347"/>
      <c r="DU98" s="347"/>
      <c r="DV98" s="1278"/>
      <c r="DW98" s="1222"/>
      <c r="DX98" s="347"/>
      <c r="DY98" s="347"/>
      <c r="DZ98" s="347"/>
      <c r="EA98" s="347"/>
      <c r="EB98" s="347"/>
      <c r="EC98" s="347"/>
      <c r="ED98" s="347"/>
      <c r="EE98" s="1278"/>
      <c r="EF98" s="1222"/>
      <c r="EG98" s="347"/>
      <c r="EH98" s="347"/>
      <c r="EI98" s="347"/>
      <c r="EJ98" s="347"/>
      <c r="EK98" s="1278"/>
      <c r="EL98" s="1222"/>
      <c r="EM98" s="347"/>
      <c r="EN98" s="347"/>
      <c r="EO98" s="347"/>
      <c r="EP98" s="347"/>
      <c r="EQ98" s="347"/>
      <c r="ER98" s="347"/>
      <c r="ES98" s="347"/>
      <c r="ET98" s="347"/>
      <c r="EU98" s="352"/>
      <c r="EV98" s="347"/>
      <c r="EW98" s="347"/>
      <c r="EX98" s="347"/>
      <c r="EY98" s="1278"/>
      <c r="EZ98" s="1222"/>
      <c r="FA98" s="347"/>
      <c r="FB98" s="347"/>
      <c r="FC98" s="347"/>
      <c r="FD98" s="347"/>
      <c r="FE98" s="347"/>
      <c r="FF98" s="347"/>
      <c r="FG98" s="347"/>
      <c r="FH98" s="1278"/>
      <c r="FI98" s="1222"/>
      <c r="FJ98" s="347"/>
      <c r="FK98" s="347"/>
      <c r="FL98" s="347"/>
      <c r="FM98" s="347"/>
      <c r="FN98" s="1278"/>
      <c r="FO98" s="1222"/>
      <c r="FP98" s="347"/>
      <c r="FQ98" s="347"/>
      <c r="FR98" s="347"/>
      <c r="FS98" s="347"/>
      <c r="FT98" s="347"/>
      <c r="FU98" s="347"/>
      <c r="FV98" s="347"/>
      <c r="FW98" s="347"/>
    </row>
    <row r="99" spans="3:180" x14ac:dyDescent="0.35">
      <c r="C99" s="1" t="s">
        <v>134</v>
      </c>
      <c r="F99" s="604">
        <f t="shared" ref="F99:AG99" si="87">F$59*F$33/100</f>
        <v>0</v>
      </c>
      <c r="G99" s="251">
        <f t="shared" si="87"/>
        <v>0</v>
      </c>
      <c r="H99" s="249">
        <f t="shared" si="87"/>
        <v>0</v>
      </c>
      <c r="I99" s="1267">
        <f t="shared" si="87"/>
        <v>0</v>
      </c>
      <c r="J99" s="1212">
        <f t="shared" si="87"/>
        <v>0</v>
      </c>
      <c r="K99" s="251">
        <f t="shared" si="87"/>
        <v>0</v>
      </c>
      <c r="L99" s="251">
        <f t="shared" si="87"/>
        <v>0</v>
      </c>
      <c r="M99" s="251">
        <f t="shared" si="87"/>
        <v>0</v>
      </c>
      <c r="N99" s="251">
        <f t="shared" si="87"/>
        <v>0</v>
      </c>
      <c r="O99" s="251">
        <f t="shared" si="87"/>
        <v>0</v>
      </c>
      <c r="P99" s="251">
        <f t="shared" si="87"/>
        <v>0</v>
      </c>
      <c r="Q99" s="251">
        <f t="shared" si="87"/>
        <v>0</v>
      </c>
      <c r="R99" s="1267">
        <f t="shared" si="87"/>
        <v>0</v>
      </c>
      <c r="S99" s="1212">
        <f t="shared" si="87"/>
        <v>0</v>
      </c>
      <c r="T99" s="251">
        <f t="shared" si="87"/>
        <v>0</v>
      </c>
      <c r="U99" s="251">
        <f t="shared" si="87"/>
        <v>0</v>
      </c>
      <c r="V99" s="251">
        <f t="shared" si="87"/>
        <v>0</v>
      </c>
      <c r="W99" s="251">
        <f t="shared" si="87"/>
        <v>0</v>
      </c>
      <c r="X99" s="1267">
        <f t="shared" si="87"/>
        <v>0</v>
      </c>
      <c r="Y99" s="1212">
        <f t="shared" si="87"/>
        <v>0</v>
      </c>
      <c r="Z99" s="251">
        <f t="shared" si="87"/>
        <v>0</v>
      </c>
      <c r="AA99" s="251">
        <f t="shared" si="87"/>
        <v>0</v>
      </c>
      <c r="AB99" s="251">
        <f t="shared" si="87"/>
        <v>0</v>
      </c>
      <c r="AC99" s="251">
        <f t="shared" si="87"/>
        <v>0</v>
      </c>
      <c r="AD99" s="251">
        <f t="shared" si="87"/>
        <v>0</v>
      </c>
      <c r="AE99" s="251">
        <f t="shared" si="87"/>
        <v>0</v>
      </c>
      <c r="AF99" s="251">
        <f t="shared" si="87"/>
        <v>0</v>
      </c>
      <c r="AG99" s="251">
        <f t="shared" si="87"/>
        <v>0</v>
      </c>
      <c r="AH99" s="338"/>
      <c r="AI99" s="251">
        <f t="shared" ref="AI99:AW99" si="88">AI$59*AI$33/100</f>
        <v>0</v>
      </c>
      <c r="AJ99" s="251">
        <f t="shared" si="88"/>
        <v>0</v>
      </c>
      <c r="AK99" s="251">
        <f t="shared" si="88"/>
        <v>0</v>
      </c>
      <c r="AL99" s="1267">
        <f t="shared" si="88"/>
        <v>0</v>
      </c>
      <c r="AM99" s="1212">
        <f t="shared" si="88"/>
        <v>0</v>
      </c>
      <c r="AN99" s="251">
        <f t="shared" si="88"/>
        <v>0</v>
      </c>
      <c r="AO99" s="251">
        <f t="shared" si="88"/>
        <v>0</v>
      </c>
      <c r="AP99" s="251">
        <f t="shared" si="88"/>
        <v>0</v>
      </c>
      <c r="AQ99" s="251">
        <f t="shared" si="88"/>
        <v>0</v>
      </c>
      <c r="AR99" s="251">
        <f t="shared" si="88"/>
        <v>0</v>
      </c>
      <c r="AS99" s="251">
        <f t="shared" si="88"/>
        <v>0</v>
      </c>
      <c r="AT99" s="251">
        <f t="shared" si="88"/>
        <v>0</v>
      </c>
      <c r="AU99" s="1267">
        <f t="shared" si="88"/>
        <v>0</v>
      </c>
      <c r="AV99" s="1212">
        <f t="shared" si="88"/>
        <v>0</v>
      </c>
      <c r="AW99" s="251">
        <f t="shared" si="88"/>
        <v>0</v>
      </c>
      <c r="AX99" s="251"/>
      <c r="AY99" s="251"/>
      <c r="AZ99" s="251"/>
      <c r="BA99" s="1267"/>
      <c r="BB99" s="1212"/>
      <c r="BC99" s="251"/>
      <c r="BD99" s="251"/>
      <c r="BE99" s="251"/>
      <c r="BF99" s="251"/>
      <c r="BG99" s="251"/>
      <c r="BH99" s="251"/>
      <c r="BI99" s="251"/>
      <c r="BJ99" s="251"/>
      <c r="BK99" s="338"/>
      <c r="BL99" s="251">
        <f t="shared" ref="BL99:CM99" si="89">BL$59*BL$33/100</f>
        <v>36.300690706723401</v>
      </c>
      <c r="BM99" s="251">
        <f t="shared" si="89"/>
        <v>37.226570649999999</v>
      </c>
      <c r="BN99" s="251">
        <f t="shared" si="89"/>
        <v>40.001979771249999</v>
      </c>
      <c r="BO99" s="1267">
        <f t="shared" si="89"/>
        <v>39.697193875000004</v>
      </c>
      <c r="BP99" s="1212">
        <f t="shared" si="89"/>
        <v>9.5381796399999992</v>
      </c>
      <c r="BQ99" s="251">
        <f t="shared" si="89"/>
        <v>9.6206988266666666</v>
      </c>
      <c r="BR99" s="251">
        <f t="shared" si="89"/>
        <v>10.86866993898305</v>
      </c>
      <c r="BS99" s="251">
        <f t="shared" si="89"/>
        <v>11.19030768</v>
      </c>
      <c r="BT99" s="251">
        <f t="shared" si="89"/>
        <v>11.608204134080717</v>
      </c>
      <c r="BU99" s="251">
        <f t="shared" si="89"/>
        <v>12.242224584000001</v>
      </c>
      <c r="BV99" s="251">
        <f t="shared" si="89"/>
        <v>12.658072283499997</v>
      </c>
      <c r="BW99" s="251">
        <f t="shared" si="89"/>
        <v>13.267655048999998</v>
      </c>
      <c r="BX99" s="1267">
        <f t="shared" si="89"/>
        <v>13.038004687499999</v>
      </c>
      <c r="BY99" s="1212">
        <f t="shared" si="89"/>
        <v>-0.20151705</v>
      </c>
      <c r="BZ99" s="251">
        <f t="shared" si="89"/>
        <v>0</v>
      </c>
      <c r="CA99" s="251">
        <f t="shared" si="89"/>
        <v>0</v>
      </c>
      <c r="CB99" s="251">
        <f t="shared" si="89"/>
        <v>0</v>
      </c>
      <c r="CC99" s="251">
        <f t="shared" si="89"/>
        <v>0</v>
      </c>
      <c r="CD99" s="1267">
        <f t="shared" si="89"/>
        <v>0</v>
      </c>
      <c r="CE99" s="1212">
        <f t="shared" si="89"/>
        <v>0</v>
      </c>
      <c r="CF99" s="251">
        <f t="shared" si="89"/>
        <v>0</v>
      </c>
      <c r="CG99" s="251">
        <f t="shared" si="89"/>
        <v>0</v>
      </c>
      <c r="CH99" s="251">
        <f t="shared" si="89"/>
        <v>0</v>
      </c>
      <c r="CI99" s="251">
        <f t="shared" si="89"/>
        <v>0</v>
      </c>
      <c r="CJ99" s="251">
        <f t="shared" si="89"/>
        <v>0</v>
      </c>
      <c r="CK99" s="251">
        <f t="shared" si="89"/>
        <v>0</v>
      </c>
      <c r="CL99" s="251">
        <f t="shared" si="89"/>
        <v>0</v>
      </c>
      <c r="CM99" s="251">
        <f t="shared" si="89"/>
        <v>0</v>
      </c>
      <c r="CN99" s="338"/>
      <c r="CO99" s="251"/>
      <c r="CP99" s="251"/>
      <c r="CQ99" s="251"/>
      <c r="CR99" s="1267"/>
      <c r="CS99" s="1212"/>
      <c r="CT99" s="251"/>
      <c r="CU99" s="251"/>
      <c r="CV99" s="251"/>
      <c r="CW99" s="251"/>
      <c r="CX99" s="251"/>
      <c r="CY99" s="251"/>
      <c r="CZ99" s="251"/>
      <c r="DA99" s="1267"/>
      <c r="DB99" s="1212"/>
      <c r="DC99" s="251"/>
      <c r="DD99" s="251"/>
      <c r="DE99" s="251"/>
      <c r="DF99" s="251"/>
      <c r="DG99" s="1267"/>
      <c r="DH99" s="1212"/>
      <c r="DI99" s="251"/>
      <c r="DJ99" s="251"/>
      <c r="DK99" s="251"/>
      <c r="DL99" s="251"/>
      <c r="DM99" s="251"/>
      <c r="DN99" s="251"/>
      <c r="DO99" s="251"/>
      <c r="DP99" s="251"/>
    </row>
    <row r="100" spans="3:180" s="368" customFormat="1" ht="15" thickBot="1" x14ac:dyDescent="0.4">
      <c r="C100" s="364"/>
      <c r="D100" s="364"/>
      <c r="E100" s="364"/>
      <c r="F100" s="1027"/>
      <c r="G100" s="365"/>
      <c r="H100" s="1167"/>
      <c r="I100" s="1234"/>
      <c r="J100" s="1182"/>
      <c r="K100" s="365"/>
      <c r="L100" s="365"/>
      <c r="M100" s="365"/>
      <c r="N100" s="365"/>
      <c r="O100" s="365"/>
      <c r="P100" s="365"/>
      <c r="Q100" s="365"/>
      <c r="R100" s="1234"/>
      <c r="S100" s="1182"/>
      <c r="T100" s="365"/>
      <c r="U100" s="365"/>
      <c r="V100" s="365"/>
      <c r="W100" s="365"/>
      <c r="X100" s="1234"/>
      <c r="Y100" s="1182"/>
      <c r="Z100" s="365"/>
      <c r="AA100" s="365"/>
      <c r="AB100" s="365"/>
      <c r="AC100" s="365"/>
      <c r="AD100" s="365"/>
      <c r="AE100" s="365"/>
      <c r="AF100" s="365"/>
      <c r="AG100" s="365"/>
      <c r="AH100" s="366"/>
      <c r="AI100" s="365"/>
      <c r="AJ100" s="365"/>
      <c r="AK100" s="365"/>
      <c r="AL100" s="1234"/>
      <c r="AM100" s="1182"/>
      <c r="AN100" s="365"/>
      <c r="AO100" s="365"/>
      <c r="AP100" s="365"/>
      <c r="AQ100" s="365"/>
      <c r="AR100" s="365"/>
      <c r="AS100" s="365"/>
      <c r="AT100" s="365"/>
      <c r="AU100" s="1234"/>
      <c r="AV100" s="1182"/>
      <c r="AW100" s="365"/>
      <c r="AX100" s="365"/>
      <c r="AY100" s="365"/>
      <c r="AZ100" s="365"/>
      <c r="BA100" s="1234"/>
      <c r="BB100" s="1182"/>
      <c r="BC100" s="365"/>
      <c r="BD100" s="365"/>
      <c r="BE100" s="365"/>
      <c r="BF100" s="365"/>
      <c r="BG100" s="365"/>
      <c r="BH100" s="365"/>
      <c r="BI100" s="365"/>
      <c r="BJ100" s="365"/>
      <c r="BK100" s="366"/>
      <c r="BL100" s="365"/>
      <c r="BM100" s="365"/>
      <c r="BN100" s="365"/>
      <c r="BO100" s="1234"/>
      <c r="BP100" s="1182"/>
      <c r="BQ100" s="365"/>
      <c r="BR100" s="365"/>
      <c r="BS100" s="365"/>
      <c r="BT100" s="365"/>
      <c r="BU100" s="365"/>
      <c r="BV100" s="365"/>
      <c r="BW100" s="365"/>
      <c r="BX100" s="1234"/>
      <c r="BY100" s="1182"/>
      <c r="BZ100" s="365"/>
      <c r="CA100" s="365"/>
      <c r="CB100" s="365"/>
      <c r="CC100" s="365"/>
      <c r="CD100" s="1234"/>
      <c r="CE100" s="1182"/>
      <c r="CF100" s="365"/>
      <c r="CG100" s="365"/>
      <c r="CH100" s="365"/>
      <c r="CI100" s="365"/>
      <c r="CJ100" s="365"/>
      <c r="CK100" s="365"/>
      <c r="CL100" s="365"/>
      <c r="CM100" s="365"/>
      <c r="CN100" s="366"/>
      <c r="CO100" s="365"/>
      <c r="CP100" s="365"/>
      <c r="CQ100" s="365"/>
      <c r="CR100" s="1234"/>
      <c r="CS100" s="1182"/>
      <c r="CT100" s="365"/>
      <c r="CU100" s="365"/>
      <c r="CV100" s="365"/>
      <c r="CW100" s="365"/>
      <c r="CX100" s="365"/>
      <c r="CY100" s="365"/>
      <c r="CZ100" s="365"/>
      <c r="DA100" s="1234"/>
      <c r="DB100" s="1182"/>
      <c r="DC100" s="365"/>
      <c r="DD100" s="365"/>
      <c r="DE100" s="365"/>
      <c r="DF100" s="365"/>
      <c r="DG100" s="1234"/>
      <c r="DH100" s="1182"/>
      <c r="DI100" s="365"/>
      <c r="DJ100" s="365"/>
      <c r="DK100" s="365"/>
      <c r="DL100" s="365"/>
      <c r="DM100" s="365"/>
      <c r="DN100" s="365"/>
      <c r="DO100" s="365"/>
      <c r="DP100" s="365"/>
      <c r="DQ100" s="366"/>
      <c r="DR100" s="367"/>
      <c r="DS100" s="365"/>
      <c r="DT100" s="365"/>
      <c r="DU100" s="365"/>
      <c r="DV100" s="1234"/>
      <c r="DW100" s="1182"/>
      <c r="DX100" s="365"/>
      <c r="DY100" s="365"/>
      <c r="DZ100" s="365"/>
      <c r="EA100" s="365"/>
      <c r="EB100" s="365"/>
      <c r="EC100" s="365"/>
      <c r="ED100" s="365"/>
      <c r="EE100" s="1234"/>
      <c r="EF100" s="1182"/>
      <c r="EG100" s="365"/>
      <c r="EH100" s="365"/>
      <c r="EI100" s="365"/>
      <c r="EJ100" s="365"/>
      <c r="EK100" s="1234"/>
      <c r="EL100" s="1182"/>
      <c r="EM100" s="365"/>
      <c r="EN100" s="365"/>
      <c r="EO100" s="365"/>
      <c r="EP100" s="365"/>
      <c r="EQ100" s="365"/>
      <c r="ER100" s="365"/>
      <c r="ES100" s="365"/>
      <c r="ET100" s="365"/>
      <c r="EU100" s="366"/>
      <c r="EV100" s="365"/>
      <c r="EW100" s="365"/>
      <c r="EX100" s="365"/>
      <c r="EY100" s="1234"/>
      <c r="EZ100" s="1182"/>
      <c r="FA100" s="365"/>
      <c r="FB100" s="365"/>
      <c r="FC100" s="365"/>
      <c r="FD100" s="365"/>
      <c r="FE100" s="365"/>
      <c r="FF100" s="365"/>
      <c r="FG100" s="365"/>
      <c r="FH100" s="1234"/>
      <c r="FI100" s="1182"/>
      <c r="FJ100" s="365"/>
      <c r="FK100" s="365"/>
      <c r="FL100" s="365"/>
      <c r="FM100" s="365"/>
      <c r="FN100" s="1234"/>
      <c r="FO100" s="1182"/>
      <c r="FP100" s="365"/>
      <c r="FQ100" s="365"/>
      <c r="FR100" s="365"/>
      <c r="FS100" s="365"/>
      <c r="FT100" s="365"/>
      <c r="FU100" s="365"/>
      <c r="FV100" s="365"/>
      <c r="FW100" s="365"/>
    </row>
    <row r="101" spans="3:180" ht="17" thickTop="1" x14ac:dyDescent="0.45">
      <c r="C101" s="1" t="s">
        <v>147</v>
      </c>
      <c r="F101" s="1045">
        <f t="shared" ref="F101:AG101" si="90">F$59*F$41/100</f>
        <v>0</v>
      </c>
      <c r="G101" s="393">
        <f t="shared" si="90"/>
        <v>0</v>
      </c>
      <c r="H101" s="362">
        <f t="shared" si="90"/>
        <v>0</v>
      </c>
      <c r="I101" s="1266">
        <f t="shared" si="90"/>
        <v>0</v>
      </c>
      <c r="J101" s="1211">
        <f t="shared" si="90"/>
        <v>0</v>
      </c>
      <c r="K101" s="393">
        <f t="shared" si="90"/>
        <v>0</v>
      </c>
      <c r="L101" s="393">
        <f t="shared" si="90"/>
        <v>0</v>
      </c>
      <c r="M101" s="393">
        <f t="shared" si="90"/>
        <v>0</v>
      </c>
      <c r="N101" s="393">
        <f t="shared" si="90"/>
        <v>0</v>
      </c>
      <c r="O101" s="393">
        <f t="shared" si="90"/>
        <v>0</v>
      </c>
      <c r="P101" s="1165">
        <f t="shared" si="90"/>
        <v>0</v>
      </c>
      <c r="Q101" s="1165">
        <f t="shared" si="90"/>
        <v>0</v>
      </c>
      <c r="R101" s="1417">
        <f t="shared" si="90"/>
        <v>0</v>
      </c>
      <c r="S101" s="1410">
        <f t="shared" si="90"/>
        <v>0</v>
      </c>
      <c r="T101" s="1165">
        <f t="shared" si="90"/>
        <v>0</v>
      </c>
      <c r="U101" s="393">
        <f t="shared" si="90"/>
        <v>0</v>
      </c>
      <c r="V101" s="393">
        <f t="shared" si="90"/>
        <v>0</v>
      </c>
      <c r="W101" s="393">
        <f t="shared" si="90"/>
        <v>0</v>
      </c>
      <c r="X101" s="1266">
        <f t="shared" si="90"/>
        <v>0</v>
      </c>
      <c r="Y101" s="1211">
        <f t="shared" si="90"/>
        <v>0</v>
      </c>
      <c r="Z101" s="393">
        <f t="shared" si="90"/>
        <v>0</v>
      </c>
      <c r="AA101" s="393">
        <f t="shared" si="90"/>
        <v>0</v>
      </c>
      <c r="AB101" s="393">
        <f t="shared" si="90"/>
        <v>0</v>
      </c>
      <c r="AC101" s="393">
        <f t="shared" si="90"/>
        <v>0</v>
      </c>
      <c r="AD101" s="393">
        <f t="shared" si="90"/>
        <v>0</v>
      </c>
      <c r="AE101" s="393">
        <f t="shared" si="90"/>
        <v>0</v>
      </c>
      <c r="AF101" s="393">
        <f t="shared" si="90"/>
        <v>0</v>
      </c>
      <c r="AG101" s="393">
        <f t="shared" si="90"/>
        <v>0</v>
      </c>
      <c r="AH101" s="396"/>
      <c r="AI101" s="393">
        <f>AI$59*AI$41/100</f>
        <v>0</v>
      </c>
      <c r="AJ101" s="393">
        <f t="shared" ref="AJ101:BJ101" si="91">AJ$59*AJ$41/100</f>
        <v>0</v>
      </c>
      <c r="AK101" s="393">
        <f>AK$59*AK$41/100</f>
        <v>0</v>
      </c>
      <c r="AL101" s="1266">
        <f t="shared" si="91"/>
        <v>0</v>
      </c>
      <c r="AM101" s="1211">
        <f t="shared" si="91"/>
        <v>0</v>
      </c>
      <c r="AN101" s="393">
        <f t="shared" si="91"/>
        <v>0</v>
      </c>
      <c r="AO101" s="393">
        <f t="shared" si="91"/>
        <v>0</v>
      </c>
      <c r="AP101" s="393">
        <f t="shared" si="91"/>
        <v>0</v>
      </c>
      <c r="AQ101" s="393">
        <f t="shared" si="91"/>
        <v>0</v>
      </c>
      <c r="AR101" s="393">
        <f t="shared" si="91"/>
        <v>0</v>
      </c>
      <c r="AS101" s="393">
        <f t="shared" si="91"/>
        <v>0</v>
      </c>
      <c r="AT101" s="393">
        <f>AT$59*AT$41/100</f>
        <v>0</v>
      </c>
      <c r="AU101" s="1266">
        <f t="shared" si="91"/>
        <v>0</v>
      </c>
      <c r="AV101" s="1211">
        <f t="shared" si="91"/>
        <v>0</v>
      </c>
      <c r="AW101" s="393">
        <f t="shared" si="91"/>
        <v>0</v>
      </c>
      <c r="AX101" s="393">
        <f t="shared" si="91"/>
        <v>0</v>
      </c>
      <c r="AY101" s="393">
        <f t="shared" si="91"/>
        <v>0</v>
      </c>
      <c r="AZ101" s="393">
        <f t="shared" si="91"/>
        <v>0</v>
      </c>
      <c r="BA101" s="1266">
        <f t="shared" si="91"/>
        <v>0</v>
      </c>
      <c r="BB101" s="1211">
        <f t="shared" si="91"/>
        <v>0</v>
      </c>
      <c r="BC101" s="393">
        <f t="shared" si="91"/>
        <v>0</v>
      </c>
      <c r="BD101" s="393">
        <f t="shared" si="91"/>
        <v>0</v>
      </c>
      <c r="BE101" s="393">
        <f t="shared" si="91"/>
        <v>0</v>
      </c>
      <c r="BF101" s="393">
        <f t="shared" si="91"/>
        <v>0</v>
      </c>
      <c r="BG101" s="393">
        <f t="shared" si="91"/>
        <v>0</v>
      </c>
      <c r="BH101" s="393">
        <f t="shared" si="91"/>
        <v>0</v>
      </c>
      <c r="BI101" s="393">
        <f t="shared" si="91"/>
        <v>0</v>
      </c>
      <c r="BJ101" s="393">
        <f t="shared" si="91"/>
        <v>0</v>
      </c>
      <c r="BK101" s="396"/>
      <c r="BL101" s="309">
        <f t="shared" ref="BL101:CM101" si="92">BL$59*BL$41/100</f>
        <v>269.05152585932046</v>
      </c>
      <c r="BM101" s="309">
        <f t="shared" si="92"/>
        <v>244.75920302642729</v>
      </c>
      <c r="BN101" s="309">
        <f t="shared" si="92"/>
        <v>257.91435078164716</v>
      </c>
      <c r="BO101" s="422">
        <f t="shared" si="92"/>
        <v>255.15243638550567</v>
      </c>
      <c r="BP101" s="421">
        <f t="shared" si="92"/>
        <v>130.2146242248422</v>
      </c>
      <c r="BQ101" s="309">
        <f t="shared" si="92"/>
        <v>126.99184105927752</v>
      </c>
      <c r="BR101" s="309">
        <f t="shared" si="92"/>
        <v>131.02074276967352</v>
      </c>
      <c r="BS101" s="309">
        <f t="shared" si="92"/>
        <v>128.02827444725125</v>
      </c>
      <c r="BT101" s="309">
        <f t="shared" si="92"/>
        <v>127.23784966147863</v>
      </c>
      <c r="BU101" s="309">
        <f t="shared" si="92"/>
        <v>131.30135134342251</v>
      </c>
      <c r="BV101" s="309">
        <f t="shared" si="92"/>
        <v>131.50465071081166</v>
      </c>
      <c r="BW101" s="309">
        <f t="shared" si="92"/>
        <v>128.37441153328314</v>
      </c>
      <c r="BX101" s="422">
        <f t="shared" si="92"/>
        <v>129.60864320474167</v>
      </c>
      <c r="BY101" s="421">
        <f t="shared" si="92"/>
        <v>143.5</v>
      </c>
      <c r="BZ101" s="309">
        <f t="shared" si="92"/>
        <v>0</v>
      </c>
      <c r="CA101" s="309">
        <f t="shared" si="92"/>
        <v>0</v>
      </c>
      <c r="CB101" s="309">
        <f t="shared" si="92"/>
        <v>0</v>
      </c>
      <c r="CC101" s="309">
        <f t="shared" si="92"/>
        <v>0</v>
      </c>
      <c r="CD101" s="422">
        <f t="shared" si="92"/>
        <v>0</v>
      </c>
      <c r="CE101" s="421">
        <f t="shared" si="92"/>
        <v>0</v>
      </c>
      <c r="CF101" s="309">
        <f t="shared" si="92"/>
        <v>0</v>
      </c>
      <c r="CG101" s="309">
        <f t="shared" si="92"/>
        <v>0</v>
      </c>
      <c r="CH101" s="309">
        <f t="shared" si="92"/>
        <v>0</v>
      </c>
      <c r="CI101" s="309">
        <f t="shared" si="92"/>
        <v>0</v>
      </c>
      <c r="CJ101" s="309">
        <f t="shared" si="92"/>
        <v>0</v>
      </c>
      <c r="CK101" s="309">
        <f t="shared" si="92"/>
        <v>0</v>
      </c>
      <c r="CL101" s="309">
        <f t="shared" si="92"/>
        <v>0</v>
      </c>
      <c r="CM101" s="309">
        <f t="shared" si="92"/>
        <v>0</v>
      </c>
      <c r="CN101" s="396"/>
      <c r="CO101" s="309" t="e">
        <f t="shared" ref="CO101:DP101" si="93">CO$59*CO$41/100</f>
        <v>#DIV/0!</v>
      </c>
      <c r="CP101" s="309">
        <f t="shared" si="93"/>
        <v>12.17315254543267</v>
      </c>
      <c r="CQ101" s="309">
        <f t="shared" si="93"/>
        <v>6.9054398083893123</v>
      </c>
      <c r="CR101" s="422">
        <f t="shared" si="93"/>
        <v>9.8011176618071811</v>
      </c>
      <c r="CS101" s="421">
        <f t="shared" si="93"/>
        <v>14.171786864918234</v>
      </c>
      <c r="CT101" s="309">
        <f t="shared" si="93"/>
        <v>16.063521319820953</v>
      </c>
      <c r="CU101" s="309">
        <f t="shared" si="93"/>
        <v>19.007667452576914</v>
      </c>
      <c r="CV101" s="309">
        <f t="shared" si="93"/>
        <v>14.070480897273415</v>
      </c>
      <c r="CW101" s="309">
        <f t="shared" si="93"/>
        <v>14.701314359104529</v>
      </c>
      <c r="CX101" s="309">
        <f t="shared" si="93"/>
        <v>15.743751537007499</v>
      </c>
      <c r="CY101" s="309">
        <f t="shared" si="93"/>
        <v>12.538990275139167</v>
      </c>
      <c r="CZ101" s="309">
        <f t="shared" si="93"/>
        <v>14.301927337842505</v>
      </c>
      <c r="DA101" s="422">
        <f t="shared" si="93"/>
        <v>13.006892325648334</v>
      </c>
      <c r="DB101" s="421" t="e">
        <f t="shared" si="93"/>
        <v>#DIV/0!</v>
      </c>
      <c r="DC101" s="309" t="e">
        <f t="shared" si="93"/>
        <v>#DIV/0!</v>
      </c>
      <c r="DD101" s="309" t="e">
        <f t="shared" si="93"/>
        <v>#DIV/0!</v>
      </c>
      <c r="DE101" s="309" t="e">
        <f t="shared" si="93"/>
        <v>#DIV/0!</v>
      </c>
      <c r="DF101" s="309" t="e">
        <f t="shared" si="93"/>
        <v>#DIV/0!</v>
      </c>
      <c r="DG101" s="422" t="e">
        <f t="shared" si="93"/>
        <v>#DIV/0!</v>
      </c>
      <c r="DH101" s="421" t="e">
        <f t="shared" si="93"/>
        <v>#DIV/0!</v>
      </c>
      <c r="DI101" s="309" t="e">
        <f t="shared" si="93"/>
        <v>#DIV/0!</v>
      </c>
      <c r="DJ101" s="309" t="e">
        <f t="shared" si="93"/>
        <v>#DIV/0!</v>
      </c>
      <c r="DK101" s="309" t="e">
        <f t="shared" si="93"/>
        <v>#DIV/0!</v>
      </c>
      <c r="DL101" s="309" t="e">
        <f t="shared" si="93"/>
        <v>#DIV/0!</v>
      </c>
      <c r="DM101" s="309" t="e">
        <f t="shared" si="93"/>
        <v>#DIV/0!</v>
      </c>
      <c r="DN101" s="309" t="e">
        <f t="shared" si="93"/>
        <v>#DIV/0!</v>
      </c>
      <c r="DO101" s="309" t="e">
        <f t="shared" si="93"/>
        <v>#DIV/0!</v>
      </c>
      <c r="DP101" s="309" t="e">
        <f t="shared" si="93"/>
        <v>#DIV/0!</v>
      </c>
      <c r="DQ101" s="356"/>
      <c r="DR101" s="358"/>
      <c r="DS101" s="229"/>
      <c r="DT101" s="229"/>
      <c r="DU101" s="229"/>
      <c r="DV101" s="1245"/>
      <c r="DW101" s="538"/>
      <c r="DX101" s="229"/>
      <c r="DY101" s="229"/>
      <c r="DZ101" s="229"/>
      <c r="EA101" s="229"/>
      <c r="EB101" s="229"/>
      <c r="EC101" s="229"/>
      <c r="ED101" s="229"/>
      <c r="EE101" s="1245"/>
      <c r="EF101" s="538"/>
      <c r="EG101" s="229"/>
      <c r="EH101" s="229"/>
      <c r="EI101" s="229"/>
      <c r="EJ101" s="229"/>
      <c r="EK101" s="1245"/>
      <c r="EL101" s="538"/>
      <c r="EM101" s="229"/>
      <c r="EN101" s="229"/>
      <c r="EO101" s="229"/>
      <c r="EP101" s="229"/>
      <c r="EQ101" s="229"/>
      <c r="ER101" s="229"/>
      <c r="ES101" s="229"/>
      <c r="ET101" s="229"/>
      <c r="EU101" s="356"/>
      <c r="EV101" s="229"/>
      <c r="EW101" s="229"/>
      <c r="EX101" s="229"/>
      <c r="EY101" s="1245"/>
      <c r="EZ101" s="538"/>
      <c r="FA101" s="229"/>
      <c r="FB101" s="229"/>
      <c r="FC101" s="229"/>
      <c r="FD101" s="229"/>
      <c r="FE101" s="229"/>
      <c r="FF101" s="229"/>
      <c r="FG101" s="229"/>
      <c r="FH101" s="1245"/>
      <c r="FI101" s="538"/>
      <c r="FJ101" s="229"/>
      <c r="FK101" s="229"/>
      <c r="FL101" s="229"/>
      <c r="FM101" s="229"/>
      <c r="FN101" s="1245"/>
      <c r="FO101" s="538"/>
      <c r="FP101" s="229"/>
      <c r="FQ101" s="229"/>
      <c r="FR101" s="229"/>
      <c r="FS101" s="229"/>
      <c r="FT101" s="229"/>
      <c r="FU101" s="229"/>
      <c r="FV101" s="229"/>
      <c r="FW101" s="229"/>
    </row>
    <row r="102" spans="3:180" ht="17" thickBot="1" x14ac:dyDescent="0.5">
      <c r="C102" s="1" t="s">
        <v>148</v>
      </c>
      <c r="F102" s="1050">
        <f t="shared" ref="F102:AG102" si="94">F$59*F$42/100</f>
        <v>0</v>
      </c>
      <c r="G102" s="392">
        <f t="shared" si="94"/>
        <v>0</v>
      </c>
      <c r="H102" s="311">
        <f t="shared" si="94"/>
        <v>0</v>
      </c>
      <c r="I102" s="1273">
        <f t="shared" si="94"/>
        <v>0</v>
      </c>
      <c r="J102" s="1218">
        <f t="shared" si="94"/>
        <v>0</v>
      </c>
      <c r="K102" s="392">
        <f t="shared" si="94"/>
        <v>0</v>
      </c>
      <c r="L102" s="392">
        <f t="shared" si="94"/>
        <v>0</v>
      </c>
      <c r="M102" s="392">
        <f t="shared" si="94"/>
        <v>0</v>
      </c>
      <c r="N102" s="392">
        <f t="shared" si="94"/>
        <v>0</v>
      </c>
      <c r="O102" s="392">
        <f t="shared" si="94"/>
        <v>0</v>
      </c>
      <c r="P102" s="466">
        <f t="shared" si="94"/>
        <v>0</v>
      </c>
      <c r="Q102" s="466">
        <f t="shared" si="94"/>
        <v>0</v>
      </c>
      <c r="R102" s="1418">
        <f t="shared" si="94"/>
        <v>0</v>
      </c>
      <c r="S102" s="1411">
        <f t="shared" si="94"/>
        <v>0</v>
      </c>
      <c r="T102" s="466">
        <f t="shared" si="94"/>
        <v>0</v>
      </c>
      <c r="U102" s="392">
        <f t="shared" si="94"/>
        <v>0</v>
      </c>
      <c r="V102" s="392">
        <f t="shared" si="94"/>
        <v>0</v>
      </c>
      <c r="W102" s="392">
        <f t="shared" si="94"/>
        <v>0</v>
      </c>
      <c r="X102" s="1273">
        <f t="shared" si="94"/>
        <v>0</v>
      </c>
      <c r="Y102" s="1218">
        <f t="shared" si="94"/>
        <v>0</v>
      </c>
      <c r="Z102" s="392">
        <f t="shared" si="94"/>
        <v>0</v>
      </c>
      <c r="AA102" s="392">
        <f t="shared" si="94"/>
        <v>0</v>
      </c>
      <c r="AB102" s="392">
        <f t="shared" si="94"/>
        <v>0</v>
      </c>
      <c r="AC102" s="392">
        <f t="shared" si="94"/>
        <v>0</v>
      </c>
      <c r="AD102" s="392">
        <f t="shared" si="94"/>
        <v>0</v>
      </c>
      <c r="AE102" s="392">
        <f t="shared" si="94"/>
        <v>0</v>
      </c>
      <c r="AF102" s="392">
        <f t="shared" si="94"/>
        <v>0</v>
      </c>
      <c r="AG102" s="392">
        <f t="shared" si="94"/>
        <v>0</v>
      </c>
      <c r="AH102" s="402"/>
      <c r="AI102" s="392">
        <f t="shared" ref="AI102:BJ102" si="95">AI$59*AI$42/100</f>
        <v>0</v>
      </c>
      <c r="AJ102" s="392">
        <f t="shared" si="95"/>
        <v>0</v>
      </c>
      <c r="AK102" s="392">
        <f t="shared" si="95"/>
        <v>0</v>
      </c>
      <c r="AL102" s="1273">
        <f t="shared" si="95"/>
        <v>0</v>
      </c>
      <c r="AM102" s="1218">
        <f t="shared" si="95"/>
        <v>0</v>
      </c>
      <c r="AN102" s="392">
        <f t="shared" si="95"/>
        <v>0</v>
      </c>
      <c r="AO102" s="392">
        <f t="shared" si="95"/>
        <v>0</v>
      </c>
      <c r="AP102" s="392">
        <f t="shared" si="95"/>
        <v>0</v>
      </c>
      <c r="AQ102" s="392">
        <f t="shared" si="95"/>
        <v>0</v>
      </c>
      <c r="AR102" s="392">
        <f t="shared" si="95"/>
        <v>0</v>
      </c>
      <c r="AS102" s="392">
        <f t="shared" si="95"/>
        <v>0</v>
      </c>
      <c r="AT102" s="392">
        <f t="shared" si="95"/>
        <v>0</v>
      </c>
      <c r="AU102" s="1273">
        <f t="shared" si="95"/>
        <v>0</v>
      </c>
      <c r="AV102" s="1218">
        <f t="shared" si="95"/>
        <v>0</v>
      </c>
      <c r="AW102" s="392">
        <f t="shared" si="95"/>
        <v>0</v>
      </c>
      <c r="AX102" s="392">
        <f t="shared" si="95"/>
        <v>0</v>
      </c>
      <c r="AY102" s="392">
        <f t="shared" si="95"/>
        <v>0</v>
      </c>
      <c r="AZ102" s="392">
        <f t="shared" si="95"/>
        <v>0</v>
      </c>
      <c r="BA102" s="1273">
        <f t="shared" si="95"/>
        <v>0</v>
      </c>
      <c r="BB102" s="1218">
        <f t="shared" si="95"/>
        <v>0</v>
      </c>
      <c r="BC102" s="392">
        <f t="shared" si="95"/>
        <v>0</v>
      </c>
      <c r="BD102" s="392">
        <f t="shared" si="95"/>
        <v>0</v>
      </c>
      <c r="BE102" s="392">
        <f t="shared" si="95"/>
        <v>0</v>
      </c>
      <c r="BF102" s="392">
        <f t="shared" si="95"/>
        <v>0</v>
      </c>
      <c r="BG102" s="392">
        <f t="shared" si="95"/>
        <v>0</v>
      </c>
      <c r="BH102" s="392">
        <f t="shared" si="95"/>
        <v>0</v>
      </c>
      <c r="BI102" s="392">
        <f t="shared" si="95"/>
        <v>0</v>
      </c>
      <c r="BJ102" s="392">
        <f t="shared" si="95"/>
        <v>0</v>
      </c>
      <c r="BK102" s="402"/>
      <c r="BL102" s="392">
        <f t="shared" ref="BL102:CM102" si="96">BL$59*BL$42/100</f>
        <v>30.177395401049104</v>
      </c>
      <c r="BM102" s="392">
        <f t="shared" si="96"/>
        <v>26.828274686815202</v>
      </c>
      <c r="BN102" s="392">
        <f t="shared" si="96"/>
        <v>28.369061283515606</v>
      </c>
      <c r="BO102" s="1273">
        <f t="shared" si="96"/>
        <v>28.048459884124732</v>
      </c>
      <c r="BP102" s="1218">
        <f t="shared" si="96"/>
        <v>14.94568899464789</v>
      </c>
      <c r="BQ102" s="392">
        <f t="shared" si="96"/>
        <v>14.527394167258331</v>
      </c>
      <c r="BR102" s="392">
        <f t="shared" si="96"/>
        <v>14.659886699200889</v>
      </c>
      <c r="BS102" s="392">
        <f t="shared" si="96"/>
        <v>14.142187742791657</v>
      </c>
      <c r="BT102" s="392">
        <f t="shared" si="96"/>
        <v>14.095818572316825</v>
      </c>
      <c r="BU102" s="392">
        <f t="shared" si="96"/>
        <v>14.443596925943341</v>
      </c>
      <c r="BV102" s="392">
        <f t="shared" si="96"/>
        <v>14.537451489371165</v>
      </c>
      <c r="BW102" s="392">
        <f t="shared" si="96"/>
        <v>14.055071821040285</v>
      </c>
      <c r="BX102" s="1273">
        <f t="shared" si="96"/>
        <v>14.486345154036183</v>
      </c>
      <c r="BY102" s="1218">
        <f t="shared" si="96"/>
        <v>0</v>
      </c>
      <c r="BZ102" s="392">
        <f t="shared" si="96"/>
        <v>0</v>
      </c>
      <c r="CA102" s="392">
        <f t="shared" si="96"/>
        <v>0</v>
      </c>
      <c r="CB102" s="392">
        <f t="shared" si="96"/>
        <v>0</v>
      </c>
      <c r="CC102" s="392">
        <f t="shared" si="96"/>
        <v>0</v>
      </c>
      <c r="CD102" s="1273">
        <f t="shared" si="96"/>
        <v>0</v>
      </c>
      <c r="CE102" s="1218">
        <f t="shared" si="96"/>
        <v>0</v>
      </c>
      <c r="CF102" s="392">
        <f t="shared" si="96"/>
        <v>0</v>
      </c>
      <c r="CG102" s="392">
        <f t="shared" si="96"/>
        <v>0</v>
      </c>
      <c r="CH102" s="392">
        <f t="shared" si="96"/>
        <v>0</v>
      </c>
      <c r="CI102" s="392">
        <f t="shared" si="96"/>
        <v>0</v>
      </c>
      <c r="CJ102" s="392">
        <f t="shared" si="96"/>
        <v>0</v>
      </c>
      <c r="CK102" s="392">
        <f t="shared" si="96"/>
        <v>0</v>
      </c>
      <c r="CL102" s="392">
        <f t="shared" si="96"/>
        <v>0</v>
      </c>
      <c r="CM102" s="392">
        <f t="shared" si="96"/>
        <v>0</v>
      </c>
      <c r="CN102" s="402"/>
      <c r="CO102" s="392" t="e">
        <f>CO$59*CO$42/100</f>
        <v>#DIV/0!</v>
      </c>
      <c r="CP102" s="392">
        <f t="shared" ref="CP102:DP102" si="97">CP$59*CP$42/100</f>
        <v>1.8806005206261935</v>
      </c>
      <c r="CQ102" s="392">
        <f t="shared" si="97"/>
        <v>1.077017027655069</v>
      </c>
      <c r="CR102" s="1273">
        <f t="shared" si="97"/>
        <v>1.5082994508414884</v>
      </c>
      <c r="CS102" s="1218">
        <f t="shared" si="97"/>
        <v>2.1308880123761673</v>
      </c>
      <c r="CT102" s="392">
        <f t="shared" si="97"/>
        <v>2.4943356086678503</v>
      </c>
      <c r="CU102" s="392">
        <f t="shared" si="97"/>
        <v>2.8404008943185888</v>
      </c>
      <c r="CV102" s="392">
        <f t="shared" si="97"/>
        <v>2.1532832163524955</v>
      </c>
      <c r="CW102" s="392">
        <f t="shared" si="97"/>
        <v>2.1896461634058473</v>
      </c>
      <c r="CX102" s="392">
        <f t="shared" si="97"/>
        <v>2.3863985525916713</v>
      </c>
      <c r="CY102" s="392">
        <f t="shared" si="97"/>
        <v>1.9321085644082365</v>
      </c>
      <c r="CZ102" s="392">
        <f t="shared" si="97"/>
        <v>2.1678504400982126</v>
      </c>
      <c r="DA102" s="1273">
        <f t="shared" si="97"/>
        <v>1.9657622633960381</v>
      </c>
      <c r="DB102" s="1218" t="e">
        <f t="shared" si="97"/>
        <v>#DIV/0!</v>
      </c>
      <c r="DC102" s="392" t="e">
        <f t="shared" si="97"/>
        <v>#DIV/0!</v>
      </c>
      <c r="DD102" s="392" t="e">
        <f t="shared" si="97"/>
        <v>#DIV/0!</v>
      </c>
      <c r="DE102" s="392" t="e">
        <f t="shared" si="97"/>
        <v>#DIV/0!</v>
      </c>
      <c r="DF102" s="392" t="e">
        <f t="shared" si="97"/>
        <v>#DIV/0!</v>
      </c>
      <c r="DG102" s="1273" t="e">
        <f t="shared" si="97"/>
        <v>#DIV/0!</v>
      </c>
      <c r="DH102" s="1218" t="e">
        <f t="shared" si="97"/>
        <v>#DIV/0!</v>
      </c>
      <c r="DI102" s="392" t="e">
        <f t="shared" si="97"/>
        <v>#DIV/0!</v>
      </c>
      <c r="DJ102" s="392" t="e">
        <f t="shared" si="97"/>
        <v>#DIV/0!</v>
      </c>
      <c r="DK102" s="392" t="e">
        <f t="shared" si="97"/>
        <v>#DIV/0!</v>
      </c>
      <c r="DL102" s="392" t="e">
        <f t="shared" si="97"/>
        <v>#DIV/0!</v>
      </c>
      <c r="DM102" s="392" t="e">
        <f t="shared" si="97"/>
        <v>#DIV/0!</v>
      </c>
      <c r="DN102" s="392" t="e">
        <f t="shared" si="97"/>
        <v>#DIV/0!</v>
      </c>
      <c r="DO102" s="392" t="e">
        <f t="shared" si="97"/>
        <v>#DIV/0!</v>
      </c>
      <c r="DP102" s="392" t="e">
        <f t="shared" si="97"/>
        <v>#DIV/0!</v>
      </c>
      <c r="DQ102" s="344"/>
      <c r="DR102" s="345"/>
      <c r="DS102" s="225"/>
      <c r="DT102" s="225"/>
      <c r="DU102" s="225"/>
      <c r="DV102" s="1269"/>
      <c r="DW102" s="1214"/>
      <c r="DX102" s="225"/>
      <c r="DY102" s="225"/>
      <c r="DZ102" s="225"/>
      <c r="EA102" s="225"/>
      <c r="EB102" s="225"/>
      <c r="EC102" s="225"/>
      <c r="ED102" s="225"/>
      <c r="EE102" s="1269"/>
      <c r="EF102" s="1214"/>
      <c r="EG102" s="225"/>
      <c r="EH102" s="225"/>
      <c r="EI102" s="225"/>
      <c r="EJ102" s="225"/>
      <c r="EK102" s="1269"/>
      <c r="EL102" s="1214"/>
      <c r="EM102" s="225"/>
      <c r="EN102" s="225"/>
      <c r="EO102" s="225"/>
      <c r="EP102" s="225"/>
      <c r="EQ102" s="225"/>
      <c r="ER102" s="225"/>
      <c r="ES102" s="225"/>
      <c r="ET102" s="225"/>
      <c r="EU102" s="344"/>
      <c r="EV102" s="225"/>
      <c r="EW102" s="225"/>
      <c r="EX102" s="403" t="s">
        <v>209</v>
      </c>
      <c r="EY102" s="1265"/>
      <c r="EZ102" s="892">
        <f>273.15+30</f>
        <v>303.14999999999998</v>
      </c>
      <c r="FA102" s="403" t="s">
        <v>208</v>
      </c>
      <c r="FB102" s="225"/>
      <c r="FC102" s="225"/>
      <c r="FD102" s="225"/>
      <c r="FE102" s="225"/>
      <c r="FF102" s="225"/>
      <c r="FG102" s="225"/>
      <c r="FH102" s="1269"/>
      <c r="FI102" s="1214"/>
      <c r="FJ102" s="225"/>
      <c r="FK102" s="225"/>
      <c r="FL102" s="225"/>
      <c r="FM102" s="225"/>
      <c r="FN102" s="1269"/>
      <c r="FO102" s="1214"/>
      <c r="FP102" s="225"/>
      <c r="FQ102" s="225"/>
      <c r="FR102" s="225"/>
      <c r="FS102" s="225"/>
      <c r="FT102" s="225"/>
      <c r="FU102" s="225"/>
      <c r="FV102" s="225"/>
      <c r="FW102" s="225"/>
    </row>
    <row r="103" spans="3:180" s="1151" customFormat="1" ht="15" thickTop="1" x14ac:dyDescent="0.35">
      <c r="C103" s="1152" t="s">
        <v>273</v>
      </c>
      <c r="D103" s="1152"/>
      <c r="E103" s="1152"/>
      <c r="F103" s="1153" t="e">
        <f t="shared" ref="F103:CY103" si="98">F$102/F$101</f>
        <v>#DIV/0!</v>
      </c>
      <c r="G103" s="1153" t="e">
        <f t="shared" si="98"/>
        <v>#DIV/0!</v>
      </c>
      <c r="H103" s="1153" t="e">
        <f t="shared" si="98"/>
        <v>#DIV/0!</v>
      </c>
      <c r="I103" s="1274" t="e">
        <f t="shared" si="98"/>
        <v>#DIV/0!</v>
      </c>
      <c r="J103" s="1219" t="e">
        <f t="shared" si="98"/>
        <v>#DIV/0!</v>
      </c>
      <c r="K103" s="1153" t="e">
        <f t="shared" si="98"/>
        <v>#DIV/0!</v>
      </c>
      <c r="L103" s="1153" t="e">
        <f t="shared" si="98"/>
        <v>#DIV/0!</v>
      </c>
      <c r="M103" s="1153" t="e">
        <f t="shared" si="98"/>
        <v>#DIV/0!</v>
      </c>
      <c r="N103" s="1153" t="e">
        <f t="shared" si="98"/>
        <v>#DIV/0!</v>
      </c>
      <c r="O103" s="1153" t="e">
        <f t="shared" si="98"/>
        <v>#DIV/0!</v>
      </c>
      <c r="P103" s="1153" t="e">
        <f>P$102/P$101</f>
        <v>#DIV/0!</v>
      </c>
      <c r="Q103" s="1153" t="e">
        <f>Q$102/Q$101</f>
        <v>#DIV/0!</v>
      </c>
      <c r="R103" s="1274" t="e">
        <f t="shared" si="98"/>
        <v>#DIV/0!</v>
      </c>
      <c r="S103" s="1219" t="e">
        <f t="shared" si="98"/>
        <v>#DIV/0!</v>
      </c>
      <c r="T103" s="1153" t="e">
        <f t="shared" si="98"/>
        <v>#DIV/0!</v>
      </c>
      <c r="U103" s="1153" t="e">
        <f t="shared" si="98"/>
        <v>#DIV/0!</v>
      </c>
      <c r="V103" s="1153" t="e">
        <f t="shared" si="98"/>
        <v>#DIV/0!</v>
      </c>
      <c r="W103" s="1153" t="e">
        <f t="shared" si="98"/>
        <v>#DIV/0!</v>
      </c>
      <c r="X103" s="1274" t="e">
        <f t="shared" si="98"/>
        <v>#DIV/0!</v>
      </c>
      <c r="Y103" s="1219" t="e">
        <f t="shared" si="98"/>
        <v>#DIV/0!</v>
      </c>
      <c r="Z103" s="1153" t="e">
        <f t="shared" si="98"/>
        <v>#DIV/0!</v>
      </c>
      <c r="AA103" s="1153" t="e">
        <f t="shared" si="98"/>
        <v>#DIV/0!</v>
      </c>
      <c r="AB103" s="1153" t="e">
        <f t="shared" si="98"/>
        <v>#DIV/0!</v>
      </c>
      <c r="AC103" s="1153" t="e">
        <f t="shared" si="98"/>
        <v>#DIV/0!</v>
      </c>
      <c r="AD103" s="1153" t="e">
        <f t="shared" si="98"/>
        <v>#DIV/0!</v>
      </c>
      <c r="AE103" s="1153" t="e">
        <f t="shared" si="98"/>
        <v>#DIV/0!</v>
      </c>
      <c r="AF103" s="1153" t="e">
        <f t="shared" si="98"/>
        <v>#DIV/0!</v>
      </c>
      <c r="AG103" s="1153" t="e">
        <f t="shared" si="98"/>
        <v>#DIV/0!</v>
      </c>
      <c r="AH103" s="1154"/>
      <c r="AI103" s="1153" t="e">
        <f t="shared" si="98"/>
        <v>#DIV/0!</v>
      </c>
      <c r="AJ103" s="1153" t="e">
        <f t="shared" si="98"/>
        <v>#DIV/0!</v>
      </c>
      <c r="AK103" s="1153" t="e">
        <f t="shared" si="98"/>
        <v>#DIV/0!</v>
      </c>
      <c r="AL103" s="1274" t="e">
        <f t="shared" si="98"/>
        <v>#DIV/0!</v>
      </c>
      <c r="AM103" s="1219" t="e">
        <f t="shared" si="98"/>
        <v>#DIV/0!</v>
      </c>
      <c r="AN103" s="1153" t="e">
        <f t="shared" si="98"/>
        <v>#DIV/0!</v>
      </c>
      <c r="AO103" s="1153" t="e">
        <f t="shared" si="98"/>
        <v>#DIV/0!</v>
      </c>
      <c r="AP103" s="1153" t="e">
        <f t="shared" si="98"/>
        <v>#DIV/0!</v>
      </c>
      <c r="AQ103" s="1153" t="e">
        <f t="shared" si="98"/>
        <v>#DIV/0!</v>
      </c>
      <c r="AR103" s="1153" t="e">
        <f t="shared" si="98"/>
        <v>#DIV/0!</v>
      </c>
      <c r="AS103" s="1153" t="e">
        <f t="shared" si="98"/>
        <v>#DIV/0!</v>
      </c>
      <c r="AT103" s="1153" t="e">
        <f t="shared" si="98"/>
        <v>#DIV/0!</v>
      </c>
      <c r="AU103" s="1274" t="e">
        <f t="shared" si="98"/>
        <v>#DIV/0!</v>
      </c>
      <c r="AV103" s="1219" t="e">
        <f t="shared" si="98"/>
        <v>#DIV/0!</v>
      </c>
      <c r="AW103" s="1153" t="e">
        <f t="shared" si="98"/>
        <v>#DIV/0!</v>
      </c>
      <c r="AX103" s="1153" t="e">
        <f t="shared" si="98"/>
        <v>#DIV/0!</v>
      </c>
      <c r="AY103" s="1153" t="e">
        <f t="shared" si="98"/>
        <v>#DIV/0!</v>
      </c>
      <c r="AZ103" s="1153" t="e">
        <f t="shared" si="98"/>
        <v>#DIV/0!</v>
      </c>
      <c r="BA103" s="1274" t="e">
        <f t="shared" si="98"/>
        <v>#DIV/0!</v>
      </c>
      <c r="BB103" s="1219" t="e">
        <f t="shared" si="98"/>
        <v>#DIV/0!</v>
      </c>
      <c r="BC103" s="1153" t="e">
        <f t="shared" si="98"/>
        <v>#DIV/0!</v>
      </c>
      <c r="BD103" s="1153" t="e">
        <f t="shared" si="98"/>
        <v>#DIV/0!</v>
      </c>
      <c r="BE103" s="1153" t="e">
        <f t="shared" si="98"/>
        <v>#DIV/0!</v>
      </c>
      <c r="BF103" s="1153" t="e">
        <f t="shared" si="98"/>
        <v>#DIV/0!</v>
      </c>
      <c r="BG103" s="1153" t="e">
        <f t="shared" si="98"/>
        <v>#DIV/0!</v>
      </c>
      <c r="BH103" s="1153" t="e">
        <f t="shared" si="98"/>
        <v>#DIV/0!</v>
      </c>
      <c r="BI103" s="1153" t="e">
        <f t="shared" si="98"/>
        <v>#DIV/0!</v>
      </c>
      <c r="BJ103" s="1153" t="e">
        <f t="shared" si="98"/>
        <v>#DIV/0!</v>
      </c>
      <c r="BK103" s="1154"/>
      <c r="BL103" s="1153">
        <f t="shared" si="98"/>
        <v>0.11216214182270805</v>
      </c>
      <c r="BM103" s="1153">
        <f t="shared" si="98"/>
        <v>0.10961089248161379</v>
      </c>
      <c r="BN103" s="1153">
        <f t="shared" si="98"/>
        <v>0.10999411702970004</v>
      </c>
      <c r="BO103" s="1274">
        <f t="shared" si="98"/>
        <v>0.1099282463513175</v>
      </c>
      <c r="BP103" s="1219">
        <f t="shared" si="98"/>
        <v>0.1147773461208251</v>
      </c>
      <c r="BQ103" s="1153">
        <f t="shared" si="98"/>
        <v>0.11439627968285934</v>
      </c>
      <c r="BR103" s="1153">
        <f t="shared" si="98"/>
        <v>0.11188981522545691</v>
      </c>
      <c r="BS103" s="1153">
        <f t="shared" si="98"/>
        <v>0.11046144145774893</v>
      </c>
      <c r="BT103" s="1153">
        <f t="shared" si="98"/>
        <v>0.11078321906429031</v>
      </c>
      <c r="BU103" s="1153">
        <f t="shared" si="98"/>
        <v>0.11000341411693237</v>
      </c>
      <c r="BV103" s="1153">
        <f t="shared" si="98"/>
        <v>0.11054705222053389</v>
      </c>
      <c r="BW103" s="1153">
        <f t="shared" si="98"/>
        <v>0.109484995126122</v>
      </c>
      <c r="BX103" s="1274">
        <f t="shared" si="98"/>
        <v>0.11176990049307303</v>
      </c>
      <c r="BY103" s="1219">
        <f t="shared" si="98"/>
        <v>0</v>
      </c>
      <c r="BZ103" s="1153" t="e">
        <f t="shared" si="98"/>
        <v>#DIV/0!</v>
      </c>
      <c r="CA103" s="1153" t="e">
        <f t="shared" si="98"/>
        <v>#DIV/0!</v>
      </c>
      <c r="CB103" s="1153" t="e">
        <f t="shared" si="98"/>
        <v>#DIV/0!</v>
      </c>
      <c r="CC103" s="1153" t="e">
        <f t="shared" si="98"/>
        <v>#DIV/0!</v>
      </c>
      <c r="CD103" s="1274" t="e">
        <f t="shared" si="98"/>
        <v>#DIV/0!</v>
      </c>
      <c r="CE103" s="1219" t="e">
        <f t="shared" si="98"/>
        <v>#DIV/0!</v>
      </c>
      <c r="CF103" s="1153" t="e">
        <f t="shared" si="98"/>
        <v>#DIV/0!</v>
      </c>
      <c r="CG103" s="1153" t="e">
        <f t="shared" si="98"/>
        <v>#DIV/0!</v>
      </c>
      <c r="CH103" s="1153" t="e">
        <f t="shared" si="98"/>
        <v>#DIV/0!</v>
      </c>
      <c r="CI103" s="1153" t="e">
        <f t="shared" si="98"/>
        <v>#DIV/0!</v>
      </c>
      <c r="CJ103" s="1153" t="e">
        <f t="shared" si="98"/>
        <v>#DIV/0!</v>
      </c>
      <c r="CK103" s="1153" t="e">
        <f t="shared" si="98"/>
        <v>#DIV/0!</v>
      </c>
      <c r="CL103" s="1153" t="e">
        <f t="shared" si="98"/>
        <v>#DIV/0!</v>
      </c>
      <c r="CM103" s="1153" t="e">
        <f t="shared" si="98"/>
        <v>#DIV/0!</v>
      </c>
      <c r="CN103" s="1154"/>
      <c r="CO103" s="1153" t="e">
        <f>CO$102/CO$101</f>
        <v>#DIV/0!</v>
      </c>
      <c r="CP103" s="1153">
        <f t="shared" si="98"/>
        <v>0.15448755066589462</v>
      </c>
      <c r="CQ103" s="1153">
        <f t="shared" si="98"/>
        <v>0.15596646376478696</v>
      </c>
      <c r="CR103" s="1274">
        <f t="shared" si="98"/>
        <v>0.15389055645347496</v>
      </c>
      <c r="CS103" s="1219">
        <f t="shared" si="98"/>
        <v>0.15036127996329854</v>
      </c>
      <c r="CT103" s="1153">
        <f t="shared" si="98"/>
        <v>0.15527950310559008</v>
      </c>
      <c r="CU103" s="1153">
        <f t="shared" si="98"/>
        <v>0.14943447960699191</v>
      </c>
      <c r="CV103" s="1153">
        <f t="shared" si="98"/>
        <v>0.1530355097365407</v>
      </c>
      <c r="CW103" s="1153">
        <f t="shared" si="98"/>
        <v>0.14894220407237252</v>
      </c>
      <c r="CX103" s="1153">
        <f t="shared" si="98"/>
        <v>0.15157750342935525</v>
      </c>
      <c r="CY103" s="1153">
        <f t="shared" si="98"/>
        <v>0.15408805031446543</v>
      </c>
      <c r="CZ103" s="1153">
        <f t="shared" ref="CZ103:DP103" si="99">CZ$102/CZ$101</f>
        <v>0.1515775034293553</v>
      </c>
      <c r="DA103" s="1274">
        <f t="shared" si="99"/>
        <v>0.15113235461477181</v>
      </c>
      <c r="DB103" s="1219" t="e">
        <f t="shared" si="99"/>
        <v>#DIV/0!</v>
      </c>
      <c r="DC103" s="1153" t="e">
        <f t="shared" si="99"/>
        <v>#DIV/0!</v>
      </c>
      <c r="DD103" s="1153" t="e">
        <f t="shared" si="99"/>
        <v>#DIV/0!</v>
      </c>
      <c r="DE103" s="1153" t="e">
        <f t="shared" si="99"/>
        <v>#DIV/0!</v>
      </c>
      <c r="DF103" s="1153" t="e">
        <f t="shared" si="99"/>
        <v>#DIV/0!</v>
      </c>
      <c r="DG103" s="1274" t="e">
        <f t="shared" si="99"/>
        <v>#DIV/0!</v>
      </c>
      <c r="DH103" s="1219" t="e">
        <f t="shared" si="99"/>
        <v>#DIV/0!</v>
      </c>
      <c r="DI103" s="1153" t="e">
        <f t="shared" si="99"/>
        <v>#DIV/0!</v>
      </c>
      <c r="DJ103" s="1153" t="e">
        <f t="shared" si="99"/>
        <v>#DIV/0!</v>
      </c>
      <c r="DK103" s="1153" t="e">
        <f t="shared" si="99"/>
        <v>#DIV/0!</v>
      </c>
      <c r="DL103" s="1153" t="e">
        <f t="shared" si="99"/>
        <v>#DIV/0!</v>
      </c>
      <c r="DM103" s="1153" t="e">
        <f t="shared" si="99"/>
        <v>#DIV/0!</v>
      </c>
      <c r="DN103" s="1153" t="e">
        <f t="shared" si="99"/>
        <v>#DIV/0!</v>
      </c>
      <c r="DO103" s="1153" t="e">
        <f t="shared" si="99"/>
        <v>#DIV/0!</v>
      </c>
      <c r="DP103" s="1153" t="e">
        <f t="shared" si="99"/>
        <v>#DIV/0!</v>
      </c>
      <c r="DQ103" s="1155"/>
      <c r="DR103" s="1156"/>
      <c r="DV103" s="1573"/>
      <c r="DW103" s="1567"/>
      <c r="EE103" s="1573"/>
      <c r="EF103" s="1567"/>
      <c r="EK103" s="1573"/>
      <c r="EL103" s="1567"/>
      <c r="EU103" s="1155"/>
      <c r="EX103" s="1152"/>
      <c r="EY103" s="1555"/>
      <c r="EZ103" s="1538"/>
      <c r="FA103" s="1152"/>
      <c r="FH103" s="1573"/>
      <c r="FI103" s="1567"/>
      <c r="FN103" s="1573"/>
      <c r="FO103" s="1567"/>
    </row>
    <row r="104" spans="3:180" s="1157" customFormat="1" ht="15" thickBot="1" x14ac:dyDescent="0.4">
      <c r="C104" s="1158" t="s">
        <v>274</v>
      </c>
      <c r="D104" s="1158"/>
      <c r="E104" s="1158"/>
      <c r="F104" s="1159">
        <v>0.113</v>
      </c>
      <c r="G104" s="1159">
        <v>0.113</v>
      </c>
      <c r="H104" s="1159">
        <v>0.113</v>
      </c>
      <c r="I104" s="1275">
        <v>0.113</v>
      </c>
      <c r="J104" s="1220">
        <v>0.113</v>
      </c>
      <c r="K104" s="1160">
        <v>0.113</v>
      </c>
      <c r="L104" s="1160">
        <v>0.113</v>
      </c>
      <c r="M104" s="1160">
        <v>0.113</v>
      </c>
      <c r="N104" s="1160">
        <v>0.113</v>
      </c>
      <c r="O104" s="1160">
        <v>0.113</v>
      </c>
      <c r="P104" s="1160">
        <v>0.11600000000000001</v>
      </c>
      <c r="Q104" s="1160">
        <v>0.11600000000000001</v>
      </c>
      <c r="R104" s="1275">
        <v>0.11600000000000001</v>
      </c>
      <c r="S104" s="1220">
        <v>0.11600000000000001</v>
      </c>
      <c r="T104" s="1160">
        <v>0.11600000000000001</v>
      </c>
      <c r="U104" s="1160">
        <v>0.11600000000000001</v>
      </c>
      <c r="V104" s="1160"/>
      <c r="W104" s="1160"/>
      <c r="X104" s="1275"/>
      <c r="Y104" s="1220"/>
      <c r="Z104" s="1160"/>
      <c r="AA104" s="1160"/>
      <c r="AB104" s="1160"/>
      <c r="AC104" s="1160"/>
      <c r="AD104" s="1160"/>
      <c r="AE104" s="1160"/>
      <c r="AF104" s="1160"/>
      <c r="AG104" s="1160"/>
      <c r="AH104" s="1161"/>
      <c r="AI104" s="1159"/>
      <c r="AJ104" s="1159"/>
      <c r="AK104" s="1159"/>
      <c r="AL104" s="1481"/>
      <c r="AM104" s="1469"/>
      <c r="AN104" s="1159"/>
      <c r="AO104" s="1159"/>
      <c r="AP104" s="1159"/>
      <c r="AQ104" s="1159"/>
      <c r="AR104" s="1159"/>
      <c r="AS104" s="1159"/>
      <c r="AT104" s="1159"/>
      <c r="AU104" s="1481"/>
      <c r="AV104" s="1469"/>
      <c r="AW104" s="1159"/>
      <c r="AX104" s="1159"/>
      <c r="AY104" s="1159"/>
      <c r="AZ104" s="1159"/>
      <c r="BA104" s="1481"/>
      <c r="BB104" s="1469"/>
      <c r="BC104" s="1159"/>
      <c r="BD104" s="1159"/>
      <c r="BE104" s="1159"/>
      <c r="BF104" s="1159"/>
      <c r="BG104" s="1159"/>
      <c r="BH104" s="1159"/>
      <c r="BI104" s="1159"/>
      <c r="BJ104" s="1159"/>
      <c r="BK104" s="1161"/>
      <c r="BL104" s="1159">
        <v>0.125</v>
      </c>
      <c r="BM104" s="1159">
        <v>0.123</v>
      </c>
      <c r="BN104" s="1159">
        <v>0.122</v>
      </c>
      <c r="BO104" s="1481">
        <v>0.121</v>
      </c>
      <c r="BP104" s="1469">
        <v>0.1275</v>
      </c>
      <c r="BQ104" s="1159">
        <v>0.122</v>
      </c>
      <c r="BR104" s="1159">
        <v>0.128</v>
      </c>
      <c r="BS104" s="1159">
        <v>0.125</v>
      </c>
      <c r="BT104" s="1159">
        <v>0.127</v>
      </c>
      <c r="BU104" s="1159">
        <v>0.123</v>
      </c>
      <c r="BV104" s="1159">
        <v>0.121</v>
      </c>
      <c r="BW104" s="1159">
        <v>0.123</v>
      </c>
      <c r="BX104" s="1481">
        <v>0.126</v>
      </c>
      <c r="BY104" s="1469">
        <v>0.123</v>
      </c>
      <c r="BZ104" s="1159">
        <v>0.124</v>
      </c>
      <c r="CA104" s="1159">
        <v>0.123</v>
      </c>
      <c r="CB104" s="1159"/>
      <c r="CC104" s="1159"/>
      <c r="CD104" s="1481"/>
      <c r="CE104" s="1469"/>
      <c r="CF104" s="1159"/>
      <c r="CG104" s="1159"/>
      <c r="CH104" s="1159"/>
      <c r="CI104" s="1159"/>
      <c r="CJ104" s="1159"/>
      <c r="CK104" s="1159"/>
      <c r="CL104" s="1159"/>
      <c r="CM104" s="1159"/>
      <c r="CN104" s="1161"/>
      <c r="CO104" s="1159">
        <v>0.155</v>
      </c>
      <c r="CP104" s="1159">
        <v>0.155</v>
      </c>
      <c r="CQ104" s="1159">
        <v>0.156</v>
      </c>
      <c r="CR104" s="1481">
        <v>0.157</v>
      </c>
      <c r="CS104" s="1469">
        <v>0.156</v>
      </c>
      <c r="CT104" s="1159">
        <v>0.157</v>
      </c>
      <c r="CU104" s="1159">
        <v>0.1565</v>
      </c>
      <c r="CV104" s="1159">
        <v>0.156</v>
      </c>
      <c r="CW104" s="1159">
        <v>0.155</v>
      </c>
      <c r="CX104" s="1159">
        <v>0.159</v>
      </c>
      <c r="CY104" s="1159">
        <v>0.156</v>
      </c>
      <c r="CZ104" s="1159">
        <v>0.1555</v>
      </c>
      <c r="DA104" s="1481">
        <v>0.158</v>
      </c>
      <c r="DB104" s="1469">
        <v>0.158</v>
      </c>
      <c r="DC104" s="1159">
        <v>0.156</v>
      </c>
      <c r="DD104" s="1159">
        <v>0.157</v>
      </c>
      <c r="DG104" s="1514"/>
      <c r="DH104" s="1508"/>
      <c r="DQ104" s="1162"/>
      <c r="DR104" s="1163"/>
      <c r="DV104" s="1514"/>
      <c r="DW104" s="1508"/>
      <c r="EE104" s="1514"/>
      <c r="EF104" s="1508"/>
      <c r="EK104" s="1514"/>
      <c r="EL104" s="1508"/>
      <c r="EU104" s="1162"/>
      <c r="EX104" s="1164"/>
      <c r="EY104" s="1556"/>
      <c r="EZ104" s="1539"/>
      <c r="FA104" s="1164"/>
      <c r="FH104" s="1514"/>
      <c r="FI104" s="1508"/>
      <c r="FN104" s="1514"/>
      <c r="FO104" s="1508"/>
    </row>
    <row r="105" spans="3:180" ht="15" thickTop="1" x14ac:dyDescent="0.35">
      <c r="F105" s="1051"/>
      <c r="G105" s="229"/>
      <c r="H105" s="229"/>
      <c r="I105" s="1245"/>
      <c r="J105" s="538"/>
      <c r="K105" s="229"/>
      <c r="L105" s="229"/>
      <c r="M105" s="229"/>
      <c r="N105" s="229"/>
      <c r="O105" s="229"/>
      <c r="P105" s="229"/>
      <c r="Q105" s="229"/>
      <c r="R105" s="1245"/>
      <c r="S105" s="538"/>
      <c r="T105" s="229"/>
      <c r="U105" s="229"/>
      <c r="V105" s="229"/>
      <c r="W105" s="229"/>
      <c r="X105" s="1245"/>
      <c r="Y105" s="538"/>
      <c r="Z105" s="229"/>
      <c r="AA105" s="229"/>
      <c r="AB105" s="229"/>
      <c r="AC105" s="229"/>
      <c r="AD105" s="229"/>
      <c r="AE105" s="229"/>
      <c r="AF105" s="229"/>
      <c r="AG105" s="229"/>
      <c r="AH105" s="356"/>
      <c r="AI105" s="229"/>
      <c r="AJ105" s="229"/>
      <c r="AK105" s="229"/>
      <c r="AL105" s="1245"/>
      <c r="AM105" s="538"/>
      <c r="AN105" s="229"/>
      <c r="AO105" s="229"/>
      <c r="AP105" s="229"/>
      <c r="AQ105" s="229"/>
      <c r="AR105" s="229"/>
      <c r="AS105" s="229"/>
      <c r="AT105" s="229"/>
      <c r="AU105" s="1245"/>
      <c r="AV105" s="538"/>
      <c r="AW105" s="229"/>
      <c r="AX105" s="229"/>
      <c r="AY105" s="229"/>
      <c r="AZ105" s="229"/>
      <c r="BA105" s="1245"/>
      <c r="BB105" s="538"/>
      <c r="BC105" s="229"/>
      <c r="BD105" s="229"/>
      <c r="BE105" s="229"/>
      <c r="BF105" s="229"/>
      <c r="BG105" s="229"/>
      <c r="BH105" s="229"/>
      <c r="BI105" s="229"/>
      <c r="BJ105" s="229"/>
      <c r="BK105" s="356"/>
      <c r="BL105" s="229"/>
      <c r="BM105" s="229"/>
      <c r="BN105" s="229"/>
      <c r="BO105" s="1245"/>
      <c r="BP105" s="538"/>
      <c r="BQ105" s="229"/>
      <c r="BR105" s="229"/>
      <c r="BS105" s="229"/>
      <c r="BT105" s="229"/>
      <c r="BU105" s="229"/>
      <c r="BV105" s="229"/>
      <c r="BW105" s="229"/>
      <c r="BX105" s="1245"/>
      <c r="BY105" s="538"/>
      <c r="BZ105" s="229"/>
      <c r="CA105" s="229"/>
      <c r="CB105" s="229"/>
      <c r="CC105" s="229"/>
      <c r="CD105" s="1245"/>
      <c r="CE105" s="538"/>
      <c r="CF105" s="229"/>
      <c r="CG105" s="229"/>
      <c r="CH105" s="229"/>
      <c r="CI105" s="229"/>
      <c r="CJ105" s="229"/>
      <c r="CK105" s="229"/>
      <c r="CL105" s="229"/>
      <c r="CM105" s="229"/>
      <c r="CN105" s="356"/>
      <c r="CO105" s="229"/>
      <c r="CP105" s="229"/>
      <c r="CQ105" s="229"/>
      <c r="CR105" s="1245"/>
      <c r="CS105" s="538"/>
      <c r="CT105" s="229"/>
      <c r="CU105" s="229"/>
      <c r="CV105" s="229"/>
      <c r="CW105" s="229"/>
      <c r="CX105" s="229"/>
      <c r="CY105" s="229"/>
      <c r="CZ105" s="229"/>
      <c r="DA105" s="1245"/>
      <c r="DB105" s="538"/>
      <c r="DC105" s="229"/>
      <c r="DD105" s="229"/>
      <c r="DE105" s="229"/>
      <c r="DF105" s="229"/>
      <c r="DG105" s="1245"/>
      <c r="DH105" s="538"/>
      <c r="DI105" s="229"/>
      <c r="DJ105" s="229"/>
      <c r="DK105" s="229"/>
      <c r="DL105" s="229"/>
      <c r="DM105" s="229"/>
      <c r="DN105" s="229"/>
      <c r="DO105" s="229"/>
      <c r="DP105" s="229"/>
      <c r="DQ105" s="356"/>
      <c r="DR105" s="358"/>
      <c r="DS105" s="229"/>
      <c r="DT105" s="229"/>
      <c r="DU105" s="229"/>
      <c r="DV105" s="1245"/>
      <c r="DW105" s="1547" t="s">
        <v>224</v>
      </c>
      <c r="DX105" s="229"/>
      <c r="DY105" s="229"/>
      <c r="DZ105" s="229"/>
      <c r="EA105" s="229"/>
      <c r="EB105" s="229"/>
      <c r="EC105" s="229"/>
      <c r="ED105" s="229"/>
      <c r="EE105" s="1245"/>
      <c r="EF105" s="538"/>
      <c r="EG105" s="229"/>
      <c r="EH105" s="229"/>
      <c r="EI105" s="229"/>
      <c r="EJ105" s="229"/>
      <c r="EK105" s="1245"/>
      <c r="EL105" s="538"/>
      <c r="EM105" s="229"/>
      <c r="EN105" s="229"/>
      <c r="EO105" s="229"/>
      <c r="EP105" s="229"/>
      <c r="EQ105" s="229"/>
      <c r="ER105" s="229"/>
      <c r="ES105" s="229"/>
      <c r="ET105" s="229"/>
      <c r="EU105" s="356"/>
      <c r="EV105" s="2714" t="s">
        <v>225</v>
      </c>
      <c r="EW105" s="2714"/>
      <c r="EX105" s="2714"/>
      <c r="EY105" s="2714"/>
      <c r="EZ105" s="2714"/>
      <c r="FA105" s="2714"/>
      <c r="FB105" s="2714"/>
      <c r="FC105" s="2714"/>
      <c r="FD105" s="2714"/>
      <c r="FE105" s="2714"/>
      <c r="FF105" s="297"/>
      <c r="FG105" s="297"/>
      <c r="FH105" s="1475"/>
      <c r="FI105" s="538"/>
      <c r="FJ105" s="229"/>
      <c r="FK105" s="229"/>
      <c r="FL105" s="229"/>
      <c r="FM105" s="229"/>
      <c r="FN105" s="1245"/>
      <c r="FO105" s="538"/>
      <c r="FP105" s="229"/>
      <c r="FQ105" s="229"/>
      <c r="FR105" s="229"/>
      <c r="FS105" s="229"/>
      <c r="FT105" s="229"/>
      <c r="FU105" s="229"/>
      <c r="FV105" s="229"/>
      <c r="FW105" s="229"/>
    </row>
    <row r="106" spans="3:180" x14ac:dyDescent="0.35">
      <c r="C106" s="1" t="s">
        <v>384</v>
      </c>
      <c r="CY106" s="241"/>
      <c r="CZ106" s="241"/>
      <c r="DA106" s="1496"/>
      <c r="DB106" s="1487"/>
      <c r="DC106" s="241"/>
      <c r="DD106" s="241"/>
      <c r="DR106" s="241"/>
      <c r="DS106" s="270"/>
      <c r="DT106" s="270"/>
      <c r="DU106" s="270"/>
      <c r="DV106" s="1283"/>
      <c r="DW106" s="1224"/>
      <c r="DX106" s="270"/>
      <c r="DY106" s="270"/>
      <c r="DZ106" s="270"/>
      <c r="EA106" s="270"/>
      <c r="EB106" s="270"/>
      <c r="EC106" s="270"/>
      <c r="ED106" s="270"/>
      <c r="EE106" s="1283"/>
      <c r="EF106" s="1224"/>
      <c r="EG106" s="270"/>
      <c r="EH106" s="270"/>
      <c r="EI106" s="270"/>
      <c r="EJ106" s="270"/>
      <c r="EK106" s="1283"/>
      <c r="EL106" s="1224"/>
      <c r="EM106" s="270"/>
      <c r="EN106" s="270"/>
      <c r="EO106" s="270"/>
      <c r="EP106" s="270"/>
      <c r="EQ106" s="270"/>
      <c r="ER106" s="270"/>
      <c r="ES106" s="270"/>
      <c r="ET106" s="270"/>
      <c r="EV106" s="244"/>
      <c r="EW106" s="251"/>
      <c r="EX106" s="244"/>
      <c r="EY106" s="1237"/>
      <c r="EZ106" s="606"/>
      <c r="FA106" s="244"/>
      <c r="FB106" s="244"/>
      <c r="FC106" s="244"/>
      <c r="FD106" s="244"/>
      <c r="FE106" s="244"/>
      <c r="FF106" s="244"/>
      <c r="FG106" s="244"/>
      <c r="FH106" s="1237"/>
      <c r="FX106" s="1"/>
    </row>
    <row r="107" spans="3:180" x14ac:dyDescent="0.35">
      <c r="C107" s="1" t="s">
        <v>178</v>
      </c>
      <c r="F107" s="1052" t="s">
        <v>186</v>
      </c>
      <c r="G107" s="271">
        <v>12</v>
      </c>
      <c r="H107" s="247" t="s">
        <v>192</v>
      </c>
      <c r="I107" s="1276">
        <v>4</v>
      </c>
      <c r="J107" s="1195" t="s">
        <v>199</v>
      </c>
      <c r="K107" s="271">
        <f>G107+I107</f>
        <v>16</v>
      </c>
      <c r="CY107" s="241"/>
      <c r="CZ107" s="241"/>
      <c r="DA107" s="1496"/>
      <c r="DB107" s="1487"/>
      <c r="DC107" s="241"/>
      <c r="DD107" s="241"/>
      <c r="DR107" s="241" t="s">
        <v>199</v>
      </c>
      <c r="DS107" s="251">
        <f t="shared" ref="DS107:EH107" si="100">DS$59*DS$9/100</f>
        <v>3.27555</v>
      </c>
      <c r="DT107" s="251">
        <f t="shared" si="100"/>
        <v>3.7628866666666672</v>
      </c>
      <c r="DU107" s="251">
        <f t="shared" si="100"/>
        <v>1.3193408333333332</v>
      </c>
      <c r="DV107" s="1267">
        <f t="shared" si="100"/>
        <v>1.3812187500000002</v>
      </c>
      <c r="DW107" s="1212">
        <f t="shared" si="100"/>
        <v>2.0396965217391303</v>
      </c>
      <c r="DX107" s="251">
        <f t="shared" si="100"/>
        <v>2.0883666666666669</v>
      </c>
      <c r="DY107" s="251">
        <f t="shared" si="100"/>
        <v>2.0756178260869564</v>
      </c>
      <c r="DZ107" s="251">
        <f t="shared" si="100"/>
        <v>2.1016633333333332</v>
      </c>
      <c r="EA107" s="251">
        <f t="shared" si="100"/>
        <v>2.0166483333333334</v>
      </c>
      <c r="EB107" s="251">
        <f t="shared" si="100"/>
        <v>2.008386666666667</v>
      </c>
      <c r="EC107" s="251">
        <f t="shared" si="100"/>
        <v>2.14812</v>
      </c>
      <c r="ED107" s="251">
        <f t="shared" si="100"/>
        <v>2.1119700000000003</v>
      </c>
      <c r="EE107" s="1267">
        <f t="shared" si="100"/>
        <v>2.1320625</v>
      </c>
      <c r="EF107" s="1212">
        <f t="shared" si="100"/>
        <v>0</v>
      </c>
      <c r="EG107" s="251">
        <f t="shared" si="100"/>
        <v>0</v>
      </c>
      <c r="EH107" s="251">
        <f t="shared" si="100"/>
        <v>0</v>
      </c>
      <c r="EI107" s="270"/>
      <c r="EJ107" s="270"/>
      <c r="EK107" s="1283"/>
      <c r="EL107" s="1224"/>
      <c r="EM107" s="270"/>
      <c r="EN107" s="270"/>
      <c r="EO107" s="270"/>
      <c r="EP107" s="270"/>
      <c r="EQ107" s="270"/>
      <c r="ER107" s="270"/>
      <c r="ES107" s="270"/>
      <c r="ET107" s="270"/>
      <c r="EU107" s="341"/>
      <c r="EV107" s="270">
        <f t="shared" ref="EV107:FK107" si="101">EV$59*EV$9/100</f>
        <v>8.1030000000000019E-2</v>
      </c>
      <c r="EW107" s="270">
        <f t="shared" si="101"/>
        <v>3.2164999999999992E-2</v>
      </c>
      <c r="EX107" s="270">
        <f t="shared" si="101"/>
        <v>5.7500000000000008E-3</v>
      </c>
      <c r="EY107" s="1283">
        <f t="shared" si="101"/>
        <v>2.7812500000000003E-3</v>
      </c>
      <c r="EZ107" s="1224">
        <f t="shared" si="101"/>
        <v>6.4233043478260865E-2</v>
      </c>
      <c r="FA107" s="270">
        <f t="shared" si="101"/>
        <v>0.18239583333333337</v>
      </c>
      <c r="FB107" s="270">
        <f t="shared" si="101"/>
        <v>0.19129764705882352</v>
      </c>
      <c r="FC107" s="270">
        <f t="shared" si="101"/>
        <v>5.8643750000000008E-2</v>
      </c>
      <c r="FD107" s="270">
        <f t="shared" si="101"/>
        <v>0.11516166666666669</v>
      </c>
      <c r="FE107" s="270">
        <f t="shared" si="101"/>
        <v>9.0476666666666677E-2</v>
      </c>
      <c r="FF107" s="270">
        <f t="shared" si="101"/>
        <v>2.9874999999999999E-2</v>
      </c>
      <c r="FG107" s="270">
        <f t="shared" si="101"/>
        <v>4.2563333333333342E-2</v>
      </c>
      <c r="FH107" s="1283">
        <f t="shared" si="101"/>
        <v>0.12062750000000003</v>
      </c>
      <c r="FI107" s="1224">
        <f t="shared" si="101"/>
        <v>0</v>
      </c>
      <c r="FJ107" s="270">
        <f t="shared" si="101"/>
        <v>0</v>
      </c>
      <c r="FK107" s="270">
        <f t="shared" si="101"/>
        <v>0</v>
      </c>
      <c r="FL107" s="270"/>
      <c r="FM107" s="270"/>
      <c r="FN107" s="1283"/>
      <c r="FO107" s="1224"/>
      <c r="FP107" s="270"/>
      <c r="FQ107" s="270"/>
      <c r="FR107" s="270"/>
      <c r="FS107" s="270"/>
      <c r="FT107" s="270"/>
      <c r="FU107" s="270"/>
      <c r="FV107" s="270"/>
      <c r="FW107" s="270"/>
      <c r="FX107" s="1" t="s">
        <v>178</v>
      </c>
    </row>
    <row r="108" spans="3:180" x14ac:dyDescent="0.35">
      <c r="C108" s="1" t="s">
        <v>179</v>
      </c>
      <c r="F108" s="1052" t="s">
        <v>187</v>
      </c>
      <c r="G108" s="271">
        <v>24</v>
      </c>
      <c r="H108" s="247" t="s">
        <v>195</v>
      </c>
      <c r="I108" s="1276">
        <v>6</v>
      </c>
      <c r="J108" s="1195" t="s">
        <v>200</v>
      </c>
      <c r="K108" s="271">
        <f t="shared" ref="K108:K114" si="102">G108+I108</f>
        <v>30</v>
      </c>
      <c r="CY108" s="241"/>
      <c r="CZ108" s="241"/>
      <c r="DA108" s="1496"/>
      <c r="DB108" s="1487"/>
      <c r="DC108" s="241"/>
      <c r="DD108" s="241"/>
      <c r="DR108" s="241" t="s">
        <v>200</v>
      </c>
      <c r="DS108" s="251">
        <f t="shared" ref="DS108:EH108" si="103">DS$59*DS$10/100</f>
        <v>2.6856999999999998</v>
      </c>
      <c r="DT108" s="251">
        <f t="shared" si="103"/>
        <v>2.8960266666666667</v>
      </c>
      <c r="DU108" s="251">
        <f t="shared" si="103"/>
        <v>1.0848366666666667</v>
      </c>
      <c r="DV108" s="1267">
        <f t="shared" si="103"/>
        <v>1.1397612500000003</v>
      </c>
      <c r="DW108" s="1212">
        <f t="shared" si="103"/>
        <v>1.6224234782608695</v>
      </c>
      <c r="DX108" s="251">
        <f t="shared" si="103"/>
        <v>1.6626666666666667</v>
      </c>
      <c r="DY108" s="251">
        <f t="shared" si="103"/>
        <v>1.6281430434782607</v>
      </c>
      <c r="DZ108" s="251">
        <f t="shared" si="103"/>
        <v>1.6731541666666667</v>
      </c>
      <c r="EA108" s="251">
        <f t="shared" si="103"/>
        <v>1.6054729166666666</v>
      </c>
      <c r="EB108" s="251">
        <f t="shared" si="103"/>
        <v>1.6362399999999999</v>
      </c>
      <c r="EC108" s="251">
        <f t="shared" si="103"/>
        <v>1.7128800000000002</v>
      </c>
      <c r="ED108" s="251">
        <f t="shared" si="103"/>
        <v>1.6789850000000002</v>
      </c>
      <c r="EE108" s="1267">
        <f t="shared" si="103"/>
        <v>1.6745249999999998</v>
      </c>
      <c r="EF108" s="1212">
        <f t="shared" si="103"/>
        <v>0</v>
      </c>
      <c r="EG108" s="251">
        <f t="shared" si="103"/>
        <v>0</v>
      </c>
      <c r="EH108" s="251">
        <f t="shared" si="103"/>
        <v>0</v>
      </c>
      <c r="EI108" s="270"/>
      <c r="EJ108" s="270"/>
      <c r="EK108" s="1283"/>
      <c r="EL108" s="1224"/>
      <c r="EM108" s="270"/>
      <c r="EN108" s="270"/>
      <c r="EO108" s="270"/>
      <c r="EP108" s="270"/>
      <c r="EQ108" s="270"/>
      <c r="ER108" s="270"/>
      <c r="ES108" s="270"/>
      <c r="ET108" s="270"/>
      <c r="EU108" s="341"/>
      <c r="EV108" s="270">
        <f t="shared" ref="EV108:FK108" si="104">EV$59*EV$10/100</f>
        <v>5.9130000000000009E-2</v>
      </c>
      <c r="EW108" s="270">
        <f t="shared" si="104"/>
        <v>5.8969166666666656E-2</v>
      </c>
      <c r="EX108" s="270">
        <f t="shared" si="104"/>
        <v>1.0541666666666666E-2</v>
      </c>
      <c r="EY108" s="1283">
        <f t="shared" si="104"/>
        <v>4.635416666666667E-3</v>
      </c>
      <c r="EZ108" s="1224">
        <f t="shared" si="104"/>
        <v>0.11240782608695653</v>
      </c>
      <c r="FA108" s="270">
        <f t="shared" si="104"/>
        <v>0.28968750000000004</v>
      </c>
      <c r="FB108" s="270">
        <f t="shared" si="104"/>
        <v>0.31882941176470586</v>
      </c>
      <c r="FC108" s="270">
        <f t="shared" si="104"/>
        <v>0.11728750000000002</v>
      </c>
      <c r="FD108" s="270">
        <f t="shared" si="104"/>
        <v>0.18508125</v>
      </c>
      <c r="FE108" s="270">
        <f t="shared" si="104"/>
        <v>0.15833416666666669</v>
      </c>
      <c r="FF108" s="270">
        <f t="shared" si="104"/>
        <v>4.9791666666666672E-2</v>
      </c>
      <c r="FG108" s="270">
        <f t="shared" si="104"/>
        <v>6.3844999999999999E-2</v>
      </c>
      <c r="FH108" s="1283">
        <f t="shared" si="104"/>
        <v>0.22402250000000001</v>
      </c>
      <c r="FI108" s="1224">
        <f t="shared" si="104"/>
        <v>0</v>
      </c>
      <c r="FJ108" s="270">
        <f t="shared" si="104"/>
        <v>0</v>
      </c>
      <c r="FK108" s="270">
        <f t="shared" si="104"/>
        <v>0</v>
      </c>
      <c r="FL108" s="270"/>
      <c r="FM108" s="270"/>
      <c r="FN108" s="1283"/>
      <c r="FO108" s="1224"/>
      <c r="FP108" s="270"/>
      <c r="FQ108" s="270"/>
      <c r="FR108" s="270"/>
      <c r="FS108" s="270"/>
      <c r="FT108" s="270"/>
      <c r="FU108" s="270"/>
      <c r="FV108" s="270"/>
      <c r="FW108" s="270"/>
      <c r="FX108" s="1" t="s">
        <v>179</v>
      </c>
    </row>
    <row r="109" spans="3:180" x14ac:dyDescent="0.35">
      <c r="C109" s="1" t="s">
        <v>180</v>
      </c>
      <c r="F109" s="1052" t="s">
        <v>99</v>
      </c>
      <c r="G109" s="271">
        <v>36</v>
      </c>
      <c r="H109" s="247" t="s">
        <v>194</v>
      </c>
      <c r="I109" s="1276">
        <v>8</v>
      </c>
      <c r="J109" s="1195" t="s">
        <v>201</v>
      </c>
      <c r="K109" s="271">
        <f t="shared" si="102"/>
        <v>44</v>
      </c>
      <c r="CY109" s="241"/>
      <c r="CZ109" s="241"/>
      <c r="DA109" s="1496"/>
      <c r="DB109" s="1487"/>
      <c r="DC109" s="241"/>
      <c r="DD109" s="241"/>
      <c r="DR109" s="241" t="s">
        <v>201</v>
      </c>
      <c r="DS109" s="251">
        <f t="shared" ref="DS109:EH109" si="105">DS$59*DS$11/100</f>
        <v>3.0433749999999997</v>
      </c>
      <c r="DT109" s="251">
        <f t="shared" si="105"/>
        <v>3.0745933333333335</v>
      </c>
      <c r="DU109" s="251">
        <f t="shared" si="105"/>
        <v>1.0991108333333333</v>
      </c>
      <c r="DV109" s="1267">
        <f t="shared" si="105"/>
        <v>1.1499925000000002</v>
      </c>
      <c r="DW109" s="1212">
        <f t="shared" si="105"/>
        <v>1.5441847826086956</v>
      </c>
      <c r="DX109" s="251">
        <f t="shared" si="105"/>
        <v>1.5967333333333336</v>
      </c>
      <c r="DY109" s="251">
        <f t="shared" si="105"/>
        <v>1.6296547826086953</v>
      </c>
      <c r="DZ109" s="251">
        <f t="shared" si="105"/>
        <v>1.6534699999999998</v>
      </c>
      <c r="EA109" s="251">
        <f t="shared" si="105"/>
        <v>1.5865850000000001</v>
      </c>
      <c r="EB109" s="251">
        <f t="shared" si="105"/>
        <v>1.7160933333333335</v>
      </c>
      <c r="EC109" s="251">
        <f t="shared" si="105"/>
        <v>1.7050799999999997</v>
      </c>
      <c r="ED109" s="251">
        <f t="shared" si="105"/>
        <v>1.6789850000000002</v>
      </c>
      <c r="EE109" s="1267">
        <f t="shared" si="105"/>
        <v>1.6714125000000002</v>
      </c>
      <c r="EF109" s="1212">
        <f t="shared" si="105"/>
        <v>0</v>
      </c>
      <c r="EG109" s="251">
        <f t="shared" si="105"/>
        <v>0</v>
      </c>
      <c r="EH109" s="251">
        <f t="shared" si="105"/>
        <v>0</v>
      </c>
      <c r="EI109" s="270"/>
      <c r="EJ109" s="270"/>
      <c r="EK109" s="1283"/>
      <c r="EL109" s="1224"/>
      <c r="EM109" s="270"/>
      <c r="EN109" s="270"/>
      <c r="EO109" s="270"/>
      <c r="EP109" s="270"/>
      <c r="EQ109" s="270"/>
      <c r="ER109" s="270"/>
      <c r="ES109" s="270"/>
      <c r="ET109" s="270"/>
      <c r="EU109" s="341"/>
      <c r="EV109" s="270">
        <f t="shared" ref="EV109:FK109" si="106">EV$59*EV$11/100</f>
        <v>0.12921000000000002</v>
      </c>
      <c r="EW109" s="270">
        <f t="shared" si="106"/>
        <v>8.5773333333333313E-2</v>
      </c>
      <c r="EX109" s="270">
        <f t="shared" si="106"/>
        <v>1.5333333333333334E-2</v>
      </c>
      <c r="EY109" s="1283">
        <f t="shared" si="106"/>
        <v>7.4166666666666669E-3</v>
      </c>
      <c r="EZ109" s="1224">
        <f t="shared" si="106"/>
        <v>0.1926991304347826</v>
      </c>
      <c r="FA109" s="270">
        <f t="shared" si="106"/>
        <v>0.43989583333333337</v>
      </c>
      <c r="FB109" s="270">
        <f t="shared" si="106"/>
        <v>0.47824411764705888</v>
      </c>
      <c r="FC109" s="270">
        <f t="shared" si="106"/>
        <v>0.28149000000000002</v>
      </c>
      <c r="FD109" s="270">
        <f t="shared" si="106"/>
        <v>0.3125816666666667</v>
      </c>
      <c r="FE109" s="270">
        <f t="shared" si="106"/>
        <v>0.31666833333333338</v>
      </c>
      <c r="FF109" s="270">
        <f t="shared" si="106"/>
        <v>8.9624999999999982E-2</v>
      </c>
      <c r="FG109" s="270">
        <f t="shared" si="106"/>
        <v>0.15961250000000002</v>
      </c>
      <c r="FH109" s="1283">
        <f t="shared" si="106"/>
        <v>0.40496375000000001</v>
      </c>
      <c r="FI109" s="1224">
        <f t="shared" si="106"/>
        <v>0</v>
      </c>
      <c r="FJ109" s="270">
        <f t="shared" si="106"/>
        <v>0</v>
      </c>
      <c r="FK109" s="270">
        <f t="shared" si="106"/>
        <v>0</v>
      </c>
      <c r="FL109" s="270"/>
      <c r="FM109" s="270"/>
      <c r="FN109" s="1283"/>
      <c r="FO109" s="1224"/>
      <c r="FP109" s="270"/>
      <c r="FQ109" s="270"/>
      <c r="FR109" s="270"/>
      <c r="FS109" s="270"/>
      <c r="FT109" s="270"/>
      <c r="FU109" s="270"/>
      <c r="FV109" s="270"/>
      <c r="FW109" s="270"/>
      <c r="FX109" s="1" t="s">
        <v>180</v>
      </c>
    </row>
    <row r="110" spans="3:180" x14ac:dyDescent="0.35">
      <c r="C110" s="1" t="s">
        <v>385</v>
      </c>
      <c r="F110" s="1052" t="s">
        <v>188</v>
      </c>
      <c r="G110" s="271">
        <v>48</v>
      </c>
      <c r="H110" s="247" t="s">
        <v>196</v>
      </c>
      <c r="I110" s="1276">
        <v>10</v>
      </c>
      <c r="J110" s="1195" t="s">
        <v>202</v>
      </c>
      <c r="K110" s="271">
        <f t="shared" si="102"/>
        <v>58</v>
      </c>
      <c r="CY110" s="241"/>
      <c r="CZ110" s="241"/>
      <c r="DA110" s="1496"/>
      <c r="DB110" s="1487"/>
      <c r="DC110" s="241"/>
      <c r="DD110" s="241"/>
      <c r="DR110" s="241" t="s">
        <v>376</v>
      </c>
      <c r="DS110" s="251">
        <f t="shared" ref="DS110:EH110" si="107">DS$59*DS$12/100</f>
        <v>3.6708749999999997</v>
      </c>
      <c r="DT110" s="251">
        <f t="shared" si="107"/>
        <v>3.3862733333333335</v>
      </c>
      <c r="DU110" s="251">
        <f t="shared" si="107"/>
        <v>0.87072416666666652</v>
      </c>
      <c r="DV110" s="1267">
        <f t="shared" si="107"/>
        <v>0.90239625000000023</v>
      </c>
      <c r="DW110" s="1212">
        <f t="shared" si="107"/>
        <v>0.97729739130434778</v>
      </c>
      <c r="DX110" s="251">
        <f t="shared" si="107"/>
        <v>1.0534999999999999</v>
      </c>
      <c r="DY110" s="251">
        <f t="shared" si="107"/>
        <v>1.1141517391304347</v>
      </c>
      <c r="DZ110" s="251">
        <f t="shared" si="107"/>
        <v>1.0917141666666665</v>
      </c>
      <c r="EA110" s="251">
        <f t="shared" si="107"/>
        <v>1.0475529166666666</v>
      </c>
      <c r="EB110" s="251">
        <f t="shared" si="107"/>
        <v>1.1978000000000002</v>
      </c>
      <c r="EC110" s="251">
        <f t="shared" si="107"/>
        <v>1.13256</v>
      </c>
      <c r="ED110" s="251">
        <f t="shared" si="107"/>
        <v>1.1276300000000001</v>
      </c>
      <c r="EE110" s="1267">
        <f t="shared" si="107"/>
        <v>1.11271875</v>
      </c>
      <c r="EF110" s="1212">
        <f t="shared" si="107"/>
        <v>0</v>
      </c>
      <c r="EG110" s="251">
        <f t="shared" si="107"/>
        <v>0</v>
      </c>
      <c r="EH110" s="251">
        <f t="shared" si="107"/>
        <v>0</v>
      </c>
      <c r="EI110" s="270"/>
      <c r="EJ110" s="270"/>
      <c r="EK110" s="1283"/>
      <c r="EL110" s="1224"/>
      <c r="EM110" s="270"/>
      <c r="EN110" s="270"/>
      <c r="EO110" s="270"/>
      <c r="EP110" s="270"/>
      <c r="EQ110" s="270"/>
      <c r="ER110" s="270"/>
      <c r="ES110" s="270"/>
      <c r="ET110" s="270"/>
      <c r="EU110" s="341"/>
      <c r="EV110" s="270">
        <f t="shared" ref="EV110:FK110" si="108">EV$59*EV$12/100</f>
        <v>0.16096500000000002</v>
      </c>
      <c r="EW110" s="270">
        <f t="shared" si="108"/>
        <v>9.1134166666666655E-2</v>
      </c>
      <c r="EX110" s="270">
        <f t="shared" si="108"/>
        <v>1.629166666666667E-2</v>
      </c>
      <c r="EY110" s="1283">
        <f t="shared" si="108"/>
        <v>1.0197916666666666E-2</v>
      </c>
      <c r="EZ110" s="1224">
        <f t="shared" si="108"/>
        <v>0.32919434782608692</v>
      </c>
      <c r="FA110" s="270">
        <f t="shared" si="108"/>
        <v>0.49354166666666671</v>
      </c>
      <c r="FB110" s="270">
        <f t="shared" si="108"/>
        <v>0.53138235294117653</v>
      </c>
      <c r="FC110" s="270">
        <f t="shared" si="108"/>
        <v>0.59816625000000001</v>
      </c>
      <c r="FD110" s="270">
        <f t="shared" si="108"/>
        <v>0.44830791666666664</v>
      </c>
      <c r="FE110" s="270">
        <f t="shared" si="108"/>
        <v>0.54286000000000001</v>
      </c>
      <c r="FF110" s="270">
        <f t="shared" si="108"/>
        <v>0.19916666666666669</v>
      </c>
      <c r="FG110" s="270">
        <f t="shared" si="108"/>
        <v>0.32986583333333336</v>
      </c>
      <c r="FH110" s="1283">
        <f t="shared" si="108"/>
        <v>0.58590500000000012</v>
      </c>
      <c r="FI110" s="1224">
        <f t="shared" si="108"/>
        <v>0</v>
      </c>
      <c r="FJ110" s="270">
        <f t="shared" si="108"/>
        <v>0</v>
      </c>
      <c r="FK110" s="270">
        <f t="shared" si="108"/>
        <v>0</v>
      </c>
      <c r="FL110" s="270"/>
      <c r="FM110" s="270"/>
      <c r="FN110" s="1283"/>
      <c r="FO110" s="1224"/>
      <c r="FP110" s="270"/>
      <c r="FQ110" s="270"/>
      <c r="FR110" s="270"/>
      <c r="FS110" s="270"/>
      <c r="FT110" s="270"/>
      <c r="FU110" s="270"/>
      <c r="FV110" s="270"/>
      <c r="FW110" s="270"/>
      <c r="FX110" s="1" t="s">
        <v>181</v>
      </c>
    </row>
    <row r="111" spans="3:180" x14ac:dyDescent="0.35">
      <c r="C111" s="1" t="s">
        <v>182</v>
      </c>
      <c r="F111" s="1052" t="s">
        <v>189</v>
      </c>
      <c r="G111" s="271">
        <v>60</v>
      </c>
      <c r="H111" s="247" t="s">
        <v>197</v>
      </c>
      <c r="I111" s="1276">
        <v>12</v>
      </c>
      <c r="J111" s="1195" t="s">
        <v>203</v>
      </c>
      <c r="K111" s="271">
        <f t="shared" si="102"/>
        <v>72</v>
      </c>
      <c r="CY111" s="241"/>
      <c r="CZ111" s="241"/>
      <c r="DA111" s="1496"/>
      <c r="DB111" s="1487"/>
      <c r="DC111" s="241"/>
      <c r="DD111" s="241"/>
      <c r="DR111" s="241" t="s">
        <v>203</v>
      </c>
      <c r="DS111" s="251">
        <f t="shared" ref="DS111:EH111" si="109">DS$59*DS$13/100</f>
        <v>1.951525</v>
      </c>
      <c r="DT111" s="251">
        <f t="shared" si="109"/>
        <v>1.4187933333333334</v>
      </c>
      <c r="DU111" s="251">
        <f t="shared" si="109"/>
        <v>0.62398500000000001</v>
      </c>
      <c r="DV111" s="1267">
        <f t="shared" si="109"/>
        <v>0.62819875000000003</v>
      </c>
      <c r="DW111" s="1212">
        <f t="shared" si="109"/>
        <v>0.41864565217391303</v>
      </c>
      <c r="DX111" s="251">
        <f t="shared" si="109"/>
        <v>0.50596666666666668</v>
      </c>
      <c r="DY111" s="251">
        <f t="shared" si="109"/>
        <v>0.55178478260869557</v>
      </c>
      <c r="DZ111" s="251">
        <f t="shared" si="109"/>
        <v>0.54207166666666662</v>
      </c>
      <c r="EA111" s="251">
        <f t="shared" si="109"/>
        <v>0.52014416666666674</v>
      </c>
      <c r="EB111" s="251">
        <f t="shared" si="109"/>
        <v>0.57102666666666668</v>
      </c>
      <c r="EC111" s="251">
        <f t="shared" si="109"/>
        <v>0.59123999999999999</v>
      </c>
      <c r="ED111" s="251">
        <f t="shared" si="109"/>
        <v>0.5902925</v>
      </c>
      <c r="EE111" s="1267">
        <f t="shared" si="109"/>
        <v>0.57736874999999999</v>
      </c>
      <c r="EF111" s="1212">
        <f t="shared" si="109"/>
        <v>0</v>
      </c>
      <c r="EG111" s="251">
        <f t="shared" si="109"/>
        <v>0</v>
      </c>
      <c r="EH111" s="251">
        <f t="shared" si="109"/>
        <v>0</v>
      </c>
      <c r="EI111" s="270"/>
      <c r="EJ111" s="270"/>
      <c r="EK111" s="1283"/>
      <c r="EL111" s="1224"/>
      <c r="EM111" s="270"/>
      <c r="EN111" s="270"/>
      <c r="EO111" s="270"/>
      <c r="EP111" s="270"/>
      <c r="EQ111" s="270"/>
      <c r="ER111" s="270"/>
      <c r="ES111" s="270"/>
      <c r="ET111" s="270"/>
      <c r="EU111" s="341"/>
      <c r="EV111" s="270">
        <f t="shared" ref="EV111:FK111" si="110">EV$59*EV$13/100</f>
        <v>0.10293000000000001</v>
      </c>
      <c r="EW111" s="270">
        <f t="shared" si="110"/>
        <v>5.8969166666666656E-2</v>
      </c>
      <c r="EX111" s="270">
        <f t="shared" si="110"/>
        <v>1.0541666666666666E-2</v>
      </c>
      <c r="EY111" s="1283">
        <f t="shared" si="110"/>
        <v>1.1125000000000001E-2</v>
      </c>
      <c r="EZ111" s="1224">
        <f t="shared" si="110"/>
        <v>0.39342739130434778</v>
      </c>
      <c r="FA111" s="270">
        <f t="shared" si="110"/>
        <v>0.41843750000000002</v>
      </c>
      <c r="FB111" s="270">
        <f t="shared" si="110"/>
        <v>0.40385058823529413</v>
      </c>
      <c r="FC111" s="270">
        <f t="shared" si="110"/>
        <v>0.80928375000000008</v>
      </c>
      <c r="FD111" s="270">
        <f t="shared" si="110"/>
        <v>0.48121124999999998</v>
      </c>
      <c r="FE111" s="270">
        <f t="shared" si="110"/>
        <v>0.56547916666666675</v>
      </c>
      <c r="FF111" s="270">
        <f t="shared" si="110"/>
        <v>0.39833333333333337</v>
      </c>
      <c r="FG111" s="270">
        <f t="shared" si="110"/>
        <v>0.51075999999999999</v>
      </c>
      <c r="FH111" s="1283">
        <f t="shared" si="110"/>
        <v>0.59452125</v>
      </c>
      <c r="FI111" s="1224">
        <f t="shared" si="110"/>
        <v>0</v>
      </c>
      <c r="FJ111" s="270">
        <f t="shared" si="110"/>
        <v>0</v>
      </c>
      <c r="FK111" s="270">
        <f t="shared" si="110"/>
        <v>0</v>
      </c>
      <c r="FL111" s="270"/>
      <c r="FM111" s="270"/>
      <c r="FN111" s="1283"/>
      <c r="FO111" s="1224"/>
      <c r="FP111" s="270"/>
      <c r="FQ111" s="270"/>
      <c r="FR111" s="270"/>
      <c r="FS111" s="270"/>
      <c r="FT111" s="270"/>
      <c r="FU111" s="270"/>
      <c r="FV111" s="270"/>
      <c r="FW111" s="270"/>
      <c r="FX111" s="1" t="s">
        <v>182</v>
      </c>
    </row>
    <row r="112" spans="3:180" ht="15" thickBot="1" x14ac:dyDescent="0.4">
      <c r="C112" s="1" t="s">
        <v>351</v>
      </c>
      <c r="F112" s="1052" t="s">
        <v>190</v>
      </c>
      <c r="G112" s="271">
        <v>72</v>
      </c>
      <c r="H112" s="247" t="s">
        <v>198</v>
      </c>
      <c r="I112" s="1276">
        <v>14</v>
      </c>
      <c r="J112" s="1195" t="s">
        <v>204</v>
      </c>
      <c r="K112" s="271">
        <f t="shared" si="102"/>
        <v>86</v>
      </c>
      <c r="CY112" s="241"/>
      <c r="CZ112" s="241"/>
      <c r="DA112" s="1496"/>
      <c r="DB112" s="1487"/>
      <c r="DC112" s="241"/>
      <c r="DD112" s="241"/>
      <c r="DR112" s="241" t="s">
        <v>403</v>
      </c>
      <c r="DS112" s="251">
        <f t="shared" ref="DS112:EH112" si="111">DS$59*DS$14/100</f>
        <v>1.4871749999999999</v>
      </c>
      <c r="DT112" s="251">
        <f t="shared" si="111"/>
        <v>2.7304466666666669</v>
      </c>
      <c r="DU112" s="251">
        <f t="shared" si="111"/>
        <v>0.60767166666666661</v>
      </c>
      <c r="DV112" s="1267">
        <f t="shared" si="111"/>
        <v>0.29056750000000003</v>
      </c>
      <c r="DW112" s="1212">
        <f t="shared" si="111"/>
        <v>0.27040391304347827</v>
      </c>
      <c r="DX112" s="251">
        <f t="shared" si="111"/>
        <v>0.24510000000000001</v>
      </c>
      <c r="DY112" s="251">
        <f t="shared" si="111"/>
        <v>0.26606608695652167</v>
      </c>
      <c r="DZ112" s="251">
        <f t="shared" si="111"/>
        <v>0.17261499999999999</v>
      </c>
      <c r="EA112" s="251">
        <f t="shared" si="111"/>
        <v>0.16563249999999999</v>
      </c>
      <c r="EB112" s="251">
        <f t="shared" si="111"/>
        <v>0.42186666666666667</v>
      </c>
      <c r="EC112" s="251">
        <f t="shared" si="111"/>
        <v>0.45396000000000003</v>
      </c>
      <c r="ED112" s="251">
        <f t="shared" si="111"/>
        <v>0.507745</v>
      </c>
      <c r="EE112" s="1267">
        <f t="shared" si="111"/>
        <v>0.45753749999999999</v>
      </c>
      <c r="EF112" s="1212">
        <f t="shared" si="111"/>
        <v>0</v>
      </c>
      <c r="EG112" s="251">
        <f t="shared" si="111"/>
        <v>0</v>
      </c>
      <c r="EH112" s="251">
        <f t="shared" si="111"/>
        <v>0</v>
      </c>
      <c r="EI112" s="270"/>
      <c r="EJ112" s="270"/>
      <c r="EK112" s="1283"/>
      <c r="EL112" s="1224"/>
      <c r="EM112" s="270"/>
      <c r="EN112" s="270"/>
      <c r="EO112" s="270"/>
      <c r="EP112" s="270"/>
      <c r="EQ112" s="270"/>
      <c r="ER112" s="270"/>
      <c r="ES112" s="270"/>
      <c r="ET112" s="270"/>
      <c r="EU112" s="341"/>
      <c r="EV112" s="270">
        <f t="shared" ref="EV112:FK112" si="112">EV$59*EV$14/100</f>
        <v>4.5990000000000003E-2</v>
      </c>
      <c r="EW112" s="270">
        <f t="shared" si="112"/>
        <v>6.4329999999999984E-2</v>
      </c>
      <c r="EX112" s="270">
        <f t="shared" si="112"/>
        <v>1.1500000000000002E-2</v>
      </c>
      <c r="EY112" s="1283">
        <f t="shared" si="112"/>
        <v>3.89375E-2</v>
      </c>
      <c r="EZ112" s="1224">
        <f t="shared" si="112"/>
        <v>0.73868</v>
      </c>
      <c r="FA112" s="270">
        <f t="shared" si="112"/>
        <v>0.75104166666666672</v>
      </c>
      <c r="FB112" s="270">
        <f t="shared" si="112"/>
        <v>0.66954176470588234</v>
      </c>
      <c r="FC112" s="270">
        <f t="shared" si="112"/>
        <v>0.52779375000000006</v>
      </c>
      <c r="FD112" s="270">
        <f t="shared" si="112"/>
        <v>0.43185625000000011</v>
      </c>
      <c r="FE112" s="270">
        <f t="shared" si="112"/>
        <v>0.59940791666666682</v>
      </c>
      <c r="FF112" s="270">
        <f t="shared" si="112"/>
        <v>0.47799999999999998</v>
      </c>
      <c r="FG112" s="270">
        <f t="shared" si="112"/>
        <v>0.87254833333333337</v>
      </c>
      <c r="FH112" s="1283">
        <f t="shared" si="112"/>
        <v>0.80131125000000014</v>
      </c>
      <c r="FI112" s="1224">
        <f t="shared" si="112"/>
        <v>0</v>
      </c>
      <c r="FJ112" s="270">
        <f t="shared" si="112"/>
        <v>0</v>
      </c>
      <c r="FK112" s="270">
        <f t="shared" si="112"/>
        <v>0</v>
      </c>
      <c r="FL112" s="270"/>
      <c r="FM112" s="270"/>
      <c r="FN112" s="1283"/>
      <c r="FO112" s="1224"/>
      <c r="FP112" s="270"/>
      <c r="FQ112" s="270"/>
      <c r="FR112" s="270"/>
      <c r="FS112" s="270"/>
      <c r="FT112" s="270"/>
      <c r="FU112" s="270"/>
      <c r="FV112" s="270"/>
      <c r="FW112" s="270"/>
      <c r="FX112" s="1" t="s">
        <v>405</v>
      </c>
    </row>
    <row r="113" spans="3:180" s="377" customFormat="1" ht="15" thickTop="1" x14ac:dyDescent="0.35">
      <c r="C113" s="375" t="s">
        <v>183</v>
      </c>
      <c r="D113" s="375"/>
      <c r="E113" s="375"/>
      <c r="F113" s="1052" t="s">
        <v>157</v>
      </c>
      <c r="G113" s="271">
        <v>32</v>
      </c>
      <c r="H113" s="247" t="s">
        <v>191</v>
      </c>
      <c r="I113" s="1276">
        <v>2</v>
      </c>
      <c r="J113" s="1195" t="s">
        <v>135</v>
      </c>
      <c r="K113" s="271">
        <f t="shared" si="102"/>
        <v>34</v>
      </c>
      <c r="L113" s="232"/>
      <c r="M113" s="232"/>
      <c r="N113" s="232"/>
      <c r="O113" s="232"/>
      <c r="P113" s="232"/>
      <c r="Q113" s="232"/>
      <c r="R113" s="1236"/>
      <c r="S113" s="643"/>
      <c r="T113" s="232"/>
      <c r="U113" s="232"/>
      <c r="V113" s="232"/>
      <c r="W113" s="232"/>
      <c r="X113" s="1236"/>
      <c r="Y113" s="643"/>
      <c r="Z113" s="232"/>
      <c r="AA113" s="232"/>
      <c r="AB113" s="232"/>
      <c r="AC113" s="232"/>
      <c r="AD113" s="232"/>
      <c r="AE113" s="232"/>
      <c r="AF113" s="232"/>
      <c r="AG113" s="232"/>
      <c r="AH113" s="323"/>
      <c r="AI113" s="232"/>
      <c r="AJ113" s="232"/>
      <c r="AK113" s="232"/>
      <c r="AL113" s="1236"/>
      <c r="AM113" s="643"/>
      <c r="AN113" s="232"/>
      <c r="AO113" s="232"/>
      <c r="AP113" s="232"/>
      <c r="AQ113" s="232"/>
      <c r="AR113" s="232"/>
      <c r="AS113" s="232"/>
      <c r="AT113" s="232"/>
      <c r="AU113" s="1236"/>
      <c r="AV113" s="643"/>
      <c r="AW113" s="232"/>
      <c r="AX113" s="232"/>
      <c r="AY113" s="232"/>
      <c r="AZ113" s="232"/>
      <c r="BA113" s="1236"/>
      <c r="BB113" s="643"/>
      <c r="BC113" s="232"/>
      <c r="BD113" s="232"/>
      <c r="BE113" s="232"/>
      <c r="BF113" s="232"/>
      <c r="BG113" s="232"/>
      <c r="BH113" s="232"/>
      <c r="BI113" s="232"/>
      <c r="BJ113" s="232"/>
      <c r="BK113" s="323"/>
      <c r="BL113" s="232"/>
      <c r="BM113" s="232"/>
      <c r="BN113" s="232"/>
      <c r="BO113" s="1236"/>
      <c r="BP113" s="643"/>
      <c r="BQ113" s="232"/>
      <c r="BR113" s="232"/>
      <c r="BS113" s="232"/>
      <c r="BT113" s="232"/>
      <c r="BU113" s="232"/>
      <c r="BV113" s="232"/>
      <c r="BW113" s="232"/>
      <c r="BX113" s="1236"/>
      <c r="BY113" s="643"/>
      <c r="BZ113" s="232"/>
      <c r="CA113" s="232"/>
      <c r="CB113" s="232"/>
      <c r="CC113" s="232"/>
      <c r="CD113" s="1236"/>
      <c r="CE113" s="643"/>
      <c r="CF113" s="232"/>
      <c r="CG113" s="232"/>
      <c r="CH113" s="232"/>
      <c r="CI113" s="232"/>
      <c r="CJ113" s="232"/>
      <c r="CK113" s="232"/>
      <c r="CL113" s="232"/>
      <c r="CM113" s="232"/>
      <c r="CN113" s="323"/>
      <c r="CO113" s="232"/>
      <c r="CP113" s="232"/>
      <c r="CQ113" s="232"/>
      <c r="CR113" s="1236"/>
      <c r="CS113" s="643"/>
      <c r="CT113" s="232"/>
      <c r="CU113" s="232"/>
      <c r="CV113" s="232"/>
      <c r="CW113" s="232"/>
      <c r="CX113" s="232"/>
      <c r="CY113" s="241"/>
      <c r="CZ113" s="241"/>
      <c r="DA113" s="1496"/>
      <c r="DB113" s="1487"/>
      <c r="DC113" s="241"/>
      <c r="DD113" s="241"/>
      <c r="DE113" s="232"/>
      <c r="DF113" s="232"/>
      <c r="DG113" s="1236"/>
      <c r="DH113" s="643"/>
      <c r="DI113" s="232"/>
      <c r="DJ113" s="232"/>
      <c r="DK113" s="232"/>
      <c r="DL113" s="232"/>
      <c r="DM113" s="232"/>
      <c r="DN113" s="232"/>
      <c r="DO113" s="232"/>
      <c r="DP113" s="232"/>
      <c r="DQ113" s="323"/>
      <c r="DR113" s="238"/>
      <c r="DS113" s="232"/>
      <c r="DT113" s="232"/>
      <c r="DU113" s="232"/>
      <c r="DV113" s="1236"/>
      <c r="DW113" s="643"/>
      <c r="DX113" s="232"/>
      <c r="DY113" s="232"/>
      <c r="DZ113" s="232"/>
      <c r="EA113" s="232"/>
      <c r="EB113" s="232"/>
      <c r="EC113" s="232"/>
      <c r="ED113" s="232"/>
      <c r="EE113" s="1236"/>
      <c r="EF113" s="643"/>
      <c r="EG113" s="232"/>
      <c r="EH113" s="232"/>
      <c r="EI113" s="232"/>
      <c r="EJ113" s="232"/>
      <c r="EK113" s="1236"/>
      <c r="EL113" s="643"/>
      <c r="EM113" s="232"/>
      <c r="EN113" s="232"/>
      <c r="EO113" s="232"/>
      <c r="EP113" s="232"/>
      <c r="EQ113" s="232"/>
      <c r="ER113" s="232"/>
      <c r="ES113" s="232"/>
      <c r="ET113" s="232"/>
      <c r="EU113" s="323"/>
      <c r="EV113" s="232"/>
      <c r="EW113" s="232"/>
      <c r="EX113" s="232"/>
      <c r="EY113" s="1236"/>
      <c r="EZ113" s="643"/>
      <c r="FA113" s="232"/>
      <c r="FB113" s="232"/>
      <c r="FC113" s="232"/>
      <c r="FD113" s="232"/>
      <c r="FE113" s="232"/>
      <c r="FF113" s="232"/>
      <c r="FG113" s="232"/>
      <c r="FH113" s="1236"/>
      <c r="FI113" s="643"/>
      <c r="FJ113" s="232"/>
      <c r="FK113" s="232"/>
      <c r="FL113" s="232"/>
      <c r="FM113" s="232"/>
      <c r="FN113" s="1236"/>
      <c r="FO113" s="643"/>
      <c r="FP113" s="232"/>
      <c r="FQ113" s="232"/>
      <c r="FR113" s="232"/>
      <c r="FS113" s="232"/>
      <c r="FT113" s="232"/>
      <c r="FU113" s="232"/>
      <c r="FV113" s="232"/>
      <c r="FW113" s="232"/>
    </row>
    <row r="114" spans="3:180" s="368" customFormat="1" ht="15" thickBot="1" x14ac:dyDescent="0.4">
      <c r="C114" s="364" t="s">
        <v>184</v>
      </c>
      <c r="D114" s="364"/>
      <c r="E114" s="364"/>
      <c r="F114" s="1052" t="s">
        <v>156</v>
      </c>
      <c r="G114" s="271">
        <v>14</v>
      </c>
      <c r="H114" s="247" t="s">
        <v>193</v>
      </c>
      <c r="I114" s="1276">
        <v>3</v>
      </c>
      <c r="J114" s="1195" t="s">
        <v>136</v>
      </c>
      <c r="K114" s="271">
        <f t="shared" si="102"/>
        <v>17</v>
      </c>
      <c r="L114" s="232"/>
      <c r="M114" s="232"/>
      <c r="N114" s="232"/>
      <c r="O114" s="232"/>
      <c r="P114" s="232"/>
      <c r="Q114" s="232"/>
      <c r="R114" s="1236"/>
      <c r="S114" s="643"/>
      <c r="T114" s="232"/>
      <c r="U114" s="232"/>
      <c r="V114" s="232"/>
      <c r="W114" s="232"/>
      <c r="X114" s="1236"/>
      <c r="Y114" s="643"/>
      <c r="Z114" s="232"/>
      <c r="AA114" s="232"/>
      <c r="AB114" s="232"/>
      <c r="AC114" s="232"/>
      <c r="AD114" s="232"/>
      <c r="AE114" s="232"/>
      <c r="AF114" s="232"/>
      <c r="AG114" s="232"/>
      <c r="AH114" s="323"/>
      <c r="AI114" s="232"/>
      <c r="AJ114" s="232"/>
      <c r="AK114" s="232"/>
      <c r="AL114" s="1236"/>
      <c r="AM114" s="643"/>
      <c r="AN114" s="232"/>
      <c r="AO114" s="232"/>
      <c r="AP114" s="232"/>
      <c r="AQ114" s="232"/>
      <c r="AR114" s="232"/>
      <c r="AS114" s="232"/>
      <c r="AT114" s="232"/>
      <c r="AU114" s="1236"/>
      <c r="AV114" s="643"/>
      <c r="AW114" s="232"/>
      <c r="AX114" s="232"/>
      <c r="AY114" s="232"/>
      <c r="AZ114" s="232"/>
      <c r="BA114" s="1236"/>
      <c r="BB114" s="643"/>
      <c r="BC114" s="232"/>
      <c r="BD114" s="232"/>
      <c r="BE114" s="232"/>
      <c r="BF114" s="232"/>
      <c r="BG114" s="232"/>
      <c r="BH114" s="232"/>
      <c r="BI114" s="232"/>
      <c r="BJ114" s="232"/>
      <c r="BK114" s="323"/>
      <c r="BL114" s="232"/>
      <c r="BM114" s="232"/>
      <c r="BN114" s="232"/>
      <c r="BO114" s="1236"/>
      <c r="BP114" s="643"/>
      <c r="BQ114" s="232"/>
      <c r="BR114" s="232"/>
      <c r="BS114" s="232"/>
      <c r="BT114" s="232"/>
      <c r="BU114" s="232"/>
      <c r="BV114" s="232"/>
      <c r="BW114" s="232"/>
      <c r="BX114" s="1236"/>
      <c r="BY114" s="643"/>
      <c r="BZ114" s="232"/>
      <c r="CA114" s="232"/>
      <c r="CB114" s="232"/>
      <c r="CC114" s="232"/>
      <c r="CD114" s="1236"/>
      <c r="CE114" s="643"/>
      <c r="CF114" s="232"/>
      <c r="CG114" s="232"/>
      <c r="CH114" s="232"/>
      <c r="CI114" s="232"/>
      <c r="CJ114" s="232"/>
      <c r="CK114" s="232"/>
      <c r="CL114" s="232"/>
      <c r="CM114" s="232"/>
      <c r="CN114" s="323"/>
      <c r="CO114" s="232"/>
      <c r="CP114" s="232"/>
      <c r="CQ114" s="232"/>
      <c r="CR114" s="1236"/>
      <c r="CS114" s="643"/>
      <c r="CT114" s="232"/>
      <c r="CU114" s="232"/>
      <c r="CV114" s="232"/>
      <c r="CW114" s="232"/>
      <c r="CX114" s="232"/>
      <c r="CY114" s="238"/>
      <c r="CZ114" s="238"/>
      <c r="DA114" s="1497"/>
      <c r="DB114" s="1488"/>
      <c r="DC114" s="238"/>
      <c r="DD114" s="238"/>
      <c r="DE114" s="232"/>
      <c r="DF114" s="232"/>
      <c r="DG114" s="1236"/>
      <c r="DH114" s="643"/>
      <c r="DI114" s="232"/>
      <c r="DJ114" s="232"/>
      <c r="DK114" s="232"/>
      <c r="DL114" s="232"/>
      <c r="DM114" s="232"/>
      <c r="DN114" s="232"/>
      <c r="DO114" s="232"/>
      <c r="DP114" s="232"/>
      <c r="DQ114" s="323"/>
      <c r="DR114" s="238"/>
      <c r="DS114" s="232"/>
      <c r="DT114" s="232"/>
      <c r="DU114" s="232"/>
      <c r="DV114" s="1236"/>
      <c r="DW114" s="643"/>
      <c r="DX114" s="232"/>
      <c r="DY114" s="232"/>
      <c r="DZ114" s="232"/>
      <c r="EA114" s="232"/>
      <c r="EB114" s="232"/>
      <c r="EC114" s="232"/>
      <c r="ED114" s="232"/>
      <c r="EE114" s="1236"/>
      <c r="EF114" s="643"/>
      <c r="EG114" s="232"/>
      <c r="EH114" s="232"/>
      <c r="EI114" s="232"/>
      <c r="EJ114" s="232"/>
      <c r="EK114" s="1236"/>
      <c r="EL114" s="643"/>
      <c r="EM114" s="232"/>
      <c r="EN114" s="232"/>
      <c r="EO114" s="232"/>
      <c r="EP114" s="232"/>
      <c r="EQ114" s="232"/>
      <c r="ER114" s="232"/>
      <c r="ES114" s="232"/>
      <c r="ET114" s="232"/>
      <c r="EU114" s="323"/>
      <c r="EV114" s="232"/>
      <c r="EW114" s="232"/>
      <c r="EX114" s="232"/>
      <c r="EY114" s="1236"/>
      <c r="EZ114" s="643"/>
      <c r="FA114" s="232"/>
      <c r="FB114" s="232"/>
      <c r="FC114" s="232"/>
      <c r="FD114" s="232"/>
      <c r="FE114" s="232"/>
      <c r="FF114" s="232"/>
      <c r="FG114" s="232"/>
      <c r="FH114" s="1236"/>
      <c r="FI114" s="643"/>
      <c r="FJ114" s="232"/>
      <c r="FK114" s="232"/>
      <c r="FL114" s="232"/>
      <c r="FM114" s="232"/>
      <c r="FN114" s="1236"/>
      <c r="FO114" s="643"/>
      <c r="FP114" s="232"/>
      <c r="FQ114" s="232"/>
      <c r="FR114" s="232"/>
      <c r="FS114" s="232"/>
      <c r="FT114" s="232"/>
      <c r="FU114" s="232"/>
      <c r="FV114" s="232"/>
      <c r="FW114" s="232"/>
    </row>
    <row r="115" spans="3:180" s="228" customFormat="1" ht="15" thickTop="1" x14ac:dyDescent="0.35">
      <c r="C115" s="227"/>
      <c r="D115" s="227"/>
      <c r="E115" s="227"/>
      <c r="F115" s="1029"/>
      <c r="G115" s="232"/>
      <c r="H115" s="232"/>
      <c r="I115" s="1236"/>
      <c r="J115" s="643"/>
      <c r="K115" s="232"/>
      <c r="L115" s="239"/>
      <c r="M115" s="239"/>
      <c r="N115" s="239"/>
      <c r="O115" s="239"/>
      <c r="P115" s="239"/>
      <c r="Q115" s="239"/>
      <c r="R115" s="1277"/>
      <c r="S115" s="1221"/>
      <c r="T115" s="239"/>
      <c r="U115" s="239"/>
      <c r="V115" s="232"/>
      <c r="W115" s="232"/>
      <c r="X115" s="1236"/>
      <c r="Y115" s="643"/>
      <c r="Z115" s="232"/>
      <c r="AA115" s="232"/>
      <c r="AB115" s="232"/>
      <c r="AC115" s="232"/>
      <c r="AD115" s="232"/>
      <c r="AE115" s="232"/>
      <c r="AF115" s="232"/>
      <c r="AG115" s="232"/>
      <c r="AH115" s="323"/>
      <c r="AI115" s="232"/>
      <c r="AJ115" s="232"/>
      <c r="AK115" s="232"/>
      <c r="AL115" s="1236"/>
      <c r="AM115" s="643"/>
      <c r="AN115" s="232"/>
      <c r="AO115" s="232"/>
      <c r="AP115" s="232"/>
      <c r="AQ115" s="232"/>
      <c r="AR115" s="232"/>
      <c r="AS115" s="232"/>
      <c r="AT115" s="232"/>
      <c r="AU115" s="1236"/>
      <c r="AV115" s="643"/>
      <c r="AW115" s="232"/>
      <c r="AX115" s="232"/>
      <c r="AY115" s="232"/>
      <c r="AZ115" s="232"/>
      <c r="BA115" s="1236"/>
      <c r="BB115" s="643"/>
      <c r="BC115" s="232"/>
      <c r="BD115" s="232"/>
      <c r="BE115" s="232"/>
      <c r="BF115" s="232"/>
      <c r="BG115" s="232"/>
      <c r="BH115" s="232"/>
      <c r="BI115" s="232"/>
      <c r="BJ115" s="232"/>
      <c r="BK115" s="323"/>
      <c r="BL115" s="232"/>
      <c r="BM115" s="232"/>
      <c r="BN115" s="232"/>
      <c r="BO115" s="1236"/>
      <c r="BP115" s="643"/>
      <c r="BQ115" s="232"/>
      <c r="BR115" s="232"/>
      <c r="BS115" s="232"/>
      <c r="BT115" s="232"/>
      <c r="BU115" s="232"/>
      <c r="BV115" s="232"/>
      <c r="BW115" s="232"/>
      <c r="BX115" s="1236"/>
      <c r="BY115" s="643"/>
      <c r="BZ115" s="232"/>
      <c r="CA115" s="232"/>
      <c r="CB115" s="232"/>
      <c r="CC115" s="232"/>
      <c r="CD115" s="1236"/>
      <c r="CE115" s="643"/>
      <c r="CF115" s="232"/>
      <c r="CG115" s="232"/>
      <c r="CH115" s="232"/>
      <c r="CI115" s="232"/>
      <c r="CJ115" s="232"/>
      <c r="CK115" s="232"/>
      <c r="CL115" s="232"/>
      <c r="CM115" s="232"/>
      <c r="CN115" s="323"/>
      <c r="CO115" s="232"/>
      <c r="CP115" s="232"/>
      <c r="CQ115" s="232"/>
      <c r="CR115" s="1236"/>
      <c r="CS115" s="643"/>
      <c r="CT115" s="232"/>
      <c r="CU115" s="232"/>
      <c r="CV115" s="232"/>
      <c r="CW115" s="232"/>
      <c r="CX115" s="232"/>
      <c r="CY115" s="232"/>
      <c r="CZ115" s="241"/>
      <c r="DA115" s="1496"/>
      <c r="DB115" s="1487"/>
      <c r="DC115" s="241"/>
      <c r="DD115" s="241"/>
      <c r="DE115" s="232"/>
      <c r="DF115" s="232"/>
      <c r="DG115" s="1236"/>
      <c r="DH115" s="643"/>
      <c r="DI115" s="232"/>
      <c r="DJ115" s="232"/>
      <c r="DK115" s="232"/>
      <c r="DL115" s="232"/>
      <c r="DM115" s="232"/>
      <c r="DN115" s="232"/>
      <c r="DO115" s="232"/>
      <c r="DP115" s="232"/>
      <c r="DQ115" s="323"/>
      <c r="DR115" s="238"/>
      <c r="DS115" s="2713" t="s">
        <v>409</v>
      </c>
      <c r="DT115" s="2713"/>
      <c r="DU115" s="2713"/>
      <c r="DV115" s="2713"/>
      <c r="DW115" s="2713" t="s">
        <v>409</v>
      </c>
      <c r="DX115" s="2713"/>
      <c r="DY115" s="2713"/>
      <c r="DZ115" s="2713"/>
      <c r="EA115" s="2713"/>
      <c r="EB115" s="2713"/>
      <c r="EC115" s="2713" t="s">
        <v>409</v>
      </c>
      <c r="ED115" s="2713"/>
      <c r="EE115" s="2713"/>
      <c r="EF115" s="2713"/>
      <c r="EG115" s="2713"/>
      <c r="EH115" s="2713"/>
      <c r="EI115" s="1063"/>
      <c r="EJ115" s="1063"/>
      <c r="EK115" s="1577"/>
      <c r="EL115" s="1575"/>
      <c r="EM115" s="1063"/>
      <c r="EN115" s="1063"/>
      <c r="EO115" s="1063"/>
      <c r="EP115" s="1063"/>
      <c r="EQ115" s="1063"/>
      <c r="ER115" s="1063"/>
      <c r="ES115" s="1063"/>
      <c r="ET115" s="1063"/>
      <c r="EU115" s="338"/>
      <c r="EV115" s="2713" t="s">
        <v>410</v>
      </c>
      <c r="EW115" s="2713"/>
      <c r="EX115" s="2713"/>
      <c r="EY115" s="2713"/>
      <c r="EZ115" s="2713" t="s">
        <v>408</v>
      </c>
      <c r="FA115" s="2713"/>
      <c r="FB115" s="2713"/>
      <c r="FC115" s="2713"/>
      <c r="FD115" s="2713"/>
      <c r="FE115" s="2713"/>
      <c r="FF115" s="2713" t="s">
        <v>408</v>
      </c>
      <c r="FG115" s="2713"/>
      <c r="FH115" s="2713"/>
      <c r="FI115" s="2713"/>
      <c r="FJ115" s="2713"/>
      <c r="FK115" s="1063"/>
      <c r="FL115" s="1063"/>
      <c r="FM115" s="1063"/>
      <c r="FN115" s="1577"/>
      <c r="FO115" s="1575"/>
      <c r="FP115" s="1063"/>
      <c r="FQ115" s="1063"/>
      <c r="FR115" s="1063"/>
      <c r="FS115" s="1063"/>
      <c r="FT115" s="1063"/>
      <c r="FU115" s="1063"/>
      <c r="FV115" s="1063"/>
      <c r="FW115" s="1063"/>
    </row>
    <row r="116" spans="3:180" x14ac:dyDescent="0.35">
      <c r="F116" s="1053"/>
      <c r="G116" s="239"/>
      <c r="H116" s="239"/>
      <c r="I116" s="1277"/>
      <c r="J116" s="1221"/>
      <c r="K116" s="239"/>
      <c r="L116" s="239"/>
      <c r="M116" s="239"/>
      <c r="N116" s="239"/>
      <c r="O116" s="239"/>
      <c r="P116" s="239"/>
      <c r="Q116" s="239"/>
      <c r="R116" s="1277"/>
      <c r="S116" s="1221"/>
      <c r="T116" s="239"/>
      <c r="U116" s="239"/>
      <c r="CZ116" s="241"/>
      <c r="DA116" s="1496"/>
      <c r="DB116" s="1487"/>
      <c r="DC116" s="241"/>
      <c r="DD116" s="241"/>
      <c r="DR116" s="241" t="s">
        <v>219</v>
      </c>
      <c r="DS116" s="272"/>
      <c r="DT116" s="272"/>
      <c r="DU116" s="272"/>
      <c r="DV116" s="1557"/>
      <c r="DW116" s="1540"/>
      <c r="DX116" s="272"/>
      <c r="DY116" s="272"/>
      <c r="DZ116" s="272"/>
      <c r="EA116" s="272"/>
      <c r="EB116" s="272"/>
      <c r="EC116" s="272"/>
      <c r="ED116" s="272"/>
      <c r="EE116" s="1557"/>
      <c r="EF116" s="1540"/>
      <c r="EG116" s="272"/>
      <c r="EH116" s="272"/>
      <c r="EI116" s="272"/>
      <c r="EJ116" s="272"/>
      <c r="EK116" s="1557"/>
      <c r="EL116" s="1540"/>
      <c r="EM116" s="272"/>
      <c r="EN116" s="272"/>
      <c r="EO116" s="272"/>
      <c r="EP116" s="272"/>
      <c r="EQ116" s="272"/>
      <c r="ER116" s="272"/>
      <c r="ES116" s="272"/>
      <c r="ET116" s="272"/>
      <c r="EU116" s="342"/>
      <c r="EV116" s="272"/>
      <c r="EW116" s="272"/>
      <c r="EX116" s="272"/>
      <c r="EY116" s="1557"/>
      <c r="EZ116" s="1540"/>
      <c r="FA116" s="272"/>
      <c r="FB116" s="272"/>
      <c r="FC116" s="272"/>
      <c r="FD116" s="272"/>
      <c r="FE116" s="272"/>
      <c r="FF116" s="272"/>
      <c r="FG116" s="272"/>
      <c r="FH116" s="1557"/>
      <c r="FI116" s="1540"/>
      <c r="FJ116" s="272"/>
      <c r="FK116" s="272"/>
      <c r="FL116" s="272"/>
      <c r="FM116" s="272"/>
      <c r="FN116" s="1557"/>
      <c r="FO116" s="1540"/>
      <c r="FP116" s="272"/>
      <c r="FQ116" s="272"/>
      <c r="FR116" s="272"/>
      <c r="FS116" s="272"/>
      <c r="FT116" s="272"/>
      <c r="FU116" s="272"/>
      <c r="FV116" s="272"/>
      <c r="FW116" s="272"/>
      <c r="FX116" s="1" t="s">
        <v>220</v>
      </c>
    </row>
    <row r="117" spans="3:180" x14ac:dyDescent="0.35">
      <c r="CZ117" s="241"/>
      <c r="DA117" s="1496"/>
      <c r="DB117" s="1487"/>
      <c r="DC117" s="241"/>
      <c r="DD117" s="241"/>
      <c r="DR117" s="241" t="s">
        <v>137</v>
      </c>
      <c r="DS117" s="273">
        <f>($G$108/$K$108)*DS$107</f>
        <v>2.6204400000000003</v>
      </c>
      <c r="DT117" s="273">
        <f t="shared" ref="DT117:FK117" si="113">($G$108/$K$108)*DT$107</f>
        <v>3.0103093333333337</v>
      </c>
      <c r="DU117" s="273">
        <f t="shared" si="113"/>
        <v>1.0554726666666665</v>
      </c>
      <c r="DV117" s="1323">
        <f t="shared" si="113"/>
        <v>1.1049750000000003</v>
      </c>
      <c r="DW117" s="1324">
        <f t="shared" si="113"/>
        <v>1.6317572173913044</v>
      </c>
      <c r="DX117" s="273">
        <f t="shared" si="113"/>
        <v>1.6706933333333336</v>
      </c>
      <c r="DY117" s="273">
        <f t="shared" si="113"/>
        <v>1.6604942608695652</v>
      </c>
      <c r="DZ117" s="273">
        <f t="shared" si="113"/>
        <v>1.6813306666666668</v>
      </c>
      <c r="EA117" s="273">
        <f t="shared" si="113"/>
        <v>1.6133186666666668</v>
      </c>
      <c r="EB117" s="273">
        <f t="shared" si="113"/>
        <v>1.6067093333333338</v>
      </c>
      <c r="EC117" s="273">
        <f t="shared" si="113"/>
        <v>1.718496</v>
      </c>
      <c r="ED117" s="273">
        <f t="shared" si="113"/>
        <v>1.6895760000000004</v>
      </c>
      <c r="EE117" s="1323">
        <f t="shared" si="113"/>
        <v>1.7056500000000001</v>
      </c>
      <c r="EF117" s="1324">
        <f t="shared" si="113"/>
        <v>0</v>
      </c>
      <c r="EG117" s="273">
        <f t="shared" si="113"/>
        <v>0</v>
      </c>
      <c r="EH117" s="273">
        <f t="shared" si="113"/>
        <v>0</v>
      </c>
      <c r="EI117" s="272"/>
      <c r="EJ117" s="272"/>
      <c r="EK117" s="1557"/>
      <c r="EL117" s="1540"/>
      <c r="EM117" s="272"/>
      <c r="EN117" s="272"/>
      <c r="EO117" s="272"/>
      <c r="EP117" s="272"/>
      <c r="EQ117" s="272"/>
      <c r="ER117" s="272"/>
      <c r="ES117" s="272"/>
      <c r="ET117" s="272"/>
      <c r="EU117" s="342"/>
      <c r="EV117" s="272">
        <f t="shared" si="113"/>
        <v>6.482400000000002E-2</v>
      </c>
      <c r="EW117" s="272">
        <f t="shared" si="113"/>
        <v>2.5731999999999994E-2</v>
      </c>
      <c r="EX117" s="272">
        <f t="shared" si="113"/>
        <v>4.6000000000000008E-3</v>
      </c>
      <c r="EY117" s="1557">
        <f>($G$108/$K$108)*EY$107</f>
        <v>2.2250000000000004E-3</v>
      </c>
      <c r="EZ117" s="1540">
        <f t="shared" si="113"/>
        <v>5.1386434782608695E-2</v>
      </c>
      <c r="FA117" s="272">
        <f t="shared" si="113"/>
        <v>0.14591666666666669</v>
      </c>
      <c r="FB117" s="272">
        <f t="shared" si="113"/>
        <v>0.15303811764705882</v>
      </c>
      <c r="FC117" s="272">
        <f t="shared" si="113"/>
        <v>4.6915000000000012E-2</v>
      </c>
      <c r="FD117" s="272">
        <f t="shared" si="113"/>
        <v>9.2129333333333355E-2</v>
      </c>
      <c r="FE117" s="272">
        <f t="shared" si="113"/>
        <v>7.2381333333333339E-2</v>
      </c>
      <c r="FF117" s="272">
        <f t="shared" si="113"/>
        <v>2.3900000000000001E-2</v>
      </c>
      <c r="FG117" s="272">
        <f t="shared" si="113"/>
        <v>3.4050666666666674E-2</v>
      </c>
      <c r="FH117" s="1557">
        <f t="shared" si="113"/>
        <v>9.6502000000000032E-2</v>
      </c>
      <c r="FI117" s="1540">
        <f t="shared" si="113"/>
        <v>0</v>
      </c>
      <c r="FJ117" s="272">
        <f t="shared" si="113"/>
        <v>0</v>
      </c>
      <c r="FK117" s="272">
        <f t="shared" si="113"/>
        <v>0</v>
      </c>
      <c r="FL117" s="272"/>
      <c r="FM117" s="272"/>
      <c r="FN117" s="1557"/>
      <c r="FO117" s="1540"/>
      <c r="FP117" s="272"/>
      <c r="FQ117" s="272"/>
      <c r="FR117" s="272"/>
      <c r="FS117" s="272"/>
      <c r="FT117" s="272"/>
      <c r="FU117" s="272"/>
      <c r="FV117" s="272"/>
      <c r="FW117" s="272"/>
      <c r="FX117" s="1" t="s">
        <v>137</v>
      </c>
    </row>
    <row r="118" spans="3:180" x14ac:dyDescent="0.35">
      <c r="CZ118" s="241"/>
      <c r="DA118" s="1496"/>
      <c r="DB118" s="1487"/>
      <c r="DC118" s="241"/>
      <c r="DD118" s="241"/>
      <c r="DR118" s="241" t="s">
        <v>138</v>
      </c>
      <c r="DS118" s="273">
        <f>($G$109/$K$109)*DS$108</f>
        <v>2.1973909090909092</v>
      </c>
      <c r="DT118" s="273">
        <f t="shared" ref="DT118:FK118" si="114">($G$109/$K$109)*DT$108</f>
        <v>2.3694763636363638</v>
      </c>
      <c r="DU118" s="273">
        <f t="shared" si="114"/>
        <v>0.88759363636363642</v>
      </c>
      <c r="DV118" s="1323">
        <f t="shared" si="114"/>
        <v>0.93253193181818206</v>
      </c>
      <c r="DW118" s="1324">
        <f t="shared" si="114"/>
        <v>1.3274373913043478</v>
      </c>
      <c r="DX118" s="273">
        <f t="shared" si="114"/>
        <v>1.3603636363636364</v>
      </c>
      <c r="DY118" s="273">
        <f t="shared" si="114"/>
        <v>1.3321170355731224</v>
      </c>
      <c r="DZ118" s="273">
        <f t="shared" si="114"/>
        <v>1.3689443181818184</v>
      </c>
      <c r="EA118" s="273">
        <f t="shared" si="114"/>
        <v>1.31356875</v>
      </c>
      <c r="EB118" s="273">
        <f t="shared" si="114"/>
        <v>1.3387418181818183</v>
      </c>
      <c r="EC118" s="273">
        <f t="shared" si="114"/>
        <v>1.4014472727272729</v>
      </c>
      <c r="ED118" s="273">
        <f t="shared" si="114"/>
        <v>1.3737150000000002</v>
      </c>
      <c r="EE118" s="1323">
        <f t="shared" si="114"/>
        <v>1.3700659090909091</v>
      </c>
      <c r="EF118" s="1324">
        <f t="shared" si="114"/>
        <v>0</v>
      </c>
      <c r="EG118" s="273">
        <f t="shared" si="114"/>
        <v>0</v>
      </c>
      <c r="EH118" s="273">
        <f t="shared" si="114"/>
        <v>0</v>
      </c>
      <c r="EI118" s="272"/>
      <c r="EJ118" s="272"/>
      <c r="EK118" s="1557"/>
      <c r="EL118" s="1540"/>
      <c r="EM118" s="272"/>
      <c r="EN118" s="272"/>
      <c r="EO118" s="272"/>
      <c r="EP118" s="272"/>
      <c r="EQ118" s="272"/>
      <c r="ER118" s="272"/>
      <c r="ES118" s="272"/>
      <c r="ET118" s="272"/>
      <c r="EU118" s="342"/>
      <c r="EV118" s="272">
        <f t="shared" si="114"/>
        <v>4.837909090909092E-2</v>
      </c>
      <c r="EW118" s="272">
        <f t="shared" si="114"/>
        <v>4.8247499999999992E-2</v>
      </c>
      <c r="EX118" s="272">
        <f t="shared" si="114"/>
        <v>8.6250000000000007E-3</v>
      </c>
      <c r="EY118" s="1557">
        <f t="shared" si="114"/>
        <v>3.7926136363636369E-3</v>
      </c>
      <c r="EZ118" s="1540">
        <f t="shared" si="114"/>
        <v>9.1970039525691716E-2</v>
      </c>
      <c r="FA118" s="272">
        <f t="shared" si="114"/>
        <v>0.23701704545454549</v>
      </c>
      <c r="FB118" s="272">
        <f t="shared" si="114"/>
        <v>0.26086042780748664</v>
      </c>
      <c r="FC118" s="272">
        <f t="shared" si="114"/>
        <v>9.596250000000002E-2</v>
      </c>
      <c r="FD118" s="272">
        <f t="shared" si="114"/>
        <v>0.15143011363636366</v>
      </c>
      <c r="FE118" s="272">
        <f t="shared" si="114"/>
        <v>0.1295461363636364</v>
      </c>
      <c r="FF118" s="272">
        <f t="shared" si="114"/>
        <v>4.0738636363636373E-2</v>
      </c>
      <c r="FG118" s="272">
        <f t="shared" si="114"/>
        <v>5.2236818181818183E-2</v>
      </c>
      <c r="FH118" s="1557">
        <f t="shared" si="114"/>
        <v>0.18329113636363639</v>
      </c>
      <c r="FI118" s="1540">
        <f t="shared" si="114"/>
        <v>0</v>
      </c>
      <c r="FJ118" s="272">
        <f t="shared" si="114"/>
        <v>0</v>
      </c>
      <c r="FK118" s="272">
        <f t="shared" si="114"/>
        <v>0</v>
      </c>
      <c r="FL118" s="272"/>
      <c r="FM118" s="272"/>
      <c r="FN118" s="1557"/>
      <c r="FO118" s="1540"/>
      <c r="FP118" s="272"/>
      <c r="FQ118" s="272"/>
      <c r="FR118" s="272"/>
      <c r="FS118" s="272"/>
      <c r="FT118" s="272"/>
      <c r="FU118" s="272"/>
      <c r="FV118" s="272"/>
      <c r="FW118" s="272"/>
      <c r="FX118" s="1" t="s">
        <v>138</v>
      </c>
    </row>
    <row r="119" spans="3:180" x14ac:dyDescent="0.35">
      <c r="CZ119" s="241"/>
      <c r="DA119" s="1496"/>
      <c r="DB119" s="1487"/>
      <c r="DC119" s="241"/>
      <c r="DD119" s="241"/>
      <c r="DR119" s="241" t="s">
        <v>139</v>
      </c>
      <c r="DS119" s="273">
        <f>($G$110/$K$110)*DS$109</f>
        <v>2.5186551724137929</v>
      </c>
      <c r="DT119" s="273">
        <f t="shared" ref="DT119:FK119" si="115">($G$110/$K$110)*DT$109</f>
        <v>2.5444910344827587</v>
      </c>
      <c r="DU119" s="273">
        <f t="shared" si="115"/>
        <v>0.90960896551724135</v>
      </c>
      <c r="DV119" s="1323">
        <f t="shared" si="115"/>
        <v>0.95171793103448288</v>
      </c>
      <c r="DW119" s="1324">
        <f t="shared" si="115"/>
        <v>1.2779460269865066</v>
      </c>
      <c r="DX119" s="273">
        <f t="shared" si="115"/>
        <v>1.3214344827586209</v>
      </c>
      <c r="DY119" s="273">
        <f t="shared" si="115"/>
        <v>1.3486798200899548</v>
      </c>
      <c r="DZ119" s="273">
        <f t="shared" si="115"/>
        <v>1.3683889655172412</v>
      </c>
      <c r="EA119" s="273">
        <f t="shared" si="115"/>
        <v>1.3130358620689657</v>
      </c>
      <c r="EB119" s="273">
        <f t="shared" si="115"/>
        <v>1.4202151724137932</v>
      </c>
      <c r="EC119" s="273">
        <f t="shared" si="115"/>
        <v>1.4111006896551721</v>
      </c>
      <c r="ED119" s="273">
        <f t="shared" si="115"/>
        <v>1.389504827586207</v>
      </c>
      <c r="EE119" s="1323">
        <f t="shared" si="115"/>
        <v>1.3832379310344829</v>
      </c>
      <c r="EF119" s="1324">
        <f t="shared" si="115"/>
        <v>0</v>
      </c>
      <c r="EG119" s="273">
        <f t="shared" si="115"/>
        <v>0</v>
      </c>
      <c r="EH119" s="273">
        <f t="shared" si="115"/>
        <v>0</v>
      </c>
      <c r="EI119" s="272"/>
      <c r="EJ119" s="272"/>
      <c r="EK119" s="1557"/>
      <c r="EL119" s="1540"/>
      <c r="EM119" s="272"/>
      <c r="EN119" s="272"/>
      <c r="EO119" s="272"/>
      <c r="EP119" s="272"/>
      <c r="EQ119" s="272"/>
      <c r="ER119" s="272"/>
      <c r="ES119" s="272"/>
      <c r="ET119" s="272"/>
      <c r="EU119" s="342"/>
      <c r="EV119" s="272">
        <f t="shared" si="115"/>
        <v>0.10693241379310346</v>
      </c>
      <c r="EW119" s="272">
        <f t="shared" si="115"/>
        <v>7.0984827586206875E-2</v>
      </c>
      <c r="EX119" s="272">
        <f t="shared" si="115"/>
        <v>1.2689655172413794E-2</v>
      </c>
      <c r="EY119" s="1557">
        <f t="shared" si="115"/>
        <v>6.1379310344827588E-3</v>
      </c>
      <c r="EZ119" s="1540">
        <f t="shared" si="115"/>
        <v>0.1594751424287856</v>
      </c>
      <c r="FA119" s="272">
        <f t="shared" si="115"/>
        <v>0.36405172413793108</v>
      </c>
      <c r="FB119" s="272">
        <f t="shared" si="115"/>
        <v>0.39578823529411766</v>
      </c>
      <c r="FC119" s="272">
        <f t="shared" si="115"/>
        <v>0.23295724137931037</v>
      </c>
      <c r="FD119" s="272">
        <f t="shared" si="115"/>
        <v>0.25868827586206899</v>
      </c>
      <c r="FE119" s="272">
        <f t="shared" si="115"/>
        <v>0.26207034482758623</v>
      </c>
      <c r="FF119" s="272">
        <f t="shared" si="115"/>
        <v>7.4172413793103437E-2</v>
      </c>
      <c r="FG119" s="272">
        <f t="shared" si="115"/>
        <v>0.13209310344827588</v>
      </c>
      <c r="FH119" s="1557">
        <f t="shared" si="115"/>
        <v>0.33514241379310344</v>
      </c>
      <c r="FI119" s="1540">
        <f t="shared" si="115"/>
        <v>0</v>
      </c>
      <c r="FJ119" s="272">
        <f t="shared" si="115"/>
        <v>0</v>
      </c>
      <c r="FK119" s="272">
        <f t="shared" si="115"/>
        <v>0</v>
      </c>
      <c r="FL119" s="272"/>
      <c r="FM119" s="272"/>
      <c r="FN119" s="1557"/>
      <c r="FO119" s="1540"/>
      <c r="FP119" s="272"/>
      <c r="FQ119" s="272"/>
      <c r="FR119" s="272"/>
      <c r="FS119" s="272"/>
      <c r="FT119" s="272"/>
      <c r="FU119" s="272"/>
      <c r="FV119" s="272"/>
      <c r="FW119" s="272"/>
      <c r="FX119" s="1" t="s">
        <v>139</v>
      </c>
    </row>
    <row r="120" spans="3:180" x14ac:dyDescent="0.35">
      <c r="CZ120" s="241"/>
      <c r="DA120" s="1496"/>
      <c r="DB120" s="1487"/>
      <c r="DC120" s="241"/>
      <c r="DD120" s="241"/>
      <c r="DR120" s="241" t="s">
        <v>140</v>
      </c>
      <c r="DS120" s="273">
        <f>($G$111/$K$111)*DS$110</f>
        <v>3.0590625</v>
      </c>
      <c r="DT120" s="273">
        <f t="shared" ref="DT120:FK120" si="116">($G$111/$K$111)*DT$110</f>
        <v>2.8218944444444447</v>
      </c>
      <c r="DU120" s="273">
        <f t="shared" si="116"/>
        <v>0.7256034722222221</v>
      </c>
      <c r="DV120" s="1323">
        <f t="shared" si="116"/>
        <v>0.75199687500000023</v>
      </c>
      <c r="DW120" s="1324">
        <f t="shared" si="116"/>
        <v>0.81441449275362321</v>
      </c>
      <c r="DX120" s="273">
        <f t="shared" si="116"/>
        <v>0.87791666666666657</v>
      </c>
      <c r="DY120" s="273">
        <f t="shared" si="116"/>
        <v>0.92845978260869566</v>
      </c>
      <c r="DZ120" s="273">
        <f t="shared" si="116"/>
        <v>0.90976180555555552</v>
      </c>
      <c r="EA120" s="273">
        <f t="shared" si="116"/>
        <v>0.87296076388888888</v>
      </c>
      <c r="EB120" s="273">
        <f t="shared" si="116"/>
        <v>0.99816666666666687</v>
      </c>
      <c r="EC120" s="273">
        <f t="shared" si="116"/>
        <v>0.94380000000000008</v>
      </c>
      <c r="ED120" s="273">
        <f t="shared" si="116"/>
        <v>0.93969166666666681</v>
      </c>
      <c r="EE120" s="1323">
        <f t="shared" si="116"/>
        <v>0.92726562499999998</v>
      </c>
      <c r="EF120" s="1324">
        <f t="shared" si="116"/>
        <v>0</v>
      </c>
      <c r="EG120" s="273">
        <f t="shared" si="116"/>
        <v>0</v>
      </c>
      <c r="EH120" s="273">
        <f t="shared" si="116"/>
        <v>0</v>
      </c>
      <c r="EI120" s="272"/>
      <c r="EJ120" s="272"/>
      <c r="EK120" s="1557"/>
      <c r="EL120" s="1540"/>
      <c r="EM120" s="272"/>
      <c r="EN120" s="272"/>
      <c r="EO120" s="272"/>
      <c r="EP120" s="272"/>
      <c r="EQ120" s="272"/>
      <c r="ER120" s="272"/>
      <c r="ES120" s="272"/>
      <c r="ET120" s="272"/>
      <c r="EU120" s="342"/>
      <c r="EV120" s="272">
        <f t="shared" si="116"/>
        <v>0.13413750000000002</v>
      </c>
      <c r="EW120" s="272">
        <f t="shared" si="116"/>
        <v>7.5945138888888888E-2</v>
      </c>
      <c r="EX120" s="272">
        <f t="shared" si="116"/>
        <v>1.3576388888888891E-2</v>
      </c>
      <c r="EY120" s="1557">
        <f t="shared" si="116"/>
        <v>8.4982638888888885E-3</v>
      </c>
      <c r="EZ120" s="1540">
        <f t="shared" si="116"/>
        <v>0.27432862318840578</v>
      </c>
      <c r="FA120" s="272">
        <f t="shared" si="116"/>
        <v>0.41128472222222229</v>
      </c>
      <c r="FB120" s="272">
        <f t="shared" si="116"/>
        <v>0.44281862745098044</v>
      </c>
      <c r="FC120" s="272">
        <f t="shared" si="116"/>
        <v>0.49847187500000001</v>
      </c>
      <c r="FD120" s="272">
        <f t="shared" si="116"/>
        <v>0.37358993055555556</v>
      </c>
      <c r="FE120" s="272">
        <f t="shared" si="116"/>
        <v>0.45238333333333336</v>
      </c>
      <c r="FF120" s="272">
        <f t="shared" si="116"/>
        <v>0.16597222222222224</v>
      </c>
      <c r="FG120" s="272">
        <f t="shared" si="116"/>
        <v>0.27488819444444446</v>
      </c>
      <c r="FH120" s="1557">
        <f t="shared" si="116"/>
        <v>0.48825416666666677</v>
      </c>
      <c r="FI120" s="1540">
        <f t="shared" si="116"/>
        <v>0</v>
      </c>
      <c r="FJ120" s="272">
        <f t="shared" si="116"/>
        <v>0</v>
      </c>
      <c r="FK120" s="272">
        <f t="shared" si="116"/>
        <v>0</v>
      </c>
      <c r="FL120" s="272"/>
      <c r="FM120" s="272"/>
      <c r="FN120" s="1557"/>
      <c r="FO120" s="1540"/>
      <c r="FP120" s="272"/>
      <c r="FQ120" s="272"/>
      <c r="FR120" s="272"/>
      <c r="FS120" s="272"/>
      <c r="FT120" s="272"/>
      <c r="FU120" s="272"/>
      <c r="FV120" s="272"/>
      <c r="FW120" s="272"/>
      <c r="FX120" s="1" t="s">
        <v>140</v>
      </c>
    </row>
    <row r="121" spans="3:180" x14ac:dyDescent="0.35">
      <c r="BP121" s="1470"/>
      <c r="CP121" s="240"/>
      <c r="CQ121" s="240"/>
      <c r="CR121" s="1482"/>
      <c r="CS121" s="1470"/>
      <c r="CZ121" s="241"/>
      <c r="DA121" s="1496"/>
      <c r="DB121" s="1487"/>
      <c r="DC121" s="241"/>
      <c r="DD121" s="241"/>
      <c r="DR121" s="241" t="s">
        <v>141</v>
      </c>
      <c r="DS121" s="273">
        <f>($G$112/$K$112)*DS$111</f>
        <v>1.6338348837209302</v>
      </c>
      <c r="DT121" s="273">
        <f t="shared" ref="DT121:FK121" si="117">($G$112/$K$112)*DT$111</f>
        <v>1.187826976744186</v>
      </c>
      <c r="DU121" s="273">
        <f t="shared" si="117"/>
        <v>0.52240604651162792</v>
      </c>
      <c r="DV121" s="1323">
        <f t="shared" si="117"/>
        <v>0.52593383720930242</v>
      </c>
      <c r="DW121" s="1324">
        <f t="shared" si="117"/>
        <v>0.35049403437815979</v>
      </c>
      <c r="DX121" s="273">
        <f t="shared" si="117"/>
        <v>0.42360000000000003</v>
      </c>
      <c r="DY121" s="273">
        <f t="shared" si="117"/>
        <v>0.46195935288169865</v>
      </c>
      <c r="DZ121" s="273">
        <f t="shared" si="117"/>
        <v>0.45382744186046509</v>
      </c>
      <c r="EA121" s="273">
        <f t="shared" si="117"/>
        <v>0.43546953488372103</v>
      </c>
      <c r="EB121" s="273">
        <f t="shared" si="117"/>
        <v>0.47806883720930238</v>
      </c>
      <c r="EC121" s="273">
        <f t="shared" si="117"/>
        <v>0.49499162790697676</v>
      </c>
      <c r="ED121" s="273">
        <f t="shared" si="117"/>
        <v>0.49419837209302325</v>
      </c>
      <c r="EE121" s="1323">
        <f t="shared" si="117"/>
        <v>0.48337848837209302</v>
      </c>
      <c r="EF121" s="1324">
        <f t="shared" si="117"/>
        <v>0</v>
      </c>
      <c r="EG121" s="273">
        <f t="shared" si="117"/>
        <v>0</v>
      </c>
      <c r="EH121" s="273">
        <f t="shared" si="117"/>
        <v>0</v>
      </c>
      <c r="EI121" s="272"/>
      <c r="EJ121" s="272"/>
      <c r="EK121" s="1557"/>
      <c r="EL121" s="1540"/>
      <c r="EM121" s="272"/>
      <c r="EN121" s="272"/>
      <c r="EO121" s="272"/>
      <c r="EP121" s="272"/>
      <c r="EQ121" s="272"/>
      <c r="ER121" s="272"/>
      <c r="ES121" s="272"/>
      <c r="ET121" s="272"/>
      <c r="EU121" s="342"/>
      <c r="EV121" s="272">
        <f t="shared" si="117"/>
        <v>8.6173953488372104E-2</v>
      </c>
      <c r="EW121" s="272">
        <f t="shared" si="117"/>
        <v>4.9369534883720922E-2</v>
      </c>
      <c r="EX121" s="272">
        <f t="shared" si="117"/>
        <v>8.8255813953488377E-3</v>
      </c>
      <c r="EY121" s="1557">
        <f t="shared" si="117"/>
        <v>9.3139534883720943E-3</v>
      </c>
      <c r="EZ121" s="1540">
        <f t="shared" si="117"/>
        <v>0.32938107178968651</v>
      </c>
      <c r="FA121" s="272">
        <f t="shared" si="117"/>
        <v>0.3503197674418605</v>
      </c>
      <c r="FB121" s="272">
        <f t="shared" si="117"/>
        <v>0.33810746922024626</v>
      </c>
      <c r="FC121" s="272">
        <f t="shared" si="117"/>
        <v>0.67753988372093032</v>
      </c>
      <c r="FD121" s="272">
        <f t="shared" si="117"/>
        <v>0.40287453488372094</v>
      </c>
      <c r="FE121" s="272">
        <f t="shared" si="117"/>
        <v>0.47342441860465129</v>
      </c>
      <c r="FF121" s="272">
        <f t="shared" si="117"/>
        <v>0.33348837209302329</v>
      </c>
      <c r="FG121" s="272">
        <f t="shared" si="117"/>
        <v>0.42761302325581396</v>
      </c>
      <c r="FH121" s="1557">
        <f t="shared" si="117"/>
        <v>0.49773872093023258</v>
      </c>
      <c r="FI121" s="1540">
        <f t="shared" si="117"/>
        <v>0</v>
      </c>
      <c r="FJ121" s="272">
        <f t="shared" si="117"/>
        <v>0</v>
      </c>
      <c r="FK121" s="272">
        <f t="shared" si="117"/>
        <v>0</v>
      </c>
      <c r="FL121" s="272"/>
      <c r="FM121" s="272"/>
      <c r="FN121" s="1557"/>
      <c r="FO121" s="1540"/>
      <c r="FP121" s="272"/>
      <c r="FQ121" s="272"/>
      <c r="FR121" s="272"/>
      <c r="FS121" s="272"/>
      <c r="FT121" s="272"/>
      <c r="FU121" s="272"/>
      <c r="FV121" s="272"/>
      <c r="FW121" s="272"/>
      <c r="FX121" s="1" t="s">
        <v>141</v>
      </c>
    </row>
    <row r="122" spans="3:180" x14ac:dyDescent="0.35">
      <c r="BL122" s="273"/>
      <c r="BM122" s="273"/>
      <c r="BN122" s="273"/>
      <c r="BO122" s="1323"/>
      <c r="BP122" s="1324"/>
      <c r="BQ122" s="273"/>
      <c r="BR122" s="273"/>
      <c r="BS122" s="273"/>
      <c r="BT122" s="273"/>
      <c r="BU122" s="273"/>
      <c r="BV122" s="273"/>
      <c r="BW122" s="273"/>
      <c r="BX122" s="1323"/>
      <c r="BY122" s="1324"/>
      <c r="BZ122" s="273"/>
      <c r="CA122" s="273"/>
      <c r="CB122" s="273"/>
      <c r="CC122" s="273"/>
      <c r="CD122" s="1323"/>
      <c r="CE122" s="1324"/>
      <c r="CF122" s="273"/>
      <c r="CG122" s="273"/>
      <c r="CH122" s="273"/>
      <c r="CI122" s="273"/>
      <c r="CJ122" s="273"/>
      <c r="CK122" s="273"/>
      <c r="CL122" s="273"/>
      <c r="CM122" s="273"/>
      <c r="CO122" s="251"/>
      <c r="CP122" s="251"/>
      <c r="CQ122" s="251"/>
      <c r="CR122" s="1267"/>
      <c r="CS122" s="1212"/>
      <c r="CT122" s="251"/>
      <c r="CU122" s="251"/>
      <c r="CV122" s="251"/>
      <c r="CW122" s="251"/>
      <c r="CX122" s="251"/>
      <c r="CY122" s="251"/>
      <c r="CZ122" s="251"/>
      <c r="DA122" s="1267"/>
      <c r="DB122" s="1212"/>
      <c r="DC122" s="251"/>
      <c r="DD122" s="251"/>
      <c r="DR122" s="241" t="s">
        <v>407</v>
      </c>
      <c r="DS122" s="467">
        <f>($G$112/$K$112)*DS$112</f>
        <v>1.2450767441860464</v>
      </c>
      <c r="DT122" s="467">
        <f t="shared" ref="DT122:FK122" si="118">($G$112/$K$112)*DT$112</f>
        <v>2.2859553488372097</v>
      </c>
      <c r="DU122" s="467">
        <f t="shared" si="118"/>
        <v>0.50874837209302326</v>
      </c>
      <c r="DV122" s="1582">
        <f t="shared" si="118"/>
        <v>0.24326581395348842</v>
      </c>
      <c r="DW122" s="659">
        <f t="shared" si="118"/>
        <v>0.22638467138523763</v>
      </c>
      <c r="DX122" s="467">
        <f t="shared" si="118"/>
        <v>0.20520000000000002</v>
      </c>
      <c r="DY122" s="467">
        <f t="shared" si="118"/>
        <v>0.22275300303336701</v>
      </c>
      <c r="DZ122" s="467">
        <f t="shared" si="118"/>
        <v>0.14451488372093024</v>
      </c>
      <c r="EA122" s="467">
        <f t="shared" si="118"/>
        <v>0.13866906976744187</v>
      </c>
      <c r="EB122" s="467">
        <f t="shared" si="118"/>
        <v>0.35319069767441863</v>
      </c>
      <c r="EC122" s="467">
        <f t="shared" si="118"/>
        <v>0.38005953488372096</v>
      </c>
      <c r="ED122" s="467">
        <f t="shared" si="118"/>
        <v>0.42508883720930235</v>
      </c>
      <c r="EE122" s="1582">
        <f t="shared" si="118"/>
        <v>0.38305465116279069</v>
      </c>
      <c r="EF122" s="659">
        <f t="shared" si="118"/>
        <v>0</v>
      </c>
      <c r="EG122" s="467">
        <f t="shared" si="118"/>
        <v>0</v>
      </c>
      <c r="EH122" s="467">
        <f t="shared" si="118"/>
        <v>0</v>
      </c>
      <c r="EI122" s="274"/>
      <c r="EJ122" s="274"/>
      <c r="EK122" s="1558"/>
      <c r="EL122" s="1541"/>
      <c r="EM122" s="274"/>
      <c r="EN122" s="274"/>
      <c r="EO122" s="274"/>
      <c r="EP122" s="274"/>
      <c r="EQ122" s="274"/>
      <c r="ER122" s="274"/>
      <c r="ES122" s="274"/>
      <c r="ET122" s="274"/>
      <c r="EU122" s="343"/>
      <c r="EV122" s="274">
        <f t="shared" si="118"/>
        <v>3.8503255813953495E-2</v>
      </c>
      <c r="EW122" s="274">
        <f t="shared" si="118"/>
        <v>5.3857674418604638E-2</v>
      </c>
      <c r="EX122" s="274">
        <f t="shared" si="118"/>
        <v>9.6279069767441876E-3</v>
      </c>
      <c r="EY122" s="1558">
        <f t="shared" si="118"/>
        <v>3.2598837209302324E-2</v>
      </c>
      <c r="EZ122" s="1541">
        <f t="shared" si="118"/>
        <v>0.61842976744186051</v>
      </c>
      <c r="FA122" s="274">
        <f t="shared" si="118"/>
        <v>0.62877906976744191</v>
      </c>
      <c r="FB122" s="274">
        <f t="shared" si="118"/>
        <v>0.56054659370725035</v>
      </c>
      <c r="FC122" s="274">
        <f t="shared" si="118"/>
        <v>0.4418738372093024</v>
      </c>
      <c r="FD122" s="274">
        <f t="shared" si="118"/>
        <v>0.36155406976744198</v>
      </c>
      <c r="FE122" s="274">
        <f t="shared" si="118"/>
        <v>0.5018298837209304</v>
      </c>
      <c r="FF122" s="274">
        <f t="shared" si="118"/>
        <v>0.40018604651162792</v>
      </c>
      <c r="FG122" s="274">
        <f t="shared" si="118"/>
        <v>0.73050558139534894</v>
      </c>
      <c r="FH122" s="1558">
        <f t="shared" si="118"/>
        <v>0.67086523255813968</v>
      </c>
      <c r="FI122" s="1541">
        <f t="shared" si="118"/>
        <v>0</v>
      </c>
      <c r="FJ122" s="274">
        <f t="shared" si="118"/>
        <v>0</v>
      </c>
      <c r="FK122" s="274">
        <f t="shared" si="118"/>
        <v>0</v>
      </c>
      <c r="FL122" s="274"/>
      <c r="FM122" s="274"/>
      <c r="FN122" s="1558"/>
      <c r="FO122" s="1541"/>
      <c r="FP122" s="274"/>
      <c r="FQ122" s="274"/>
      <c r="FR122" s="274"/>
      <c r="FS122" s="274"/>
      <c r="FT122" s="274"/>
      <c r="FU122" s="274"/>
      <c r="FV122" s="274"/>
      <c r="FW122" s="274"/>
      <c r="FX122" s="1" t="s">
        <v>347</v>
      </c>
    </row>
    <row r="123" spans="3:180" x14ac:dyDescent="0.35">
      <c r="BL123" s="273"/>
      <c r="BM123" s="273"/>
      <c r="BN123" s="273"/>
      <c r="BO123" s="1323"/>
      <c r="BP123" s="1324"/>
      <c r="BQ123" s="273"/>
      <c r="BR123" s="273"/>
      <c r="BS123" s="273"/>
      <c r="BT123" s="273"/>
      <c r="BU123" s="273"/>
      <c r="BV123" s="273"/>
      <c r="BW123" s="273"/>
      <c r="BX123" s="1323"/>
      <c r="BY123" s="1324"/>
      <c r="BZ123" s="273"/>
      <c r="CA123" s="273"/>
      <c r="CB123" s="273"/>
      <c r="CC123" s="273"/>
      <c r="CD123" s="1323"/>
      <c r="CE123" s="1324"/>
      <c r="CF123" s="273"/>
      <c r="CG123" s="273"/>
      <c r="CH123" s="273"/>
      <c r="CI123" s="273"/>
      <c r="CJ123" s="273"/>
      <c r="CK123" s="273"/>
      <c r="CL123" s="273"/>
      <c r="CM123" s="273"/>
      <c r="CO123" s="251"/>
      <c r="CP123" s="251"/>
      <c r="CQ123" s="251"/>
      <c r="CR123" s="1267"/>
      <c r="CS123" s="1212"/>
      <c r="CT123" s="251"/>
      <c r="CU123" s="251"/>
      <c r="CV123" s="251"/>
      <c r="CW123" s="251"/>
      <c r="CX123" s="251"/>
      <c r="CY123" s="251"/>
      <c r="CZ123" s="251"/>
      <c r="DA123" s="1267"/>
      <c r="DB123" s="1212"/>
      <c r="DC123" s="251"/>
      <c r="DD123" s="251"/>
      <c r="DR123" s="241"/>
      <c r="DS123" s="274"/>
      <c r="DT123" s="274"/>
      <c r="DU123" s="274"/>
      <c r="DV123" s="1558"/>
      <c r="DW123" s="1541"/>
      <c r="DX123" s="274"/>
      <c r="DY123" s="274"/>
      <c r="DZ123" s="274"/>
      <c r="EA123" s="274"/>
      <c r="EB123" s="274"/>
      <c r="EC123" s="274"/>
      <c r="ED123" s="274"/>
      <c r="EE123" s="1558"/>
      <c r="EF123" s="1541"/>
      <c r="EG123" s="274"/>
      <c r="EH123" s="274"/>
      <c r="EI123" s="274"/>
      <c r="EJ123" s="274"/>
      <c r="EK123" s="1558"/>
      <c r="EL123" s="1541"/>
      <c r="EM123" s="274"/>
      <c r="EN123" s="274"/>
      <c r="EO123" s="274"/>
      <c r="EP123" s="274"/>
      <c r="EQ123" s="274"/>
      <c r="ER123" s="274"/>
      <c r="ES123" s="274"/>
      <c r="ET123" s="274"/>
      <c r="EU123" s="343"/>
      <c r="EV123" s="274"/>
      <c r="EW123" s="274"/>
      <c r="EX123" s="274"/>
      <c r="EY123" s="1558"/>
      <c r="EZ123" s="1541"/>
      <c r="FA123" s="274"/>
      <c r="FB123" s="274"/>
      <c r="FC123" s="274"/>
      <c r="FD123" s="274"/>
      <c r="FE123" s="274"/>
      <c r="FF123" s="274"/>
      <c r="FG123" s="274"/>
      <c r="FH123" s="1558"/>
      <c r="FI123" s="1541"/>
      <c r="FJ123" s="274"/>
      <c r="FK123" s="274"/>
      <c r="FL123" s="274"/>
      <c r="FM123" s="274"/>
      <c r="FN123" s="1558"/>
      <c r="FO123" s="1541"/>
      <c r="FP123" s="274"/>
      <c r="FQ123" s="274"/>
      <c r="FR123" s="274"/>
      <c r="FS123" s="274"/>
      <c r="FT123" s="274"/>
      <c r="FU123" s="274"/>
      <c r="FV123" s="274"/>
      <c r="FW123" s="274"/>
    </row>
    <row r="124" spans="3:180" x14ac:dyDescent="0.35">
      <c r="CZ124" s="241"/>
      <c r="DA124" s="1496"/>
      <c r="DB124" s="1487"/>
      <c r="DC124" s="241"/>
      <c r="DD124" s="241"/>
      <c r="DR124" s="241" t="s">
        <v>369</v>
      </c>
      <c r="DS124" s="251">
        <f>DS$107-DS$117</f>
        <v>0.65510999999999964</v>
      </c>
      <c r="DT124" s="251">
        <f t="shared" ref="DT124:FK124" si="119">DT$107-DT$117</f>
        <v>0.75257733333333343</v>
      </c>
      <c r="DU124" s="251">
        <f t="shared" si="119"/>
        <v>0.26386816666666668</v>
      </c>
      <c r="DV124" s="1267">
        <f t="shared" si="119"/>
        <v>0.2762437499999999</v>
      </c>
      <c r="DW124" s="1212">
        <f t="shared" si="119"/>
        <v>0.40793930434782588</v>
      </c>
      <c r="DX124" s="251">
        <f t="shared" si="119"/>
        <v>0.41767333333333334</v>
      </c>
      <c r="DY124" s="251">
        <f t="shared" si="119"/>
        <v>0.41512356521739124</v>
      </c>
      <c r="DZ124" s="251">
        <f t="shared" si="119"/>
        <v>0.42033266666666647</v>
      </c>
      <c r="EA124" s="251">
        <f t="shared" si="119"/>
        <v>0.40332966666666659</v>
      </c>
      <c r="EB124" s="251">
        <f t="shared" si="119"/>
        <v>0.40167733333333322</v>
      </c>
      <c r="EC124" s="251">
        <f t="shared" si="119"/>
        <v>0.42962400000000001</v>
      </c>
      <c r="ED124" s="251">
        <f t="shared" si="119"/>
        <v>0.42239399999999994</v>
      </c>
      <c r="EE124" s="1267">
        <f t="shared" si="119"/>
        <v>0.42641249999999986</v>
      </c>
      <c r="EF124" s="1212">
        <f t="shared" si="119"/>
        <v>0</v>
      </c>
      <c r="EG124" s="251">
        <f t="shared" si="119"/>
        <v>0</v>
      </c>
      <c r="EH124" s="251">
        <f t="shared" si="119"/>
        <v>0</v>
      </c>
      <c r="EI124" s="270"/>
      <c r="EJ124" s="270"/>
      <c r="EK124" s="1283"/>
      <c r="EL124" s="1224"/>
      <c r="EM124" s="270"/>
      <c r="EN124" s="270"/>
      <c r="EO124" s="270"/>
      <c r="EP124" s="270"/>
      <c r="EQ124" s="270"/>
      <c r="ER124" s="270"/>
      <c r="ES124" s="270"/>
      <c r="ET124" s="270"/>
      <c r="EU124" s="341"/>
      <c r="EV124" s="270">
        <f t="shared" si="119"/>
        <v>1.6205999999999998E-2</v>
      </c>
      <c r="EW124" s="270">
        <f t="shared" si="119"/>
        <v>6.4329999999999977E-3</v>
      </c>
      <c r="EX124" s="270">
        <f t="shared" si="119"/>
        <v>1.15E-3</v>
      </c>
      <c r="EY124" s="1283">
        <f t="shared" si="119"/>
        <v>5.5624999999999989E-4</v>
      </c>
      <c r="EZ124" s="1224">
        <f t="shared" si="119"/>
        <v>1.284660869565217E-2</v>
      </c>
      <c r="FA124" s="270">
        <f t="shared" si="119"/>
        <v>3.6479166666666674E-2</v>
      </c>
      <c r="FB124" s="270">
        <f t="shared" si="119"/>
        <v>3.8259529411764692E-2</v>
      </c>
      <c r="FC124" s="270">
        <f t="shared" si="119"/>
        <v>1.1728749999999996E-2</v>
      </c>
      <c r="FD124" s="270">
        <f t="shared" si="119"/>
        <v>2.3032333333333335E-2</v>
      </c>
      <c r="FE124" s="270">
        <f t="shared" si="119"/>
        <v>1.8095333333333338E-2</v>
      </c>
      <c r="FF124" s="270">
        <f t="shared" si="119"/>
        <v>5.9749999999999977E-3</v>
      </c>
      <c r="FG124" s="270">
        <f t="shared" si="119"/>
        <v>8.5126666666666684E-3</v>
      </c>
      <c r="FH124" s="1283">
        <f t="shared" si="119"/>
        <v>2.4125499999999994E-2</v>
      </c>
      <c r="FI124" s="1224">
        <f t="shared" si="119"/>
        <v>0</v>
      </c>
      <c r="FJ124" s="270">
        <f t="shared" si="119"/>
        <v>0</v>
      </c>
      <c r="FK124" s="270">
        <f t="shared" si="119"/>
        <v>0</v>
      </c>
      <c r="FL124" s="270"/>
      <c r="FM124" s="270"/>
      <c r="FN124" s="1283"/>
      <c r="FO124" s="1224"/>
      <c r="FP124" s="270"/>
      <c r="FQ124" s="270"/>
      <c r="FR124" s="270"/>
      <c r="FS124" s="270"/>
      <c r="FT124" s="270"/>
      <c r="FU124" s="270"/>
      <c r="FV124" s="270"/>
      <c r="FW124" s="270"/>
      <c r="FX124" s="1" t="s">
        <v>137</v>
      </c>
    </row>
    <row r="125" spans="3:180" x14ac:dyDescent="0.35">
      <c r="CZ125" s="241"/>
      <c r="DA125" s="1496"/>
      <c r="DB125" s="1487"/>
      <c r="DC125" s="241"/>
      <c r="DD125" s="241"/>
      <c r="DR125" s="241" t="s">
        <v>370</v>
      </c>
      <c r="DS125" s="251">
        <f>DS$108-DS$118</f>
        <v>0.48830909090909058</v>
      </c>
      <c r="DT125" s="251">
        <f t="shared" ref="DT125:FK125" si="120">DT$108-DT$118</f>
        <v>0.52655030303030292</v>
      </c>
      <c r="DU125" s="251">
        <f t="shared" si="120"/>
        <v>0.19724303030303025</v>
      </c>
      <c r="DV125" s="1267">
        <f t="shared" si="120"/>
        <v>0.20722931818181822</v>
      </c>
      <c r="DW125" s="1212">
        <f t="shared" si="120"/>
        <v>0.29498608695652173</v>
      </c>
      <c r="DX125" s="251">
        <f t="shared" si="120"/>
        <v>0.3023030303030303</v>
      </c>
      <c r="DY125" s="251">
        <f t="shared" si="120"/>
        <v>0.29602600790513822</v>
      </c>
      <c r="DZ125" s="251">
        <f t="shared" si="120"/>
        <v>0.30420984848484833</v>
      </c>
      <c r="EA125" s="251">
        <f t="shared" si="120"/>
        <v>0.29190416666666663</v>
      </c>
      <c r="EB125" s="251">
        <f t="shared" si="120"/>
        <v>0.29749818181818166</v>
      </c>
      <c r="EC125" s="251">
        <f t="shared" si="120"/>
        <v>0.31143272727272731</v>
      </c>
      <c r="ED125" s="251">
        <f t="shared" si="120"/>
        <v>0.30526999999999993</v>
      </c>
      <c r="EE125" s="1267">
        <f t="shared" si="120"/>
        <v>0.30445909090909073</v>
      </c>
      <c r="EF125" s="1212">
        <f t="shared" si="120"/>
        <v>0</v>
      </c>
      <c r="EG125" s="251">
        <f t="shared" si="120"/>
        <v>0</v>
      </c>
      <c r="EH125" s="251">
        <f t="shared" si="120"/>
        <v>0</v>
      </c>
      <c r="EI125" s="270"/>
      <c r="EJ125" s="270"/>
      <c r="EK125" s="1283"/>
      <c r="EL125" s="1224"/>
      <c r="EM125" s="270"/>
      <c r="EN125" s="270"/>
      <c r="EO125" s="270"/>
      <c r="EP125" s="270"/>
      <c r="EQ125" s="270"/>
      <c r="ER125" s="270"/>
      <c r="ES125" s="270"/>
      <c r="ET125" s="270"/>
      <c r="EU125" s="341"/>
      <c r="EV125" s="270">
        <f t="shared" si="120"/>
        <v>1.0750909090909089E-2</v>
      </c>
      <c r="EW125" s="270">
        <f t="shared" si="120"/>
        <v>1.0721666666666664E-2</v>
      </c>
      <c r="EX125" s="270">
        <f t="shared" si="120"/>
        <v>1.9166666666666655E-3</v>
      </c>
      <c r="EY125" s="1283">
        <f t="shared" si="120"/>
        <v>8.4280303030303009E-4</v>
      </c>
      <c r="EZ125" s="1224">
        <f t="shared" si="120"/>
        <v>2.0437786561264812E-2</v>
      </c>
      <c r="FA125" s="270">
        <f t="shared" si="120"/>
        <v>5.2670454545454548E-2</v>
      </c>
      <c r="FB125" s="270">
        <f t="shared" si="120"/>
        <v>5.7968983957219222E-2</v>
      </c>
      <c r="FC125" s="270">
        <f t="shared" si="120"/>
        <v>2.1324999999999997E-2</v>
      </c>
      <c r="FD125" s="270">
        <f t="shared" si="120"/>
        <v>3.3651136363636341E-2</v>
      </c>
      <c r="FE125" s="270">
        <f t="shared" si="120"/>
        <v>2.8788030303030288E-2</v>
      </c>
      <c r="FF125" s="270">
        <f t="shared" si="120"/>
        <v>9.0530303030302989E-3</v>
      </c>
      <c r="FG125" s="270">
        <f t="shared" si="120"/>
        <v>1.1608181818181816E-2</v>
      </c>
      <c r="FH125" s="1283">
        <f t="shared" si="120"/>
        <v>4.0731363636363621E-2</v>
      </c>
      <c r="FI125" s="1224">
        <f t="shared" si="120"/>
        <v>0</v>
      </c>
      <c r="FJ125" s="270">
        <f t="shared" si="120"/>
        <v>0</v>
      </c>
      <c r="FK125" s="270">
        <f t="shared" si="120"/>
        <v>0</v>
      </c>
      <c r="FL125" s="270"/>
      <c r="FM125" s="270"/>
      <c r="FN125" s="1283"/>
      <c r="FO125" s="1224"/>
      <c r="FP125" s="270"/>
      <c r="FQ125" s="270"/>
      <c r="FR125" s="270"/>
      <c r="FS125" s="270"/>
      <c r="FT125" s="270"/>
      <c r="FU125" s="270"/>
      <c r="FV125" s="270"/>
      <c r="FW125" s="270"/>
      <c r="FX125" s="1" t="s">
        <v>138</v>
      </c>
    </row>
    <row r="126" spans="3:180" x14ac:dyDescent="0.35">
      <c r="BL126" s="267"/>
      <c r="CZ126" s="241"/>
      <c r="DA126" s="1496"/>
      <c r="DB126" s="1487"/>
      <c r="DC126" s="241"/>
      <c r="DD126" s="241"/>
      <c r="DR126" s="241" t="s">
        <v>371</v>
      </c>
      <c r="DS126" s="251">
        <f>DS$109-DS$119</f>
        <v>0.52471982758620683</v>
      </c>
      <c r="DT126" s="251">
        <f t="shared" ref="DT126:FK126" si="121">DT$109-DT$119</f>
        <v>0.5301022988505748</v>
      </c>
      <c r="DU126" s="251">
        <f t="shared" si="121"/>
        <v>0.18950186781609191</v>
      </c>
      <c r="DV126" s="1267">
        <f t="shared" si="121"/>
        <v>0.19827456896551732</v>
      </c>
      <c r="DW126" s="1212">
        <f t="shared" si="121"/>
        <v>0.26623875562218902</v>
      </c>
      <c r="DX126" s="251">
        <f t="shared" si="121"/>
        <v>0.27529885057471271</v>
      </c>
      <c r="DY126" s="251">
        <f t="shared" si="121"/>
        <v>0.28097496251874055</v>
      </c>
      <c r="DZ126" s="251">
        <f t="shared" si="121"/>
        <v>0.28508103448275857</v>
      </c>
      <c r="EA126" s="251">
        <f t="shared" si="121"/>
        <v>0.27354913793103441</v>
      </c>
      <c r="EB126" s="251">
        <f t="shared" si="121"/>
        <v>0.29587816091954022</v>
      </c>
      <c r="EC126" s="251">
        <f t="shared" si="121"/>
        <v>0.2939793103448276</v>
      </c>
      <c r="ED126" s="251">
        <f t="shared" si="121"/>
        <v>0.2894801724137932</v>
      </c>
      <c r="EE126" s="1267">
        <f t="shared" si="121"/>
        <v>0.2881745689655173</v>
      </c>
      <c r="EF126" s="1212">
        <f t="shared" si="121"/>
        <v>0</v>
      </c>
      <c r="EG126" s="251">
        <f t="shared" si="121"/>
        <v>0</v>
      </c>
      <c r="EH126" s="251">
        <f t="shared" si="121"/>
        <v>0</v>
      </c>
      <c r="EI126" s="270"/>
      <c r="EJ126" s="270"/>
      <c r="EK126" s="1283"/>
      <c r="EL126" s="1224"/>
      <c r="EM126" s="270"/>
      <c r="EN126" s="270"/>
      <c r="EO126" s="270"/>
      <c r="EP126" s="270"/>
      <c r="EQ126" s="270"/>
      <c r="ER126" s="270"/>
      <c r="ES126" s="270"/>
      <c r="ET126" s="270"/>
      <c r="EU126" s="341"/>
      <c r="EV126" s="270">
        <f t="shared" si="121"/>
        <v>2.2277586206896557E-2</v>
      </c>
      <c r="EW126" s="270">
        <f t="shared" si="121"/>
        <v>1.4788505747126438E-2</v>
      </c>
      <c r="EX126" s="270">
        <f t="shared" si="121"/>
        <v>2.6436781609195398E-3</v>
      </c>
      <c r="EY126" s="1283">
        <f t="shared" si="121"/>
        <v>1.2787356321839081E-3</v>
      </c>
      <c r="EZ126" s="1224">
        <f t="shared" si="121"/>
        <v>3.3223988005996991E-2</v>
      </c>
      <c r="FA126" s="270">
        <f t="shared" si="121"/>
        <v>7.5844109195402298E-2</v>
      </c>
      <c r="FB126" s="270">
        <f t="shared" si="121"/>
        <v>8.2455882352941212E-2</v>
      </c>
      <c r="FC126" s="270">
        <f t="shared" si="121"/>
        <v>4.8532758620689648E-2</v>
      </c>
      <c r="FD126" s="270">
        <f t="shared" si="121"/>
        <v>5.3893390804597707E-2</v>
      </c>
      <c r="FE126" s="270">
        <f t="shared" si="121"/>
        <v>5.4597988505747153E-2</v>
      </c>
      <c r="FF126" s="270">
        <f t="shared" si="121"/>
        <v>1.5452586206896546E-2</v>
      </c>
      <c r="FG126" s="270">
        <f t="shared" si="121"/>
        <v>2.751939655172414E-2</v>
      </c>
      <c r="FH126" s="1283">
        <f t="shared" si="121"/>
        <v>6.9821336206896567E-2</v>
      </c>
      <c r="FI126" s="1224">
        <f t="shared" si="121"/>
        <v>0</v>
      </c>
      <c r="FJ126" s="270">
        <f t="shared" si="121"/>
        <v>0</v>
      </c>
      <c r="FK126" s="270">
        <f t="shared" si="121"/>
        <v>0</v>
      </c>
      <c r="FL126" s="270"/>
      <c r="FM126" s="270"/>
      <c r="FN126" s="1283"/>
      <c r="FO126" s="1224"/>
      <c r="FP126" s="270"/>
      <c r="FQ126" s="270"/>
      <c r="FR126" s="270"/>
      <c r="FS126" s="270"/>
      <c r="FT126" s="270"/>
      <c r="FU126" s="270"/>
      <c r="FV126" s="270"/>
      <c r="FW126" s="270"/>
      <c r="FX126" s="1" t="s">
        <v>139</v>
      </c>
    </row>
    <row r="127" spans="3:180" x14ac:dyDescent="0.35">
      <c r="BL127" s="267"/>
      <c r="BM127" s="267"/>
      <c r="CZ127" s="241"/>
      <c r="DA127" s="1496"/>
      <c r="DB127" s="1487"/>
      <c r="DC127" s="241"/>
      <c r="DD127" s="241"/>
      <c r="DR127" s="241" t="s">
        <v>372</v>
      </c>
      <c r="DS127" s="251">
        <f>DS$110-DS$120</f>
        <v>0.61181249999999965</v>
      </c>
      <c r="DT127" s="251">
        <f t="shared" ref="DT127:FK127" si="122">DT$110-DT$120</f>
        <v>0.56437888888888876</v>
      </c>
      <c r="DU127" s="251">
        <f t="shared" si="122"/>
        <v>0.14512069444444442</v>
      </c>
      <c r="DV127" s="1267">
        <f t="shared" si="122"/>
        <v>0.150399375</v>
      </c>
      <c r="DW127" s="1212">
        <f t="shared" si="122"/>
        <v>0.16288289855072458</v>
      </c>
      <c r="DX127" s="251">
        <f t="shared" si="122"/>
        <v>0.17558333333333331</v>
      </c>
      <c r="DY127" s="251">
        <f t="shared" si="122"/>
        <v>0.18569195652173909</v>
      </c>
      <c r="DZ127" s="251">
        <f t="shared" si="122"/>
        <v>0.18195236111111102</v>
      </c>
      <c r="EA127" s="251">
        <f t="shared" si="122"/>
        <v>0.17459215277777773</v>
      </c>
      <c r="EB127" s="251">
        <f t="shared" si="122"/>
        <v>0.19963333333333333</v>
      </c>
      <c r="EC127" s="251">
        <f t="shared" si="122"/>
        <v>0.18875999999999993</v>
      </c>
      <c r="ED127" s="251">
        <f t="shared" si="122"/>
        <v>0.18793833333333332</v>
      </c>
      <c r="EE127" s="1267">
        <f t="shared" si="122"/>
        <v>0.185453125</v>
      </c>
      <c r="EF127" s="1212">
        <f t="shared" si="122"/>
        <v>0</v>
      </c>
      <c r="EG127" s="251">
        <f t="shared" si="122"/>
        <v>0</v>
      </c>
      <c r="EH127" s="251">
        <f t="shared" si="122"/>
        <v>0</v>
      </c>
      <c r="EI127" s="270"/>
      <c r="EJ127" s="270"/>
      <c r="EK127" s="1283"/>
      <c r="EL127" s="1224"/>
      <c r="EM127" s="270"/>
      <c r="EN127" s="270"/>
      <c r="EO127" s="270"/>
      <c r="EP127" s="270"/>
      <c r="EQ127" s="270"/>
      <c r="ER127" s="270"/>
      <c r="ES127" s="270"/>
      <c r="ET127" s="270"/>
      <c r="EU127" s="341"/>
      <c r="EV127" s="270">
        <f t="shared" si="122"/>
        <v>2.6827500000000004E-2</v>
      </c>
      <c r="EW127" s="270">
        <f t="shared" si="122"/>
        <v>1.5189027777777767E-2</v>
      </c>
      <c r="EX127" s="270">
        <f t="shared" si="122"/>
        <v>2.7152777777777783E-3</v>
      </c>
      <c r="EY127" s="1283">
        <f t="shared" si="122"/>
        <v>1.6996527777777774E-3</v>
      </c>
      <c r="EZ127" s="1224">
        <f t="shared" si="122"/>
        <v>5.4865724637681135E-2</v>
      </c>
      <c r="FA127" s="270">
        <f t="shared" si="122"/>
        <v>8.2256944444444424E-2</v>
      </c>
      <c r="FB127" s="270">
        <f t="shared" si="122"/>
        <v>8.8563725490196088E-2</v>
      </c>
      <c r="FC127" s="270">
        <f t="shared" si="122"/>
        <v>9.9694375000000002E-2</v>
      </c>
      <c r="FD127" s="270">
        <f t="shared" si="122"/>
        <v>7.4717986111111079E-2</v>
      </c>
      <c r="FE127" s="270">
        <f t="shared" si="122"/>
        <v>9.047666666666665E-2</v>
      </c>
      <c r="FF127" s="270">
        <f t="shared" si="122"/>
        <v>3.3194444444444443E-2</v>
      </c>
      <c r="FG127" s="270">
        <f t="shared" si="122"/>
        <v>5.4977638888888902E-2</v>
      </c>
      <c r="FH127" s="1283">
        <f t="shared" si="122"/>
        <v>9.7650833333333353E-2</v>
      </c>
      <c r="FI127" s="1224">
        <f t="shared" si="122"/>
        <v>0</v>
      </c>
      <c r="FJ127" s="270">
        <f t="shared" si="122"/>
        <v>0</v>
      </c>
      <c r="FK127" s="270">
        <f t="shared" si="122"/>
        <v>0</v>
      </c>
      <c r="FL127" s="270"/>
      <c r="FM127" s="270"/>
      <c r="FN127" s="1283"/>
      <c r="FO127" s="1224"/>
      <c r="FP127" s="270"/>
      <c r="FQ127" s="270"/>
      <c r="FR127" s="270"/>
      <c r="FS127" s="270"/>
      <c r="FT127" s="270"/>
      <c r="FU127" s="270"/>
      <c r="FV127" s="270"/>
      <c r="FW127" s="270"/>
      <c r="FX127" s="1" t="s">
        <v>140</v>
      </c>
    </row>
    <row r="128" spans="3:180" x14ac:dyDescent="0.35">
      <c r="CZ128" s="241"/>
      <c r="DA128" s="1496"/>
      <c r="DB128" s="1487"/>
      <c r="DC128" s="241"/>
      <c r="DD128" s="241"/>
      <c r="DR128" s="241" t="s">
        <v>373</v>
      </c>
      <c r="DS128" s="251">
        <f>DS$111-DS$121</f>
        <v>0.31769011627906973</v>
      </c>
      <c r="DT128" s="251">
        <f t="shared" ref="DT128:FK128" si="123">DT$111-DT$121</f>
        <v>0.23096635658914733</v>
      </c>
      <c r="DU128" s="251">
        <f t="shared" si="123"/>
        <v>0.10157895348837209</v>
      </c>
      <c r="DV128" s="1267">
        <f t="shared" si="123"/>
        <v>0.1022649127906976</v>
      </c>
      <c r="DW128" s="1212">
        <f t="shared" si="123"/>
        <v>6.8151617795753239E-2</v>
      </c>
      <c r="DX128" s="251">
        <f t="shared" si="123"/>
        <v>8.2366666666666644E-2</v>
      </c>
      <c r="DY128" s="251">
        <f t="shared" si="123"/>
        <v>8.9825429726996919E-2</v>
      </c>
      <c r="DZ128" s="251">
        <f t="shared" si="123"/>
        <v>8.8244224806201532E-2</v>
      </c>
      <c r="EA128" s="251">
        <f t="shared" si="123"/>
        <v>8.4674631782945708E-2</v>
      </c>
      <c r="EB128" s="251">
        <f t="shared" si="123"/>
        <v>9.2957829457364305E-2</v>
      </c>
      <c r="EC128" s="251">
        <f t="shared" si="123"/>
        <v>9.6248372093023227E-2</v>
      </c>
      <c r="ED128" s="251">
        <f t="shared" si="123"/>
        <v>9.6094127906976745E-2</v>
      </c>
      <c r="EE128" s="1267">
        <f t="shared" si="123"/>
        <v>9.3990261627906968E-2</v>
      </c>
      <c r="EF128" s="1212">
        <f t="shared" si="123"/>
        <v>0</v>
      </c>
      <c r="EG128" s="251">
        <f t="shared" si="123"/>
        <v>0</v>
      </c>
      <c r="EH128" s="251">
        <f t="shared" si="123"/>
        <v>0</v>
      </c>
      <c r="EI128" s="270"/>
      <c r="EJ128" s="270"/>
      <c r="EK128" s="1283"/>
      <c r="EL128" s="1224"/>
      <c r="EM128" s="270"/>
      <c r="EN128" s="270"/>
      <c r="EO128" s="270"/>
      <c r="EP128" s="270"/>
      <c r="EQ128" s="270"/>
      <c r="ER128" s="270"/>
      <c r="ES128" s="270"/>
      <c r="ET128" s="270"/>
      <c r="EU128" s="341"/>
      <c r="EV128" s="270">
        <f t="shared" si="123"/>
        <v>1.6756046511627903E-2</v>
      </c>
      <c r="EW128" s="270">
        <f t="shared" si="123"/>
        <v>9.5996317829457334E-3</v>
      </c>
      <c r="EX128" s="270">
        <f t="shared" si="123"/>
        <v>1.7160852713178285E-3</v>
      </c>
      <c r="EY128" s="1283">
        <f t="shared" si="123"/>
        <v>1.8110465116279069E-3</v>
      </c>
      <c r="EZ128" s="1224">
        <f t="shared" si="123"/>
        <v>6.4046319514661276E-2</v>
      </c>
      <c r="FA128" s="270">
        <f t="shared" si="123"/>
        <v>6.8117732558139521E-2</v>
      </c>
      <c r="FB128" s="270">
        <f t="shared" si="123"/>
        <v>6.5743119015047868E-2</v>
      </c>
      <c r="FC128" s="270">
        <f t="shared" si="123"/>
        <v>0.13174386627906975</v>
      </c>
      <c r="FD128" s="270">
        <f t="shared" si="123"/>
        <v>7.8336715116279043E-2</v>
      </c>
      <c r="FE128" s="270">
        <f t="shared" si="123"/>
        <v>9.2054748062015468E-2</v>
      </c>
      <c r="FF128" s="270">
        <f t="shared" si="123"/>
        <v>6.4844961240310084E-2</v>
      </c>
      <c r="FG128" s="270">
        <f t="shared" si="123"/>
        <v>8.314697674418603E-2</v>
      </c>
      <c r="FH128" s="1283">
        <f t="shared" si="123"/>
        <v>9.678252906976742E-2</v>
      </c>
      <c r="FI128" s="1224">
        <f t="shared" si="123"/>
        <v>0</v>
      </c>
      <c r="FJ128" s="270">
        <f t="shared" si="123"/>
        <v>0</v>
      </c>
      <c r="FK128" s="270">
        <f t="shared" si="123"/>
        <v>0</v>
      </c>
      <c r="FL128" s="270"/>
      <c r="FM128" s="270"/>
      <c r="FN128" s="1283"/>
      <c r="FO128" s="1224"/>
      <c r="FP128" s="270"/>
      <c r="FQ128" s="270"/>
      <c r="FR128" s="270"/>
      <c r="FS128" s="270"/>
      <c r="FT128" s="270"/>
      <c r="FU128" s="270"/>
      <c r="FV128" s="270"/>
      <c r="FW128" s="270"/>
      <c r="FX128" s="1" t="s">
        <v>141</v>
      </c>
    </row>
    <row r="129" spans="3:180" x14ac:dyDescent="0.35">
      <c r="CZ129" s="241"/>
      <c r="DA129" s="1496"/>
      <c r="DB129" s="1487"/>
      <c r="DC129" s="241"/>
      <c r="DD129" s="241"/>
      <c r="DR129" s="241" t="s">
        <v>406</v>
      </c>
      <c r="DS129" s="251">
        <f>DS$112-DS$122</f>
        <v>0.2420982558139535</v>
      </c>
      <c r="DT129" s="251">
        <f t="shared" ref="DT129:FK129" si="124">DT$112-DT$122</f>
        <v>0.44449131782945717</v>
      </c>
      <c r="DU129" s="251">
        <f t="shared" si="124"/>
        <v>9.892329457364335E-2</v>
      </c>
      <c r="DV129" s="1267">
        <f t="shared" si="124"/>
        <v>4.730168604651161E-2</v>
      </c>
      <c r="DW129" s="1212">
        <f t="shared" si="124"/>
        <v>4.4019241658240643E-2</v>
      </c>
      <c r="DX129" s="251">
        <f t="shared" si="124"/>
        <v>3.9899999999999991E-2</v>
      </c>
      <c r="DY129" s="251">
        <f t="shared" si="124"/>
        <v>4.3313083923154666E-2</v>
      </c>
      <c r="DZ129" s="251">
        <f t="shared" si="124"/>
        <v>2.8100116279069748E-2</v>
      </c>
      <c r="EA129" s="251">
        <f t="shared" si="124"/>
        <v>2.6963430232558122E-2</v>
      </c>
      <c r="EB129" s="251">
        <f t="shared" si="124"/>
        <v>6.8675968992248038E-2</v>
      </c>
      <c r="EC129" s="251">
        <f t="shared" si="124"/>
        <v>7.3900465116279068E-2</v>
      </c>
      <c r="ED129" s="251">
        <f t="shared" si="124"/>
        <v>8.2656162790697651E-2</v>
      </c>
      <c r="EE129" s="1267">
        <f t="shared" si="124"/>
        <v>7.4482848837209292E-2</v>
      </c>
      <c r="EF129" s="1212">
        <f t="shared" si="124"/>
        <v>0</v>
      </c>
      <c r="EG129" s="251">
        <f t="shared" si="124"/>
        <v>0</v>
      </c>
      <c r="EH129" s="251">
        <f t="shared" si="124"/>
        <v>0</v>
      </c>
      <c r="EI129" s="270"/>
      <c r="EJ129" s="270"/>
      <c r="EK129" s="1283"/>
      <c r="EL129" s="1224"/>
      <c r="EM129" s="270"/>
      <c r="EN129" s="270"/>
      <c r="EO129" s="270"/>
      <c r="EP129" s="270"/>
      <c r="EQ129" s="270"/>
      <c r="ER129" s="270"/>
      <c r="ES129" s="270"/>
      <c r="ET129" s="270"/>
      <c r="EU129" s="341"/>
      <c r="EV129" s="270">
        <f t="shared" si="124"/>
        <v>7.4867441860465081E-3</v>
      </c>
      <c r="EW129" s="270">
        <f t="shared" si="124"/>
        <v>1.0472325581395346E-2</v>
      </c>
      <c r="EX129" s="270">
        <f t="shared" si="124"/>
        <v>1.872093023255814E-3</v>
      </c>
      <c r="EY129" s="1283">
        <f t="shared" si="124"/>
        <v>6.3386627906976759E-3</v>
      </c>
      <c r="EZ129" s="1224">
        <f t="shared" si="124"/>
        <v>0.12025023255813949</v>
      </c>
      <c r="FA129" s="270">
        <f t="shared" si="124"/>
        <v>0.12226259689922481</v>
      </c>
      <c r="FB129" s="270">
        <f t="shared" si="124"/>
        <v>0.10899517099863198</v>
      </c>
      <c r="FC129" s="270">
        <f t="shared" si="124"/>
        <v>8.5919912790697661E-2</v>
      </c>
      <c r="FD129" s="270">
        <f t="shared" si="124"/>
        <v>7.0302180232558131E-2</v>
      </c>
      <c r="FE129" s="270">
        <f t="shared" si="124"/>
        <v>9.7578032945736415E-2</v>
      </c>
      <c r="FF129" s="270">
        <f t="shared" si="124"/>
        <v>7.7813953488372056E-2</v>
      </c>
      <c r="FG129" s="270">
        <f t="shared" si="124"/>
        <v>0.14204275193798443</v>
      </c>
      <c r="FH129" s="1283">
        <f t="shared" si="124"/>
        <v>0.13044601744186046</v>
      </c>
      <c r="FI129" s="1224">
        <f t="shared" si="124"/>
        <v>0</v>
      </c>
      <c r="FJ129" s="270">
        <f t="shared" si="124"/>
        <v>0</v>
      </c>
      <c r="FK129" s="270">
        <f t="shared" si="124"/>
        <v>0</v>
      </c>
      <c r="FL129" s="270"/>
      <c r="FM129" s="270"/>
      <c r="FN129" s="1283"/>
      <c r="FO129" s="1224"/>
      <c r="FP129" s="270"/>
      <c r="FQ129" s="270"/>
      <c r="FR129" s="270"/>
      <c r="FS129" s="270"/>
      <c r="FT129" s="270"/>
      <c r="FU129" s="270"/>
      <c r="FV129" s="270"/>
      <c r="FW129" s="270"/>
      <c r="FX129" s="1" t="s">
        <v>347</v>
      </c>
    </row>
    <row r="130" spans="3:180" ht="15" thickBot="1" x14ac:dyDescent="0.4">
      <c r="C130"/>
      <c r="D130"/>
      <c r="E130"/>
      <c r="F130" s="1047"/>
      <c r="G130" s="225"/>
      <c r="H130" s="225"/>
      <c r="I130" s="1269"/>
      <c r="J130" s="1214"/>
      <c r="K130" s="225"/>
      <c r="L130" s="225"/>
      <c r="M130" s="225"/>
      <c r="N130" s="225"/>
      <c r="O130" s="225"/>
      <c r="P130" s="225"/>
      <c r="Q130" s="225"/>
      <c r="R130" s="1269"/>
      <c r="S130" s="1214"/>
      <c r="T130" s="225"/>
      <c r="U130" s="225"/>
      <c r="V130" s="225"/>
      <c r="W130" s="225"/>
      <c r="X130" s="1269"/>
      <c r="Y130" s="1214"/>
      <c r="Z130" s="225"/>
      <c r="AA130" s="225"/>
      <c r="AB130" s="225"/>
      <c r="AC130" s="225"/>
      <c r="AD130" s="225"/>
      <c r="AE130" s="225"/>
      <c r="AF130" s="225"/>
      <c r="AG130" s="225"/>
      <c r="AH130" s="344"/>
      <c r="AI130" s="225"/>
      <c r="AJ130" s="225"/>
      <c r="AK130" s="225"/>
      <c r="AL130" s="1269"/>
      <c r="AM130" s="1214"/>
      <c r="AN130" s="225"/>
      <c r="AO130" s="225"/>
      <c r="AP130" s="225"/>
      <c r="AQ130" s="225"/>
      <c r="AR130" s="225"/>
      <c r="AS130" s="225"/>
      <c r="AT130" s="225"/>
      <c r="AU130" s="1269"/>
      <c r="AV130" s="1214"/>
      <c r="AW130" s="225"/>
      <c r="AX130" s="225"/>
      <c r="AY130" s="225"/>
      <c r="AZ130" s="225"/>
      <c r="BA130" s="1269"/>
      <c r="BB130" s="1214"/>
      <c r="BC130" s="225"/>
      <c r="BD130" s="225"/>
      <c r="BE130" s="225"/>
      <c r="BF130" s="225"/>
      <c r="BG130" s="225"/>
      <c r="BH130" s="225"/>
      <c r="BI130" s="225"/>
      <c r="BJ130" s="225"/>
      <c r="BK130" s="344"/>
      <c r="BL130" s="225"/>
      <c r="BM130" s="225"/>
      <c r="BN130" s="225"/>
      <c r="BO130" s="1269"/>
      <c r="BP130" s="1214"/>
      <c r="BQ130" s="225"/>
      <c r="BR130" s="225"/>
      <c r="BS130" s="225"/>
      <c r="BT130" s="225"/>
      <c r="BU130" s="225"/>
      <c r="BV130" s="225"/>
      <c r="BW130" s="225"/>
      <c r="BX130" s="1269"/>
      <c r="BY130" s="1214"/>
      <c r="BZ130" s="225"/>
      <c r="CA130" s="225"/>
      <c r="CB130" s="225"/>
      <c r="CC130" s="225"/>
      <c r="CD130" s="1269"/>
      <c r="CE130" s="1214"/>
      <c r="CF130" s="225"/>
      <c r="CG130" s="225"/>
      <c r="CH130" s="225"/>
      <c r="CI130" s="225"/>
      <c r="CJ130" s="225"/>
      <c r="CK130" s="225"/>
      <c r="CL130" s="225"/>
      <c r="CM130" s="225"/>
      <c r="CN130" s="344"/>
      <c r="CO130" s="225"/>
      <c r="CP130" s="225"/>
      <c r="CQ130" s="225"/>
      <c r="CR130" s="1269"/>
      <c r="CS130" s="1214"/>
      <c r="CT130" s="225"/>
      <c r="CU130" s="225"/>
      <c r="CV130" s="225"/>
      <c r="CW130" s="225"/>
      <c r="CX130" s="225"/>
      <c r="CY130" s="351"/>
      <c r="CZ130" s="351"/>
      <c r="DA130" s="1498"/>
      <c r="DB130" s="1489"/>
      <c r="DC130" s="351"/>
      <c r="DD130" s="351"/>
      <c r="DE130" s="225"/>
      <c r="DF130" s="225"/>
      <c r="DG130" s="1269"/>
      <c r="DH130" s="1214"/>
      <c r="DI130" s="225"/>
      <c r="DJ130" s="225"/>
      <c r="DK130" s="225"/>
      <c r="DL130" s="225"/>
      <c r="DM130" s="225"/>
      <c r="DN130" s="225"/>
      <c r="DO130" s="225"/>
      <c r="DP130" s="225"/>
      <c r="DQ130" s="344"/>
      <c r="DR130" s="345"/>
      <c r="DS130" s="405"/>
      <c r="DT130" s="405"/>
      <c r="DU130" s="405"/>
      <c r="DV130" s="1559"/>
      <c r="DW130" s="897"/>
      <c r="DX130" s="405"/>
      <c r="DY130" s="405"/>
      <c r="DZ130" s="405"/>
      <c r="EA130" s="405"/>
      <c r="EB130" s="405"/>
      <c r="EC130" s="405"/>
      <c r="ED130" s="405"/>
      <c r="EE130" s="1559"/>
      <c r="EF130" s="897"/>
      <c r="EG130" s="405"/>
      <c r="EH130" s="405"/>
      <c r="EI130" s="405"/>
      <c r="EJ130" s="405"/>
      <c r="EK130" s="1559"/>
      <c r="EL130" s="897"/>
      <c r="EM130" s="405"/>
      <c r="EN130" s="405"/>
      <c r="EO130" s="405"/>
      <c r="EP130" s="405"/>
      <c r="EQ130" s="405"/>
      <c r="ER130" s="405"/>
      <c r="ES130" s="405"/>
      <c r="ET130" s="405"/>
      <c r="EU130" s="344"/>
      <c r="EV130" s="405"/>
      <c r="EW130" s="405"/>
      <c r="EX130" s="405"/>
      <c r="EY130" s="1559"/>
      <c r="EZ130" s="897"/>
      <c r="FA130" s="405"/>
      <c r="FB130" s="405"/>
      <c r="FC130" s="405"/>
      <c r="FD130" s="405"/>
      <c r="FE130" s="405"/>
      <c r="FF130" s="405"/>
      <c r="FG130" s="405"/>
      <c r="FH130" s="1559"/>
      <c r="FI130" s="1214"/>
      <c r="FJ130" s="403"/>
      <c r="FK130" s="225"/>
      <c r="FL130" s="225"/>
      <c r="FM130" s="225"/>
      <c r="FN130" s="1269"/>
      <c r="FO130" s="1214"/>
      <c r="FP130" s="225"/>
      <c r="FQ130" s="225"/>
      <c r="FR130" s="225"/>
      <c r="FS130" s="225"/>
      <c r="FT130" s="225"/>
      <c r="FU130" s="225"/>
      <c r="FV130" s="225"/>
      <c r="FW130" s="225"/>
    </row>
    <row r="131" spans="3:180" s="377" customFormat="1" ht="15" thickTop="1" x14ac:dyDescent="0.35">
      <c r="F131" s="887"/>
      <c r="G131" s="347"/>
      <c r="H131" s="347"/>
      <c r="I131" s="1278"/>
      <c r="J131" s="1222"/>
      <c r="K131" s="347"/>
      <c r="L131" s="347"/>
      <c r="M131" s="347"/>
      <c r="N131" s="347"/>
      <c r="O131" s="347"/>
      <c r="P131" s="347"/>
      <c r="Q131" s="347"/>
      <c r="R131" s="1278"/>
      <c r="S131" s="1222"/>
      <c r="T131" s="347"/>
      <c r="U131" s="347"/>
      <c r="V131" s="347"/>
      <c r="W131" s="347"/>
      <c r="X131" s="1278"/>
      <c r="Y131" s="1222"/>
      <c r="Z131" s="347"/>
      <c r="AA131" s="347"/>
      <c r="AB131" s="347"/>
      <c r="AC131" s="347"/>
      <c r="AD131" s="347"/>
      <c r="AE131" s="347"/>
      <c r="AF131" s="347"/>
      <c r="AG131" s="347"/>
      <c r="AH131" s="352"/>
      <c r="AI131" s="347"/>
      <c r="AJ131" s="347"/>
      <c r="AK131" s="347"/>
      <c r="AL131" s="1278"/>
      <c r="AM131" s="1222"/>
      <c r="AN131" s="347"/>
      <c r="AO131" s="347"/>
      <c r="AP131" s="347"/>
      <c r="AQ131" s="347"/>
      <c r="AR131" s="347"/>
      <c r="AS131" s="347"/>
      <c r="AT131" s="347"/>
      <c r="AU131" s="1278"/>
      <c r="AV131" s="1222"/>
      <c r="AW131" s="347"/>
      <c r="AX131" s="347"/>
      <c r="AY131" s="347"/>
      <c r="AZ131" s="347"/>
      <c r="BA131" s="1278"/>
      <c r="BB131" s="1222"/>
      <c r="BC131" s="347"/>
      <c r="BD131" s="347"/>
      <c r="BE131" s="347"/>
      <c r="BF131" s="347"/>
      <c r="BG131" s="347"/>
      <c r="BH131" s="347"/>
      <c r="BI131" s="347"/>
      <c r="BJ131" s="347"/>
      <c r="BK131" s="352"/>
      <c r="BL131" s="347"/>
      <c r="BM131" s="347"/>
      <c r="BN131" s="347"/>
      <c r="BO131" s="1278"/>
      <c r="BP131" s="1222"/>
      <c r="BQ131" s="347"/>
      <c r="BR131" s="347"/>
      <c r="BS131" s="347"/>
      <c r="BT131" s="347"/>
      <c r="BU131" s="347"/>
      <c r="BV131" s="347"/>
      <c r="BW131" s="347"/>
      <c r="BX131" s="1278"/>
      <c r="BY131" s="1222"/>
      <c r="BZ131" s="347"/>
      <c r="CA131" s="347"/>
      <c r="CB131" s="347"/>
      <c r="CC131" s="347"/>
      <c r="CD131" s="1278"/>
      <c r="CE131" s="1222"/>
      <c r="CF131" s="347"/>
      <c r="CG131" s="347"/>
      <c r="CH131" s="347"/>
      <c r="CI131" s="347"/>
      <c r="CJ131" s="347"/>
      <c r="CK131" s="347"/>
      <c r="CL131" s="347"/>
      <c r="CM131" s="347"/>
      <c r="CN131" s="352"/>
      <c r="CO131" s="347"/>
      <c r="CP131" s="347"/>
      <c r="CQ131" s="347"/>
      <c r="CR131" s="1278"/>
      <c r="CS131" s="1222"/>
      <c r="CT131" s="347"/>
      <c r="CU131" s="347"/>
      <c r="CV131" s="347"/>
      <c r="CW131" s="347"/>
      <c r="CX131" s="347"/>
      <c r="CY131" s="348"/>
      <c r="CZ131" s="348"/>
      <c r="DA131" s="1499"/>
      <c r="DB131" s="1490"/>
      <c r="DC131" s="348"/>
      <c r="DD131" s="348"/>
      <c r="DE131" s="347"/>
      <c r="DF131" s="347"/>
      <c r="DG131" s="1278"/>
      <c r="DH131" s="1222"/>
      <c r="DI131" s="347"/>
      <c r="DJ131" s="347"/>
      <c r="DK131" s="347"/>
      <c r="DL131" s="347"/>
      <c r="DM131" s="347"/>
      <c r="DN131" s="347"/>
      <c r="DO131" s="347"/>
      <c r="DP131" s="347"/>
      <c r="DQ131" s="352"/>
      <c r="DR131" s="355"/>
      <c r="DS131" s="406"/>
      <c r="DT131" s="406"/>
      <c r="DU131" s="406"/>
      <c r="DV131" s="1560"/>
      <c r="DW131" s="1542"/>
      <c r="DX131" s="406"/>
      <c r="DY131" s="406"/>
      <c r="DZ131" s="406"/>
      <c r="EA131" s="406"/>
      <c r="EB131" s="406"/>
      <c r="EC131" s="406"/>
      <c r="ED131" s="406"/>
      <c r="EE131" s="1560"/>
      <c r="EF131" s="1542"/>
      <c r="EG131" s="406"/>
      <c r="EH131" s="406"/>
      <c r="EI131" s="406"/>
      <c r="EJ131" s="406"/>
      <c r="EK131" s="1560"/>
      <c r="EL131" s="1542"/>
      <c r="EM131" s="406"/>
      <c r="EN131" s="406"/>
      <c r="EO131" s="406"/>
      <c r="EP131" s="406"/>
      <c r="EQ131" s="406"/>
      <c r="ER131" s="406"/>
      <c r="ES131" s="406"/>
      <c r="ET131" s="406"/>
      <c r="EU131" s="352"/>
      <c r="EV131" s="406"/>
      <c r="EW131" s="406"/>
      <c r="EX131" s="406"/>
      <c r="EY131" s="1560"/>
      <c r="EZ131" s="1542"/>
      <c r="FA131" s="406"/>
      <c r="FB131" s="406"/>
      <c r="FC131" s="406"/>
      <c r="FD131" s="406"/>
      <c r="FE131" s="406"/>
      <c r="FF131" s="406"/>
      <c r="FG131" s="406"/>
      <c r="FH131" s="1560"/>
      <c r="FI131" s="1222"/>
      <c r="FJ131" s="346"/>
      <c r="FK131" s="347"/>
      <c r="FL131" s="347"/>
      <c r="FM131" s="347"/>
      <c r="FN131" s="1278"/>
      <c r="FO131" s="1222"/>
      <c r="FP131" s="347"/>
      <c r="FQ131" s="347"/>
      <c r="FR131" s="347"/>
      <c r="FS131" s="347"/>
      <c r="FT131" s="347"/>
      <c r="FU131" s="347"/>
      <c r="FV131" s="347"/>
      <c r="FW131" s="347"/>
    </row>
    <row r="132" spans="3:180" x14ac:dyDescent="0.35">
      <c r="C132" s="444" t="s">
        <v>388</v>
      </c>
      <c r="D132" s="444"/>
      <c r="E132" s="444"/>
      <c r="F132" s="1054">
        <f>F$59</f>
        <v>330.93617021276594</v>
      </c>
      <c r="G132" s="459">
        <f t="shared" ref="G132:T132" si="125">G$59</f>
        <v>325.83333333333331</v>
      </c>
      <c r="H132" s="479">
        <f t="shared" si="125"/>
        <v>329.23076923076928</v>
      </c>
      <c r="I132" s="1279">
        <f>I$59</f>
        <v>325.39</v>
      </c>
      <c r="J132" s="645">
        <f t="shared" si="125"/>
        <v>193.66666666666666</v>
      </c>
      <c r="K132" s="945">
        <f t="shared" si="125"/>
        <v>186.56521739130434</v>
      </c>
      <c r="L132" s="945">
        <f t="shared" si="125"/>
        <v>186.6875</v>
      </c>
      <c r="M132" s="267">
        <f t="shared" si="125"/>
        <v>183.43478260869566</v>
      </c>
      <c r="N132" s="945">
        <f t="shared" si="125"/>
        <v>182.61904761904762</v>
      </c>
      <c r="O132" s="267">
        <f t="shared" si="125"/>
        <v>189.04347826086956</v>
      </c>
      <c r="P132" s="267">
        <f t="shared" si="125"/>
        <v>189.21739130434781</v>
      </c>
      <c r="Q132" s="945">
        <f t="shared" si="125"/>
        <v>186.7391304347826</v>
      </c>
      <c r="R132" s="1285">
        <f t="shared" si="125"/>
        <v>186.56521739130434</v>
      </c>
      <c r="S132" s="645">
        <f t="shared" si="125"/>
        <v>0</v>
      </c>
      <c r="T132" s="945">
        <f t="shared" si="125"/>
        <v>0</v>
      </c>
      <c r="U132" s="267">
        <f>U$59</f>
        <v>0</v>
      </c>
      <c r="V132" s="267">
        <f>V$59</f>
        <v>0</v>
      </c>
      <c r="W132" s="267">
        <f t="shared" ref="W132:AG132" si="126">W$59</f>
        <v>0</v>
      </c>
      <c r="X132" s="1285">
        <f t="shared" si="126"/>
        <v>0</v>
      </c>
      <c r="Y132" s="645">
        <f t="shared" si="126"/>
        <v>0</v>
      </c>
      <c r="Z132" s="267">
        <f t="shared" si="126"/>
        <v>0</v>
      </c>
      <c r="AA132" s="267">
        <f t="shared" si="126"/>
        <v>0</v>
      </c>
      <c r="AB132" s="267">
        <f t="shared" si="126"/>
        <v>0</v>
      </c>
      <c r="AC132" s="267">
        <f t="shared" si="126"/>
        <v>0</v>
      </c>
      <c r="AD132" s="267">
        <f t="shared" si="126"/>
        <v>0</v>
      </c>
      <c r="AE132" s="267">
        <f t="shared" si="126"/>
        <v>0</v>
      </c>
      <c r="AF132" s="267">
        <f t="shared" si="126"/>
        <v>0</v>
      </c>
      <c r="AG132" s="267">
        <f t="shared" si="126"/>
        <v>0</v>
      </c>
      <c r="AH132" s="339"/>
      <c r="AI132" s="459">
        <f t="shared" ref="AI132:DD132" si="127">AI$59</f>
        <v>0</v>
      </c>
      <c r="AJ132" s="459">
        <f t="shared" si="127"/>
        <v>1.5833333333333333</v>
      </c>
      <c r="AK132" s="459">
        <f t="shared" si="127"/>
        <v>0</v>
      </c>
      <c r="AL132" s="1483">
        <f t="shared" si="127"/>
        <v>0</v>
      </c>
      <c r="AM132" s="1471">
        <f t="shared" si="127"/>
        <v>1.9148936170212767</v>
      </c>
      <c r="AN132" s="459">
        <f t="shared" si="127"/>
        <v>1.5095000000000001</v>
      </c>
      <c r="AO132" s="459">
        <f t="shared" si="127"/>
        <v>0</v>
      </c>
      <c r="AP132" s="459">
        <f t="shared" si="127"/>
        <v>0</v>
      </c>
      <c r="AQ132" s="459">
        <f t="shared" si="127"/>
        <v>0</v>
      </c>
      <c r="AR132" s="459">
        <f t="shared" si="127"/>
        <v>0</v>
      </c>
      <c r="AS132" s="459">
        <f t="shared" si="127"/>
        <v>1.1295833333333334</v>
      </c>
      <c r="AT132" s="459">
        <f t="shared" si="127"/>
        <v>0</v>
      </c>
      <c r="AU132" s="1483">
        <f t="shared" si="127"/>
        <v>0</v>
      </c>
      <c r="AV132" s="1471">
        <f t="shared" si="127"/>
        <v>0</v>
      </c>
      <c r="AW132" s="459">
        <f t="shared" si="127"/>
        <v>0</v>
      </c>
      <c r="AX132" s="459">
        <f t="shared" si="127"/>
        <v>0</v>
      </c>
      <c r="AY132" s="459">
        <f t="shared" si="127"/>
        <v>0</v>
      </c>
      <c r="AZ132" s="459">
        <f t="shared" si="127"/>
        <v>0</v>
      </c>
      <c r="BA132" s="1483">
        <f t="shared" si="127"/>
        <v>0</v>
      </c>
      <c r="BB132" s="1471">
        <f t="shared" si="127"/>
        <v>0</v>
      </c>
      <c r="BC132" s="459">
        <f t="shared" si="127"/>
        <v>0</v>
      </c>
      <c r="BD132" s="459">
        <f t="shared" si="127"/>
        <v>0</v>
      </c>
      <c r="BE132" s="459">
        <f t="shared" si="127"/>
        <v>0</v>
      </c>
      <c r="BF132" s="459">
        <f t="shared" si="127"/>
        <v>0</v>
      </c>
      <c r="BG132" s="459">
        <f t="shared" si="127"/>
        <v>0</v>
      </c>
      <c r="BH132" s="459">
        <f t="shared" si="127"/>
        <v>0</v>
      </c>
      <c r="BI132" s="459">
        <f t="shared" si="127"/>
        <v>0</v>
      </c>
      <c r="BJ132" s="459">
        <f t="shared" si="127"/>
        <v>0</v>
      </c>
      <c r="BK132" s="339"/>
      <c r="BL132" s="479">
        <f t="shared" si="127"/>
        <v>305.70212765957444</v>
      </c>
      <c r="BM132" s="479">
        <f t="shared" si="127"/>
        <v>277.91666666666669</v>
      </c>
      <c r="BN132" s="479">
        <f t="shared" si="127"/>
        <v>293.41666666666669</v>
      </c>
      <c r="BO132" s="1597">
        <f t="shared" si="127"/>
        <v>290.16666666666669</v>
      </c>
      <c r="BP132" s="1471">
        <f t="shared" si="127"/>
        <v>146.66666666666666</v>
      </c>
      <c r="BQ132" s="459">
        <f t="shared" si="127"/>
        <v>143.11111111111111</v>
      </c>
      <c r="BR132" s="459">
        <f t="shared" si="127"/>
        <v>147.45762711864407</v>
      </c>
      <c r="BS132" s="459">
        <f t="shared" si="127"/>
        <v>144</v>
      </c>
      <c r="BT132" s="459">
        <f t="shared" si="127"/>
        <v>143.22869955156949</v>
      </c>
      <c r="BU132" s="459">
        <f t="shared" si="127"/>
        <v>147.75</v>
      </c>
      <c r="BV132" s="459">
        <f t="shared" si="127"/>
        <v>148.16666666666666</v>
      </c>
      <c r="BW132" s="459">
        <f t="shared" si="127"/>
        <v>144.5</v>
      </c>
      <c r="BX132" s="1483">
        <f t="shared" si="127"/>
        <v>146.25</v>
      </c>
      <c r="BY132" s="1471">
        <f t="shared" si="127"/>
        <v>143.5</v>
      </c>
      <c r="BZ132" s="459">
        <f t="shared" si="127"/>
        <v>0</v>
      </c>
      <c r="CA132" s="459">
        <f t="shared" si="127"/>
        <v>0</v>
      </c>
      <c r="CB132" s="459"/>
      <c r="CC132" s="459"/>
      <c r="CD132" s="1483"/>
      <c r="CE132" s="1471"/>
      <c r="CF132" s="459"/>
      <c r="CG132" s="459"/>
      <c r="CH132" s="459"/>
      <c r="CI132" s="459"/>
      <c r="CJ132" s="459"/>
      <c r="CK132" s="459"/>
      <c r="CL132" s="459"/>
      <c r="CM132" s="459"/>
      <c r="CN132" s="339"/>
      <c r="CO132" s="459">
        <f t="shared" si="127"/>
        <v>0</v>
      </c>
      <c r="CP132" s="459">
        <f t="shared" si="127"/>
        <v>14.083333333333334</v>
      </c>
      <c r="CQ132" s="459">
        <f t="shared" si="127"/>
        <v>8</v>
      </c>
      <c r="CR132" s="1483">
        <f t="shared" si="127"/>
        <v>11.333333333333334</v>
      </c>
      <c r="CS132" s="1471">
        <f t="shared" si="127"/>
        <v>16.333333333333332</v>
      </c>
      <c r="CT132" s="459">
        <f t="shared" si="127"/>
        <v>18.583333333333332</v>
      </c>
      <c r="CU132" s="459">
        <f t="shared" si="127"/>
        <v>21.882352941176471</v>
      </c>
      <c r="CV132" s="459">
        <f t="shared" si="127"/>
        <v>16.25</v>
      </c>
      <c r="CW132" s="459">
        <f t="shared" si="127"/>
        <v>16.927899686520377</v>
      </c>
      <c r="CX132" s="459">
        <f t="shared" si="127"/>
        <v>18.166666666666668</v>
      </c>
      <c r="CY132" s="459">
        <f t="shared" si="127"/>
        <v>14.5</v>
      </c>
      <c r="CZ132" s="459">
        <f t="shared" si="127"/>
        <v>16.5</v>
      </c>
      <c r="DA132" s="1483">
        <f t="shared" si="127"/>
        <v>15</v>
      </c>
      <c r="DB132" s="1471">
        <f t="shared" si="127"/>
        <v>0</v>
      </c>
      <c r="DC132" s="459">
        <f t="shared" si="127"/>
        <v>0</v>
      </c>
      <c r="DD132" s="459">
        <f t="shared" si="127"/>
        <v>0</v>
      </c>
      <c r="DE132" s="459"/>
      <c r="DF132" s="459"/>
      <c r="DG132" s="1483"/>
      <c r="DH132" s="1471"/>
      <c r="DI132" s="459"/>
      <c r="DJ132" s="459"/>
      <c r="DK132" s="459"/>
      <c r="DL132" s="459"/>
      <c r="DM132" s="459"/>
      <c r="DN132" s="459"/>
      <c r="DO132" s="459"/>
      <c r="DP132" s="459"/>
      <c r="DQ132" s="339"/>
      <c r="DR132" s="459"/>
      <c r="DS132" s="459">
        <f>SUM(DS$107:DS$112)</f>
        <v>16.1142</v>
      </c>
      <c r="DT132" s="459">
        <f t="shared" ref="DT132:EH132" si="128">SUM(DT$107:DT$112)</f>
        <v>17.269020000000001</v>
      </c>
      <c r="DU132" s="459">
        <f>SUM(DU$107:DU$112)</f>
        <v>5.605669166666666</v>
      </c>
      <c r="DV132" s="1483">
        <f t="shared" si="128"/>
        <v>5.4921350000000011</v>
      </c>
      <c r="DW132" s="1471">
        <f t="shared" si="128"/>
        <v>6.8726517391304345</v>
      </c>
      <c r="DX132" s="459">
        <f t="shared" si="128"/>
        <v>7.1523333333333339</v>
      </c>
      <c r="DY132" s="459">
        <f t="shared" si="128"/>
        <v>7.2654182608695645</v>
      </c>
      <c r="DZ132" s="459">
        <f t="shared" si="128"/>
        <v>7.2346883333333336</v>
      </c>
      <c r="EA132" s="459">
        <f t="shared" si="128"/>
        <v>6.9420358333333336</v>
      </c>
      <c r="EB132" s="459">
        <f t="shared" si="128"/>
        <v>7.5514133333333335</v>
      </c>
      <c r="EC132" s="459">
        <f t="shared" si="128"/>
        <v>7.7438399999999996</v>
      </c>
      <c r="ED132" s="459">
        <f t="shared" si="128"/>
        <v>7.6956075000000004</v>
      </c>
      <c r="EE132" s="1483">
        <f t="shared" si="128"/>
        <v>7.6256249999999994</v>
      </c>
      <c r="EF132" s="1471">
        <f t="shared" si="128"/>
        <v>0</v>
      </c>
      <c r="EG132" s="459">
        <f t="shared" si="128"/>
        <v>0</v>
      </c>
      <c r="EH132" s="459">
        <f t="shared" si="128"/>
        <v>0</v>
      </c>
      <c r="EI132" s="459"/>
      <c r="EJ132" s="459"/>
      <c r="EK132" s="1483"/>
      <c r="EL132" s="1471"/>
      <c r="EM132" s="459"/>
      <c r="EN132" s="459"/>
      <c r="EO132" s="459"/>
      <c r="EP132" s="459"/>
      <c r="EQ132" s="459"/>
      <c r="ER132" s="459"/>
      <c r="ES132" s="459"/>
      <c r="ET132" s="459"/>
      <c r="EU132" s="339"/>
      <c r="EV132" s="459">
        <f>SUM(EV$107:EV$112)</f>
        <v>0.57925500000000008</v>
      </c>
      <c r="EW132" s="459">
        <f t="shared" ref="EW132:FK132" si="129">SUM(EW$107:EW$112)</f>
        <v>0.39134083333333325</v>
      </c>
      <c r="EX132" s="459">
        <f t="shared" si="129"/>
        <v>6.9958333333333331E-2</v>
      </c>
      <c r="EY132" s="1483">
        <f t="shared" si="129"/>
        <v>7.5093750000000001E-2</v>
      </c>
      <c r="EZ132" s="1471">
        <f t="shared" si="129"/>
        <v>1.8306417391304346</v>
      </c>
      <c r="FA132" s="459">
        <f t="shared" si="129"/>
        <v>2.5750000000000002</v>
      </c>
      <c r="FB132" s="459">
        <f t="shared" si="129"/>
        <v>2.5931458823529412</v>
      </c>
      <c r="FC132" s="459">
        <f t="shared" si="129"/>
        <v>2.392665</v>
      </c>
      <c r="FD132" s="459">
        <f t="shared" si="129"/>
        <v>1.9742000000000002</v>
      </c>
      <c r="FE132" s="459">
        <f t="shared" si="129"/>
        <v>2.2732262500000004</v>
      </c>
      <c r="FF132" s="459">
        <f t="shared" si="129"/>
        <v>1.2447916666666667</v>
      </c>
      <c r="FG132" s="459">
        <f t="shared" si="129"/>
        <v>1.9791950000000003</v>
      </c>
      <c r="FH132" s="1483">
        <f t="shared" si="129"/>
        <v>2.7313512500000003</v>
      </c>
      <c r="FI132" s="1471">
        <f t="shared" si="129"/>
        <v>0</v>
      </c>
      <c r="FJ132" s="459">
        <f t="shared" si="129"/>
        <v>0</v>
      </c>
      <c r="FK132" s="459">
        <f t="shared" si="129"/>
        <v>0</v>
      </c>
      <c r="FL132" s="459"/>
      <c r="FM132" s="459"/>
      <c r="FN132" s="1483"/>
      <c r="FO132" s="1471"/>
      <c r="FP132" s="459"/>
      <c r="FQ132" s="459"/>
      <c r="FR132" s="459"/>
      <c r="FS132" s="459"/>
      <c r="FT132" s="459"/>
      <c r="FU132" s="459"/>
      <c r="FV132" s="459"/>
      <c r="FW132" s="459"/>
    </row>
    <row r="133" spans="3:180" hidden="1" x14ac:dyDescent="0.35">
      <c r="C133" s="444" t="s">
        <v>294</v>
      </c>
      <c r="D133" s="444"/>
      <c r="E133" s="444"/>
      <c r="F133" s="1044" t="e">
        <f t="shared" ref="F133:U133" si="130">(F$193+F$196+BL$59+CO$59+SUM(DS$107:DS$112)+SUM(EV$107:EV$112))/F$59</f>
        <v>#DIV/0!</v>
      </c>
      <c r="G133" s="469" t="e">
        <f t="shared" si="130"/>
        <v>#DIV/0!</v>
      </c>
      <c r="H133" s="469" t="e">
        <f t="shared" si="130"/>
        <v>#DIV/0!</v>
      </c>
      <c r="I133" s="1257" t="e">
        <f t="shared" si="130"/>
        <v>#DIV/0!</v>
      </c>
      <c r="J133" s="1202" t="e">
        <f t="shared" si="130"/>
        <v>#DIV/0!</v>
      </c>
      <c r="K133" s="254" t="e">
        <f t="shared" si="130"/>
        <v>#DIV/0!</v>
      </c>
      <c r="L133" s="254" t="e">
        <f t="shared" si="130"/>
        <v>#DIV/0!</v>
      </c>
      <c r="M133" s="254" t="e">
        <f t="shared" si="130"/>
        <v>#DIV/0!</v>
      </c>
      <c r="N133" s="254" t="e">
        <f t="shared" si="130"/>
        <v>#DIV/0!</v>
      </c>
      <c r="O133" s="254" t="e">
        <f t="shared" si="130"/>
        <v>#DIV/0!</v>
      </c>
      <c r="P133" s="254" t="e">
        <f t="shared" si="130"/>
        <v>#DIV/0!</v>
      </c>
      <c r="Q133" s="254" t="e">
        <f t="shared" si="130"/>
        <v>#DIV/0!</v>
      </c>
      <c r="R133" s="1257" t="e">
        <f t="shared" si="130"/>
        <v>#DIV/0!</v>
      </c>
      <c r="S133" s="1202" t="e">
        <f t="shared" si="130"/>
        <v>#DIV/0!</v>
      </c>
      <c r="T133" s="254" t="e">
        <f t="shared" si="130"/>
        <v>#DIV/0!</v>
      </c>
      <c r="U133" s="254" t="e">
        <f t="shared" si="130"/>
        <v>#DIV/0!</v>
      </c>
      <c r="AI133" s="468"/>
      <c r="AJ133" s="468"/>
      <c r="AK133" s="468"/>
      <c r="AL133" s="1264"/>
      <c r="AM133" s="1210"/>
      <c r="AN133" s="468"/>
      <c r="AO133" s="468"/>
      <c r="AP133" s="468"/>
      <c r="AQ133" s="468"/>
      <c r="AR133" s="468"/>
      <c r="AS133" s="468"/>
      <c r="AT133" s="468"/>
      <c r="AU133" s="1264"/>
      <c r="AV133" s="1210"/>
      <c r="AW133" s="468"/>
      <c r="AX133" s="468"/>
      <c r="AY133" s="468"/>
      <c r="AZ133" s="468"/>
      <c r="BA133" s="1264"/>
      <c r="BB133" s="1210"/>
      <c r="BC133" s="468"/>
      <c r="BD133" s="468"/>
      <c r="BE133" s="468"/>
      <c r="BF133" s="468"/>
      <c r="BG133" s="468"/>
      <c r="BH133" s="468"/>
      <c r="BI133" s="468"/>
      <c r="BJ133" s="468"/>
      <c r="BL133" s="468"/>
      <c r="BM133" s="468"/>
      <c r="BN133" s="468"/>
      <c r="BO133" s="1264"/>
      <c r="BP133" s="1210"/>
      <c r="BQ133" s="468"/>
      <c r="BR133" s="468"/>
      <c r="BS133" s="468"/>
      <c r="BT133" s="468"/>
      <c r="BU133" s="468"/>
      <c r="BV133" s="468"/>
      <c r="BW133" s="468"/>
      <c r="BX133" s="1264"/>
      <c r="BY133" s="1210"/>
      <c r="BZ133" s="468"/>
      <c r="CA133" s="468"/>
      <c r="CB133" s="468"/>
      <c r="CC133" s="468"/>
      <c r="CD133" s="1264"/>
      <c r="CE133" s="1210"/>
      <c r="CF133" s="468"/>
      <c r="CG133" s="468"/>
      <c r="CH133" s="468"/>
      <c r="CI133" s="468"/>
      <c r="CJ133" s="468"/>
      <c r="CK133" s="468"/>
      <c r="CL133" s="468"/>
      <c r="CM133" s="468"/>
      <c r="CO133" s="468"/>
      <c r="CP133" s="468"/>
      <c r="CQ133" s="468"/>
      <c r="CR133" s="1264"/>
      <c r="CS133" s="1210"/>
      <c r="CT133" s="468"/>
      <c r="CU133" s="468"/>
      <c r="CV133" s="468"/>
      <c r="CW133" s="468"/>
      <c r="CX133" s="468"/>
      <c r="CY133" s="470"/>
      <c r="CZ133" s="470"/>
      <c r="DA133" s="1500"/>
      <c r="DB133" s="1491"/>
      <c r="DC133" s="470"/>
      <c r="DD133" s="470"/>
      <c r="DE133" s="468"/>
      <c r="DF133" s="468"/>
      <c r="DG133" s="1264"/>
      <c r="DH133" s="1210"/>
      <c r="DI133" s="468"/>
      <c r="DJ133" s="468"/>
      <c r="DK133" s="468"/>
      <c r="DL133" s="468"/>
      <c r="DM133" s="468"/>
      <c r="DN133" s="468"/>
      <c r="DO133" s="468"/>
      <c r="DP133" s="468"/>
      <c r="DR133" s="471"/>
      <c r="DS133" s="472"/>
      <c r="DT133" s="472"/>
      <c r="DU133" s="472"/>
      <c r="DV133" s="1561"/>
      <c r="DW133" s="1543"/>
      <c r="DX133" s="472"/>
      <c r="DY133" s="472"/>
      <c r="DZ133" s="472"/>
      <c r="EA133" s="472"/>
      <c r="EB133" s="472"/>
      <c r="EC133" s="472"/>
      <c r="ED133" s="472"/>
      <c r="EE133" s="1561"/>
      <c r="EF133" s="1543"/>
      <c r="EG133" s="472"/>
      <c r="EH133" s="472"/>
      <c r="EI133" s="472"/>
      <c r="EJ133" s="472"/>
      <c r="EK133" s="1561"/>
      <c r="EL133" s="1543"/>
      <c r="EM133" s="472"/>
      <c r="EN133" s="472"/>
      <c r="EO133" s="472"/>
      <c r="EP133" s="472"/>
      <c r="EQ133" s="472"/>
      <c r="ER133" s="472"/>
      <c r="ES133" s="472"/>
      <c r="ET133" s="472"/>
      <c r="EV133" s="472"/>
      <c r="EW133" s="472"/>
      <c r="EX133" s="472"/>
      <c r="EY133" s="1561"/>
      <c r="EZ133" s="1543"/>
      <c r="FA133" s="472"/>
      <c r="FB133" s="472"/>
      <c r="FC133" s="472"/>
      <c r="FD133" s="472"/>
      <c r="FE133" s="472"/>
      <c r="FF133" s="472"/>
      <c r="FG133" s="472"/>
      <c r="FH133" s="1561"/>
      <c r="FI133" s="1210"/>
      <c r="FJ133" s="473"/>
      <c r="FK133" s="468"/>
      <c r="FL133" s="468"/>
      <c r="FM133" s="468"/>
      <c r="FN133" s="1264"/>
      <c r="FO133" s="1210"/>
      <c r="FP133" s="468"/>
      <c r="FQ133" s="468"/>
      <c r="FR133" s="468"/>
      <c r="FS133" s="468"/>
      <c r="FT133" s="468"/>
      <c r="FU133" s="468"/>
      <c r="FV133" s="468"/>
      <c r="FW133" s="468"/>
    </row>
    <row r="134" spans="3:180" x14ac:dyDescent="0.35">
      <c r="C134" s="444"/>
      <c r="D134" s="444"/>
      <c r="E134" s="444"/>
      <c r="F134" s="1044"/>
      <c r="G134" s="468"/>
      <c r="H134" s="468"/>
      <c r="AI134" s="468"/>
      <c r="AJ134" s="468"/>
      <c r="AK134" s="468"/>
      <c r="AL134" s="1264"/>
      <c r="AM134" s="1210"/>
      <c r="AN134" s="468"/>
      <c r="AO134" s="468"/>
      <c r="AP134" s="468"/>
      <c r="AQ134" s="468"/>
      <c r="AR134" s="468"/>
      <c r="AS134" s="468"/>
      <c r="AT134" s="468"/>
      <c r="AU134" s="1264"/>
      <c r="AV134" s="1210"/>
      <c r="AW134" s="468"/>
      <c r="AX134" s="468"/>
      <c r="AY134" s="468"/>
      <c r="AZ134" s="468"/>
      <c r="BA134" s="1264"/>
      <c r="BB134" s="1210"/>
      <c r="BC134" s="468"/>
      <c r="BD134" s="468"/>
      <c r="BE134" s="468"/>
      <c r="BF134" s="468"/>
      <c r="BG134" s="468"/>
      <c r="BH134" s="468"/>
      <c r="BI134" s="468"/>
      <c r="BJ134" s="468"/>
      <c r="BL134" s="468"/>
      <c r="BM134" s="468"/>
      <c r="BN134" s="468"/>
      <c r="BO134" s="1264"/>
      <c r="BP134" s="1210"/>
      <c r="BQ134" s="468"/>
      <c r="BR134" s="468"/>
      <c r="BS134" s="468"/>
      <c r="BT134" s="468"/>
      <c r="BU134" s="468"/>
      <c r="BV134" s="468"/>
      <c r="BW134" s="468"/>
      <c r="BX134" s="1264"/>
      <c r="BY134" s="1210"/>
      <c r="BZ134" s="468"/>
      <c r="CA134" s="468"/>
      <c r="CB134" s="468"/>
      <c r="CC134" s="468"/>
      <c r="CD134" s="1264"/>
      <c r="CE134" s="1210"/>
      <c r="CF134" s="468"/>
      <c r="CG134" s="468"/>
      <c r="CH134" s="468"/>
      <c r="CI134" s="468"/>
      <c r="CJ134" s="468"/>
      <c r="CK134" s="468"/>
      <c r="CL134" s="468"/>
      <c r="CM134" s="468"/>
      <c r="CO134" s="468"/>
      <c r="CP134" s="468"/>
      <c r="CQ134" s="468"/>
      <c r="CR134" s="1264"/>
      <c r="CS134" s="1210"/>
      <c r="CT134" s="468"/>
      <c r="CU134" s="468"/>
      <c r="CV134" s="468"/>
      <c r="CW134" s="468"/>
      <c r="CX134" s="468"/>
      <c r="CY134" s="470"/>
      <c r="CZ134" s="470"/>
      <c r="DA134" s="1500"/>
      <c r="DB134" s="1491"/>
      <c r="DC134" s="470"/>
      <c r="DD134" s="470"/>
      <c r="DE134" s="468"/>
      <c r="DF134" s="468"/>
      <c r="DG134" s="1264"/>
      <c r="DH134" s="1210"/>
      <c r="DI134" s="468"/>
      <c r="DJ134" s="468"/>
      <c r="DK134" s="468"/>
      <c r="DL134" s="468"/>
      <c r="DM134" s="468"/>
      <c r="DN134" s="468"/>
      <c r="DO134" s="468"/>
      <c r="DP134" s="468"/>
      <c r="DR134" s="471"/>
      <c r="DS134" s="472"/>
      <c r="DT134" s="472"/>
      <c r="DU134" s="472"/>
      <c r="DV134" s="1561"/>
      <c r="DW134" s="1543"/>
      <c r="DX134" s="472"/>
      <c r="DY134" s="472"/>
      <c r="DZ134" s="472"/>
      <c r="EA134" s="472"/>
      <c r="EB134" s="472"/>
      <c r="EC134" s="472"/>
      <c r="ED134" s="472"/>
      <c r="EE134" s="1561"/>
      <c r="EF134" s="1543"/>
      <c r="EG134" s="472"/>
      <c r="EH134" s="472"/>
      <c r="EI134" s="472"/>
      <c r="EJ134" s="472"/>
      <c r="EK134" s="1561"/>
      <c r="EL134" s="1543"/>
      <c r="EM134" s="472"/>
      <c r="EN134" s="472"/>
      <c r="EO134" s="472"/>
      <c r="EP134" s="472"/>
      <c r="EQ134" s="472"/>
      <c r="ER134" s="472"/>
      <c r="ES134" s="472"/>
      <c r="ET134" s="472"/>
      <c r="EV134" s="472"/>
      <c r="EW134" s="472"/>
      <c r="EX134" s="472"/>
      <c r="EY134" s="1561"/>
      <c r="EZ134" s="1543"/>
      <c r="FA134" s="472"/>
      <c r="FB134" s="472"/>
      <c r="FC134" s="472"/>
      <c r="FD134" s="472"/>
      <c r="FE134" s="472"/>
      <c r="FF134" s="472"/>
      <c r="FG134" s="472"/>
      <c r="FH134" s="1561"/>
      <c r="FI134" s="1210"/>
      <c r="FJ134" s="473"/>
      <c r="FK134" s="468"/>
      <c r="FL134" s="468"/>
      <c r="FM134" s="468"/>
      <c r="FN134" s="1264"/>
      <c r="FO134" s="1210"/>
      <c r="FP134" s="468"/>
      <c r="FQ134" s="468"/>
      <c r="FR134" s="468"/>
      <c r="FS134" s="468"/>
      <c r="FT134" s="468"/>
      <c r="FU134" s="468"/>
      <c r="FV134" s="468"/>
      <c r="FW134" s="468"/>
    </row>
    <row r="135" spans="3:180" x14ac:dyDescent="0.35">
      <c r="C135" s="444" t="s">
        <v>435</v>
      </c>
      <c r="D135" s="444"/>
      <c r="E135" s="444"/>
      <c r="F135" s="492" t="e">
        <f t="shared" ref="F135:U135" si="131">(AI$132+BL$132+CO$132+DS$132+EV$132+F$193+F$196)/F$132</f>
        <v>#DIV/0!</v>
      </c>
      <c r="G135" s="446" t="e">
        <f t="shared" si="131"/>
        <v>#DIV/0!</v>
      </c>
      <c r="H135" s="446" t="e">
        <f t="shared" si="131"/>
        <v>#DIV/0!</v>
      </c>
      <c r="I135" s="1242" t="e">
        <f t="shared" si="131"/>
        <v>#DIV/0!</v>
      </c>
      <c r="J135" s="419" t="e">
        <f t="shared" si="131"/>
        <v>#DIV/0!</v>
      </c>
      <c r="K135" s="249" t="e">
        <f t="shared" si="131"/>
        <v>#DIV/0!</v>
      </c>
      <c r="L135" s="249" t="e">
        <f t="shared" si="131"/>
        <v>#DIV/0!</v>
      </c>
      <c r="M135" s="249" t="e">
        <f t="shared" si="131"/>
        <v>#DIV/0!</v>
      </c>
      <c r="N135" s="249" t="e">
        <f t="shared" si="131"/>
        <v>#DIV/0!</v>
      </c>
      <c r="O135" s="249" t="e">
        <f t="shared" si="131"/>
        <v>#DIV/0!</v>
      </c>
      <c r="P135" s="249" t="e">
        <f t="shared" si="131"/>
        <v>#DIV/0!</v>
      </c>
      <c r="Q135" s="249" t="e">
        <f t="shared" si="131"/>
        <v>#DIV/0!</v>
      </c>
      <c r="R135" s="1242" t="e">
        <f t="shared" si="131"/>
        <v>#DIV/0!</v>
      </c>
      <c r="S135" s="419" t="e">
        <f t="shared" si="131"/>
        <v>#DIV/0!</v>
      </c>
      <c r="T135" s="249" t="e">
        <f t="shared" si="131"/>
        <v>#DIV/0!</v>
      </c>
      <c r="U135" s="249" t="e">
        <f t="shared" si="131"/>
        <v>#DIV/0!</v>
      </c>
      <c r="V135" s="249" t="e">
        <f t="shared" ref="V135" si="132">(AY$132+CB$132+DE$132+EI$132+FL$132+V$192+V$195)/V$132</f>
        <v>#DIV/0!</v>
      </c>
      <c r="W135" s="249" t="e">
        <f t="shared" ref="W135" si="133">(BK$132+CN$132+DQ$132+EU$132+FX$132+W$192+W$195)/W$132</f>
        <v>#DIV/0!</v>
      </c>
      <c r="X135" s="1242" t="e">
        <f t="shared" ref="X135" si="134">(BL$132+CO$132+DR$132+EV$132+FY$132+X$192+X$195)/X$132</f>
        <v>#DIV/0!</v>
      </c>
      <c r="Y135" s="419" t="e">
        <f t="shared" ref="Y135" si="135">(BM$132+CP$132+DS$132+EW$132+FZ$132+Y$192+Y$195)/Y$132</f>
        <v>#DIV/0!</v>
      </c>
      <c r="Z135" s="249" t="e">
        <f t="shared" ref="Z135" si="136">(BN$132+CQ$132+DT$132+EX$132+GA$132+Z$192+Z$195)/Z$132</f>
        <v>#DIV/0!</v>
      </c>
      <c r="AA135" s="249" t="e">
        <f t="shared" ref="AA135" si="137">(BO$132+CR$132+DU$132+EY$132+GB$132+AA$192+AA$195)/AA$132</f>
        <v>#DIV/0!</v>
      </c>
      <c r="AB135" s="249" t="e">
        <f t="shared" ref="AB135" si="138">(BP$132+CS$132+DV$132+EZ$132+GC$132+AB$192+AB$195)/AB$132</f>
        <v>#DIV/0!</v>
      </c>
      <c r="AC135" s="249" t="e">
        <f t="shared" ref="AC135" si="139">(BQ$132+CT$132+DW$132+FA$132+GD$132+AC$192+AC$195)/AC$132</f>
        <v>#DIV/0!</v>
      </c>
      <c r="AD135" s="249" t="e">
        <f t="shared" ref="AD135" si="140">(BR$132+CU$132+DX$132+FB$132+GE$132+AD$192+AD$195)/AD$132</f>
        <v>#DIV/0!</v>
      </c>
      <c r="AE135" s="249" t="e">
        <f t="shared" ref="AE135" si="141">(BS$132+CV$132+DY$132+FC$132+GF$132+AE$192+AE$195)/AE$132</f>
        <v>#DIV/0!</v>
      </c>
      <c r="AF135" s="249" t="e">
        <f t="shared" ref="AF135" si="142">(BT$132+CW$132+DZ$132+FD$132+GG$132+AF$192+AF$195)/AF$132</f>
        <v>#DIV/0!</v>
      </c>
      <c r="AG135" s="249" t="e">
        <f t="shared" ref="AG135" si="143">(BU$132+CX$132+EA$132+FE$132+GH$132+AG$192+AG$195)/AG$132</f>
        <v>#DIV/0!</v>
      </c>
      <c r="AI135" s="468"/>
      <c r="AJ135" s="468"/>
      <c r="AK135" s="468"/>
      <c r="AL135" s="1264"/>
      <c r="AM135" s="1210"/>
      <c r="AN135" s="468"/>
      <c r="AO135" s="468"/>
      <c r="AP135" s="468"/>
      <c r="AQ135" s="468"/>
      <c r="AR135" s="468"/>
      <c r="AS135" s="468"/>
      <c r="AT135" s="468"/>
      <c r="AU135" s="1264"/>
      <c r="AV135" s="1210"/>
      <c r="AW135" s="468"/>
      <c r="AX135" s="468"/>
      <c r="AY135" s="468"/>
      <c r="AZ135" s="468"/>
      <c r="BA135" s="1264"/>
      <c r="BB135" s="1210"/>
      <c r="BC135" s="468"/>
      <c r="BD135" s="468"/>
      <c r="BE135" s="468"/>
      <c r="BF135" s="468"/>
      <c r="BG135" s="468"/>
      <c r="BH135" s="468"/>
      <c r="BI135" s="468"/>
      <c r="BJ135" s="468"/>
      <c r="BL135" s="468"/>
      <c r="BM135" s="468"/>
      <c r="BN135" s="468"/>
      <c r="BO135" s="1264"/>
      <c r="BP135" s="1210"/>
      <c r="BQ135" s="468"/>
      <c r="BR135" s="468"/>
      <c r="BS135" s="468"/>
      <c r="BT135" s="468"/>
      <c r="BU135" s="468"/>
      <c r="BV135" s="468"/>
      <c r="BW135" s="468"/>
      <c r="BX135" s="1264"/>
      <c r="BY135" s="1210"/>
      <c r="BZ135" s="468"/>
      <c r="CA135" s="468"/>
      <c r="CB135" s="468"/>
      <c r="CC135" s="468"/>
      <c r="CD135" s="1264"/>
      <c r="CE135" s="1210"/>
      <c r="CF135" s="468"/>
      <c r="CG135" s="468"/>
      <c r="CH135" s="468"/>
      <c r="CI135" s="468"/>
      <c r="CJ135" s="468"/>
      <c r="CK135" s="468"/>
      <c r="CL135" s="468"/>
      <c r="CM135" s="468"/>
      <c r="CO135" s="468"/>
      <c r="CP135" s="468"/>
      <c r="CQ135" s="468"/>
      <c r="CR135" s="1264"/>
      <c r="CS135" s="1210"/>
      <c r="CT135" s="468"/>
      <c r="CU135" s="468"/>
      <c r="CV135" s="468"/>
      <c r="CW135" s="468"/>
      <c r="CX135" s="468"/>
      <c r="CY135" s="470"/>
      <c r="CZ135" s="470"/>
      <c r="DA135" s="1500"/>
      <c r="DB135" s="1491"/>
      <c r="DC135" s="470"/>
      <c r="DD135" s="470"/>
      <c r="DE135" s="468"/>
      <c r="DF135" s="468"/>
      <c r="DG135" s="1264"/>
      <c r="DH135" s="1210"/>
      <c r="DI135" s="468"/>
      <c r="DJ135" s="468"/>
      <c r="DK135" s="468"/>
      <c r="DL135" s="468"/>
      <c r="DM135" s="468"/>
      <c r="DN135" s="468"/>
      <c r="DO135" s="468"/>
      <c r="DP135" s="468"/>
      <c r="DR135" s="471"/>
      <c r="DS135" s="472"/>
      <c r="DT135" s="472"/>
      <c r="DU135" s="472"/>
      <c r="DV135" s="1561"/>
      <c r="DW135" s="1543"/>
      <c r="DX135" s="472"/>
      <c r="DY135" s="472"/>
      <c r="DZ135" s="472"/>
      <c r="EA135" s="472"/>
      <c r="EB135" s="472"/>
      <c r="EC135" s="472"/>
      <c r="ED135" s="472"/>
      <c r="EE135" s="1561"/>
      <c r="EF135" s="1543"/>
      <c r="EG135" s="472"/>
      <c r="EH135" s="472"/>
      <c r="EI135" s="472"/>
      <c r="EJ135" s="472"/>
      <c r="EK135" s="1561"/>
      <c r="EL135" s="1543"/>
      <c r="EM135" s="472"/>
      <c r="EN135" s="472"/>
      <c r="EO135" s="472"/>
      <c r="EP135" s="472"/>
      <c r="EQ135" s="472"/>
      <c r="ER135" s="472"/>
      <c r="ES135" s="472"/>
      <c r="ET135" s="472"/>
      <c r="EV135" s="472"/>
      <c r="EW135" s="472"/>
      <c r="EX135" s="472"/>
      <c r="EY135" s="1561"/>
      <c r="EZ135" s="1543"/>
      <c r="FA135" s="472"/>
      <c r="FB135" s="472"/>
      <c r="FC135" s="472"/>
      <c r="FD135" s="472"/>
      <c r="FE135" s="472"/>
      <c r="FF135" s="472"/>
      <c r="FG135" s="472"/>
      <c r="FH135" s="1561"/>
      <c r="FI135" s="1210"/>
      <c r="FJ135" s="473"/>
      <c r="FK135" s="468"/>
      <c r="FL135" s="468"/>
      <c r="FM135" s="468"/>
      <c r="FN135" s="1264"/>
      <c r="FO135" s="1210"/>
      <c r="FP135" s="468"/>
      <c r="FQ135" s="468"/>
      <c r="FR135" s="468"/>
      <c r="FS135" s="468"/>
      <c r="FT135" s="468"/>
      <c r="FU135" s="468"/>
      <c r="FV135" s="468"/>
      <c r="FW135" s="468"/>
    </row>
    <row r="136" spans="3:180" x14ac:dyDescent="0.35">
      <c r="C136" s="444"/>
      <c r="D136" s="444"/>
      <c r="E136" s="444"/>
      <c r="F136" s="492"/>
      <c r="G136" s="494"/>
      <c r="H136" s="446"/>
      <c r="I136" s="1242"/>
      <c r="J136" s="419"/>
      <c r="K136" s="249"/>
      <c r="L136" s="249"/>
      <c r="M136" s="249"/>
      <c r="N136" s="249"/>
      <c r="O136" s="249"/>
      <c r="P136" s="249"/>
      <c r="Q136" s="249"/>
      <c r="R136" s="1242"/>
      <c r="S136" s="419"/>
      <c r="T136" s="249"/>
      <c r="U136" s="249"/>
      <c r="V136" s="249"/>
      <c r="W136" s="249"/>
      <c r="X136" s="1242"/>
      <c r="Y136" s="419"/>
      <c r="Z136" s="249"/>
      <c r="AA136" s="249"/>
      <c r="AB136" s="249"/>
      <c r="AC136" s="249"/>
      <c r="AD136" s="249"/>
      <c r="AE136" s="249"/>
      <c r="AF136" s="249"/>
      <c r="AG136" s="249"/>
      <c r="AI136" s="468"/>
      <c r="AJ136" s="468"/>
      <c r="AK136" s="468"/>
      <c r="AL136" s="1264"/>
      <c r="AM136" s="1210"/>
      <c r="AN136" s="468"/>
      <c r="AO136" s="468"/>
      <c r="AP136" s="468"/>
      <c r="AQ136" s="468"/>
      <c r="AR136" s="468"/>
      <c r="AS136" s="468"/>
      <c r="AT136" s="468"/>
      <c r="AU136" s="1264"/>
      <c r="AV136" s="1210"/>
      <c r="AW136" s="468"/>
      <c r="AX136" s="468"/>
      <c r="AY136" s="468"/>
      <c r="AZ136" s="468"/>
      <c r="BA136" s="1264"/>
      <c r="BB136" s="1210"/>
      <c r="BC136" s="468"/>
      <c r="BD136" s="468"/>
      <c r="BE136" s="468"/>
      <c r="BF136" s="468"/>
      <c r="BG136" s="468"/>
      <c r="BH136" s="468"/>
      <c r="BI136" s="468"/>
      <c r="BJ136" s="468"/>
      <c r="BL136" s="468"/>
      <c r="BM136" s="468"/>
      <c r="BN136" s="468"/>
      <c r="BO136" s="1264"/>
      <c r="BP136" s="1210"/>
      <c r="BQ136" s="468"/>
      <c r="BR136" s="468"/>
      <c r="BS136" s="468"/>
      <c r="BT136" s="468"/>
      <c r="BU136" s="468"/>
      <c r="BV136" s="468"/>
      <c r="BW136" s="468"/>
      <c r="BX136" s="1264"/>
      <c r="BY136" s="1210"/>
      <c r="BZ136" s="468"/>
      <c r="CA136" s="468"/>
      <c r="CB136" s="468"/>
      <c r="CC136" s="468"/>
      <c r="CD136" s="1264"/>
      <c r="CE136" s="1210"/>
      <c r="CF136" s="468"/>
      <c r="CG136" s="468"/>
      <c r="CH136" s="468"/>
      <c r="CI136" s="468"/>
      <c r="CJ136" s="468"/>
      <c r="CK136" s="468"/>
      <c r="CL136" s="468"/>
      <c r="CM136" s="468"/>
      <c r="CO136" s="468"/>
      <c r="CP136" s="468"/>
      <c r="CQ136" s="468"/>
      <c r="CR136" s="1264"/>
      <c r="CS136" s="1210"/>
      <c r="CT136" s="468"/>
      <c r="CU136" s="468"/>
      <c r="CV136" s="468"/>
      <c r="CW136" s="468"/>
      <c r="CX136" s="468"/>
      <c r="CY136" s="470"/>
      <c r="CZ136" s="470"/>
      <c r="DA136" s="1500"/>
      <c r="DB136" s="1491"/>
      <c r="DC136" s="470"/>
      <c r="DD136" s="470"/>
      <c r="DE136" s="468"/>
      <c r="DF136" s="468"/>
      <c r="DG136" s="1264"/>
      <c r="DH136" s="1210"/>
      <c r="DI136" s="468"/>
      <c r="DJ136" s="468"/>
      <c r="DK136" s="468"/>
      <c r="DL136" s="468"/>
      <c r="DM136" s="468"/>
      <c r="DN136" s="468"/>
      <c r="DO136" s="468"/>
      <c r="DP136" s="468"/>
      <c r="DR136" s="471"/>
      <c r="DS136" s="472"/>
      <c r="DT136" s="472"/>
      <c r="DU136" s="472"/>
      <c r="DV136" s="1561"/>
      <c r="DW136" s="1543"/>
      <c r="DX136" s="472"/>
      <c r="DY136" s="472"/>
      <c r="DZ136" s="472"/>
      <c r="EA136" s="472"/>
      <c r="EB136" s="472"/>
      <c r="EC136" s="472"/>
      <c r="ED136" s="472"/>
      <c r="EE136" s="1561"/>
      <c r="EF136" s="1543"/>
      <c r="EG136" s="472"/>
      <c r="EH136" s="472"/>
      <c r="EI136" s="472"/>
      <c r="EJ136" s="472"/>
      <c r="EK136" s="1561"/>
      <c r="EL136" s="1543"/>
      <c r="EM136" s="472"/>
      <c r="EN136" s="472"/>
      <c r="EO136" s="472"/>
      <c r="EP136" s="472"/>
      <c r="EQ136" s="472"/>
      <c r="ER136" s="472"/>
      <c r="ES136" s="472"/>
      <c r="ET136" s="472"/>
      <c r="EV136" s="472"/>
      <c r="EW136" s="472"/>
      <c r="EX136" s="472"/>
      <c r="EY136" s="1561"/>
      <c r="EZ136" s="1543"/>
      <c r="FA136" s="472"/>
      <c r="FB136" s="472"/>
      <c r="FC136" s="472"/>
      <c r="FD136" s="472"/>
      <c r="FE136" s="472"/>
      <c r="FF136" s="472"/>
      <c r="FG136" s="472"/>
      <c r="FH136" s="1561"/>
      <c r="FI136" s="1210"/>
      <c r="FJ136" s="473"/>
      <c r="FK136" s="468"/>
      <c r="FL136" s="468"/>
      <c r="FM136" s="468"/>
      <c r="FN136" s="1264"/>
      <c r="FO136" s="1210"/>
      <c r="FP136" s="468"/>
      <c r="FQ136" s="468"/>
      <c r="FR136" s="468"/>
      <c r="FS136" s="468"/>
      <c r="FT136" s="468"/>
      <c r="FU136" s="468"/>
      <c r="FV136" s="468"/>
      <c r="FW136" s="468"/>
    </row>
    <row r="137" spans="3:180" x14ac:dyDescent="0.35">
      <c r="C137" s="444" t="s">
        <v>436</v>
      </c>
      <c r="D137" s="444"/>
      <c r="E137" s="444"/>
      <c r="F137" s="492" t="e">
        <f>((SUM(DS$117:DS$122)+SUM(EV117:EV122)+BL$101+CO$101+AI$101)/F$101)</f>
        <v>#DIV/0!</v>
      </c>
      <c r="G137" s="446" t="e">
        <f>((SUM(DT$117:DT$122)+SUM(EW117:EW122)+BM$101+CP$101+AJ101)/G$101)</f>
        <v>#DIV/0!</v>
      </c>
      <c r="H137" s="446" t="e">
        <f>((SUM(DU$117:DU$122)+SUM(EX117:EX122)+BN$101+CQ$101+AK101)/H$101)</f>
        <v>#DIV/0!</v>
      </c>
      <c r="I137" s="1242" t="e">
        <f t="shared" ref="I137:V137" si="144">((SUM(DV$117:DV$122)+SUM(EY117:EY122)+BO$101+CR$101)/I$101)</f>
        <v>#DIV/0!</v>
      </c>
      <c r="J137" s="419" t="e">
        <f t="shared" si="144"/>
        <v>#DIV/0!</v>
      </c>
      <c r="K137" s="249" t="e">
        <f t="shared" si="144"/>
        <v>#DIV/0!</v>
      </c>
      <c r="L137" s="249" t="e">
        <f t="shared" si="144"/>
        <v>#DIV/0!</v>
      </c>
      <c r="M137" s="249" t="e">
        <f t="shared" si="144"/>
        <v>#DIV/0!</v>
      </c>
      <c r="N137" s="249" t="e">
        <f t="shared" si="144"/>
        <v>#DIV/0!</v>
      </c>
      <c r="O137" s="249" t="e">
        <f t="shared" si="144"/>
        <v>#DIV/0!</v>
      </c>
      <c r="P137" s="249" t="e">
        <f t="shared" si="144"/>
        <v>#DIV/0!</v>
      </c>
      <c r="Q137" s="249" t="e">
        <f t="shared" si="144"/>
        <v>#DIV/0!</v>
      </c>
      <c r="R137" s="1242" t="e">
        <f t="shared" si="144"/>
        <v>#DIV/0!</v>
      </c>
      <c r="S137" s="419" t="e">
        <f t="shared" si="144"/>
        <v>#DIV/0!</v>
      </c>
      <c r="T137" s="249" t="e">
        <f t="shared" si="144"/>
        <v>#DIV/0!</v>
      </c>
      <c r="U137" s="249" t="e">
        <f t="shared" si="144"/>
        <v>#DIV/0!</v>
      </c>
      <c r="V137" s="249" t="e">
        <f t="shared" si="144"/>
        <v>#DIV/0!</v>
      </c>
      <c r="W137" s="249" t="e">
        <f t="shared" ref="W137:AG137" si="145">((SUM(EU$117:EU$122)+SUM(FX117:FX122)+CN$101+DQ$101)/W$101)</f>
        <v>#DIV/0!</v>
      </c>
      <c r="X137" s="1242" t="e">
        <f t="shared" si="145"/>
        <v>#DIV/0!</v>
      </c>
      <c r="Y137" s="419" t="e">
        <f t="shared" si="145"/>
        <v>#DIV/0!</v>
      </c>
      <c r="Z137" s="249" t="e">
        <f t="shared" si="145"/>
        <v>#DIV/0!</v>
      </c>
      <c r="AA137" s="249" t="e">
        <f t="shared" si="145"/>
        <v>#DIV/0!</v>
      </c>
      <c r="AB137" s="249" t="e">
        <f t="shared" si="145"/>
        <v>#DIV/0!</v>
      </c>
      <c r="AC137" s="249" t="e">
        <f t="shared" si="145"/>
        <v>#DIV/0!</v>
      </c>
      <c r="AD137" s="249" t="e">
        <f t="shared" si="145"/>
        <v>#DIV/0!</v>
      </c>
      <c r="AE137" s="249" t="e">
        <f t="shared" si="145"/>
        <v>#DIV/0!</v>
      </c>
      <c r="AF137" s="249" t="e">
        <f t="shared" si="145"/>
        <v>#DIV/0!</v>
      </c>
      <c r="AG137" s="249" t="e">
        <f t="shared" si="145"/>
        <v>#DIV/0!</v>
      </c>
      <c r="AI137" s="468"/>
      <c r="AJ137" s="468"/>
      <c r="AK137" s="468"/>
      <c r="AL137" s="1264"/>
      <c r="AM137" s="1210"/>
      <c r="AN137" s="468"/>
      <c r="AO137" s="468"/>
      <c r="AP137" s="468"/>
      <c r="AQ137" s="468"/>
      <c r="AR137" s="468"/>
      <c r="AS137" s="468"/>
      <c r="AT137" s="468"/>
      <c r="AU137" s="1264"/>
      <c r="AV137" s="1210"/>
      <c r="AW137" s="468"/>
      <c r="AX137" s="468"/>
      <c r="AY137" s="468"/>
      <c r="AZ137" s="468"/>
      <c r="BA137" s="1264"/>
      <c r="BB137" s="1210"/>
      <c r="BC137" s="468"/>
      <c r="BD137" s="468"/>
      <c r="BE137" s="468"/>
      <c r="BF137" s="468"/>
      <c r="BG137" s="468"/>
      <c r="BH137" s="468"/>
      <c r="BI137" s="468"/>
      <c r="BJ137" s="468"/>
      <c r="BL137" s="468"/>
      <c r="BM137" s="468"/>
      <c r="BN137" s="468"/>
      <c r="BO137" s="1264"/>
      <c r="BP137" s="1210"/>
      <c r="BQ137" s="468"/>
      <c r="BR137" s="468"/>
      <c r="BS137" s="468"/>
      <c r="BT137" s="468"/>
      <c r="BU137" s="468"/>
      <c r="BV137" s="468"/>
      <c r="BW137" s="468"/>
      <c r="BX137" s="1264"/>
      <c r="BY137" s="1210"/>
      <c r="BZ137" s="468"/>
      <c r="CA137" s="468"/>
      <c r="CB137" s="468"/>
      <c r="CC137" s="468"/>
      <c r="CD137" s="1264"/>
      <c r="CE137" s="1210"/>
      <c r="CF137" s="468"/>
      <c r="CG137" s="468"/>
      <c r="CH137" s="468"/>
      <c r="CI137" s="468"/>
      <c r="CJ137" s="468"/>
      <c r="CK137" s="468"/>
      <c r="CL137" s="468"/>
      <c r="CM137" s="468"/>
      <c r="CO137" s="468"/>
      <c r="CP137" s="468"/>
      <c r="CQ137" s="468"/>
      <c r="CR137" s="1264"/>
      <c r="CS137" s="1210"/>
      <c r="CT137" s="468"/>
      <c r="CU137" s="468"/>
      <c r="CV137" s="468"/>
      <c r="CW137" s="468"/>
      <c r="CX137" s="468"/>
      <c r="CY137" s="470"/>
      <c r="CZ137" s="470"/>
      <c r="DA137" s="1500"/>
      <c r="DB137" s="1491"/>
      <c r="DC137" s="470"/>
      <c r="DD137" s="470"/>
      <c r="DE137" s="468"/>
      <c r="DF137" s="468"/>
      <c r="DG137" s="1264"/>
      <c r="DH137" s="1210"/>
      <c r="DI137" s="468"/>
      <c r="DJ137" s="468"/>
      <c r="DK137" s="468"/>
      <c r="DL137" s="468"/>
      <c r="DM137" s="468"/>
      <c r="DN137" s="468"/>
      <c r="DO137" s="468"/>
      <c r="DP137" s="468"/>
      <c r="DR137" s="471"/>
      <c r="DS137" s="472"/>
      <c r="DT137" s="472"/>
      <c r="DU137" s="472"/>
      <c r="DV137" s="1561"/>
      <c r="DW137" s="1543"/>
      <c r="DX137" s="472"/>
      <c r="DY137" s="472"/>
      <c r="DZ137" s="472"/>
      <c r="EA137" s="472"/>
      <c r="EB137" s="472"/>
      <c r="EC137" s="472"/>
      <c r="ED137" s="472"/>
      <c r="EE137" s="1561"/>
      <c r="EF137" s="1543"/>
      <c r="EG137" s="472"/>
      <c r="EH137" s="472"/>
      <c r="EI137" s="472"/>
      <c r="EJ137" s="472"/>
      <c r="EK137" s="1561"/>
      <c r="EL137" s="1543"/>
      <c r="EM137" s="472"/>
      <c r="EN137" s="472"/>
      <c r="EO137" s="472"/>
      <c r="EP137" s="472"/>
      <c r="EQ137" s="472"/>
      <c r="ER137" s="472"/>
      <c r="ES137" s="472"/>
      <c r="ET137" s="472"/>
      <c r="EV137" s="472"/>
      <c r="EW137" s="472"/>
      <c r="EX137" s="472"/>
      <c r="EY137" s="1561"/>
      <c r="EZ137" s="1543"/>
      <c r="FA137" s="472"/>
      <c r="FB137" s="472"/>
      <c r="FC137" s="472"/>
      <c r="FD137" s="472"/>
      <c r="FE137" s="472"/>
      <c r="FF137" s="472"/>
      <c r="FG137" s="472"/>
      <c r="FH137" s="1561"/>
      <c r="FI137" s="1210"/>
      <c r="FJ137" s="473"/>
      <c r="FK137" s="468"/>
      <c r="FL137" s="468"/>
      <c r="FM137" s="468"/>
      <c r="FN137" s="1264"/>
      <c r="FO137" s="1210"/>
      <c r="FP137" s="468"/>
      <c r="FQ137" s="468"/>
      <c r="FR137" s="468"/>
      <c r="FS137" s="468"/>
      <c r="FT137" s="468"/>
      <c r="FU137" s="468"/>
      <c r="FV137" s="468"/>
      <c r="FW137" s="468"/>
    </row>
    <row r="138" spans="3:180" s="368" customFormat="1" ht="15" thickBot="1" x14ac:dyDescent="0.4">
      <c r="C138" s="364"/>
      <c r="D138" s="364"/>
      <c r="E138" s="364"/>
      <c r="F138" s="1027"/>
      <c r="G138" s="365"/>
      <c r="H138" s="365"/>
      <c r="I138" s="1234"/>
      <c r="J138" s="1182"/>
      <c r="K138" s="365"/>
      <c r="L138" s="365"/>
      <c r="M138" s="365"/>
      <c r="N138" s="365"/>
      <c r="O138" s="365"/>
      <c r="P138" s="365"/>
      <c r="Q138" s="365"/>
      <c r="R138" s="1234"/>
      <c r="S138" s="1182"/>
      <c r="T138" s="365"/>
      <c r="U138" s="365"/>
      <c r="V138" s="365"/>
      <c r="W138" s="365"/>
      <c r="X138" s="1234"/>
      <c r="Y138" s="1182"/>
      <c r="Z138" s="365"/>
      <c r="AA138" s="365"/>
      <c r="AB138" s="365"/>
      <c r="AC138" s="365"/>
      <c r="AD138" s="365"/>
      <c r="AE138" s="365"/>
      <c r="AF138" s="365"/>
      <c r="AG138" s="365"/>
      <c r="AH138" s="366"/>
      <c r="AI138" s="365"/>
      <c r="AJ138" s="365"/>
      <c r="AK138" s="365"/>
      <c r="AL138" s="1234"/>
      <c r="AM138" s="1182"/>
      <c r="AN138" s="365"/>
      <c r="AO138" s="365"/>
      <c r="AP138" s="365"/>
      <c r="AQ138" s="365"/>
      <c r="AR138" s="365"/>
      <c r="AS138" s="365"/>
      <c r="AT138" s="365"/>
      <c r="AU138" s="1234"/>
      <c r="AV138" s="1182"/>
      <c r="AW138" s="365"/>
      <c r="AX138" s="365"/>
      <c r="AY138" s="365"/>
      <c r="AZ138" s="365"/>
      <c r="BA138" s="1234"/>
      <c r="BB138" s="1182"/>
      <c r="BC138" s="365"/>
      <c r="BD138" s="365"/>
      <c r="BE138" s="365"/>
      <c r="BF138" s="365"/>
      <c r="BG138" s="365"/>
      <c r="BH138" s="365"/>
      <c r="BI138" s="365"/>
      <c r="BJ138" s="365"/>
      <c r="BK138" s="366"/>
      <c r="BL138" s="365"/>
      <c r="BM138" s="365"/>
      <c r="BN138" s="365"/>
      <c r="BO138" s="1234"/>
      <c r="BP138" s="1182"/>
      <c r="BQ138" s="365"/>
      <c r="BR138" s="365"/>
      <c r="BS138" s="365"/>
      <c r="BT138" s="365"/>
      <c r="BU138" s="365"/>
      <c r="BV138" s="365"/>
      <c r="BW138" s="365"/>
      <c r="BX138" s="1234"/>
      <c r="BY138" s="1182"/>
      <c r="BZ138" s="365"/>
      <c r="CA138" s="365"/>
      <c r="CB138" s="365"/>
      <c r="CC138" s="365"/>
      <c r="CD138" s="1234"/>
      <c r="CE138" s="1182"/>
      <c r="CF138" s="365"/>
      <c r="CG138" s="365"/>
      <c r="CH138" s="365"/>
      <c r="CI138" s="365"/>
      <c r="CJ138" s="365"/>
      <c r="CK138" s="365"/>
      <c r="CL138" s="365"/>
      <c r="CM138" s="365"/>
      <c r="CN138" s="366"/>
      <c r="CO138" s="365"/>
      <c r="CP138" s="365"/>
      <c r="CQ138" s="365"/>
      <c r="CR138" s="1234"/>
      <c r="CS138" s="1182"/>
      <c r="CT138" s="365"/>
      <c r="CU138" s="365"/>
      <c r="CV138" s="365"/>
      <c r="CW138" s="365"/>
      <c r="CX138" s="365"/>
      <c r="CY138" s="409"/>
      <c r="CZ138" s="409"/>
      <c r="DA138" s="1501"/>
      <c r="DB138" s="1492"/>
      <c r="DC138" s="409"/>
      <c r="DD138" s="409"/>
      <c r="DE138" s="365"/>
      <c r="DF138" s="365"/>
      <c r="DG138" s="1234"/>
      <c r="DH138" s="1182"/>
      <c r="DI138" s="365"/>
      <c r="DJ138" s="365"/>
      <c r="DK138" s="365"/>
      <c r="DL138" s="365"/>
      <c r="DM138" s="365"/>
      <c r="DN138" s="365"/>
      <c r="DO138" s="365"/>
      <c r="DP138" s="365"/>
      <c r="DQ138" s="366"/>
      <c r="DR138" s="367"/>
      <c r="DS138" s="410"/>
      <c r="DT138" s="410"/>
      <c r="DU138" s="410"/>
      <c r="DV138" s="1562"/>
      <c r="DW138" s="1544"/>
      <c r="DX138" s="410"/>
      <c r="DY138" s="410"/>
      <c r="DZ138" s="410"/>
      <c r="EA138" s="410"/>
      <c r="EB138" s="410"/>
      <c r="EC138" s="410"/>
      <c r="ED138" s="410"/>
      <c r="EE138" s="1562"/>
      <c r="EF138" s="1544"/>
      <c r="EG138" s="410"/>
      <c r="EH138" s="410"/>
      <c r="EI138" s="410"/>
      <c r="EJ138" s="410"/>
      <c r="EK138" s="1562"/>
      <c r="EL138" s="1544"/>
      <c r="EM138" s="410"/>
      <c r="EN138" s="410"/>
      <c r="EO138" s="410"/>
      <c r="EP138" s="410"/>
      <c r="EQ138" s="410"/>
      <c r="ER138" s="410"/>
      <c r="ES138" s="410"/>
      <c r="ET138" s="410"/>
      <c r="EU138" s="366"/>
      <c r="EV138" s="410"/>
      <c r="EW138" s="410"/>
      <c r="EX138" s="410"/>
      <c r="EY138" s="1562"/>
      <c r="EZ138" s="1544"/>
      <c r="FA138" s="410"/>
      <c r="FB138" s="410"/>
      <c r="FC138" s="410"/>
      <c r="FD138" s="410"/>
      <c r="FE138" s="410"/>
      <c r="FF138" s="410"/>
      <c r="FG138" s="410"/>
      <c r="FH138" s="1562"/>
      <c r="FI138" s="1182"/>
      <c r="FJ138" s="404"/>
      <c r="FK138" s="365"/>
      <c r="FL138" s="365"/>
      <c r="FM138" s="365"/>
      <c r="FN138" s="1234"/>
      <c r="FO138" s="1182"/>
      <c r="FP138" s="365"/>
      <c r="FQ138" s="365"/>
      <c r="FR138" s="365"/>
      <c r="FS138" s="365"/>
      <c r="FT138" s="365"/>
      <c r="FU138" s="365"/>
      <c r="FV138" s="365"/>
      <c r="FW138" s="365"/>
    </row>
    <row r="139" spans="3:180" ht="15" thickTop="1" x14ac:dyDescent="0.35">
      <c r="C139" s="1" t="s">
        <v>211</v>
      </c>
      <c r="F139" s="1051"/>
      <c r="G139" s="229"/>
      <c r="H139" s="229"/>
      <c r="I139" s="1245"/>
      <c r="J139" s="538"/>
      <c r="K139" s="229"/>
      <c r="L139" s="229"/>
      <c r="M139" s="229"/>
      <c r="N139" s="229"/>
      <c r="O139" s="229"/>
      <c r="P139" s="229"/>
      <c r="Q139" s="229"/>
      <c r="R139" s="1245"/>
      <c r="S139" s="538"/>
      <c r="T139" s="229"/>
      <c r="U139" s="229"/>
      <c r="V139" s="229"/>
      <c r="W139" s="229"/>
      <c r="X139" s="1245"/>
      <c r="Y139" s="538"/>
      <c r="Z139" s="229"/>
      <c r="AA139" s="229"/>
      <c r="AB139" s="229"/>
      <c r="AC139" s="229"/>
      <c r="AD139" s="229"/>
      <c r="AE139" s="229"/>
      <c r="AF139" s="229"/>
      <c r="AG139" s="229"/>
      <c r="AH139" s="356"/>
      <c r="AI139" s="229"/>
      <c r="AJ139" s="229"/>
      <c r="AK139" s="229"/>
      <c r="AL139" s="1245"/>
      <c r="AM139" s="538"/>
      <c r="AN139" s="229" t="s">
        <v>872</v>
      </c>
      <c r="AO139" s="229" t="s">
        <v>832</v>
      </c>
      <c r="AP139" s="229" t="s">
        <v>833</v>
      </c>
      <c r="AQ139" s="229"/>
      <c r="AR139" s="229"/>
      <c r="AS139" s="229"/>
      <c r="AT139" s="229"/>
      <c r="AU139" s="1245"/>
      <c r="AV139" s="538"/>
      <c r="AW139" s="229"/>
      <c r="AX139" s="229"/>
      <c r="AY139" s="229"/>
      <c r="AZ139" s="229"/>
      <c r="BA139" s="1245"/>
      <c r="BB139" s="538"/>
      <c r="BC139" s="229"/>
      <c r="BD139" s="229"/>
      <c r="BE139" s="229"/>
      <c r="BF139" s="229"/>
      <c r="BG139" s="229"/>
      <c r="BH139" s="229"/>
      <c r="BI139" s="229"/>
      <c r="BJ139" s="229"/>
      <c r="BK139" s="356"/>
      <c r="BL139" s="229"/>
      <c r="BM139" s="229"/>
      <c r="BN139" s="229"/>
      <c r="BO139" s="1245"/>
      <c r="BP139" s="538"/>
      <c r="BQ139" s="229"/>
      <c r="BR139" s="229"/>
      <c r="BS139" s="229"/>
      <c r="BT139" s="229"/>
      <c r="BU139" s="229"/>
      <c r="BV139" s="229"/>
      <c r="BW139" s="229"/>
      <c r="BX139" s="1245"/>
      <c r="BY139" s="538"/>
      <c r="BZ139" s="229"/>
      <c r="CA139" s="229"/>
      <c r="CB139" s="229"/>
      <c r="CC139" s="229"/>
      <c r="CD139" s="1245"/>
      <c r="CE139" s="538"/>
      <c r="CF139" s="229"/>
      <c r="CG139" s="229"/>
      <c r="CH139" s="229"/>
      <c r="CI139" s="229"/>
      <c r="CJ139" s="229"/>
      <c r="CK139" s="229"/>
      <c r="CL139" s="229"/>
      <c r="CM139" s="229"/>
      <c r="CN139" s="356"/>
      <c r="CO139" s="229"/>
      <c r="CP139" s="229"/>
      <c r="CQ139" s="229"/>
      <c r="CR139" s="1245"/>
      <c r="CS139" s="538"/>
      <c r="CT139" s="229"/>
      <c r="CU139" s="229"/>
      <c r="CV139" s="229"/>
      <c r="CW139" s="229"/>
      <c r="CX139" s="229"/>
      <c r="CY139" s="349"/>
      <c r="CZ139" s="349"/>
      <c r="DA139" s="1502"/>
      <c r="DB139" s="1493"/>
      <c r="DC139" s="349"/>
      <c r="DD139" s="349"/>
      <c r="DE139" s="229"/>
      <c r="DF139" s="229"/>
      <c r="DG139" s="1245"/>
      <c r="DH139" s="538"/>
      <c r="DI139" s="229"/>
      <c r="DJ139" s="229"/>
      <c r="DK139" s="229"/>
      <c r="DL139" s="229"/>
      <c r="DM139" s="229"/>
      <c r="DN139" s="229"/>
      <c r="DO139" s="229"/>
      <c r="DP139" s="229"/>
      <c r="DQ139" s="356"/>
      <c r="DR139" s="358"/>
      <c r="DS139" s="408"/>
      <c r="DT139" s="408"/>
      <c r="DU139" s="408"/>
      <c r="DV139" s="1563"/>
      <c r="DW139" s="1545"/>
      <c r="DX139" s="408"/>
      <c r="DY139" s="408"/>
      <c r="DZ139" s="408"/>
      <c r="EA139" s="408"/>
      <c r="EB139" s="408"/>
      <c r="EC139" s="408"/>
      <c r="ED139" s="408"/>
      <c r="EE139" s="1563"/>
      <c r="EF139" s="1545"/>
      <c r="EG139" s="408"/>
      <c r="EH139" s="408"/>
      <c r="EI139" s="408"/>
      <c r="EJ139" s="408"/>
      <c r="EK139" s="1563"/>
      <c r="EL139" s="1545"/>
      <c r="EM139" s="408"/>
      <c r="EN139" s="408"/>
      <c r="EO139" s="408"/>
      <c r="EP139" s="408"/>
      <c r="EQ139" s="408"/>
      <c r="ER139" s="408"/>
      <c r="ES139" s="408"/>
      <c r="ET139" s="408"/>
      <c r="EU139" s="356"/>
      <c r="EV139" s="408"/>
      <c r="EW139" s="408"/>
      <c r="EX139" s="408"/>
      <c r="EY139" s="1563"/>
      <c r="EZ139" s="1545"/>
      <c r="FA139" s="408"/>
      <c r="FB139" s="408"/>
      <c r="FC139" s="408"/>
      <c r="FD139" s="408"/>
      <c r="FE139" s="408"/>
      <c r="FF139" s="408"/>
      <c r="FG139" s="408"/>
      <c r="FH139" s="1563"/>
      <c r="FI139" s="538"/>
      <c r="FJ139" s="298"/>
      <c r="FK139" s="229"/>
      <c r="FL139" s="229"/>
      <c r="FM139" s="229"/>
      <c r="FN139" s="1245"/>
      <c r="FO139" s="538"/>
      <c r="FP139" s="229"/>
      <c r="FQ139" s="229"/>
      <c r="FR139" s="229"/>
      <c r="FS139" s="229"/>
      <c r="FT139" s="229"/>
      <c r="FU139" s="229"/>
      <c r="FV139" s="229"/>
      <c r="FW139" s="229"/>
    </row>
    <row r="140" spans="3:180" x14ac:dyDescent="0.35">
      <c r="C140" s="1" t="s">
        <v>275</v>
      </c>
      <c r="F140" s="1029" t="e">
        <f t="shared" ref="F140:V140" si="146">((F$80-BL$80)/F$80)*100</f>
        <v>#DIV/0!</v>
      </c>
      <c r="G140" s="232" t="e">
        <f t="shared" si="146"/>
        <v>#DIV/0!</v>
      </c>
      <c r="H140" s="232" t="e">
        <f t="shared" si="146"/>
        <v>#DIV/0!</v>
      </c>
      <c r="I140" s="1236" t="e">
        <f t="shared" si="146"/>
        <v>#DIV/0!</v>
      </c>
      <c r="J140" s="643" t="e">
        <f t="shared" si="146"/>
        <v>#DIV/0!</v>
      </c>
      <c r="K140" s="232" t="e">
        <f t="shared" si="146"/>
        <v>#DIV/0!</v>
      </c>
      <c r="L140" s="232" t="e">
        <f t="shared" si="146"/>
        <v>#DIV/0!</v>
      </c>
      <c r="M140" s="232" t="e">
        <f t="shared" si="146"/>
        <v>#DIV/0!</v>
      </c>
      <c r="N140" s="232" t="e">
        <f t="shared" si="146"/>
        <v>#DIV/0!</v>
      </c>
      <c r="O140" s="232" t="e">
        <f t="shared" si="146"/>
        <v>#DIV/0!</v>
      </c>
      <c r="P140" s="232" t="e">
        <f t="shared" si="146"/>
        <v>#DIV/0!</v>
      </c>
      <c r="Q140" s="232" t="e">
        <f t="shared" si="146"/>
        <v>#DIV/0!</v>
      </c>
      <c r="R140" s="1236" t="e">
        <f t="shared" si="146"/>
        <v>#DIV/0!</v>
      </c>
      <c r="S140" s="643" t="e">
        <f t="shared" si="146"/>
        <v>#DIV/0!</v>
      </c>
      <c r="T140" s="232" t="e">
        <f t="shared" si="146"/>
        <v>#DIV/0!</v>
      </c>
      <c r="U140" s="232" t="e">
        <f t="shared" si="146"/>
        <v>#DIV/0!</v>
      </c>
      <c r="V140" s="232" t="e">
        <f t="shared" si="146"/>
        <v>#DIV/0!</v>
      </c>
      <c r="W140" s="232" t="e">
        <f t="shared" ref="W140:AG140" si="147">((W$80-CN$80)/W$80)*100</f>
        <v>#DIV/0!</v>
      </c>
      <c r="X140" s="1236" t="e">
        <f t="shared" si="147"/>
        <v>#DIV/0!</v>
      </c>
      <c r="Y140" s="643" t="e">
        <f t="shared" si="147"/>
        <v>#DIV/0!</v>
      </c>
      <c r="Z140" s="232" t="e">
        <f t="shared" si="147"/>
        <v>#DIV/0!</v>
      </c>
      <c r="AA140" s="232" t="e">
        <f t="shared" si="147"/>
        <v>#DIV/0!</v>
      </c>
      <c r="AB140" s="232" t="e">
        <f t="shared" si="147"/>
        <v>#DIV/0!</v>
      </c>
      <c r="AC140" s="232" t="e">
        <f t="shared" si="147"/>
        <v>#DIV/0!</v>
      </c>
      <c r="AD140" s="232" t="e">
        <f t="shared" si="147"/>
        <v>#DIV/0!</v>
      </c>
      <c r="AE140" s="232" t="e">
        <f t="shared" si="147"/>
        <v>#DIV/0!</v>
      </c>
      <c r="AF140" s="232" t="e">
        <f t="shared" si="147"/>
        <v>#DIV/0!</v>
      </c>
      <c r="AG140" s="232" t="e">
        <f t="shared" si="147"/>
        <v>#DIV/0!</v>
      </c>
      <c r="AI140" s="232" t="s">
        <v>870</v>
      </c>
      <c r="AJ140" s="232" t="e">
        <f>AVERAGE(K140:N140)</f>
        <v>#DIV/0!</v>
      </c>
      <c r="AK140" s="232" t="e">
        <f>AVERAGE(Q140:T140)</f>
        <v>#DIV/0!</v>
      </c>
      <c r="AL140" s="1236" t="s">
        <v>295</v>
      </c>
      <c r="AN140" s="232" t="e">
        <f>AVERAGE(H140:I140)</f>
        <v>#DIV/0!</v>
      </c>
      <c r="AO140" s="232" t="e">
        <f>AVERAGE(M140:O140)</f>
        <v>#DIV/0!</v>
      </c>
      <c r="AP140" s="232" t="e">
        <f>AVERAGE(R140:T140)</f>
        <v>#DIV/0!</v>
      </c>
      <c r="CY140" s="241"/>
      <c r="CZ140" s="241"/>
      <c r="DA140" s="1496"/>
      <c r="DB140" s="1487"/>
      <c r="DC140" s="241"/>
      <c r="DD140" s="241"/>
      <c r="DS140" s="270"/>
      <c r="DT140" s="270"/>
      <c r="DU140" s="270"/>
      <c r="DV140" s="1283"/>
      <c r="DW140" s="1224"/>
      <c r="DX140" s="270"/>
      <c r="DY140" s="270"/>
      <c r="DZ140" s="270"/>
      <c r="EA140" s="270"/>
      <c r="EB140" s="270"/>
      <c r="EC140" s="270"/>
      <c r="ED140" s="270"/>
      <c r="EE140" s="1283"/>
      <c r="EF140" s="1224"/>
      <c r="EG140" s="270"/>
      <c r="EH140" s="270"/>
      <c r="EI140" s="270"/>
      <c r="EJ140" s="270"/>
      <c r="EK140" s="1283"/>
      <c r="EL140" s="1224"/>
      <c r="EM140" s="270"/>
      <c r="EN140" s="270"/>
      <c r="EO140" s="270"/>
      <c r="EP140" s="270"/>
      <c r="EQ140" s="270"/>
      <c r="ER140" s="270"/>
      <c r="ES140" s="270"/>
      <c r="ET140" s="270"/>
      <c r="EV140" s="270"/>
      <c r="EW140" s="270"/>
      <c r="EX140" s="270"/>
      <c r="EY140" s="1283"/>
      <c r="EZ140" s="1224"/>
      <c r="FA140" s="270"/>
      <c r="FB140" s="270"/>
      <c r="FC140" s="270"/>
      <c r="FD140" s="270"/>
      <c r="FE140" s="270"/>
      <c r="FF140" s="270"/>
      <c r="FG140" s="270"/>
      <c r="FH140" s="1283"/>
      <c r="FJ140" s="240"/>
    </row>
    <row r="141" spans="3:180" ht="18.5" x14ac:dyDescent="0.45">
      <c r="C141" s="407" t="s">
        <v>394</v>
      </c>
      <c r="D141" s="407"/>
      <c r="E141" s="407"/>
      <c r="F141" s="1029" t="e">
        <f t="shared" ref="F141:K141" si="148">100*(1-EXP(F$64/F$65*LN(1-F$140/100)))</f>
        <v>#DIV/0!</v>
      </c>
      <c r="G141" s="232" t="e">
        <f t="shared" si="148"/>
        <v>#DIV/0!</v>
      </c>
      <c r="H141" s="232" t="e">
        <f t="shared" si="148"/>
        <v>#DIV/0!</v>
      </c>
      <c r="I141" s="1236" t="e">
        <f t="shared" si="148"/>
        <v>#DIV/0!</v>
      </c>
      <c r="J141" s="643" t="e">
        <f t="shared" si="148"/>
        <v>#DIV/0!</v>
      </c>
      <c r="K141" s="232" t="e">
        <f t="shared" si="148"/>
        <v>#DIV/0!</v>
      </c>
      <c r="L141" s="232" t="e">
        <f>100*(1-EXP(L$64/L$65*LN(1-L$140/100)))</f>
        <v>#DIV/0!</v>
      </c>
      <c r="M141" s="232" t="e">
        <f t="shared" ref="M141:U141" si="149">M140-EXP((M$64-M$66)/M$65*M$140)</f>
        <v>#DIV/0!</v>
      </c>
      <c r="N141" s="232" t="e">
        <f t="shared" si="149"/>
        <v>#DIV/0!</v>
      </c>
      <c r="O141" s="232" t="e">
        <f t="shared" si="149"/>
        <v>#DIV/0!</v>
      </c>
      <c r="P141" s="232" t="e">
        <f t="shared" si="149"/>
        <v>#DIV/0!</v>
      </c>
      <c r="Q141" s="232" t="e">
        <f t="shared" si="149"/>
        <v>#DIV/0!</v>
      </c>
      <c r="R141" s="1236" t="e">
        <f t="shared" si="149"/>
        <v>#DIV/0!</v>
      </c>
      <c r="S141" s="643" t="e">
        <f t="shared" si="149"/>
        <v>#DIV/0!</v>
      </c>
      <c r="T141" s="232" t="e">
        <f t="shared" si="149"/>
        <v>#DIV/0!</v>
      </c>
      <c r="U141" s="232" t="e">
        <f t="shared" si="149"/>
        <v>#DIV/0!</v>
      </c>
      <c r="V141" s="232" t="e">
        <f t="shared" ref="V141:AG141" si="150">1-EXP((V$64-V$66)/V$65*V$140)</f>
        <v>#DIV/0!</v>
      </c>
      <c r="W141" s="232" t="e">
        <f t="shared" si="150"/>
        <v>#DIV/0!</v>
      </c>
      <c r="X141" s="1236" t="e">
        <f t="shared" si="150"/>
        <v>#DIV/0!</v>
      </c>
      <c r="Y141" s="643" t="e">
        <f t="shared" si="150"/>
        <v>#DIV/0!</v>
      </c>
      <c r="Z141" s="232" t="e">
        <f t="shared" si="150"/>
        <v>#DIV/0!</v>
      </c>
      <c r="AA141" s="232" t="e">
        <f t="shared" si="150"/>
        <v>#DIV/0!</v>
      </c>
      <c r="AB141" s="232" t="e">
        <f t="shared" si="150"/>
        <v>#DIV/0!</v>
      </c>
      <c r="AC141" s="232" t="e">
        <f t="shared" si="150"/>
        <v>#DIV/0!</v>
      </c>
      <c r="AD141" s="232" t="e">
        <f t="shared" si="150"/>
        <v>#DIV/0!</v>
      </c>
      <c r="AE141" s="232" t="e">
        <f t="shared" si="150"/>
        <v>#DIV/0!</v>
      </c>
      <c r="AF141" s="232" t="e">
        <f t="shared" si="150"/>
        <v>#DIV/0!</v>
      </c>
      <c r="AG141" s="232" t="e">
        <f t="shared" si="150"/>
        <v>#DIV/0!</v>
      </c>
      <c r="AN141" s="947">
        <f>AVERAGE(H142:I142)</f>
        <v>40.200000000000003</v>
      </c>
      <c r="AO141" s="947">
        <f>AVERAGE(M142:O142)</f>
        <v>68.133333333333326</v>
      </c>
      <c r="AP141" s="947">
        <f>AVERAGE(R142:T142)</f>
        <v>67.600000000000009</v>
      </c>
      <c r="CY141" s="241"/>
      <c r="CZ141" s="241"/>
      <c r="DA141" s="1496"/>
      <c r="DB141" s="1487"/>
      <c r="DC141" s="241"/>
      <c r="DD141" s="241"/>
      <c r="DS141" s="270"/>
      <c r="DT141" s="270"/>
      <c r="DU141" s="270"/>
      <c r="DV141" s="1283"/>
      <c r="DW141" s="1224"/>
      <c r="DX141" s="270"/>
      <c r="DY141" s="270"/>
      <c r="DZ141" s="270"/>
      <c r="EA141" s="270"/>
      <c r="EB141" s="270"/>
      <c r="EC141" s="270"/>
      <c r="ED141" s="270"/>
      <c r="EE141" s="1283"/>
      <c r="EF141" s="1224"/>
      <c r="EG141" s="270"/>
      <c r="EH141" s="270"/>
      <c r="EI141" s="270"/>
      <c r="EJ141" s="270"/>
      <c r="EK141" s="1283"/>
      <c r="EL141" s="1224"/>
      <c r="EM141" s="270"/>
      <c r="EN141" s="270"/>
      <c r="EO141" s="270"/>
      <c r="EP141" s="270"/>
      <c r="EQ141" s="270"/>
      <c r="ER141" s="270"/>
      <c r="ES141" s="270"/>
      <c r="ET141" s="270"/>
      <c r="EV141" s="270"/>
      <c r="EW141" s="270"/>
      <c r="EX141" s="270"/>
      <c r="EY141" s="1283"/>
      <c r="EZ141" s="1224"/>
      <c r="FA141" s="270"/>
      <c r="FB141" s="270"/>
      <c r="FC141" s="270"/>
      <c r="FD141" s="270"/>
      <c r="FE141" s="270"/>
      <c r="FF141" s="270"/>
      <c r="FG141" s="270"/>
      <c r="FH141" s="1283"/>
      <c r="FJ141" s="240"/>
    </row>
    <row r="142" spans="3:180" x14ac:dyDescent="0.35">
      <c r="C142" s="1" t="s">
        <v>429</v>
      </c>
      <c r="E142" s="1143"/>
      <c r="F142" s="1149">
        <v>44</v>
      </c>
      <c r="G142" s="250">
        <v>41.5</v>
      </c>
      <c r="H142" s="250">
        <v>40.5</v>
      </c>
      <c r="I142" s="1280">
        <v>39.9</v>
      </c>
      <c r="J142" s="1223">
        <v>68</v>
      </c>
      <c r="K142" s="250">
        <v>67.5</v>
      </c>
      <c r="L142" s="250">
        <v>67.8</v>
      </c>
      <c r="M142" s="250">
        <v>68.2</v>
      </c>
      <c r="N142" s="250">
        <v>68</v>
      </c>
      <c r="O142" s="250">
        <v>68.2</v>
      </c>
      <c r="P142" s="250">
        <v>66.5</v>
      </c>
      <c r="Q142" s="250">
        <v>65.8</v>
      </c>
      <c r="R142" s="1280">
        <v>66.2</v>
      </c>
      <c r="S142" s="1223">
        <v>68.2</v>
      </c>
      <c r="T142" s="250">
        <v>68.400000000000006</v>
      </c>
      <c r="U142" s="250">
        <v>68</v>
      </c>
      <c r="V142" s="250"/>
      <c r="W142" s="250"/>
      <c r="X142" s="1280"/>
      <c r="Y142" s="1223"/>
      <c r="Z142" s="250"/>
      <c r="AA142" s="250"/>
      <c r="AB142" s="250"/>
      <c r="AC142" s="250"/>
      <c r="AD142" s="250"/>
      <c r="AE142" s="250"/>
      <c r="AF142" s="250"/>
      <c r="AG142" s="250"/>
      <c r="AI142" s="232" t="s">
        <v>870</v>
      </c>
      <c r="AJ142" s="267">
        <f>AVERAGE(K142:N142)</f>
        <v>67.875</v>
      </c>
      <c r="AK142" s="267">
        <f>AVERAGE(Q142:T142)</f>
        <v>67.150000000000006</v>
      </c>
      <c r="AL142" s="1236" t="s">
        <v>608</v>
      </c>
      <c r="AN142" s="916"/>
      <c r="AO142" s="916"/>
      <c r="AP142" s="916"/>
      <c r="CY142" s="241"/>
      <c r="CZ142" s="241"/>
      <c r="DA142" s="1496"/>
      <c r="DB142" s="1487"/>
      <c r="DC142" s="241"/>
      <c r="DD142" s="241"/>
      <c r="DS142" s="270"/>
      <c r="DT142" s="270"/>
      <c r="DU142" s="270"/>
      <c r="DV142" s="1283"/>
      <c r="DW142" s="1224"/>
      <c r="DX142" s="270"/>
      <c r="DY142" s="270"/>
      <c r="DZ142" s="270"/>
      <c r="EA142" s="270"/>
      <c r="EB142" s="270"/>
      <c r="EC142" s="270"/>
      <c r="ED142" s="270"/>
      <c r="EE142" s="1283"/>
      <c r="EF142" s="1224"/>
      <c r="EG142" s="270"/>
      <c r="EH142" s="270"/>
      <c r="EI142" s="270"/>
      <c r="EJ142" s="270"/>
      <c r="EK142" s="1283"/>
      <c r="EL142" s="1224"/>
      <c r="EM142" s="270"/>
      <c r="EN142" s="270"/>
      <c r="EO142" s="270"/>
      <c r="EP142" s="270"/>
      <c r="EQ142" s="270"/>
      <c r="ER142" s="270"/>
      <c r="ES142" s="270"/>
      <c r="ET142" s="270"/>
      <c r="EV142" s="270"/>
      <c r="EW142" s="270"/>
      <c r="EX142" s="270"/>
      <c r="EY142" s="1283"/>
      <c r="EZ142" s="1224"/>
      <c r="FA142" s="270"/>
      <c r="FB142" s="270"/>
      <c r="FC142" s="270"/>
      <c r="FD142" s="270"/>
      <c r="FE142" s="270"/>
      <c r="FF142" s="270"/>
      <c r="FG142" s="270"/>
      <c r="FH142" s="1283"/>
      <c r="FJ142" s="240"/>
    </row>
    <row r="143" spans="3:180" x14ac:dyDescent="0.35">
      <c r="C143" s="1" t="s">
        <v>230</v>
      </c>
      <c r="F143" s="495">
        <f t="shared" ref="F143:U143" si="151">F$142*5%</f>
        <v>2.2000000000000002</v>
      </c>
      <c r="G143" s="318">
        <f t="shared" si="151"/>
        <v>2.0750000000000002</v>
      </c>
      <c r="H143" s="318">
        <f t="shared" si="151"/>
        <v>2.0249999999999999</v>
      </c>
      <c r="I143" s="1281">
        <f t="shared" si="151"/>
        <v>1.9950000000000001</v>
      </c>
      <c r="J143" s="496">
        <f t="shared" si="151"/>
        <v>3.4000000000000004</v>
      </c>
      <c r="K143" s="318">
        <f t="shared" si="151"/>
        <v>3.375</v>
      </c>
      <c r="L143" s="318">
        <f t="shared" si="151"/>
        <v>3.39</v>
      </c>
      <c r="M143" s="318">
        <f t="shared" si="151"/>
        <v>3.41</v>
      </c>
      <c r="N143" s="318">
        <f t="shared" si="151"/>
        <v>3.4000000000000004</v>
      </c>
      <c r="O143" s="318">
        <f t="shared" si="151"/>
        <v>3.41</v>
      </c>
      <c r="P143" s="318">
        <f t="shared" si="151"/>
        <v>3.3250000000000002</v>
      </c>
      <c r="Q143" s="318">
        <f t="shared" si="151"/>
        <v>3.29</v>
      </c>
      <c r="R143" s="1281">
        <f t="shared" si="151"/>
        <v>3.3100000000000005</v>
      </c>
      <c r="S143" s="496">
        <f t="shared" si="151"/>
        <v>3.41</v>
      </c>
      <c r="T143" s="318">
        <f t="shared" si="151"/>
        <v>3.4200000000000004</v>
      </c>
      <c r="U143" s="318">
        <f t="shared" si="151"/>
        <v>3.4000000000000004</v>
      </c>
      <c r="V143" s="318"/>
      <c r="W143" s="318"/>
      <c r="X143" s="1281"/>
      <c r="Y143" s="496"/>
      <c r="Z143" s="318"/>
      <c r="AA143" s="318"/>
      <c r="AB143" s="318"/>
      <c r="AC143" s="318"/>
      <c r="AD143" s="318"/>
      <c r="AE143" s="318"/>
      <c r="AF143" s="318"/>
      <c r="AG143" s="318"/>
      <c r="AN143" s="459"/>
      <c r="AO143" s="459"/>
      <c r="AP143" s="459"/>
      <c r="CY143" s="241"/>
      <c r="CZ143" s="241"/>
      <c r="DA143" s="1496"/>
      <c r="DB143" s="1487"/>
      <c r="DC143" s="241"/>
      <c r="DD143" s="241"/>
      <c r="DS143" s="270"/>
      <c r="DT143" s="270"/>
      <c r="DU143" s="270"/>
      <c r="DV143" s="1283"/>
      <c r="DW143" s="1224"/>
      <c r="DX143" s="270"/>
      <c r="DY143" s="270"/>
      <c r="DZ143" s="270"/>
      <c r="EA143" s="270"/>
      <c r="EB143" s="270"/>
      <c r="EC143" s="270"/>
      <c r="ED143" s="270"/>
      <c r="EE143" s="1283"/>
      <c r="EF143" s="1224"/>
      <c r="EG143" s="270"/>
      <c r="EH143" s="270"/>
      <c r="EI143" s="270"/>
      <c r="EJ143" s="270"/>
      <c r="EK143" s="1283"/>
      <c r="EL143" s="1224"/>
      <c r="EM143" s="270"/>
      <c r="EN143" s="270"/>
      <c r="EO143" s="270"/>
      <c r="EP143" s="270"/>
      <c r="EQ143" s="270"/>
      <c r="ER143" s="270"/>
      <c r="ES143" s="270"/>
      <c r="ET143" s="270"/>
      <c r="EV143" s="270"/>
      <c r="EW143" s="270"/>
      <c r="EX143" s="270"/>
      <c r="EY143" s="1283"/>
      <c r="EZ143" s="1224"/>
      <c r="FA143" s="270"/>
      <c r="FB143" s="270"/>
      <c r="FC143" s="270"/>
      <c r="FD143" s="270"/>
      <c r="FE143" s="270"/>
      <c r="FF143" s="270"/>
      <c r="FG143" s="270"/>
      <c r="FH143" s="1283"/>
      <c r="FJ143" s="240"/>
    </row>
    <row r="144" spans="3:180" x14ac:dyDescent="0.35">
      <c r="C144" s="444" t="s">
        <v>231</v>
      </c>
      <c r="D144" s="444"/>
      <c r="E144" s="444"/>
      <c r="F144" s="1056">
        <f t="shared" ref="F144:U144" si="152">F$142+F$143</f>
        <v>46.2</v>
      </c>
      <c r="G144" s="445">
        <f t="shared" si="152"/>
        <v>43.575000000000003</v>
      </c>
      <c r="H144" s="445">
        <f t="shared" si="152"/>
        <v>42.524999999999999</v>
      </c>
      <c r="I144" s="1280">
        <f t="shared" si="152"/>
        <v>41.894999999999996</v>
      </c>
      <c r="J144" s="1223">
        <f t="shared" si="152"/>
        <v>71.400000000000006</v>
      </c>
      <c r="K144" s="250">
        <f t="shared" si="152"/>
        <v>70.875</v>
      </c>
      <c r="L144" s="250">
        <f t="shared" si="152"/>
        <v>71.19</v>
      </c>
      <c r="M144" s="250">
        <f t="shared" si="152"/>
        <v>71.61</v>
      </c>
      <c r="N144" s="250">
        <f t="shared" si="152"/>
        <v>71.400000000000006</v>
      </c>
      <c r="O144" s="250">
        <f t="shared" si="152"/>
        <v>71.61</v>
      </c>
      <c r="P144" s="250">
        <f t="shared" si="152"/>
        <v>69.825000000000003</v>
      </c>
      <c r="Q144" s="250">
        <f t="shared" si="152"/>
        <v>69.09</v>
      </c>
      <c r="R144" s="1280">
        <f t="shared" si="152"/>
        <v>69.510000000000005</v>
      </c>
      <c r="S144" s="1223">
        <f t="shared" si="152"/>
        <v>71.61</v>
      </c>
      <c r="T144" s="250">
        <f t="shared" si="152"/>
        <v>71.820000000000007</v>
      </c>
      <c r="U144" s="250">
        <f t="shared" si="152"/>
        <v>71.400000000000006</v>
      </c>
      <c r="AJ144" s="267"/>
      <c r="AK144" s="267"/>
      <c r="CY144" s="241"/>
      <c r="CZ144" s="241"/>
      <c r="DA144" s="1496"/>
      <c r="DB144" s="1487"/>
      <c r="DC144" s="241"/>
      <c r="DD144" s="241"/>
      <c r="DS144" s="270"/>
      <c r="DT144" s="270"/>
      <c r="DU144" s="270"/>
      <c r="DV144" s="1283"/>
      <c r="DW144" s="1224"/>
      <c r="DX144" s="270"/>
      <c r="DY144" s="270"/>
      <c r="DZ144" s="270"/>
      <c r="EA144" s="270"/>
      <c r="EB144" s="270"/>
      <c r="EC144" s="270"/>
      <c r="ED144" s="270"/>
      <c r="EE144" s="1283"/>
      <c r="EF144" s="1224"/>
      <c r="EG144" s="270"/>
      <c r="EH144" s="270"/>
      <c r="EI144" s="270"/>
      <c r="EJ144" s="270"/>
      <c r="EK144" s="1283"/>
      <c r="EL144" s="1224"/>
      <c r="EM144" s="270"/>
      <c r="EN144" s="270"/>
      <c r="EO144" s="270"/>
      <c r="EP144" s="270"/>
      <c r="EQ144" s="270"/>
      <c r="ER144" s="270"/>
      <c r="ES144" s="270"/>
      <c r="ET144" s="270"/>
      <c r="EV144" s="270"/>
      <c r="EW144" s="270"/>
      <c r="EX144" s="270"/>
      <c r="EY144" s="1283"/>
      <c r="EZ144" s="1224"/>
      <c r="FA144" s="270"/>
      <c r="FB144" s="270"/>
      <c r="FC144" s="270"/>
      <c r="FD144" s="270"/>
      <c r="FE144" s="270"/>
      <c r="FF144" s="270"/>
      <c r="FG144" s="270"/>
      <c r="FH144" s="1283"/>
      <c r="FJ144" s="240"/>
    </row>
    <row r="145" spans="3:179" x14ac:dyDescent="0.35">
      <c r="C145" s="1" t="s">
        <v>232</v>
      </c>
      <c r="F145" s="603">
        <f t="shared" ref="F145:U145" si="153">F$142-F$143</f>
        <v>41.8</v>
      </c>
      <c r="G145" s="250">
        <f t="shared" si="153"/>
        <v>39.424999999999997</v>
      </c>
      <c r="H145" s="250">
        <f t="shared" si="153"/>
        <v>38.475000000000001</v>
      </c>
      <c r="I145" s="1280">
        <f t="shared" si="153"/>
        <v>37.905000000000001</v>
      </c>
      <c r="J145" s="1223">
        <f t="shared" si="153"/>
        <v>64.599999999999994</v>
      </c>
      <c r="K145" s="250">
        <f t="shared" si="153"/>
        <v>64.125</v>
      </c>
      <c r="L145" s="250">
        <f t="shared" si="153"/>
        <v>64.41</v>
      </c>
      <c r="M145" s="250">
        <f t="shared" si="153"/>
        <v>64.790000000000006</v>
      </c>
      <c r="N145" s="250">
        <f t="shared" si="153"/>
        <v>64.599999999999994</v>
      </c>
      <c r="O145" s="250">
        <f t="shared" si="153"/>
        <v>64.790000000000006</v>
      </c>
      <c r="P145" s="250">
        <f t="shared" si="153"/>
        <v>63.174999999999997</v>
      </c>
      <c r="Q145" s="250">
        <f t="shared" si="153"/>
        <v>62.51</v>
      </c>
      <c r="R145" s="1280">
        <f t="shared" si="153"/>
        <v>62.89</v>
      </c>
      <c r="S145" s="1223">
        <f t="shared" si="153"/>
        <v>64.790000000000006</v>
      </c>
      <c r="T145" s="250">
        <f t="shared" si="153"/>
        <v>64.98</v>
      </c>
      <c r="U145" s="250">
        <f t="shared" si="153"/>
        <v>64.599999999999994</v>
      </c>
      <c r="CY145" s="241"/>
      <c r="CZ145" s="241"/>
      <c r="DA145" s="1496"/>
      <c r="DB145" s="1487"/>
      <c r="DC145" s="241"/>
      <c r="DD145" s="241"/>
      <c r="DS145" s="270"/>
      <c r="DT145" s="270"/>
      <c r="DU145" s="270"/>
      <c r="DV145" s="1283"/>
      <c r="DW145" s="1224"/>
      <c r="DX145" s="270"/>
      <c r="DY145" s="270"/>
      <c r="DZ145" s="270"/>
      <c r="EA145" s="270"/>
      <c r="EB145" s="270"/>
      <c r="EC145" s="270"/>
      <c r="ED145" s="270"/>
      <c r="EE145" s="1283"/>
      <c r="EF145" s="1224"/>
      <c r="EG145" s="270"/>
      <c r="EH145" s="270"/>
      <c r="EI145" s="270"/>
      <c r="EJ145" s="270"/>
      <c r="EK145" s="1283"/>
      <c r="EL145" s="1224"/>
      <c r="EM145" s="270"/>
      <c r="EN145" s="270"/>
      <c r="EO145" s="270"/>
      <c r="EP145" s="270"/>
      <c r="EQ145" s="270"/>
      <c r="ER145" s="270"/>
      <c r="ES145" s="270"/>
      <c r="ET145" s="270"/>
      <c r="EV145" s="270"/>
      <c r="EW145" s="270"/>
      <c r="EX145" s="270"/>
      <c r="EY145" s="1283"/>
      <c r="EZ145" s="1224"/>
      <c r="FA145" s="270"/>
      <c r="FB145" s="270"/>
      <c r="FC145" s="270"/>
      <c r="FD145" s="270"/>
      <c r="FE145" s="270"/>
      <c r="FF145" s="270"/>
      <c r="FG145" s="270"/>
      <c r="FH145" s="1283"/>
      <c r="FJ145" s="240"/>
    </row>
    <row r="146" spans="3:179" x14ac:dyDescent="0.35">
      <c r="C146" s="166"/>
      <c r="D146" s="166"/>
      <c r="E146" s="166"/>
      <c r="F146" s="603"/>
      <c r="G146" s="250"/>
      <c r="H146" s="250"/>
      <c r="I146" s="1280"/>
      <c r="J146" s="1223"/>
      <c r="K146" s="250"/>
      <c r="L146" s="250"/>
      <c r="M146" s="250"/>
      <c r="N146" s="250"/>
      <c r="O146" s="250"/>
      <c r="P146" s="250"/>
      <c r="Q146" s="250"/>
      <c r="R146" s="1280"/>
      <c r="S146" s="1223"/>
      <c r="T146" s="250"/>
      <c r="U146" s="250"/>
      <c r="CY146" s="241"/>
      <c r="CZ146" s="241"/>
      <c r="DA146" s="1496"/>
      <c r="DB146" s="1487"/>
      <c r="DC146" s="241"/>
      <c r="DD146" s="241"/>
      <c r="DS146" s="270"/>
      <c r="DT146" s="270"/>
      <c r="DU146" s="270"/>
      <c r="DV146" s="1283"/>
      <c r="DW146" s="1224"/>
      <c r="DX146" s="270"/>
      <c r="DY146" s="270"/>
      <c r="DZ146" s="270"/>
      <c r="EA146" s="270"/>
      <c r="EB146" s="270"/>
      <c r="EC146" s="270"/>
      <c r="ED146" s="270"/>
      <c r="EE146" s="1283"/>
      <c r="EF146" s="1224"/>
      <c r="EG146" s="270"/>
      <c r="EH146" s="270"/>
      <c r="EI146" s="270"/>
      <c r="EJ146" s="270"/>
      <c r="EK146" s="1283"/>
      <c r="EL146" s="1224"/>
      <c r="EM146" s="270"/>
      <c r="EN146" s="270"/>
      <c r="EO146" s="270"/>
      <c r="EP146" s="270"/>
      <c r="EQ146" s="270"/>
      <c r="ER146" s="270"/>
      <c r="ES146" s="270"/>
      <c r="ET146" s="270"/>
      <c r="EV146" s="270"/>
      <c r="EW146" s="270"/>
      <c r="EX146" s="270"/>
      <c r="EY146" s="1283"/>
      <c r="EZ146" s="1224"/>
      <c r="FA146" s="270"/>
      <c r="FB146" s="270"/>
      <c r="FC146" s="270"/>
      <c r="FD146" s="270"/>
      <c r="FE146" s="270"/>
      <c r="FF146" s="270"/>
      <c r="FG146" s="270"/>
      <c r="FH146" s="1283"/>
      <c r="FJ146" s="240"/>
    </row>
    <row r="147" spans="3:179" x14ac:dyDescent="0.35">
      <c r="C147" s="166"/>
      <c r="D147" s="166"/>
      <c r="E147" s="166"/>
      <c r="F147" s="603"/>
      <c r="G147" s="250"/>
      <c r="H147" s="250"/>
      <c r="I147" s="1280"/>
      <c r="J147" s="1223"/>
      <c r="K147" s="250"/>
      <c r="L147" s="250"/>
      <c r="M147" s="250"/>
      <c r="N147" s="250"/>
      <c r="O147" s="250"/>
      <c r="P147" s="250"/>
      <c r="Q147" s="250"/>
      <c r="R147" s="1280"/>
      <c r="S147" s="1223"/>
      <c r="T147" s="250"/>
      <c r="U147" s="250"/>
      <c r="CY147" s="241"/>
      <c r="CZ147" s="241"/>
      <c r="DA147" s="1496"/>
      <c r="DB147" s="1487"/>
      <c r="DC147" s="241"/>
      <c r="DD147" s="241"/>
      <c r="DS147" s="270"/>
      <c r="DT147" s="270"/>
      <c r="DU147" s="270"/>
      <c r="DV147" s="1283"/>
      <c r="DW147" s="1224"/>
      <c r="DX147" s="270"/>
      <c r="DY147" s="270"/>
      <c r="DZ147" s="270"/>
      <c r="EA147" s="270"/>
      <c r="EB147" s="270"/>
      <c r="EC147" s="270"/>
      <c r="ED147" s="270"/>
      <c r="EE147" s="1283"/>
      <c r="EF147" s="1224"/>
      <c r="EG147" s="270"/>
      <c r="EH147" s="270"/>
      <c r="EI147" s="270"/>
      <c r="EJ147" s="270"/>
      <c r="EK147" s="1283"/>
      <c r="EL147" s="1224"/>
      <c r="EM147" s="270"/>
      <c r="EN147" s="270"/>
      <c r="EO147" s="270"/>
      <c r="EP147" s="270"/>
      <c r="EQ147" s="270"/>
      <c r="ER147" s="270"/>
      <c r="ES147" s="270"/>
      <c r="ET147" s="270"/>
      <c r="EV147" s="270"/>
      <c r="EW147" s="270"/>
      <c r="EX147" s="270"/>
      <c r="EY147" s="1283"/>
      <c r="EZ147" s="1224"/>
      <c r="FA147" s="270"/>
      <c r="FB147" s="270"/>
      <c r="FC147" s="270"/>
      <c r="FD147" s="270"/>
      <c r="FE147" s="270"/>
      <c r="FF147" s="270"/>
      <c r="FG147" s="270"/>
      <c r="FH147" s="1283"/>
      <c r="FJ147" s="240"/>
    </row>
    <row r="148" spans="3:179" ht="15" thickBot="1" x14ac:dyDescent="0.4">
      <c r="C148" s="1" t="s">
        <v>309</v>
      </c>
      <c r="F148" s="1029" t="e">
        <f t="shared" ref="F148:U148" si="154">((F$85-(BL$85))/F$85)*100</f>
        <v>#DIV/0!</v>
      </c>
      <c r="G148" s="232" t="e">
        <f t="shared" si="154"/>
        <v>#DIV/0!</v>
      </c>
      <c r="H148" s="232" t="e">
        <f t="shared" si="154"/>
        <v>#DIV/0!</v>
      </c>
      <c r="I148" s="1236" t="e">
        <f t="shared" si="154"/>
        <v>#DIV/0!</v>
      </c>
      <c r="J148" s="643" t="e">
        <f t="shared" si="154"/>
        <v>#REF!</v>
      </c>
      <c r="K148" s="232" t="e">
        <f t="shared" si="154"/>
        <v>#DIV/0!</v>
      </c>
      <c r="L148" s="232" t="e">
        <f t="shared" si="154"/>
        <v>#DIV/0!</v>
      </c>
      <c r="M148" s="232" t="e">
        <f t="shared" si="154"/>
        <v>#DIV/0!</v>
      </c>
      <c r="N148" s="232" t="e">
        <f t="shared" si="154"/>
        <v>#DIV/0!</v>
      </c>
      <c r="O148" s="232" t="e">
        <f t="shared" si="154"/>
        <v>#DIV/0!</v>
      </c>
      <c r="P148" s="232" t="e">
        <f t="shared" si="154"/>
        <v>#DIV/0!</v>
      </c>
      <c r="Q148" s="232" t="e">
        <f t="shared" si="154"/>
        <v>#DIV/0!</v>
      </c>
      <c r="R148" s="1236" t="e">
        <f t="shared" si="154"/>
        <v>#DIV/0!</v>
      </c>
      <c r="S148" s="643" t="e">
        <f t="shared" si="154"/>
        <v>#DIV/0!</v>
      </c>
      <c r="T148" s="232" t="e">
        <f t="shared" si="154"/>
        <v>#DIV/0!</v>
      </c>
      <c r="U148" s="232" t="e">
        <f t="shared" si="154"/>
        <v>#DIV/0!</v>
      </c>
      <c r="V148" s="232" t="e">
        <f t="shared" ref="V148" si="155">((V$85-(AY$85+CB$85))/V$85)*100</f>
        <v>#DIV/0!</v>
      </c>
      <c r="W148" s="232" t="e">
        <f t="shared" ref="W148" si="156">((W$85-(BK$85+CN$85))/W$85)*100</f>
        <v>#DIV/0!</v>
      </c>
      <c r="X148" s="1236" t="e">
        <f t="shared" ref="X148" si="157">((X$85-(BL$85+CO$85))/X$85)*100</f>
        <v>#DIV/0!</v>
      </c>
      <c r="Y148" s="643" t="e">
        <f t="shared" ref="Y148" si="158">((Y$85-(BM$85+CP$85))/Y$85)*100</f>
        <v>#DIV/0!</v>
      </c>
      <c r="Z148" s="232" t="e">
        <f t="shared" ref="Z148" si="159">((Z$85-(BN$85+CQ$85))/Z$85)*100</f>
        <v>#DIV/0!</v>
      </c>
      <c r="AA148" s="232" t="e">
        <f t="shared" ref="AA148" si="160">((AA$85-(BO$85+CR$85))/AA$85)*100</f>
        <v>#DIV/0!</v>
      </c>
      <c r="AB148" s="232" t="e">
        <f t="shared" ref="AB148" si="161">((AB$85-(BP$85+CS$85))/AB$85)*100</f>
        <v>#REF!</v>
      </c>
      <c r="AC148" s="232" t="e">
        <f t="shared" ref="AC148" si="162">((AC$85-(BQ$85+CT$85))/AC$85)*100</f>
        <v>#DIV/0!</v>
      </c>
      <c r="AD148" s="232" t="e">
        <f t="shared" ref="AD148" si="163">((AD$85-(BR$85+CU$85))/AD$85)*100</f>
        <v>#DIV/0!</v>
      </c>
      <c r="AE148" s="232" t="e">
        <f t="shared" ref="AE148" si="164">((AE$85-(BS$85+CV$85))/AE$85)*100</f>
        <v>#DIV/0!</v>
      </c>
      <c r="AF148" s="232" t="e">
        <f t="shared" ref="AF148" si="165">((AF$85-(BT$85+CW$85))/AF$85)*100</f>
        <v>#DIV/0!</v>
      </c>
      <c r="AG148" s="232" t="e">
        <f t="shared" ref="AG148" si="166">((AG$85-(BU$85+CX$85))/AG$85)*100</f>
        <v>#DIV/0!</v>
      </c>
      <c r="FC148" s="270"/>
      <c r="FD148" s="270"/>
      <c r="FE148" s="270"/>
      <c r="FF148" s="270"/>
      <c r="FG148" s="270"/>
      <c r="FH148" s="1283"/>
    </row>
    <row r="149" spans="3:179" s="377" customFormat="1" ht="19" thickTop="1" x14ac:dyDescent="0.45">
      <c r="C149" s="451" t="s">
        <v>310</v>
      </c>
      <c r="D149" s="411"/>
      <c r="E149" s="411"/>
      <c r="F149" s="1029">
        <v>77</v>
      </c>
      <c r="G149" s="232">
        <v>71.2</v>
      </c>
      <c r="H149" s="232">
        <v>69.099999999999994</v>
      </c>
      <c r="I149" s="1236">
        <v>67.7</v>
      </c>
      <c r="J149" s="643">
        <v>94</v>
      </c>
      <c r="K149" s="232">
        <v>90.5</v>
      </c>
      <c r="L149" s="232">
        <v>89.8</v>
      </c>
      <c r="M149" s="232">
        <v>89</v>
      </c>
      <c r="N149" s="232">
        <v>88.2</v>
      </c>
      <c r="O149" s="232">
        <v>87.1</v>
      </c>
      <c r="P149" s="232">
        <v>88.5</v>
      </c>
      <c r="Q149" s="232">
        <v>83.2</v>
      </c>
      <c r="R149" s="1236">
        <v>83</v>
      </c>
      <c r="S149" s="643">
        <v>84.1</v>
      </c>
      <c r="T149" s="232">
        <v>83</v>
      </c>
      <c r="U149" s="232">
        <v>82.9</v>
      </c>
      <c r="V149" s="232"/>
      <c r="W149" s="232"/>
      <c r="X149" s="1236"/>
      <c r="Y149" s="643"/>
      <c r="Z149" s="232"/>
      <c r="AA149" s="232"/>
      <c r="AB149" s="232"/>
      <c r="AC149" s="232"/>
      <c r="AD149" s="232"/>
      <c r="AE149" s="232"/>
      <c r="AF149" s="232"/>
      <c r="AG149" s="232"/>
      <c r="AH149" s="323"/>
      <c r="AI149" s="232"/>
      <c r="AJ149" s="232"/>
      <c r="AK149" s="232"/>
      <c r="AL149" s="1236"/>
      <c r="AM149" s="643"/>
      <c r="AN149" s="232"/>
      <c r="AO149" s="232"/>
      <c r="AP149" s="232"/>
      <c r="AQ149" s="232"/>
      <c r="AR149" s="232"/>
      <c r="AS149" s="232"/>
      <c r="AT149" s="232"/>
      <c r="AU149" s="1236"/>
      <c r="AV149" s="643"/>
      <c r="AW149" s="232"/>
      <c r="AX149" s="232"/>
      <c r="AY149" s="232"/>
      <c r="AZ149" s="232"/>
      <c r="BA149" s="1236"/>
      <c r="BB149" s="643"/>
      <c r="BC149" s="232"/>
      <c r="BD149" s="232"/>
      <c r="BE149" s="232"/>
      <c r="BF149" s="232"/>
      <c r="BG149" s="232"/>
      <c r="BH149" s="232"/>
      <c r="BI149" s="232"/>
      <c r="BJ149" s="232"/>
      <c r="BK149" s="323"/>
      <c r="BL149" s="232"/>
      <c r="BM149" s="232"/>
      <c r="BN149" s="232"/>
      <c r="BO149" s="1236"/>
      <c r="BP149" s="643"/>
      <c r="BQ149" s="232"/>
      <c r="BR149" s="232"/>
      <c r="BS149" s="232"/>
      <c r="BT149" s="232"/>
      <c r="BU149" s="232"/>
      <c r="BV149" s="232"/>
      <c r="BW149" s="232"/>
      <c r="BX149" s="1236"/>
      <c r="BY149" s="643"/>
      <c r="BZ149" s="232"/>
      <c r="CA149" s="232"/>
      <c r="CB149" s="232"/>
      <c r="CC149" s="232"/>
      <c r="CD149" s="1236"/>
      <c r="CE149" s="643"/>
      <c r="CF149" s="232"/>
      <c r="CG149" s="232"/>
      <c r="CH149" s="232"/>
      <c r="CI149" s="232"/>
      <c r="CJ149" s="232"/>
      <c r="CK149" s="232"/>
      <c r="CL149" s="232"/>
      <c r="CM149" s="232"/>
      <c r="CN149" s="323"/>
      <c r="CO149" s="232"/>
      <c r="CP149" s="232"/>
      <c r="CQ149" s="232"/>
      <c r="CR149" s="1236"/>
      <c r="CS149" s="643"/>
      <c r="CT149" s="232"/>
      <c r="CU149" s="232"/>
      <c r="CV149" s="232"/>
      <c r="CW149" s="232"/>
      <c r="CX149" s="232"/>
      <c r="CY149" s="232"/>
      <c r="CZ149" s="232"/>
      <c r="DA149" s="1236"/>
      <c r="DB149" s="643"/>
      <c r="DC149" s="232"/>
      <c r="DD149" s="232"/>
      <c r="DE149" s="232"/>
      <c r="DF149" s="232"/>
      <c r="DG149" s="1236"/>
      <c r="DH149" s="643"/>
      <c r="DI149" s="232"/>
      <c r="DJ149" s="232"/>
      <c r="DK149" s="232"/>
      <c r="DL149" s="232"/>
      <c r="DM149" s="232"/>
      <c r="DN149" s="232"/>
      <c r="DO149" s="232"/>
      <c r="DP149" s="232"/>
      <c r="DQ149" s="323"/>
      <c r="DR149" s="238"/>
      <c r="DS149" s="232"/>
      <c r="DT149" s="232"/>
      <c r="DU149" s="232"/>
      <c r="DV149" s="1236"/>
      <c r="DW149" s="643"/>
      <c r="DX149" s="232"/>
      <c r="DY149" s="232"/>
      <c r="DZ149" s="232"/>
      <c r="EA149" s="232"/>
      <c r="EB149" s="232"/>
      <c r="EC149" s="232"/>
      <c r="ED149" s="232"/>
      <c r="EE149" s="1236"/>
      <c r="EF149" s="643"/>
      <c r="EG149" s="232"/>
      <c r="EH149" s="232"/>
      <c r="EI149" s="232"/>
      <c r="EJ149" s="232"/>
      <c r="EK149" s="1236"/>
      <c r="EL149" s="643"/>
      <c r="EM149" s="232"/>
      <c r="EN149" s="232"/>
      <c r="EO149" s="232"/>
      <c r="EP149" s="232"/>
      <c r="EQ149" s="232"/>
      <c r="ER149" s="232"/>
      <c r="ES149" s="232"/>
      <c r="ET149" s="232"/>
      <c r="EU149" s="323"/>
      <c r="EV149" s="232"/>
      <c r="EW149" s="232"/>
      <c r="EX149" s="232"/>
      <c r="EY149" s="1236"/>
      <c r="EZ149" s="643"/>
      <c r="FA149" s="232"/>
      <c r="FB149" s="232"/>
      <c r="FC149" s="232"/>
      <c r="FD149" s="232"/>
      <c r="FE149" s="232"/>
      <c r="FF149" s="232"/>
      <c r="FG149" s="232"/>
      <c r="FH149" s="1236"/>
      <c r="FI149" s="643"/>
      <c r="FJ149" s="232"/>
      <c r="FK149" s="232"/>
      <c r="FL149" s="232"/>
      <c r="FM149" s="232"/>
      <c r="FN149" s="1236"/>
      <c r="FO149" s="643"/>
      <c r="FP149" s="232"/>
      <c r="FQ149" s="232"/>
      <c r="FR149" s="232"/>
      <c r="FS149" s="232"/>
      <c r="FT149" s="232"/>
      <c r="FU149" s="232"/>
      <c r="FV149" s="232"/>
      <c r="FW149" s="232"/>
    </row>
    <row r="150" spans="3:179" x14ac:dyDescent="0.35">
      <c r="C150" s="1">
        <v>0.95</v>
      </c>
      <c r="F150" s="501">
        <f>$C$150*F$149</f>
        <v>73.149999999999991</v>
      </c>
      <c r="G150" s="249">
        <f>$C$150*G$149</f>
        <v>67.64</v>
      </c>
      <c r="H150" s="249">
        <f t="shared" ref="H150:K150" si="167">$C$150*H$149</f>
        <v>65.644999999999996</v>
      </c>
      <c r="I150" s="1242">
        <f t="shared" si="167"/>
        <v>64.314999999999998</v>
      </c>
      <c r="J150" s="419">
        <f t="shared" si="167"/>
        <v>89.3</v>
      </c>
      <c r="K150" s="249">
        <f t="shared" si="167"/>
        <v>85.974999999999994</v>
      </c>
      <c r="L150" s="249">
        <f>$C$150*L$149</f>
        <v>85.309999999999988</v>
      </c>
      <c r="M150" s="249">
        <f t="shared" ref="M150:T150" si="168">$C$150*M$149</f>
        <v>84.55</v>
      </c>
      <c r="N150" s="249">
        <f t="shared" si="168"/>
        <v>83.789999999999992</v>
      </c>
      <c r="O150" s="249">
        <f t="shared" si="168"/>
        <v>82.74499999999999</v>
      </c>
      <c r="P150" s="249">
        <f t="shared" si="168"/>
        <v>84.075000000000003</v>
      </c>
      <c r="Q150" s="249">
        <f t="shared" si="168"/>
        <v>79.039999999999992</v>
      </c>
      <c r="R150" s="1242">
        <f t="shared" si="168"/>
        <v>78.849999999999994</v>
      </c>
      <c r="S150" s="419">
        <f t="shared" si="168"/>
        <v>79.894999999999996</v>
      </c>
      <c r="T150" s="249">
        <f t="shared" si="168"/>
        <v>78.849999999999994</v>
      </c>
      <c r="U150" s="249">
        <f>$C$150*U$149</f>
        <v>78.754999999999995</v>
      </c>
      <c r="V150" s="249"/>
      <c r="W150" s="249"/>
      <c r="X150" s="1242"/>
      <c r="Y150" s="419"/>
      <c r="Z150" s="249"/>
      <c r="AA150" s="249"/>
      <c r="AB150" s="249"/>
      <c r="AC150" s="249"/>
      <c r="AD150" s="249"/>
      <c r="AE150" s="249"/>
      <c r="AF150" s="249"/>
      <c r="AG150" s="249"/>
    </row>
    <row r="151" spans="3:179" x14ac:dyDescent="0.35">
      <c r="C151" s="444"/>
      <c r="D151" s="444"/>
      <c r="E151" s="444"/>
      <c r="F151" s="492"/>
      <c r="G151" s="446"/>
      <c r="H151" s="446"/>
      <c r="I151" s="1242"/>
      <c r="J151" s="419"/>
      <c r="K151" s="249"/>
      <c r="L151" s="249"/>
      <c r="M151" s="249"/>
      <c r="N151" s="249"/>
      <c r="O151" s="249"/>
      <c r="P151" s="249"/>
      <c r="Q151" s="249"/>
      <c r="R151" s="1242"/>
      <c r="S151" s="419"/>
      <c r="T151" s="249"/>
      <c r="U151" s="249"/>
    </row>
    <row r="152" spans="3:179" s="368" customFormat="1" ht="15" thickBot="1" x14ac:dyDescent="0.4">
      <c r="C152" s="413" t="s">
        <v>307</v>
      </c>
      <c r="D152" s="413"/>
      <c r="E152" s="413"/>
      <c r="F152" s="501" t="e">
        <f t="shared" ref="F152:U152" si="169">((F$88-(BL$88))/F$88)*100</f>
        <v>#DIV/0!</v>
      </c>
      <c r="G152" s="249" t="e">
        <f t="shared" si="169"/>
        <v>#DIV/0!</v>
      </c>
      <c r="H152" s="249" t="e">
        <f t="shared" si="169"/>
        <v>#DIV/0!</v>
      </c>
      <c r="I152" s="1242" t="e">
        <f t="shared" si="169"/>
        <v>#DIV/0!</v>
      </c>
      <c r="J152" s="419" t="e">
        <f t="shared" si="169"/>
        <v>#REF!</v>
      </c>
      <c r="K152" s="249" t="e">
        <f t="shared" si="169"/>
        <v>#DIV/0!</v>
      </c>
      <c r="L152" s="249" t="e">
        <f t="shared" si="169"/>
        <v>#DIV/0!</v>
      </c>
      <c r="M152" s="249" t="e">
        <f t="shared" si="169"/>
        <v>#DIV/0!</v>
      </c>
      <c r="N152" s="249" t="e">
        <f t="shared" si="169"/>
        <v>#DIV/0!</v>
      </c>
      <c r="O152" s="249" t="e">
        <f t="shared" si="169"/>
        <v>#DIV/0!</v>
      </c>
      <c r="P152" s="249" t="e">
        <f t="shared" si="169"/>
        <v>#DIV/0!</v>
      </c>
      <c r="Q152" s="249" t="e">
        <f t="shared" si="169"/>
        <v>#DIV/0!</v>
      </c>
      <c r="R152" s="1242" t="e">
        <f t="shared" si="169"/>
        <v>#DIV/0!</v>
      </c>
      <c r="S152" s="419" t="e">
        <f t="shared" si="169"/>
        <v>#DIV/0!</v>
      </c>
      <c r="T152" s="249" t="e">
        <f t="shared" si="169"/>
        <v>#DIV/0!</v>
      </c>
      <c r="U152" s="249" t="e">
        <f t="shared" si="169"/>
        <v>#DIV/0!</v>
      </c>
      <c r="V152" s="232" t="e">
        <f t="shared" ref="V152" si="170">((V$88-(AY$88+CB$88))/V$88)*100</f>
        <v>#DIV/0!</v>
      </c>
      <c r="W152" s="232" t="e">
        <f t="shared" ref="W152" si="171">((W$88-(BK$88+CN$88))/W$88)*100</f>
        <v>#DIV/0!</v>
      </c>
      <c r="X152" s="1236" t="e">
        <f t="shared" ref="X152" si="172">((X$88-(BL$88+CO$88))/X$88)*100</f>
        <v>#DIV/0!</v>
      </c>
      <c r="Y152" s="643" t="e">
        <f t="shared" ref="Y152" si="173">((Y$88-(BM$88+CP$88))/Y$88)*100</f>
        <v>#DIV/0!</v>
      </c>
      <c r="Z152" s="232" t="e">
        <f t="shared" ref="Z152" si="174">((Z$88-(BN$88+CQ$88))/Z$88)*100</f>
        <v>#DIV/0!</v>
      </c>
      <c r="AA152" s="232" t="e">
        <f t="shared" ref="AA152" si="175">((AA$88-(BO$88+CR$88))/AA$88)*100</f>
        <v>#DIV/0!</v>
      </c>
      <c r="AB152" s="232" t="e">
        <f t="shared" ref="AB152" si="176">((AB$88-(BP$88+CS$88))/AB$88)*100</f>
        <v>#REF!</v>
      </c>
      <c r="AC152" s="232" t="e">
        <f t="shared" ref="AC152" si="177">((AC$88-(BQ$88+CT$88))/AC$88)*100</f>
        <v>#DIV/0!</v>
      </c>
      <c r="AD152" s="232" t="e">
        <f t="shared" ref="AD152" si="178">((AD$88-(BR$88+CU$88))/AD$88)*100</f>
        <v>#DIV/0!</v>
      </c>
      <c r="AE152" s="232" t="e">
        <f t="shared" ref="AE152" si="179">((AE$88-(BS$88+CV$88))/AE$88)*100</f>
        <v>#DIV/0!</v>
      </c>
      <c r="AF152" s="232" t="e">
        <f t="shared" ref="AF152" si="180">((AF$88-(BT$88+CW$88))/AF$88)*100</f>
        <v>#DIV/0!</v>
      </c>
      <c r="AG152" s="232" t="e">
        <f t="shared" ref="AG152" si="181">((AG$88-(BU$88+CX$88))/AG$88)*100</f>
        <v>#DIV/0!</v>
      </c>
      <c r="AH152" s="323"/>
      <c r="AI152" s="232">
        <v>95.93</v>
      </c>
      <c r="AJ152" s="232"/>
      <c r="AK152" s="232"/>
      <c r="AL152" s="1236"/>
      <c r="AM152" s="643"/>
      <c r="AN152" s="232"/>
      <c r="AO152" s="232"/>
      <c r="AP152" s="232"/>
      <c r="AQ152" s="232"/>
      <c r="AR152" s="232"/>
      <c r="AS152" s="232"/>
      <c r="AT152" s="232"/>
      <c r="AU152" s="1236"/>
      <c r="AV152" s="643"/>
      <c r="AW152" s="232"/>
      <c r="AX152" s="232"/>
      <c r="AY152" s="232"/>
      <c r="AZ152" s="232"/>
      <c r="BA152" s="1236"/>
      <c r="BB152" s="643"/>
      <c r="BC152" s="232"/>
      <c r="BD152" s="232"/>
      <c r="BE152" s="232"/>
      <c r="BF152" s="232"/>
      <c r="BG152" s="232"/>
      <c r="BH152" s="232"/>
      <c r="BI152" s="232"/>
      <c r="BJ152" s="232"/>
      <c r="BK152" s="323"/>
      <c r="BL152" s="232"/>
      <c r="BM152" s="232"/>
      <c r="BN152" s="232"/>
      <c r="BO152" s="1236"/>
      <c r="BP152" s="643"/>
      <c r="BQ152" s="232"/>
      <c r="BR152" s="232"/>
      <c r="BS152" s="232"/>
      <c r="BT152" s="232"/>
      <c r="BU152" s="232"/>
      <c r="BV152" s="232"/>
      <c r="BW152" s="232"/>
      <c r="BX152" s="1236"/>
      <c r="BY152" s="643"/>
      <c r="BZ152" s="232"/>
      <c r="CA152" s="232"/>
      <c r="CB152" s="232"/>
      <c r="CC152" s="232"/>
      <c r="CD152" s="1236"/>
      <c r="CE152" s="643"/>
      <c r="CF152" s="232"/>
      <c r="CG152" s="232"/>
      <c r="CH152" s="232"/>
      <c r="CI152" s="232"/>
      <c r="CJ152" s="232"/>
      <c r="CK152" s="232"/>
      <c r="CL152" s="232"/>
      <c r="CM152" s="232"/>
      <c r="CN152" s="323"/>
      <c r="CO152" s="232"/>
      <c r="CP152" s="232"/>
      <c r="CQ152" s="232"/>
      <c r="CR152" s="1236"/>
      <c r="CS152" s="643"/>
      <c r="CT152" s="232"/>
      <c r="CU152" s="232"/>
      <c r="CV152" s="232"/>
      <c r="CW152" s="232"/>
      <c r="CX152" s="232"/>
      <c r="CY152" s="232"/>
      <c r="CZ152" s="232"/>
      <c r="DA152" s="1236"/>
      <c r="DB152" s="643"/>
      <c r="DC152" s="232"/>
      <c r="DD152" s="232"/>
      <c r="DE152" s="232"/>
      <c r="DF152" s="232"/>
      <c r="DG152" s="1236"/>
      <c r="DH152" s="643"/>
      <c r="DI152" s="232"/>
      <c r="DJ152" s="232"/>
      <c r="DK152" s="232"/>
      <c r="DL152" s="232"/>
      <c r="DM152" s="232"/>
      <c r="DN152" s="232"/>
      <c r="DO152" s="232"/>
      <c r="DP152" s="232"/>
      <c r="DQ152" s="323"/>
      <c r="DR152" s="238"/>
      <c r="DS152" s="232"/>
      <c r="DT152" s="232"/>
      <c r="DU152" s="232"/>
      <c r="DV152" s="1236"/>
      <c r="DW152" s="643" t="s">
        <v>222</v>
      </c>
      <c r="DX152" s="232"/>
      <c r="DY152" s="232"/>
      <c r="DZ152" s="232"/>
      <c r="EA152" s="232"/>
      <c r="EB152" s="232"/>
      <c r="EC152" s="232"/>
      <c r="ED152" s="232"/>
      <c r="EE152" s="1236"/>
      <c r="EF152" s="643"/>
      <c r="EG152" s="232"/>
      <c r="EH152" s="232"/>
      <c r="EI152" s="232"/>
      <c r="EJ152" s="232"/>
      <c r="EK152" s="1236"/>
      <c r="EL152" s="643"/>
      <c r="EM152" s="232"/>
      <c r="EN152" s="232"/>
      <c r="EO152" s="232"/>
      <c r="EP152" s="232"/>
      <c r="EQ152" s="232"/>
      <c r="ER152" s="232"/>
      <c r="ES152" s="232"/>
      <c r="ET152" s="232"/>
      <c r="EU152" s="323"/>
      <c r="EV152" s="232"/>
      <c r="EW152" s="232"/>
      <c r="EX152" s="232"/>
      <c r="EY152" s="1236"/>
      <c r="EZ152" s="643" t="s">
        <v>218</v>
      </c>
      <c r="FA152" s="232"/>
      <c r="FB152" s="232"/>
      <c r="FC152" s="232"/>
      <c r="FD152" s="232"/>
      <c r="FE152" s="232"/>
      <c r="FF152" s="232"/>
      <c r="FG152" s="232"/>
      <c r="FH152" s="1236"/>
      <c r="FI152" s="643"/>
      <c r="FJ152" s="232"/>
      <c r="FK152" s="232"/>
      <c r="FL152" s="232"/>
      <c r="FM152" s="232"/>
      <c r="FN152" s="1236"/>
      <c r="FO152" s="643"/>
      <c r="FP152" s="232"/>
      <c r="FQ152" s="232"/>
      <c r="FR152" s="232"/>
      <c r="FS152" s="232"/>
      <c r="FT152" s="232"/>
      <c r="FU152" s="232"/>
      <c r="FV152" s="232"/>
      <c r="FW152" s="232"/>
    </row>
    <row r="153" spans="3:179" ht="15.5" thickTop="1" thickBot="1" x14ac:dyDescent="0.4">
      <c r="C153" s="412" t="s">
        <v>308</v>
      </c>
      <c r="D153" s="412"/>
      <c r="E153" s="412"/>
      <c r="F153" s="501">
        <v>92</v>
      </c>
      <c r="G153" s="249">
        <v>88.5</v>
      </c>
      <c r="H153" s="249">
        <v>86.2</v>
      </c>
      <c r="I153" s="1242">
        <v>85.2</v>
      </c>
      <c r="J153" s="419">
        <v>98.5</v>
      </c>
      <c r="K153" s="249">
        <v>98.2</v>
      </c>
      <c r="L153" s="249">
        <v>98</v>
      </c>
      <c r="M153" s="249">
        <v>97.8</v>
      </c>
      <c r="N153" s="249">
        <v>97.6</v>
      </c>
      <c r="O153" s="249">
        <v>97.4</v>
      </c>
      <c r="P153" s="249">
        <v>97</v>
      </c>
      <c r="Q153" s="249">
        <v>94.4</v>
      </c>
      <c r="R153" s="1242">
        <v>94</v>
      </c>
      <c r="S153" s="419">
        <v>95</v>
      </c>
      <c r="T153" s="249">
        <v>94.5</v>
      </c>
      <c r="U153" s="249">
        <v>93.9</v>
      </c>
      <c r="DR153" s="345"/>
      <c r="DS153" s="225"/>
      <c r="DT153" s="225"/>
      <c r="DU153" s="225"/>
      <c r="DV153" s="1269"/>
      <c r="DW153" s="1214"/>
      <c r="DX153" s="225"/>
      <c r="DY153" s="225"/>
      <c r="DZ153" s="225"/>
      <c r="EA153" s="225"/>
      <c r="EB153" s="225"/>
      <c r="EC153" s="225"/>
      <c r="ED153" s="225"/>
      <c r="EE153" s="1269"/>
      <c r="EF153" s="1214"/>
      <c r="EG153" s="225"/>
      <c r="EH153" s="225"/>
      <c r="EI153" s="225"/>
      <c r="EJ153" s="225"/>
      <c r="EK153" s="1269"/>
      <c r="EL153" s="1214"/>
      <c r="EM153" s="225"/>
      <c r="EN153" s="225"/>
      <c r="EO153" s="225"/>
      <c r="EP153" s="225"/>
      <c r="EQ153" s="225"/>
      <c r="ER153" s="225"/>
      <c r="ES153" s="225"/>
      <c r="ET153" s="225"/>
      <c r="EV153" s="225"/>
      <c r="EW153" s="225"/>
      <c r="EX153" s="225"/>
      <c r="EY153" s="1269"/>
      <c r="EZ153" s="1214"/>
      <c r="FA153" s="225"/>
      <c r="FB153" s="225"/>
      <c r="FC153" s="225"/>
      <c r="FD153" s="225"/>
      <c r="FE153" s="225"/>
      <c r="FF153" s="225"/>
      <c r="FG153" s="225"/>
      <c r="FH153" s="1269"/>
      <c r="FI153" s="1214"/>
      <c r="FJ153" s="225"/>
      <c r="FK153" s="225"/>
      <c r="FL153" s="225"/>
      <c r="FM153" s="225"/>
      <c r="FN153" s="1269"/>
      <c r="FO153" s="1214"/>
      <c r="FP153" s="225"/>
      <c r="FQ153" s="225"/>
      <c r="FR153" s="225"/>
      <c r="FS153" s="225"/>
      <c r="FT153" s="225"/>
      <c r="FU153" s="225"/>
      <c r="FV153" s="225"/>
      <c r="FW153" s="225"/>
    </row>
    <row r="154" spans="3:179" ht="15.5" thickTop="1" thickBot="1" x14ac:dyDescent="0.4">
      <c r="C154" s="1">
        <v>0.95</v>
      </c>
      <c r="F154" s="501">
        <f>$C$154*F$153</f>
        <v>87.399999999999991</v>
      </c>
      <c r="G154" s="249">
        <f t="shared" ref="G154:T154" si="182">$C$154*G$153</f>
        <v>84.075000000000003</v>
      </c>
      <c r="H154" s="249">
        <f t="shared" si="182"/>
        <v>81.89</v>
      </c>
      <c r="I154" s="1242">
        <f t="shared" si="182"/>
        <v>80.94</v>
      </c>
      <c r="J154" s="419">
        <f t="shared" si="182"/>
        <v>93.574999999999989</v>
      </c>
      <c r="K154" s="249">
        <f t="shared" si="182"/>
        <v>93.289999999999992</v>
      </c>
      <c r="L154" s="249">
        <f t="shared" si="182"/>
        <v>93.1</v>
      </c>
      <c r="M154" s="249">
        <f t="shared" si="182"/>
        <v>92.91</v>
      </c>
      <c r="N154" s="249">
        <f t="shared" si="182"/>
        <v>92.719999999999985</v>
      </c>
      <c r="O154" s="249">
        <f t="shared" si="182"/>
        <v>92.53</v>
      </c>
      <c r="P154" s="249">
        <f t="shared" si="182"/>
        <v>92.149999999999991</v>
      </c>
      <c r="Q154" s="249">
        <f t="shared" si="182"/>
        <v>89.68</v>
      </c>
      <c r="R154" s="1242">
        <f t="shared" si="182"/>
        <v>89.3</v>
      </c>
      <c r="S154" s="419">
        <f t="shared" si="182"/>
        <v>90.25</v>
      </c>
      <c r="T154" s="249">
        <f t="shared" si="182"/>
        <v>89.774999999999991</v>
      </c>
      <c r="U154" s="249">
        <f>$C$154*U$153</f>
        <v>89.204999999999998</v>
      </c>
      <c r="V154" s="249"/>
      <c r="W154" s="249"/>
      <c r="X154" s="1242"/>
      <c r="Y154" s="419"/>
      <c r="Z154" s="249"/>
      <c r="AA154" s="249"/>
      <c r="AB154" s="249"/>
      <c r="AC154" s="249"/>
      <c r="AD154" s="249"/>
      <c r="AE154" s="249"/>
      <c r="AF154" s="249"/>
      <c r="AG154" s="249"/>
      <c r="DR154" s="361"/>
      <c r="DS154" s="307"/>
      <c r="DT154" s="307"/>
      <c r="DU154" s="307"/>
      <c r="DV154" s="1239"/>
      <c r="DW154" s="1546"/>
      <c r="DX154" s="307"/>
      <c r="DY154" s="307"/>
      <c r="DZ154" s="307"/>
      <c r="EA154" s="307"/>
      <c r="EB154" s="307"/>
      <c r="EC154" s="307"/>
      <c r="ED154" s="307"/>
      <c r="EE154" s="1239"/>
      <c r="EF154" s="1186"/>
      <c r="EG154" s="307"/>
      <c r="EH154" s="307"/>
      <c r="EI154" s="307"/>
      <c r="EJ154" s="307"/>
      <c r="EK154" s="1239"/>
      <c r="EL154" s="1186"/>
      <c r="EM154" s="307"/>
      <c r="EN154" s="307"/>
      <c r="EO154" s="307"/>
      <c r="EP154" s="307"/>
      <c r="EQ154" s="307"/>
      <c r="ER154" s="307"/>
      <c r="ES154" s="307"/>
      <c r="ET154" s="307"/>
      <c r="EV154" s="307"/>
      <c r="EW154" s="307"/>
      <c r="EX154" s="307"/>
      <c r="EY154" s="1239"/>
      <c r="EZ154" s="1546"/>
      <c r="FA154" s="307"/>
      <c r="FB154" s="307"/>
      <c r="FC154" s="307"/>
      <c r="FD154" s="307"/>
      <c r="FE154" s="307"/>
      <c r="FF154" s="307"/>
      <c r="FG154" s="307"/>
      <c r="FH154" s="1239"/>
      <c r="FI154" s="1186"/>
      <c r="FJ154" s="307"/>
      <c r="FK154" s="307"/>
      <c r="FL154" s="307"/>
      <c r="FM154" s="307"/>
      <c r="FN154" s="1239"/>
      <c r="FO154" s="1186"/>
      <c r="FP154" s="307"/>
      <c r="FQ154" s="307"/>
      <c r="FR154" s="307"/>
      <c r="FS154" s="307"/>
      <c r="FT154" s="307"/>
      <c r="FU154" s="307"/>
      <c r="FV154" s="307"/>
      <c r="FW154" s="307"/>
    </row>
    <row r="155" spans="3:179" ht="15" thickTop="1" x14ac:dyDescent="0.35">
      <c r="C155" s="444"/>
      <c r="D155" s="444"/>
      <c r="E155" s="444"/>
      <c r="F155" s="492"/>
      <c r="G155" s="446"/>
      <c r="H155" s="446"/>
      <c r="I155" s="1242"/>
      <c r="J155" s="419"/>
      <c r="K155" s="249"/>
      <c r="L155" s="249"/>
      <c r="M155" s="249"/>
      <c r="N155" s="249"/>
      <c r="O155" s="249"/>
      <c r="P155" s="249"/>
      <c r="Q155" s="249"/>
      <c r="R155" s="1242"/>
      <c r="S155" s="419"/>
      <c r="T155" s="249"/>
      <c r="U155" s="249"/>
      <c r="DR155" s="358"/>
      <c r="DS155" s="229"/>
      <c r="DT155" s="229"/>
      <c r="DU155" s="229"/>
      <c r="DV155" s="1245"/>
      <c r="DW155" s="1547"/>
      <c r="DX155" s="229"/>
      <c r="DY155" s="229"/>
      <c r="DZ155" s="229"/>
      <c r="EA155" s="229"/>
      <c r="EB155" s="229"/>
      <c r="EC155" s="229"/>
      <c r="ED155" s="229"/>
      <c r="EE155" s="1245"/>
      <c r="EF155" s="538"/>
      <c r="EG155" s="229"/>
      <c r="EH155" s="229"/>
      <c r="EI155" s="229"/>
      <c r="EJ155" s="229"/>
      <c r="EK155" s="1245"/>
      <c r="EL155" s="538"/>
      <c r="EM155" s="229"/>
      <c r="EN155" s="229"/>
      <c r="EO155" s="229"/>
      <c r="EP155" s="229"/>
      <c r="EQ155" s="229"/>
      <c r="ER155" s="229"/>
      <c r="ES155" s="229"/>
      <c r="ET155" s="229"/>
      <c r="EV155" s="229"/>
      <c r="EW155" s="229"/>
      <c r="EX155" s="229"/>
      <c r="EY155" s="1245"/>
      <c r="EZ155" s="1547"/>
      <c r="FA155" s="229"/>
      <c r="FB155" s="229"/>
      <c r="FC155" s="229"/>
      <c r="FD155" s="229"/>
      <c r="FE155" s="229"/>
      <c r="FF155" s="229"/>
      <c r="FG155" s="229"/>
      <c r="FH155" s="1245"/>
      <c r="FI155" s="538"/>
      <c r="FJ155" s="229"/>
      <c r="FK155" s="229"/>
      <c r="FL155" s="229"/>
      <c r="FM155" s="229"/>
      <c r="FN155" s="1245"/>
      <c r="FO155" s="538"/>
      <c r="FP155" s="229"/>
      <c r="FQ155" s="229"/>
      <c r="FR155" s="229"/>
      <c r="FS155" s="229"/>
      <c r="FT155" s="229"/>
      <c r="FU155" s="229"/>
      <c r="FV155" s="229"/>
      <c r="FW155" s="229"/>
    </row>
    <row r="156" spans="3:179" ht="15" thickBot="1" x14ac:dyDescent="0.4">
      <c r="C156" s="167" t="s">
        <v>305</v>
      </c>
      <c r="D156" s="167"/>
      <c r="E156" s="167"/>
      <c r="F156" s="501" t="e">
        <f>F$148*F$85/100</f>
        <v>#DIV/0!</v>
      </c>
      <c r="G156" s="249" t="e">
        <f t="shared" ref="G156:AG156" si="183">G$148*G$85/100</f>
        <v>#DIV/0!</v>
      </c>
      <c r="H156" s="249" t="e">
        <f t="shared" si="183"/>
        <v>#DIV/0!</v>
      </c>
      <c r="I156" s="1242" t="e">
        <f t="shared" si="183"/>
        <v>#DIV/0!</v>
      </c>
      <c r="J156" s="419" t="e">
        <f t="shared" si="183"/>
        <v>#REF!</v>
      </c>
      <c r="K156" s="249" t="e">
        <f t="shared" si="183"/>
        <v>#DIV/0!</v>
      </c>
      <c r="L156" s="249" t="e">
        <f t="shared" si="183"/>
        <v>#DIV/0!</v>
      </c>
      <c r="M156" s="249" t="e">
        <f t="shared" si="183"/>
        <v>#DIV/0!</v>
      </c>
      <c r="N156" s="249" t="e">
        <f t="shared" si="183"/>
        <v>#DIV/0!</v>
      </c>
      <c r="O156" s="249" t="e">
        <f t="shared" si="183"/>
        <v>#DIV/0!</v>
      </c>
      <c r="P156" s="249" t="e">
        <f t="shared" si="183"/>
        <v>#DIV/0!</v>
      </c>
      <c r="Q156" s="249" t="e">
        <f t="shared" si="183"/>
        <v>#DIV/0!</v>
      </c>
      <c r="R156" s="1242" t="e">
        <f t="shared" si="183"/>
        <v>#DIV/0!</v>
      </c>
      <c r="S156" s="419" t="e">
        <f t="shared" si="183"/>
        <v>#DIV/0!</v>
      </c>
      <c r="T156" s="249" t="e">
        <f t="shared" si="183"/>
        <v>#DIV/0!</v>
      </c>
      <c r="U156" s="249" t="e">
        <f t="shared" si="183"/>
        <v>#DIV/0!</v>
      </c>
      <c r="V156" s="232" t="e">
        <f t="shared" si="183"/>
        <v>#DIV/0!</v>
      </c>
      <c r="W156" s="232" t="e">
        <f t="shared" si="183"/>
        <v>#DIV/0!</v>
      </c>
      <c r="X156" s="1236" t="e">
        <f t="shared" si="183"/>
        <v>#DIV/0!</v>
      </c>
      <c r="Y156" s="643" t="e">
        <f t="shared" si="183"/>
        <v>#DIV/0!</v>
      </c>
      <c r="Z156" s="232" t="e">
        <f t="shared" si="183"/>
        <v>#DIV/0!</v>
      </c>
      <c r="AA156" s="232" t="e">
        <f t="shared" si="183"/>
        <v>#DIV/0!</v>
      </c>
      <c r="AB156" s="232" t="e">
        <f t="shared" si="183"/>
        <v>#REF!</v>
      </c>
      <c r="AC156" s="232" t="e">
        <f t="shared" si="183"/>
        <v>#DIV/0!</v>
      </c>
      <c r="AD156" s="232" t="e">
        <f t="shared" si="183"/>
        <v>#DIV/0!</v>
      </c>
      <c r="AE156" s="232" t="e">
        <f t="shared" si="183"/>
        <v>#DIV/0!</v>
      </c>
      <c r="AF156" s="232" t="e">
        <f t="shared" si="183"/>
        <v>#DIV/0!</v>
      </c>
      <c r="AG156" s="232" t="e">
        <f t="shared" si="183"/>
        <v>#DIV/0!</v>
      </c>
      <c r="DS156" s="232">
        <f t="shared" ref="DS156:EH156" si="184">SUM(DS124:DS133)</f>
        <v>18.953939790588322</v>
      </c>
      <c r="DT156" s="232">
        <f t="shared" si="184"/>
        <v>20.318086498521705</v>
      </c>
      <c r="DU156" s="232">
        <f t="shared" si="184"/>
        <v>6.6019051739589152</v>
      </c>
      <c r="DV156" s="1236">
        <f t="shared" si="184"/>
        <v>6.4738486109845459</v>
      </c>
      <c r="DW156" s="1470">
        <f t="shared" si="184"/>
        <v>8.1168696440616888</v>
      </c>
      <c r="DX156" s="232">
        <f t="shared" si="184"/>
        <v>8.4454585475444102</v>
      </c>
      <c r="DY156" s="232">
        <f t="shared" si="184"/>
        <v>8.5763732666827259</v>
      </c>
      <c r="DZ156" s="232">
        <f t="shared" si="184"/>
        <v>8.5426085851639897</v>
      </c>
      <c r="EA156" s="232">
        <f t="shared" si="184"/>
        <v>8.1970490193909828</v>
      </c>
      <c r="EB156" s="232">
        <f t="shared" si="184"/>
        <v>8.9077341411873334</v>
      </c>
      <c r="EC156" s="232">
        <f t="shared" si="184"/>
        <v>9.1377848748268562</v>
      </c>
      <c r="ED156" s="232">
        <f t="shared" si="184"/>
        <v>9.0794402964448011</v>
      </c>
      <c r="EE156" s="1236">
        <f t="shared" si="184"/>
        <v>8.9985973953397238</v>
      </c>
      <c r="EF156" s="643">
        <f t="shared" si="184"/>
        <v>0</v>
      </c>
      <c r="EG156" s="232">
        <f t="shared" si="184"/>
        <v>0</v>
      </c>
      <c r="EH156" s="232">
        <f t="shared" si="184"/>
        <v>0</v>
      </c>
      <c r="EV156" s="232">
        <f t="shared" ref="EV156:FB156" si="185">SUM(EV124:EV133)</f>
        <v>0.67955978599548017</v>
      </c>
      <c r="EW156" s="232">
        <f t="shared" si="185"/>
        <v>0.45854499088924516</v>
      </c>
      <c r="EX156" s="232">
        <f t="shared" si="185"/>
        <v>8.197213423327096E-2</v>
      </c>
      <c r="EY156" s="1236">
        <f t="shared" si="185"/>
        <v>8.7620900742590296E-2</v>
      </c>
      <c r="EZ156" s="1470">
        <f t="shared" si="185"/>
        <v>2.1363123991038306</v>
      </c>
      <c r="FA156" s="232">
        <f t="shared" si="185"/>
        <v>3.0126310043093323</v>
      </c>
      <c r="FB156" s="232">
        <f t="shared" si="185"/>
        <v>3.0351322935787421</v>
      </c>
      <c r="FC156" s="232">
        <f t="shared" ref="FC156:FK156" si="186">SUM(FC124:FC146)</f>
        <v>2.791609662690457</v>
      </c>
      <c r="FD156" s="232">
        <f t="shared" si="186"/>
        <v>2.308133741961516</v>
      </c>
      <c r="FE156" s="232">
        <f t="shared" si="186"/>
        <v>2.65481704981653</v>
      </c>
      <c r="FF156" s="232">
        <f t="shared" si="186"/>
        <v>1.4511256423497201</v>
      </c>
      <c r="FG156" s="232">
        <f t="shared" si="186"/>
        <v>2.3070026126076324</v>
      </c>
      <c r="FH156" s="1236">
        <f t="shared" si="186"/>
        <v>3.1909088296882215</v>
      </c>
      <c r="FI156" s="643">
        <f t="shared" si="186"/>
        <v>0</v>
      </c>
      <c r="FJ156" s="232">
        <f t="shared" si="186"/>
        <v>0</v>
      </c>
      <c r="FK156" s="232">
        <f t="shared" si="186"/>
        <v>0</v>
      </c>
    </row>
    <row r="157" spans="3:179" s="377" customFormat="1" ht="15" thickTop="1" x14ac:dyDescent="0.35">
      <c r="C157" s="414" t="s">
        <v>306</v>
      </c>
      <c r="D157" s="414"/>
      <c r="E157" s="414"/>
      <c r="F157" s="501" t="e">
        <f t="shared" ref="F157:AG157" si="187">F$152*F$88/100</f>
        <v>#DIV/0!</v>
      </c>
      <c r="G157" s="249" t="e">
        <f t="shared" si="187"/>
        <v>#DIV/0!</v>
      </c>
      <c r="H157" s="249" t="e">
        <f t="shared" si="187"/>
        <v>#DIV/0!</v>
      </c>
      <c r="I157" s="1242" t="e">
        <f t="shared" si="187"/>
        <v>#DIV/0!</v>
      </c>
      <c r="J157" s="419" t="e">
        <f t="shared" si="187"/>
        <v>#REF!</v>
      </c>
      <c r="K157" s="249" t="e">
        <f t="shared" si="187"/>
        <v>#DIV/0!</v>
      </c>
      <c r="L157" s="249" t="e">
        <f t="shared" si="187"/>
        <v>#DIV/0!</v>
      </c>
      <c r="M157" s="249" t="e">
        <f t="shared" si="187"/>
        <v>#DIV/0!</v>
      </c>
      <c r="N157" s="249" t="e">
        <f t="shared" si="187"/>
        <v>#DIV/0!</v>
      </c>
      <c r="O157" s="249" t="e">
        <f t="shared" si="187"/>
        <v>#DIV/0!</v>
      </c>
      <c r="P157" s="249" t="e">
        <f t="shared" si="187"/>
        <v>#DIV/0!</v>
      </c>
      <c r="Q157" s="249" t="e">
        <f t="shared" si="187"/>
        <v>#DIV/0!</v>
      </c>
      <c r="R157" s="1242" t="e">
        <f t="shared" si="187"/>
        <v>#DIV/0!</v>
      </c>
      <c r="S157" s="419" t="e">
        <f t="shared" si="187"/>
        <v>#DIV/0!</v>
      </c>
      <c r="T157" s="249" t="e">
        <f t="shared" si="187"/>
        <v>#DIV/0!</v>
      </c>
      <c r="U157" s="249" t="e">
        <f t="shared" si="187"/>
        <v>#DIV/0!</v>
      </c>
      <c r="V157" s="232" t="e">
        <f t="shared" si="187"/>
        <v>#DIV/0!</v>
      </c>
      <c r="W157" s="232" t="e">
        <f t="shared" si="187"/>
        <v>#DIV/0!</v>
      </c>
      <c r="X157" s="1236" t="e">
        <f t="shared" si="187"/>
        <v>#DIV/0!</v>
      </c>
      <c r="Y157" s="643" t="e">
        <f t="shared" si="187"/>
        <v>#DIV/0!</v>
      </c>
      <c r="Z157" s="232" t="e">
        <f t="shared" si="187"/>
        <v>#DIV/0!</v>
      </c>
      <c r="AA157" s="232" t="e">
        <f t="shared" si="187"/>
        <v>#DIV/0!</v>
      </c>
      <c r="AB157" s="232" t="e">
        <f t="shared" si="187"/>
        <v>#REF!</v>
      </c>
      <c r="AC157" s="232" t="e">
        <f t="shared" si="187"/>
        <v>#DIV/0!</v>
      </c>
      <c r="AD157" s="232" t="e">
        <f t="shared" si="187"/>
        <v>#DIV/0!</v>
      </c>
      <c r="AE157" s="232" t="e">
        <f t="shared" si="187"/>
        <v>#DIV/0!</v>
      </c>
      <c r="AF157" s="232" t="e">
        <f t="shared" si="187"/>
        <v>#DIV/0!</v>
      </c>
      <c r="AG157" s="232" t="e">
        <f t="shared" si="187"/>
        <v>#DIV/0!</v>
      </c>
      <c r="AH157" s="323"/>
      <c r="AI157" s="232"/>
      <c r="AJ157" s="232"/>
      <c r="AK157" s="232"/>
      <c r="AL157" s="1236"/>
      <c r="AM157" s="643"/>
      <c r="AN157" s="232"/>
      <c r="AO157" s="232"/>
      <c r="AP157" s="232"/>
      <c r="AQ157" s="232"/>
      <c r="AR157" s="232"/>
      <c r="AS157" s="232"/>
      <c r="AT157" s="232"/>
      <c r="AU157" s="1236"/>
      <c r="AV157" s="643"/>
      <c r="AW157" s="232"/>
      <c r="AX157" s="232"/>
      <c r="AY157" s="232"/>
      <c r="AZ157" s="232"/>
      <c r="BA157" s="1236"/>
      <c r="BB157" s="643"/>
      <c r="BC157" s="232"/>
      <c r="BD157" s="232"/>
      <c r="BE157" s="232"/>
      <c r="BF157" s="232"/>
      <c r="BG157" s="232"/>
      <c r="BH157" s="232"/>
      <c r="BI157" s="232"/>
      <c r="BJ157" s="232"/>
      <c r="BK157" s="323"/>
      <c r="BL157" s="232"/>
      <c r="BM157" s="232"/>
      <c r="BN157" s="232"/>
      <c r="BO157" s="1236"/>
      <c r="BP157" s="643"/>
      <c r="BQ157" s="232"/>
      <c r="BR157" s="232"/>
      <c r="BS157" s="232"/>
      <c r="BT157" s="232"/>
      <c r="BU157" s="232"/>
      <c r="BV157" s="232"/>
      <c r="BW157" s="232"/>
      <c r="BX157" s="1236"/>
      <c r="BY157" s="643"/>
      <c r="BZ157" s="232"/>
      <c r="CA157" s="232"/>
      <c r="CB157" s="232"/>
      <c r="CC157" s="232"/>
      <c r="CD157" s="1236"/>
      <c r="CE157" s="643"/>
      <c r="CF157" s="232"/>
      <c r="CG157" s="232"/>
      <c r="CH157" s="232"/>
      <c r="CI157" s="232"/>
      <c r="CJ157" s="232"/>
      <c r="CK157" s="232"/>
      <c r="CL157" s="232"/>
      <c r="CM157" s="232"/>
      <c r="CN157" s="323"/>
      <c r="CO157" s="232"/>
      <c r="CP157" s="232"/>
      <c r="CQ157" s="232"/>
      <c r="CR157" s="1236"/>
      <c r="CS157" s="643"/>
      <c r="CT157" s="232"/>
      <c r="CU157" s="232"/>
      <c r="CV157" s="232"/>
      <c r="CW157" s="232"/>
      <c r="CX157" s="232"/>
      <c r="CY157" s="232"/>
      <c r="CZ157" s="232"/>
      <c r="DA157" s="1236"/>
      <c r="DB157" s="643"/>
      <c r="DC157" s="232"/>
      <c r="DD157" s="232"/>
      <c r="DE157" s="232"/>
      <c r="DF157" s="232"/>
      <c r="DG157" s="1236"/>
      <c r="DH157" s="643"/>
      <c r="DI157" s="232"/>
      <c r="DJ157" s="232"/>
      <c r="DK157" s="232"/>
      <c r="DL157" s="232"/>
      <c r="DM157" s="232"/>
      <c r="DN157" s="232"/>
      <c r="DO157" s="232"/>
      <c r="DP157" s="232"/>
      <c r="DQ157" s="323"/>
      <c r="DR157" s="238"/>
      <c r="DS157" s="232"/>
      <c r="DT157" s="232"/>
      <c r="DU157" s="232"/>
      <c r="DV157" s="1236"/>
      <c r="DW157" s="1470"/>
      <c r="DX157" s="232"/>
      <c r="DY157" s="232"/>
      <c r="DZ157" s="232"/>
      <c r="EA157" s="232"/>
      <c r="EB157" s="232"/>
      <c r="EC157" s="232"/>
      <c r="ED157" s="232"/>
      <c r="EE157" s="1236"/>
      <c r="EF157" s="643"/>
      <c r="EG157" s="232"/>
      <c r="EH157" s="232"/>
      <c r="EI157" s="232"/>
      <c r="EJ157" s="232"/>
      <c r="EK157" s="1236"/>
      <c r="EL157" s="643"/>
      <c r="EM157" s="232"/>
      <c r="EN157" s="232"/>
      <c r="EO157" s="232"/>
      <c r="EP157" s="232"/>
      <c r="EQ157" s="232"/>
      <c r="ER157" s="232"/>
      <c r="ES157" s="232"/>
      <c r="ET157" s="232"/>
      <c r="EU157" s="323"/>
      <c r="EV157" s="232"/>
      <c r="EW157" s="232"/>
      <c r="EX157" s="232"/>
      <c r="EY157" s="1236"/>
      <c r="EZ157" s="1470"/>
      <c r="FA157" s="232"/>
      <c r="FB157" s="232"/>
      <c r="FC157" s="232"/>
      <c r="FD157" s="232"/>
      <c r="FE157" s="232"/>
      <c r="FF157" s="232"/>
      <c r="FG157" s="232"/>
      <c r="FH157" s="1236"/>
      <c r="FI157" s="643"/>
      <c r="FJ157" s="232"/>
      <c r="FK157" s="232"/>
      <c r="FL157" s="232"/>
      <c r="FM157" s="232"/>
      <c r="FN157" s="1236"/>
      <c r="FO157" s="643"/>
      <c r="FP157" s="232"/>
      <c r="FQ157" s="232"/>
      <c r="FR157" s="232"/>
      <c r="FS157" s="232"/>
      <c r="FT157" s="232"/>
      <c r="FU157" s="232"/>
      <c r="FV157" s="232"/>
      <c r="FW157" s="232"/>
    </row>
    <row r="158" spans="3:179" x14ac:dyDescent="0.35">
      <c r="C158" s="1" t="s">
        <v>311</v>
      </c>
      <c r="F158" s="604" t="e">
        <f t="shared" ref="F158:V158" si="188">F156+F157</f>
        <v>#DIV/0!</v>
      </c>
      <c r="G158" s="251" t="e">
        <f t="shared" si="188"/>
        <v>#DIV/0!</v>
      </c>
      <c r="H158" s="251" t="e">
        <f t="shared" si="188"/>
        <v>#DIV/0!</v>
      </c>
      <c r="I158" s="1267" t="e">
        <f t="shared" si="188"/>
        <v>#DIV/0!</v>
      </c>
      <c r="J158" s="1212" t="e">
        <f t="shared" si="188"/>
        <v>#REF!</v>
      </c>
      <c r="K158" s="251" t="e">
        <f t="shared" si="188"/>
        <v>#DIV/0!</v>
      </c>
      <c r="L158" s="251" t="e">
        <f t="shared" si="188"/>
        <v>#DIV/0!</v>
      </c>
      <c r="M158" s="251" t="e">
        <f t="shared" si="188"/>
        <v>#DIV/0!</v>
      </c>
      <c r="N158" s="251" t="e">
        <f t="shared" si="188"/>
        <v>#DIV/0!</v>
      </c>
      <c r="O158" s="251" t="e">
        <f t="shared" si="188"/>
        <v>#DIV/0!</v>
      </c>
      <c r="P158" s="251" t="e">
        <f t="shared" si="188"/>
        <v>#DIV/0!</v>
      </c>
      <c r="Q158" s="251" t="e">
        <f t="shared" si="188"/>
        <v>#DIV/0!</v>
      </c>
      <c r="R158" s="1267" t="e">
        <f t="shared" si="188"/>
        <v>#DIV/0!</v>
      </c>
      <c r="S158" s="1212" t="e">
        <f t="shared" si="188"/>
        <v>#DIV/0!</v>
      </c>
      <c r="T158" s="251" t="e">
        <f t="shared" si="188"/>
        <v>#DIV/0!</v>
      </c>
      <c r="U158" s="251" t="e">
        <f t="shared" si="188"/>
        <v>#DIV/0!</v>
      </c>
      <c r="V158" s="244" t="e">
        <f t="shared" si="188"/>
        <v>#DIV/0!</v>
      </c>
      <c r="W158" s="244" t="e">
        <f t="shared" ref="W158:AG158" si="189">W156+W157</f>
        <v>#DIV/0!</v>
      </c>
      <c r="X158" s="1237" t="e">
        <f t="shared" si="189"/>
        <v>#DIV/0!</v>
      </c>
      <c r="Y158" s="606" t="e">
        <f t="shared" si="189"/>
        <v>#DIV/0!</v>
      </c>
      <c r="Z158" s="244" t="e">
        <f t="shared" si="189"/>
        <v>#DIV/0!</v>
      </c>
      <c r="AA158" s="244" t="e">
        <f t="shared" si="189"/>
        <v>#DIV/0!</v>
      </c>
      <c r="AB158" s="244" t="e">
        <f t="shared" si="189"/>
        <v>#REF!</v>
      </c>
      <c r="AC158" s="244" t="e">
        <f t="shared" si="189"/>
        <v>#DIV/0!</v>
      </c>
      <c r="AD158" s="244" t="e">
        <f t="shared" si="189"/>
        <v>#DIV/0!</v>
      </c>
      <c r="AE158" s="244" t="e">
        <f t="shared" si="189"/>
        <v>#DIV/0!</v>
      </c>
      <c r="AF158" s="244" t="e">
        <f t="shared" si="189"/>
        <v>#DIV/0!</v>
      </c>
      <c r="AG158" s="244" t="e">
        <f t="shared" si="189"/>
        <v>#DIV/0!</v>
      </c>
      <c r="DS158" s="251"/>
      <c r="DT158" s="251"/>
      <c r="DU158" s="251"/>
      <c r="DV158" s="1267"/>
      <c r="DW158" s="1212"/>
      <c r="DX158" s="251"/>
      <c r="DY158" s="251"/>
      <c r="DZ158" s="251"/>
      <c r="EA158" s="251"/>
      <c r="EB158" s="251"/>
      <c r="EC158" s="251"/>
      <c r="ED158" s="251"/>
      <c r="EE158" s="1267"/>
      <c r="EF158" s="1212"/>
      <c r="EG158" s="251"/>
      <c r="EH158" s="251"/>
      <c r="EI158" s="251"/>
      <c r="EJ158" s="251"/>
      <c r="EK158" s="1267"/>
      <c r="EL158" s="1212"/>
      <c r="EM158" s="251"/>
      <c r="EN158" s="251"/>
      <c r="EO158" s="251"/>
      <c r="EP158" s="251"/>
      <c r="EQ158" s="251"/>
      <c r="ER158" s="251"/>
      <c r="ES158" s="251"/>
      <c r="ET158" s="251"/>
      <c r="EU158" s="325"/>
      <c r="EV158" s="251"/>
      <c r="EW158" s="251"/>
      <c r="EX158" s="251"/>
      <c r="EY158" s="1267"/>
      <c r="EZ158" s="1212"/>
      <c r="FA158" s="251"/>
      <c r="FB158" s="251"/>
      <c r="FC158" s="251"/>
      <c r="FD158" s="251"/>
      <c r="FE158" s="251"/>
      <c r="FF158" s="251"/>
      <c r="FG158" s="251"/>
      <c r="FH158" s="1267"/>
      <c r="FI158" s="1212"/>
      <c r="FJ158" s="251"/>
      <c r="FK158" s="251"/>
      <c r="FL158" s="251"/>
      <c r="FM158" s="251"/>
      <c r="FN158" s="1267"/>
      <c r="FO158" s="1212"/>
      <c r="FP158" s="251"/>
      <c r="FQ158" s="251"/>
      <c r="FR158" s="251"/>
      <c r="FS158" s="251"/>
      <c r="FT158" s="251"/>
      <c r="FU158" s="251"/>
      <c r="FV158" s="251"/>
      <c r="FW158" s="251"/>
    </row>
    <row r="159" spans="3:179" x14ac:dyDescent="0.35">
      <c r="C159" s="1" t="s">
        <v>843</v>
      </c>
      <c r="F159" s="501" t="e">
        <f>F$158*24</f>
        <v>#DIV/0!</v>
      </c>
      <c r="G159" s="249" t="e">
        <f>G$158*24</f>
        <v>#DIV/0!</v>
      </c>
      <c r="H159" s="249" t="e">
        <f>H$158*24</f>
        <v>#DIV/0!</v>
      </c>
      <c r="I159" s="1242" t="e">
        <f>I$158*24</f>
        <v>#DIV/0!</v>
      </c>
      <c r="J159" s="419" t="e">
        <f t="shared" ref="J159:AG159" si="190">J$158*24</f>
        <v>#REF!</v>
      </c>
      <c r="K159" s="249" t="e">
        <f t="shared" si="190"/>
        <v>#DIV/0!</v>
      </c>
      <c r="L159" s="249" t="e">
        <f t="shared" si="190"/>
        <v>#DIV/0!</v>
      </c>
      <c r="M159" s="249" t="e">
        <f t="shared" si="190"/>
        <v>#DIV/0!</v>
      </c>
      <c r="N159" s="249" t="e">
        <f t="shared" si="190"/>
        <v>#DIV/0!</v>
      </c>
      <c r="O159" s="249" t="e">
        <f t="shared" si="190"/>
        <v>#DIV/0!</v>
      </c>
      <c r="P159" s="249" t="e">
        <f t="shared" si="190"/>
        <v>#DIV/0!</v>
      </c>
      <c r="Q159" s="249" t="e">
        <f t="shared" si="190"/>
        <v>#DIV/0!</v>
      </c>
      <c r="R159" s="1242" t="e">
        <f t="shared" si="190"/>
        <v>#DIV/0!</v>
      </c>
      <c r="S159" s="419" t="e">
        <f t="shared" si="190"/>
        <v>#DIV/0!</v>
      </c>
      <c r="T159" s="249" t="e">
        <f t="shared" si="190"/>
        <v>#DIV/0!</v>
      </c>
      <c r="U159" s="249" t="e">
        <f t="shared" si="190"/>
        <v>#DIV/0!</v>
      </c>
      <c r="V159" s="249" t="e">
        <f t="shared" si="190"/>
        <v>#DIV/0!</v>
      </c>
      <c r="W159" s="249" t="e">
        <f t="shared" si="190"/>
        <v>#DIV/0!</v>
      </c>
      <c r="X159" s="1242" t="e">
        <f t="shared" si="190"/>
        <v>#DIV/0!</v>
      </c>
      <c r="Y159" s="419" t="e">
        <f t="shared" si="190"/>
        <v>#DIV/0!</v>
      </c>
      <c r="Z159" s="249" t="e">
        <f t="shared" si="190"/>
        <v>#DIV/0!</v>
      </c>
      <c r="AA159" s="249" t="e">
        <f t="shared" si="190"/>
        <v>#DIV/0!</v>
      </c>
      <c r="AB159" s="249" t="e">
        <f t="shared" si="190"/>
        <v>#REF!</v>
      </c>
      <c r="AC159" s="249" t="e">
        <f t="shared" si="190"/>
        <v>#DIV/0!</v>
      </c>
      <c r="AD159" s="249" t="e">
        <f t="shared" si="190"/>
        <v>#DIV/0!</v>
      </c>
      <c r="AE159" s="249" t="e">
        <f t="shared" si="190"/>
        <v>#DIV/0!</v>
      </c>
      <c r="AF159" s="249" t="e">
        <f t="shared" si="190"/>
        <v>#DIV/0!</v>
      </c>
      <c r="AG159" s="249" t="e">
        <f t="shared" si="190"/>
        <v>#DIV/0!</v>
      </c>
    </row>
    <row r="160" spans="3:179" ht="15.65" customHeight="1" x14ac:dyDescent="0.35">
      <c r="C160" s="1" t="s">
        <v>845</v>
      </c>
      <c r="F160" s="655" t="e">
        <f>F159</f>
        <v>#DIV/0!</v>
      </c>
      <c r="G160" s="249" t="e">
        <f>F160+G159</f>
        <v>#DIV/0!</v>
      </c>
      <c r="H160" s="249" t="e">
        <f t="shared" ref="H160:V160" si="191">G160+H159</f>
        <v>#DIV/0!</v>
      </c>
      <c r="I160" s="1242" t="e">
        <f t="shared" si="191"/>
        <v>#DIV/0!</v>
      </c>
      <c r="J160" s="419" t="e">
        <f t="shared" si="191"/>
        <v>#DIV/0!</v>
      </c>
      <c r="K160" s="249" t="e">
        <f t="shared" si="191"/>
        <v>#DIV/0!</v>
      </c>
      <c r="L160" s="249" t="e">
        <f t="shared" si="191"/>
        <v>#DIV/0!</v>
      </c>
      <c r="M160" s="249" t="e">
        <f t="shared" si="191"/>
        <v>#DIV/0!</v>
      </c>
      <c r="N160" s="249" t="e">
        <f t="shared" si="191"/>
        <v>#DIV/0!</v>
      </c>
      <c r="O160" s="249" t="e">
        <f t="shared" si="191"/>
        <v>#DIV/0!</v>
      </c>
      <c r="P160" s="249" t="e">
        <f t="shared" si="191"/>
        <v>#DIV/0!</v>
      </c>
      <c r="Q160" s="249" t="e">
        <f t="shared" si="191"/>
        <v>#DIV/0!</v>
      </c>
      <c r="R160" s="1242" t="e">
        <f t="shared" si="191"/>
        <v>#DIV/0!</v>
      </c>
      <c r="S160" s="419" t="e">
        <f t="shared" si="191"/>
        <v>#DIV/0!</v>
      </c>
      <c r="T160" s="249" t="e">
        <f t="shared" si="191"/>
        <v>#DIV/0!</v>
      </c>
      <c r="U160" s="249" t="e">
        <f t="shared" si="191"/>
        <v>#DIV/0!</v>
      </c>
      <c r="V160" s="249" t="e">
        <f t="shared" si="191"/>
        <v>#DIV/0!</v>
      </c>
      <c r="W160" s="249" t="e">
        <f t="shared" ref="W160" si="192">V160+W159</f>
        <v>#DIV/0!</v>
      </c>
      <c r="X160" s="1242" t="e">
        <f t="shared" ref="X160" si="193">W160+X159</f>
        <v>#DIV/0!</v>
      </c>
      <c r="Y160" s="419" t="e">
        <f t="shared" ref="Y160" si="194">X160+Y159</f>
        <v>#DIV/0!</v>
      </c>
      <c r="Z160" s="249" t="e">
        <f t="shared" ref="Z160" si="195">Y160+Z159</f>
        <v>#DIV/0!</v>
      </c>
      <c r="AA160" s="249" t="e">
        <f t="shared" ref="AA160" si="196">Z160+AA159</f>
        <v>#DIV/0!</v>
      </c>
      <c r="AB160" s="249" t="e">
        <f t="shared" ref="AB160" si="197">AA160+AB159</f>
        <v>#DIV/0!</v>
      </c>
      <c r="AC160" s="249" t="e">
        <f t="shared" ref="AC160" si="198">AB160+AC159</f>
        <v>#DIV/0!</v>
      </c>
      <c r="AD160" s="249" t="e">
        <f t="shared" ref="AD160" si="199">AC160+AD159</f>
        <v>#DIV/0!</v>
      </c>
      <c r="AE160" s="249" t="e">
        <f t="shared" ref="AE160" si="200">AD160+AE159</f>
        <v>#DIV/0!</v>
      </c>
      <c r="AF160" s="249" t="e">
        <f t="shared" ref="AF160" si="201">AE160+AF159</f>
        <v>#DIV/0!</v>
      </c>
      <c r="AG160" s="249" t="e">
        <f t="shared" ref="AG160" si="202">AF160+AG159</f>
        <v>#DIV/0!</v>
      </c>
    </row>
    <row r="161" spans="1:179" ht="15.65" customHeight="1" x14ac:dyDescent="0.35">
      <c r="C161" s="1" t="s">
        <v>414</v>
      </c>
      <c r="F161" s="501">
        <v>172.26</v>
      </c>
      <c r="G161" s="249">
        <v>172.26</v>
      </c>
      <c r="H161" s="249">
        <v>172.26</v>
      </c>
      <c r="I161" s="1242">
        <v>172.26</v>
      </c>
      <c r="J161" s="419">
        <v>172.26</v>
      </c>
      <c r="K161" s="249">
        <v>172.26</v>
      </c>
      <c r="L161" s="249">
        <v>172.26</v>
      </c>
      <c r="M161" s="249">
        <v>172.26</v>
      </c>
      <c r="N161" s="249">
        <v>172.26</v>
      </c>
      <c r="O161" s="249">
        <v>172.26</v>
      </c>
      <c r="P161" s="249">
        <v>172.26</v>
      </c>
      <c r="Q161" s="249">
        <v>172.26</v>
      </c>
      <c r="R161" s="1242">
        <v>172.26</v>
      </c>
      <c r="S161" s="419">
        <v>172.26</v>
      </c>
      <c r="T161" s="249">
        <v>172.26</v>
      </c>
      <c r="U161" s="249">
        <v>172.26</v>
      </c>
      <c r="V161" s="249">
        <v>172.26</v>
      </c>
      <c r="W161" s="249">
        <v>172.26</v>
      </c>
      <c r="X161" s="1242">
        <v>172.26</v>
      </c>
      <c r="Y161" s="419">
        <v>172.26</v>
      </c>
      <c r="Z161" s="249">
        <v>172.26</v>
      </c>
      <c r="AA161" s="249">
        <v>172.26</v>
      </c>
      <c r="AB161" s="249">
        <v>172.26</v>
      </c>
      <c r="AC161" s="249">
        <v>172.26</v>
      </c>
      <c r="AD161" s="249">
        <v>172.26</v>
      </c>
      <c r="AE161" s="249">
        <v>172.26</v>
      </c>
      <c r="AF161" s="249">
        <v>172.26</v>
      </c>
      <c r="AG161" s="249">
        <v>172.26</v>
      </c>
    </row>
    <row r="162" spans="1:179" ht="15.65" customHeight="1" x14ac:dyDescent="0.35">
      <c r="C162" s="1" t="s">
        <v>844</v>
      </c>
      <c r="F162" s="501" t="e">
        <f>F160*100/F161</f>
        <v>#DIV/0!</v>
      </c>
      <c r="G162" s="249" t="e">
        <f t="shared" ref="G162:V162" si="203">G160*100/G161</f>
        <v>#DIV/0!</v>
      </c>
      <c r="H162" s="249" t="e">
        <f t="shared" si="203"/>
        <v>#DIV/0!</v>
      </c>
      <c r="I162" s="1242" t="e">
        <f t="shared" si="203"/>
        <v>#DIV/0!</v>
      </c>
      <c r="J162" s="419" t="e">
        <f t="shared" si="203"/>
        <v>#DIV/0!</v>
      </c>
      <c r="K162" s="249" t="e">
        <f t="shared" si="203"/>
        <v>#DIV/0!</v>
      </c>
      <c r="L162" s="249" t="e">
        <f t="shared" si="203"/>
        <v>#DIV/0!</v>
      </c>
      <c r="M162" s="249" t="e">
        <f t="shared" si="203"/>
        <v>#DIV/0!</v>
      </c>
      <c r="N162" s="249" t="e">
        <f t="shared" si="203"/>
        <v>#DIV/0!</v>
      </c>
      <c r="O162" s="249" t="e">
        <f t="shared" si="203"/>
        <v>#DIV/0!</v>
      </c>
      <c r="P162" s="249" t="e">
        <f t="shared" si="203"/>
        <v>#DIV/0!</v>
      </c>
      <c r="Q162" s="249" t="e">
        <f t="shared" si="203"/>
        <v>#DIV/0!</v>
      </c>
      <c r="R162" s="1242" t="e">
        <f t="shared" si="203"/>
        <v>#DIV/0!</v>
      </c>
      <c r="S162" s="419" t="e">
        <f t="shared" si="203"/>
        <v>#DIV/0!</v>
      </c>
      <c r="T162" s="249" t="e">
        <f t="shared" si="203"/>
        <v>#DIV/0!</v>
      </c>
      <c r="U162" s="249" t="e">
        <f t="shared" si="203"/>
        <v>#DIV/0!</v>
      </c>
      <c r="V162" s="249" t="e">
        <f t="shared" si="203"/>
        <v>#DIV/0!</v>
      </c>
      <c r="W162" s="249" t="e">
        <f t="shared" ref="W162:AG162" si="204">W160*100/W161</f>
        <v>#DIV/0!</v>
      </c>
      <c r="X162" s="1242" t="e">
        <f t="shared" si="204"/>
        <v>#DIV/0!</v>
      </c>
      <c r="Y162" s="419" t="e">
        <f t="shared" si="204"/>
        <v>#DIV/0!</v>
      </c>
      <c r="Z162" s="249" t="e">
        <f t="shared" si="204"/>
        <v>#DIV/0!</v>
      </c>
      <c r="AA162" s="249" t="e">
        <f t="shared" si="204"/>
        <v>#DIV/0!</v>
      </c>
      <c r="AB162" s="249" t="e">
        <f t="shared" si="204"/>
        <v>#DIV/0!</v>
      </c>
      <c r="AC162" s="249" t="e">
        <f t="shared" si="204"/>
        <v>#DIV/0!</v>
      </c>
      <c r="AD162" s="249" t="e">
        <f t="shared" si="204"/>
        <v>#DIV/0!</v>
      </c>
      <c r="AE162" s="249" t="e">
        <f t="shared" si="204"/>
        <v>#DIV/0!</v>
      </c>
      <c r="AF162" s="249" t="e">
        <f t="shared" si="204"/>
        <v>#DIV/0!</v>
      </c>
      <c r="AG162" s="249" t="e">
        <f t="shared" si="204"/>
        <v>#DIV/0!</v>
      </c>
      <c r="AN162" s="232" t="s">
        <v>872</v>
      </c>
      <c r="AO162" s="232" t="s">
        <v>832</v>
      </c>
      <c r="AP162" s="232" t="s">
        <v>833</v>
      </c>
    </row>
    <row r="163" spans="1:179" ht="15.65" customHeight="1" x14ac:dyDescent="0.35">
      <c r="C163" s="1" t="s">
        <v>304</v>
      </c>
      <c r="F163" s="501" t="e">
        <f>100*F$158/(F$85+F$88)</f>
        <v>#DIV/0!</v>
      </c>
      <c r="G163" s="249" t="e">
        <f t="shared" ref="G163:AG163" si="205">100*G$158/(G$85+G$88)</f>
        <v>#DIV/0!</v>
      </c>
      <c r="H163" s="243" t="e">
        <f t="shared" si="205"/>
        <v>#DIV/0!</v>
      </c>
      <c r="I163" s="1282" t="e">
        <f t="shared" si="205"/>
        <v>#DIV/0!</v>
      </c>
      <c r="J163" s="419" t="e">
        <f t="shared" si="205"/>
        <v>#REF!</v>
      </c>
      <c r="K163" s="243" t="e">
        <f t="shared" si="205"/>
        <v>#DIV/0!</v>
      </c>
      <c r="L163" s="243" t="e">
        <f t="shared" si="205"/>
        <v>#DIV/0!</v>
      </c>
      <c r="M163" s="249" t="e">
        <f t="shared" si="205"/>
        <v>#DIV/0!</v>
      </c>
      <c r="N163" s="249" t="e">
        <f t="shared" si="205"/>
        <v>#DIV/0!</v>
      </c>
      <c r="O163" s="249" t="e">
        <f t="shared" si="205"/>
        <v>#DIV/0!</v>
      </c>
      <c r="P163" s="249" t="e">
        <f t="shared" si="205"/>
        <v>#DIV/0!</v>
      </c>
      <c r="Q163" s="243" t="e">
        <f t="shared" si="205"/>
        <v>#DIV/0!</v>
      </c>
      <c r="R163" s="1242" t="e">
        <f t="shared" si="205"/>
        <v>#DIV/0!</v>
      </c>
      <c r="S163" s="419" t="e">
        <f t="shared" si="205"/>
        <v>#DIV/0!</v>
      </c>
      <c r="T163" s="243" t="e">
        <f t="shared" si="205"/>
        <v>#DIV/0!</v>
      </c>
      <c r="U163" s="249" t="e">
        <f t="shared" si="205"/>
        <v>#DIV/0!</v>
      </c>
      <c r="V163" s="249" t="e">
        <f t="shared" si="205"/>
        <v>#DIV/0!</v>
      </c>
      <c r="W163" s="249" t="e">
        <f t="shared" si="205"/>
        <v>#DIV/0!</v>
      </c>
      <c r="X163" s="1242" t="e">
        <f t="shared" si="205"/>
        <v>#DIV/0!</v>
      </c>
      <c r="Y163" s="419" t="e">
        <f t="shared" si="205"/>
        <v>#DIV/0!</v>
      </c>
      <c r="Z163" s="249" t="e">
        <f t="shared" si="205"/>
        <v>#DIV/0!</v>
      </c>
      <c r="AA163" s="249" t="e">
        <f t="shared" si="205"/>
        <v>#DIV/0!</v>
      </c>
      <c r="AB163" s="249" t="e">
        <f t="shared" si="205"/>
        <v>#REF!</v>
      </c>
      <c r="AC163" s="249" t="e">
        <f t="shared" si="205"/>
        <v>#DIV/0!</v>
      </c>
      <c r="AD163" s="249" t="e">
        <f t="shared" si="205"/>
        <v>#DIV/0!</v>
      </c>
      <c r="AE163" s="249" t="e">
        <f t="shared" si="205"/>
        <v>#DIV/0!</v>
      </c>
      <c r="AF163" s="249" t="e">
        <f t="shared" si="205"/>
        <v>#DIV/0!</v>
      </c>
      <c r="AG163" s="249" t="e">
        <f t="shared" si="205"/>
        <v>#DIV/0!</v>
      </c>
      <c r="AM163" s="643" t="s">
        <v>56</v>
      </c>
      <c r="AN163" s="232" t="e">
        <f>AVERAGE(H163:I163)</f>
        <v>#DIV/0!</v>
      </c>
      <c r="AO163" s="232" t="e">
        <f>AVERAGE(M163:O163)</f>
        <v>#DIV/0!</v>
      </c>
      <c r="AP163" s="232" t="e">
        <f>AVERAGE(R163:T163)</f>
        <v>#DIV/0!</v>
      </c>
    </row>
    <row r="164" spans="1:179" ht="15.65" customHeight="1" x14ac:dyDescent="0.35">
      <c r="C164" s="1" t="s">
        <v>624</v>
      </c>
      <c r="D164" s="1">
        <v>0.65</v>
      </c>
      <c r="F164" s="501" t="e">
        <f>24*F158*$D$164</f>
        <v>#DIV/0!</v>
      </c>
      <c r="G164" s="249" t="e">
        <f t="shared" ref="G164:U164" si="206">24*G158*$D$164</f>
        <v>#DIV/0!</v>
      </c>
      <c r="H164" s="249" t="e">
        <f t="shared" si="206"/>
        <v>#DIV/0!</v>
      </c>
      <c r="I164" s="1242" t="e">
        <f t="shared" si="206"/>
        <v>#DIV/0!</v>
      </c>
      <c r="J164" s="419" t="e">
        <f t="shared" si="206"/>
        <v>#REF!</v>
      </c>
      <c r="K164" s="249" t="e">
        <f t="shared" si="206"/>
        <v>#DIV/0!</v>
      </c>
      <c r="L164" s="249" t="e">
        <f t="shared" si="206"/>
        <v>#DIV/0!</v>
      </c>
      <c r="M164" s="249" t="e">
        <f t="shared" si="206"/>
        <v>#DIV/0!</v>
      </c>
      <c r="N164" s="249" t="e">
        <f t="shared" si="206"/>
        <v>#DIV/0!</v>
      </c>
      <c r="O164" s="249" t="e">
        <f t="shared" si="206"/>
        <v>#DIV/0!</v>
      </c>
      <c r="P164" s="249" t="e">
        <f t="shared" si="206"/>
        <v>#DIV/0!</v>
      </c>
      <c r="Q164" s="249" t="e">
        <f t="shared" si="206"/>
        <v>#DIV/0!</v>
      </c>
      <c r="R164" s="1242" t="e">
        <f t="shared" si="206"/>
        <v>#DIV/0!</v>
      </c>
      <c r="S164" s="419" t="e">
        <f t="shared" si="206"/>
        <v>#DIV/0!</v>
      </c>
      <c r="T164" s="249" t="e">
        <f t="shared" si="206"/>
        <v>#DIV/0!</v>
      </c>
      <c r="U164" s="249" t="e">
        <f t="shared" si="206"/>
        <v>#DIV/0!</v>
      </c>
      <c r="V164" s="249" t="e">
        <f t="shared" ref="V164:AG164" si="207">24*(V158+V184)*$D$164</f>
        <v>#DIV/0!</v>
      </c>
      <c r="W164" s="249" t="e">
        <f t="shared" si="207"/>
        <v>#DIV/0!</v>
      </c>
      <c r="X164" s="1242" t="e">
        <f t="shared" si="207"/>
        <v>#DIV/0!</v>
      </c>
      <c r="Y164" s="419" t="e">
        <f t="shared" si="207"/>
        <v>#DIV/0!</v>
      </c>
      <c r="Z164" s="249" t="e">
        <f t="shared" si="207"/>
        <v>#DIV/0!</v>
      </c>
      <c r="AA164" s="249" t="e">
        <f t="shared" si="207"/>
        <v>#DIV/0!</v>
      </c>
      <c r="AB164" s="249" t="e">
        <f t="shared" si="207"/>
        <v>#REF!</v>
      </c>
      <c r="AC164" s="249" t="e">
        <f t="shared" si="207"/>
        <v>#DIV/0!</v>
      </c>
      <c r="AD164" s="249" t="e">
        <f t="shared" si="207"/>
        <v>#DIV/0!</v>
      </c>
      <c r="AE164" s="249" t="e">
        <f t="shared" si="207"/>
        <v>#DIV/0!</v>
      </c>
      <c r="AF164" s="249" t="e">
        <f t="shared" si="207"/>
        <v>#DIV/0!</v>
      </c>
      <c r="AG164" s="249" t="e">
        <f t="shared" si="207"/>
        <v>#DIV/0!</v>
      </c>
      <c r="AN164" s="232">
        <f>AVERAGE(H179:I179)</f>
        <v>81.849999999999994</v>
      </c>
      <c r="AO164" s="232">
        <f>AVERAGE(M179:O179)</f>
        <v>95.033333333333346</v>
      </c>
      <c r="AP164" s="232">
        <f>AVERAGE(R179:T179)</f>
        <v>91.333333333333329</v>
      </c>
    </row>
    <row r="165" spans="1:179" ht="15.65" customHeight="1" thickBot="1" x14ac:dyDescent="0.4">
      <c r="C165" s="1" t="s">
        <v>625</v>
      </c>
      <c r="F165" s="1631" t="e">
        <f>F164</f>
        <v>#DIV/0!</v>
      </c>
      <c r="G165" s="652" t="e">
        <f>F$165+G$164</f>
        <v>#DIV/0!</v>
      </c>
      <c r="H165" s="652" t="e">
        <f t="shared" ref="H165:I165" si="208">G$165+H$164</f>
        <v>#DIV/0!</v>
      </c>
      <c r="I165" s="1241" t="e">
        <f t="shared" si="208"/>
        <v>#DIV/0!</v>
      </c>
      <c r="J165" s="654" t="e">
        <f>I$165+J$164</f>
        <v>#DIV/0!</v>
      </c>
      <c r="K165" s="311" t="e">
        <f t="shared" ref="K165:U165" si="209">J$165+K$164</f>
        <v>#DIV/0!</v>
      </c>
      <c r="L165" s="311" t="e">
        <f t="shared" si="209"/>
        <v>#DIV/0!</v>
      </c>
      <c r="M165" s="311" t="e">
        <f t="shared" si="209"/>
        <v>#DIV/0!</v>
      </c>
      <c r="N165" s="311" t="e">
        <f t="shared" si="209"/>
        <v>#DIV/0!</v>
      </c>
      <c r="O165" s="311" t="e">
        <f t="shared" si="209"/>
        <v>#DIV/0!</v>
      </c>
      <c r="P165" s="311" t="e">
        <f t="shared" si="209"/>
        <v>#DIV/0!</v>
      </c>
      <c r="Q165" s="311" t="e">
        <f t="shared" si="209"/>
        <v>#DIV/0!</v>
      </c>
      <c r="R165" s="1241" t="e">
        <f t="shared" si="209"/>
        <v>#DIV/0!</v>
      </c>
      <c r="S165" s="654" t="e">
        <f t="shared" si="209"/>
        <v>#DIV/0!</v>
      </c>
      <c r="T165" s="311" t="e">
        <f t="shared" si="209"/>
        <v>#DIV/0!</v>
      </c>
      <c r="U165" s="311" t="e">
        <f t="shared" si="209"/>
        <v>#DIV/0!</v>
      </c>
      <c r="V165" s="311"/>
      <c r="W165" s="311"/>
      <c r="X165" s="1241"/>
      <c r="Y165" s="654"/>
      <c r="Z165" s="311"/>
      <c r="AA165" s="311"/>
      <c r="AB165" s="311"/>
      <c r="AC165" s="311"/>
      <c r="AD165" s="311"/>
      <c r="AE165" s="311"/>
      <c r="AF165" s="311"/>
      <c r="AG165" s="311"/>
      <c r="AJ165" s="267"/>
      <c r="AN165" s="916"/>
      <c r="AO165" s="916"/>
      <c r="AP165" s="916"/>
      <c r="BL165" s="267"/>
    </row>
    <row r="166" spans="1:179" s="224" customFormat="1" ht="15.65" customHeight="1" thickTop="1" x14ac:dyDescent="0.35">
      <c r="A166" s="377"/>
      <c r="B166" s="377"/>
      <c r="C166" s="1632" t="s">
        <v>623</v>
      </c>
      <c r="D166" s="1633"/>
      <c r="E166" s="1633"/>
      <c r="F166" s="1634">
        <v>53.049300000000002</v>
      </c>
      <c r="G166" s="1635">
        <v>53.049300000000002</v>
      </c>
      <c r="H166" s="1635">
        <v>53.049300000000002</v>
      </c>
      <c r="I166" s="1636">
        <v>53.049300000000002</v>
      </c>
      <c r="J166" s="1637">
        <v>53.049300000000002</v>
      </c>
      <c r="K166" s="371">
        <v>53.049300000000002</v>
      </c>
      <c r="L166" s="371">
        <v>53.049300000000002</v>
      </c>
      <c r="M166" s="371">
        <v>53.049300000000002</v>
      </c>
      <c r="N166" s="371">
        <v>53.049300000000002</v>
      </c>
      <c r="O166" s="371">
        <v>53.049300000000002</v>
      </c>
      <c r="P166" s="371">
        <v>53.049300000000002</v>
      </c>
      <c r="Q166" s="371">
        <v>53.049300000000002</v>
      </c>
      <c r="R166" s="1636">
        <v>53.049300000000002</v>
      </c>
      <c r="S166" s="1637">
        <v>53.049300000000002</v>
      </c>
      <c r="T166" s="371">
        <v>53.049300000000002</v>
      </c>
      <c r="U166" s="371">
        <v>53.049300000000002</v>
      </c>
      <c r="V166" s="371"/>
      <c r="W166" s="371"/>
      <c r="X166" s="1636"/>
      <c r="Y166" s="1637"/>
      <c r="Z166" s="371"/>
      <c r="AA166" s="371"/>
      <c r="AB166" s="371"/>
      <c r="AC166" s="371"/>
      <c r="AD166" s="371"/>
      <c r="AE166" s="371"/>
      <c r="AF166" s="371"/>
      <c r="AG166" s="371"/>
      <c r="AH166" s="323"/>
      <c r="AI166" s="232"/>
      <c r="AJ166" s="232"/>
      <c r="AK166" s="232"/>
      <c r="AL166" s="1236"/>
      <c r="AM166" s="643"/>
      <c r="AN166" s="459"/>
      <c r="AO166" s="459"/>
      <c r="AP166" s="459"/>
      <c r="AQ166" s="232"/>
      <c r="AR166" s="232"/>
      <c r="AS166" s="232"/>
      <c r="AT166" s="232"/>
      <c r="AU166" s="1236"/>
      <c r="AV166" s="643"/>
      <c r="AW166" s="232"/>
      <c r="AX166" s="232"/>
      <c r="AY166" s="232"/>
      <c r="AZ166" s="232"/>
      <c r="BA166" s="1236"/>
      <c r="BB166" s="643"/>
      <c r="BC166" s="232"/>
      <c r="BD166" s="232"/>
      <c r="BE166" s="232"/>
      <c r="BF166" s="232"/>
      <c r="BG166" s="232"/>
      <c r="BH166" s="232"/>
      <c r="BI166" s="232"/>
      <c r="BJ166" s="232"/>
      <c r="BK166" s="323"/>
      <c r="BL166" s="267"/>
      <c r="BM166" s="232"/>
      <c r="BN166" s="232"/>
      <c r="BO166" s="1236"/>
      <c r="BP166" s="643"/>
      <c r="BQ166" s="232"/>
      <c r="BR166" s="232"/>
      <c r="BS166" s="232"/>
      <c r="BT166" s="232"/>
      <c r="BU166" s="232"/>
      <c r="BV166" s="232"/>
      <c r="BW166" s="232"/>
      <c r="BX166" s="1236"/>
      <c r="BY166" s="643"/>
      <c r="BZ166" s="232"/>
      <c r="CA166" s="232"/>
      <c r="CB166" s="232"/>
      <c r="CC166" s="232"/>
      <c r="CD166" s="1236"/>
      <c r="CE166" s="643"/>
      <c r="CF166" s="232"/>
      <c r="CG166" s="232"/>
      <c r="CH166" s="232"/>
      <c r="CI166" s="232"/>
      <c r="CJ166" s="232"/>
      <c r="CK166" s="232"/>
      <c r="CL166" s="232"/>
      <c r="CM166" s="232"/>
      <c r="CN166" s="323"/>
      <c r="CO166" s="232"/>
      <c r="CP166" s="232"/>
      <c r="CQ166" s="232"/>
      <c r="CR166" s="1236"/>
      <c r="CS166" s="643"/>
      <c r="CT166" s="232"/>
      <c r="CU166" s="232"/>
      <c r="CV166" s="232"/>
      <c r="CW166" s="232"/>
      <c r="CX166" s="232"/>
      <c r="CY166" s="232"/>
      <c r="CZ166" s="232"/>
      <c r="DA166" s="1236"/>
      <c r="DB166" s="643"/>
      <c r="DC166" s="232"/>
      <c r="DD166" s="232"/>
      <c r="DE166" s="232"/>
      <c r="DF166" s="232"/>
      <c r="DG166" s="1236"/>
      <c r="DH166" s="643"/>
      <c r="DI166" s="232"/>
      <c r="DJ166" s="232"/>
      <c r="DK166" s="232"/>
      <c r="DL166" s="232"/>
      <c r="DM166" s="232"/>
      <c r="DN166" s="232"/>
      <c r="DO166" s="232"/>
      <c r="DP166" s="232"/>
      <c r="DQ166" s="323"/>
      <c r="DR166" s="238"/>
      <c r="DS166" s="232"/>
      <c r="DT166" s="232"/>
      <c r="DU166" s="232"/>
      <c r="DV166" s="1236"/>
      <c r="DW166" s="643"/>
      <c r="DX166" s="232"/>
      <c r="DY166" s="232"/>
      <c r="DZ166" s="232"/>
      <c r="EA166" s="232"/>
      <c r="EB166" s="232"/>
      <c r="EC166" s="232"/>
      <c r="ED166" s="232"/>
      <c r="EE166" s="1236"/>
      <c r="EF166" s="643"/>
      <c r="EG166" s="232"/>
      <c r="EH166" s="232"/>
      <c r="EI166" s="232"/>
      <c r="EJ166" s="232"/>
      <c r="EK166" s="1236"/>
      <c r="EL166" s="643"/>
      <c r="EM166" s="232"/>
      <c r="EN166" s="232"/>
      <c r="EO166" s="232"/>
      <c r="EP166" s="232"/>
      <c r="EQ166" s="232"/>
      <c r="ER166" s="232"/>
      <c r="ES166" s="232"/>
      <c r="ET166" s="232"/>
      <c r="EU166" s="323"/>
      <c r="EV166" s="232"/>
      <c r="EW166" s="232"/>
      <c r="EX166" s="232"/>
      <c r="EY166" s="1236"/>
      <c r="EZ166" s="643"/>
      <c r="FA166" s="232"/>
      <c r="FB166" s="232"/>
      <c r="FC166" s="232"/>
      <c r="FD166" s="232"/>
      <c r="FE166" s="232"/>
      <c r="FF166" s="232"/>
      <c r="FG166" s="232"/>
      <c r="FH166" s="1236"/>
      <c r="FI166" s="643"/>
      <c r="FJ166" s="232"/>
      <c r="FK166" s="232"/>
      <c r="FL166" s="232"/>
      <c r="FM166" s="232"/>
      <c r="FN166" s="1236"/>
      <c r="FO166" s="643"/>
      <c r="FP166" s="232"/>
      <c r="FQ166" s="232"/>
      <c r="FR166" s="232"/>
      <c r="FS166" s="232"/>
      <c r="FT166" s="232"/>
      <c r="FU166" s="232"/>
      <c r="FV166" s="232"/>
      <c r="FW166" s="232"/>
    </row>
    <row r="167" spans="1:179" ht="15.65" customHeight="1" x14ac:dyDescent="0.35">
      <c r="C167" s="163" t="s">
        <v>629</v>
      </c>
      <c r="D167" s="415"/>
      <c r="E167" s="415"/>
      <c r="F167" s="501" t="e">
        <f>F165*100/F166</f>
        <v>#DIV/0!</v>
      </c>
      <c r="G167" s="249" t="e">
        <f t="shared" ref="G167:U167" si="210">G165*100/G166</f>
        <v>#DIV/0!</v>
      </c>
      <c r="H167" s="249" t="e">
        <f t="shared" si="210"/>
        <v>#DIV/0!</v>
      </c>
      <c r="I167" s="1242" t="e">
        <f t="shared" si="210"/>
        <v>#DIV/0!</v>
      </c>
      <c r="J167" s="419" t="e">
        <f t="shared" si="210"/>
        <v>#DIV/0!</v>
      </c>
      <c r="K167" s="249" t="e">
        <f t="shared" si="210"/>
        <v>#DIV/0!</v>
      </c>
      <c r="L167" s="249" t="e">
        <f t="shared" si="210"/>
        <v>#DIV/0!</v>
      </c>
      <c r="M167" s="249" t="e">
        <f t="shared" si="210"/>
        <v>#DIV/0!</v>
      </c>
      <c r="N167" s="249" t="e">
        <f t="shared" si="210"/>
        <v>#DIV/0!</v>
      </c>
      <c r="O167" s="249" t="e">
        <f t="shared" si="210"/>
        <v>#DIV/0!</v>
      </c>
      <c r="P167" s="249" t="e">
        <f t="shared" si="210"/>
        <v>#DIV/0!</v>
      </c>
      <c r="Q167" s="249" t="e">
        <f t="shared" si="210"/>
        <v>#DIV/0!</v>
      </c>
      <c r="R167" s="1242" t="e">
        <f t="shared" si="210"/>
        <v>#DIV/0!</v>
      </c>
      <c r="S167" s="419" t="e">
        <f t="shared" si="210"/>
        <v>#DIV/0!</v>
      </c>
      <c r="T167" s="249" t="e">
        <f t="shared" si="210"/>
        <v>#DIV/0!</v>
      </c>
      <c r="U167" s="249" t="e">
        <f t="shared" si="210"/>
        <v>#DIV/0!</v>
      </c>
      <c r="V167" s="249" t="e">
        <f t="shared" ref="V167" si="211">(U$164+V$164)*100/V$161</f>
        <v>#DIV/0!</v>
      </c>
      <c r="W167" s="249" t="e">
        <f t="shared" ref="W167" si="212">(V$164+W$164)*100/W$161</f>
        <v>#DIV/0!</v>
      </c>
      <c r="X167" s="1242" t="e">
        <f t="shared" ref="X167" si="213">(W$164+X$164)*100/X$161</f>
        <v>#DIV/0!</v>
      </c>
      <c r="Y167" s="419" t="e">
        <f t="shared" ref="Y167" si="214">(X$164+Y$164)*100/Y$161</f>
        <v>#DIV/0!</v>
      </c>
      <c r="Z167" s="249" t="e">
        <f t="shared" ref="Z167" si="215">(Y$164+Z$164)*100/Z$161</f>
        <v>#DIV/0!</v>
      </c>
      <c r="AA167" s="249" t="e">
        <f t="shared" ref="AA167" si="216">(Z$164+AA$164)*100/AA$161</f>
        <v>#DIV/0!</v>
      </c>
      <c r="AB167" s="249" t="e">
        <f t="shared" ref="AB167" si="217">(AA$164+AB$164)*100/AB$161</f>
        <v>#DIV/0!</v>
      </c>
      <c r="AC167" s="249" t="e">
        <f t="shared" ref="AC167" si="218">(AB$164+AC$164)*100/AC$161</f>
        <v>#REF!</v>
      </c>
      <c r="AD167" s="249" t="e">
        <f t="shared" ref="AD167" si="219">(AC$164+AD$164)*100/AD$161</f>
        <v>#DIV/0!</v>
      </c>
      <c r="AE167" s="249" t="e">
        <f t="shared" ref="AE167" si="220">(AD$164+AE$164)*100/AE$161</f>
        <v>#DIV/0!</v>
      </c>
      <c r="AF167" s="249" t="e">
        <f t="shared" ref="AF167" si="221">(AE$164+AF$164)*100/AF$161</f>
        <v>#DIV/0!</v>
      </c>
      <c r="AG167" s="249" t="e">
        <f t="shared" ref="AG167" si="222">(AF$164+AG$164)*100/AG$161</f>
        <v>#DIV/0!</v>
      </c>
      <c r="BL167" s="267"/>
    </row>
    <row r="168" spans="1:179" ht="15.65" customHeight="1" x14ac:dyDescent="0.35">
      <c r="C168" s="163" t="s">
        <v>608</v>
      </c>
      <c r="D168" s="415"/>
      <c r="E168" s="415"/>
      <c r="F168" s="501"/>
      <c r="G168" s="249"/>
      <c r="H168" s="249"/>
      <c r="I168" s="1242">
        <v>4.3</v>
      </c>
      <c r="J168" s="419"/>
      <c r="K168" s="249"/>
      <c r="L168" s="249"/>
      <c r="M168" s="249"/>
      <c r="N168" s="249"/>
      <c r="O168" s="249">
        <v>17</v>
      </c>
      <c r="P168" s="249"/>
      <c r="Q168" s="249"/>
      <c r="R168" s="1242"/>
      <c r="S168" s="419"/>
      <c r="T168" s="249">
        <v>29.8</v>
      </c>
      <c r="U168" s="249">
        <v>31</v>
      </c>
      <c r="V168" s="249"/>
      <c r="W168" s="249"/>
      <c r="X168" s="1242"/>
      <c r="Y168" s="419"/>
      <c r="Z168" s="249"/>
      <c r="AA168" s="249"/>
      <c r="AB168" s="249"/>
      <c r="AC168" s="249"/>
      <c r="AD168" s="249"/>
      <c r="AE168" s="249"/>
      <c r="AF168" s="249"/>
      <c r="AG168" s="249"/>
      <c r="BL168" s="267"/>
    </row>
    <row r="169" spans="1:179" ht="15.65" customHeight="1" x14ac:dyDescent="0.35">
      <c r="C169" s="163" t="s">
        <v>626</v>
      </c>
      <c r="D169" s="415">
        <v>0.25</v>
      </c>
      <c r="E169" s="415">
        <v>0.7</v>
      </c>
      <c r="F169" s="655" t="e">
        <f>F158*24*$D$169</f>
        <v>#DIV/0!</v>
      </c>
      <c r="G169" s="249" t="e">
        <f t="shared" ref="G169:U169" si="223">G158*24*$D$169</f>
        <v>#DIV/0!</v>
      </c>
      <c r="H169" s="249" t="e">
        <f t="shared" si="223"/>
        <v>#DIV/0!</v>
      </c>
      <c r="I169" s="1242" t="e">
        <f t="shared" si="223"/>
        <v>#DIV/0!</v>
      </c>
      <c r="J169" s="419" t="e">
        <f t="shared" si="223"/>
        <v>#REF!</v>
      </c>
      <c r="K169" s="249" t="e">
        <f t="shared" si="223"/>
        <v>#DIV/0!</v>
      </c>
      <c r="L169" s="249" t="e">
        <f t="shared" si="223"/>
        <v>#DIV/0!</v>
      </c>
      <c r="M169" s="249" t="e">
        <f t="shared" si="223"/>
        <v>#DIV/0!</v>
      </c>
      <c r="N169" s="249" t="e">
        <f t="shared" si="223"/>
        <v>#DIV/0!</v>
      </c>
      <c r="O169" s="249" t="e">
        <f t="shared" si="223"/>
        <v>#DIV/0!</v>
      </c>
      <c r="P169" s="249" t="e">
        <f t="shared" si="223"/>
        <v>#DIV/0!</v>
      </c>
      <c r="Q169" s="249" t="e">
        <f t="shared" si="223"/>
        <v>#DIV/0!</v>
      </c>
      <c r="R169" s="1242" t="e">
        <f t="shared" si="223"/>
        <v>#DIV/0!</v>
      </c>
      <c r="S169" s="419" t="e">
        <f t="shared" si="223"/>
        <v>#DIV/0!</v>
      </c>
      <c r="T169" s="249" t="e">
        <f t="shared" si="223"/>
        <v>#DIV/0!</v>
      </c>
      <c r="U169" s="249" t="e">
        <f t="shared" si="223"/>
        <v>#DIV/0!</v>
      </c>
      <c r="V169" s="249">
        <f t="shared" ref="V169:AG169" si="224">24*($D$169*(V$83+V$86)+$E$169*(V$84+V$87))</f>
        <v>0</v>
      </c>
      <c r="W169" s="249">
        <f t="shared" si="224"/>
        <v>0</v>
      </c>
      <c r="X169" s="1242">
        <f t="shared" si="224"/>
        <v>0</v>
      </c>
      <c r="Y169" s="419">
        <f t="shared" si="224"/>
        <v>0</v>
      </c>
      <c r="Z169" s="249">
        <f t="shared" si="224"/>
        <v>0</v>
      </c>
      <c r="AA169" s="249">
        <f t="shared" si="224"/>
        <v>0</v>
      </c>
      <c r="AB169" s="249">
        <f t="shared" si="224"/>
        <v>0</v>
      </c>
      <c r="AC169" s="249">
        <f t="shared" si="224"/>
        <v>0</v>
      </c>
      <c r="AD169" s="249">
        <f t="shared" si="224"/>
        <v>0</v>
      </c>
      <c r="AE169" s="249">
        <f t="shared" si="224"/>
        <v>0</v>
      </c>
      <c r="AF169" s="249">
        <f t="shared" si="224"/>
        <v>0</v>
      </c>
      <c r="AG169" s="249">
        <f t="shared" si="224"/>
        <v>0</v>
      </c>
      <c r="BL169" s="267"/>
    </row>
    <row r="170" spans="1:179" ht="16.899999999999999" customHeight="1" thickBot="1" x14ac:dyDescent="0.4">
      <c r="C170" s="163" t="s">
        <v>625</v>
      </c>
      <c r="D170" s="415"/>
      <c r="E170" s="415"/>
      <c r="F170" s="653" t="e">
        <f>F169</f>
        <v>#DIV/0!</v>
      </c>
      <c r="G170" s="311" t="e">
        <f>F$170+G$169</f>
        <v>#DIV/0!</v>
      </c>
      <c r="H170" s="311" t="e">
        <f t="shared" ref="H170:I170" si="225">G$170+H$169</f>
        <v>#DIV/0!</v>
      </c>
      <c r="I170" s="1241" t="e">
        <f t="shared" si="225"/>
        <v>#DIV/0!</v>
      </c>
      <c r="J170" s="654" t="e">
        <f>I$170+J$169</f>
        <v>#DIV/0!</v>
      </c>
      <c r="K170" s="311" t="e">
        <f t="shared" ref="K170:U170" si="226">J$170+K$169</f>
        <v>#DIV/0!</v>
      </c>
      <c r="L170" s="311" t="e">
        <f t="shared" si="226"/>
        <v>#DIV/0!</v>
      </c>
      <c r="M170" s="311" t="e">
        <f t="shared" si="226"/>
        <v>#DIV/0!</v>
      </c>
      <c r="N170" s="311" t="e">
        <f t="shared" si="226"/>
        <v>#DIV/0!</v>
      </c>
      <c r="O170" s="311" t="e">
        <f t="shared" si="226"/>
        <v>#DIV/0!</v>
      </c>
      <c r="P170" s="311" t="e">
        <f t="shared" si="226"/>
        <v>#DIV/0!</v>
      </c>
      <c r="Q170" s="311" t="e">
        <f t="shared" si="226"/>
        <v>#DIV/0!</v>
      </c>
      <c r="R170" s="1241" t="e">
        <f t="shared" si="226"/>
        <v>#DIV/0!</v>
      </c>
      <c r="S170" s="654" t="e">
        <f t="shared" si="226"/>
        <v>#DIV/0!</v>
      </c>
      <c r="T170" s="311" t="e">
        <f t="shared" si="226"/>
        <v>#DIV/0!</v>
      </c>
      <c r="U170" s="311" t="e">
        <f t="shared" si="226"/>
        <v>#DIV/0!</v>
      </c>
      <c r="V170" s="311"/>
      <c r="W170" s="311"/>
      <c r="X170" s="1241"/>
      <c r="Y170" s="654"/>
      <c r="Z170" s="311"/>
      <c r="AA170" s="311"/>
      <c r="AB170" s="311"/>
      <c r="AC170" s="311"/>
      <c r="AD170" s="311"/>
      <c r="AE170" s="311"/>
      <c r="AF170" s="311"/>
      <c r="AG170" s="311"/>
      <c r="BL170" s="267"/>
    </row>
    <row r="171" spans="1:179" s="224" customFormat="1" ht="15.65" customHeight="1" x14ac:dyDescent="0.35">
      <c r="A171" s="1639"/>
      <c r="B171" s="1640"/>
      <c r="C171" s="1641" t="s">
        <v>628</v>
      </c>
      <c r="D171" s="1642"/>
      <c r="E171" s="1642"/>
      <c r="F171" s="1643">
        <v>59.604900000000001</v>
      </c>
      <c r="G171" s="1644">
        <v>59.604900000000001</v>
      </c>
      <c r="H171" s="1644">
        <v>59.604900000000001</v>
      </c>
      <c r="I171" s="1645">
        <v>59.604900000000001</v>
      </c>
      <c r="J171" s="1646">
        <v>59.604900000000001</v>
      </c>
      <c r="K171" s="1647">
        <v>59.604900000000001</v>
      </c>
      <c r="L171" s="1647">
        <v>59.604900000000001</v>
      </c>
      <c r="M171" s="1647">
        <v>59.604900000000001</v>
      </c>
      <c r="N171" s="1647">
        <v>59.604900000000001</v>
      </c>
      <c r="O171" s="1647">
        <v>59.604900000000001</v>
      </c>
      <c r="P171" s="1647">
        <v>59.604900000000001</v>
      </c>
      <c r="Q171" s="1647">
        <v>59.604900000000001</v>
      </c>
      <c r="R171" s="1645">
        <v>59.604900000000001</v>
      </c>
      <c r="S171" s="1646">
        <v>59.604900000000001</v>
      </c>
      <c r="T171" s="1647">
        <v>59.604900000000001</v>
      </c>
      <c r="U171" s="1647">
        <v>59.604900000000001</v>
      </c>
      <c r="V171" s="1647"/>
      <c r="W171" s="1647"/>
      <c r="X171" s="1645"/>
      <c r="Y171" s="1646"/>
      <c r="Z171" s="1647"/>
      <c r="AA171" s="1647"/>
      <c r="AB171" s="1647"/>
      <c r="AC171" s="1647"/>
      <c r="AD171" s="1647"/>
      <c r="AE171" s="1647"/>
      <c r="AF171" s="1647"/>
      <c r="AG171" s="1648"/>
      <c r="AH171" s="1638"/>
      <c r="AI171" s="232"/>
      <c r="AJ171" s="232"/>
      <c r="AK171" s="232"/>
      <c r="AL171" s="1236"/>
      <c r="AM171" s="643"/>
      <c r="AN171" s="232"/>
      <c r="AO171" s="232"/>
      <c r="AP171" s="232"/>
      <c r="AQ171" s="232"/>
      <c r="AR171" s="232"/>
      <c r="AS171" s="232"/>
      <c r="AT171" s="232"/>
      <c r="AU171" s="1236"/>
      <c r="AV171" s="643"/>
      <c r="AW171" s="232"/>
      <c r="AX171" s="232"/>
      <c r="AY171" s="232"/>
      <c r="AZ171" s="232"/>
      <c r="BA171" s="1236"/>
      <c r="BB171" s="643"/>
      <c r="BC171" s="232"/>
      <c r="BD171" s="232"/>
      <c r="BE171" s="232"/>
      <c r="BF171" s="232"/>
      <c r="BG171" s="232"/>
      <c r="BH171" s="232"/>
      <c r="BI171" s="232"/>
      <c r="BJ171" s="232"/>
      <c r="BK171" s="323"/>
      <c r="BL171" s="267"/>
      <c r="BM171" s="232"/>
      <c r="BN171" s="232"/>
      <c r="BO171" s="1236"/>
      <c r="BP171" s="643"/>
      <c r="BQ171" s="232"/>
      <c r="BR171" s="232"/>
      <c r="BS171" s="232"/>
      <c r="BT171" s="232"/>
      <c r="BU171" s="232"/>
      <c r="BV171" s="232"/>
      <c r="BW171" s="232"/>
      <c r="BX171" s="1236"/>
      <c r="BY171" s="643"/>
      <c r="BZ171" s="232"/>
      <c r="CA171" s="232"/>
      <c r="CB171" s="232"/>
      <c r="CC171" s="232"/>
      <c r="CD171" s="1236"/>
      <c r="CE171" s="643"/>
      <c r="CF171" s="232"/>
      <c r="CG171" s="232"/>
      <c r="CH171" s="232"/>
      <c r="CI171" s="232"/>
      <c r="CJ171" s="232"/>
      <c r="CK171" s="232"/>
      <c r="CL171" s="232"/>
      <c r="CM171" s="232"/>
      <c r="CN171" s="323"/>
      <c r="CO171" s="232"/>
      <c r="CP171" s="232"/>
      <c r="CQ171" s="232"/>
      <c r="CR171" s="1236"/>
      <c r="CS171" s="643"/>
      <c r="CT171" s="232"/>
      <c r="CU171" s="232"/>
      <c r="CV171" s="232"/>
      <c r="CW171" s="232"/>
      <c r="CX171" s="232"/>
      <c r="CY171" s="232"/>
      <c r="CZ171" s="232"/>
      <c r="DA171" s="1236"/>
      <c r="DB171" s="643"/>
      <c r="DC171" s="232"/>
      <c r="DD171" s="232"/>
      <c r="DE171" s="232"/>
      <c r="DF171" s="232"/>
      <c r="DG171" s="1236"/>
      <c r="DH171" s="643"/>
      <c r="DI171" s="232"/>
      <c r="DJ171" s="232"/>
      <c r="DK171" s="232"/>
      <c r="DL171" s="232"/>
      <c r="DM171" s="232"/>
      <c r="DN171" s="232"/>
      <c r="DO171" s="232"/>
      <c r="DP171" s="232"/>
      <c r="DQ171" s="323"/>
      <c r="DR171" s="238"/>
      <c r="DS171" s="232"/>
      <c r="DT171" s="232"/>
      <c r="DU171" s="232"/>
      <c r="DV171" s="1236"/>
      <c r="DW171" s="643"/>
      <c r="DX171" s="232"/>
      <c r="DY171" s="232"/>
      <c r="DZ171" s="232"/>
      <c r="EA171" s="232"/>
      <c r="EB171" s="232"/>
      <c r="EC171" s="232"/>
      <c r="ED171" s="232"/>
      <c r="EE171" s="1236"/>
      <c r="EF171" s="643"/>
      <c r="EG171" s="232"/>
      <c r="EH171" s="232"/>
      <c r="EI171" s="232"/>
      <c r="EJ171" s="232"/>
      <c r="EK171" s="1236"/>
      <c r="EL171" s="643"/>
      <c r="EM171" s="232"/>
      <c r="EN171" s="232"/>
      <c r="EO171" s="232"/>
      <c r="EP171" s="232"/>
      <c r="EQ171" s="232"/>
      <c r="ER171" s="232"/>
      <c r="ES171" s="232"/>
      <c r="ET171" s="232"/>
      <c r="EU171" s="323"/>
      <c r="EV171" s="232"/>
      <c r="EW171" s="232"/>
      <c r="EX171" s="232"/>
      <c r="EY171" s="1236"/>
      <c r="EZ171" s="643"/>
      <c r="FA171" s="232"/>
      <c r="FB171" s="232"/>
      <c r="FC171" s="232"/>
      <c r="FD171" s="232"/>
      <c r="FE171" s="232"/>
      <c r="FF171" s="232"/>
      <c r="FG171" s="232"/>
      <c r="FH171" s="1236"/>
      <c r="FI171" s="643"/>
      <c r="FJ171" s="232"/>
      <c r="FK171" s="232"/>
      <c r="FL171" s="232"/>
      <c r="FM171" s="232"/>
      <c r="FN171" s="1236"/>
      <c r="FO171" s="643"/>
      <c r="FP171" s="232"/>
      <c r="FQ171" s="232"/>
      <c r="FR171" s="232"/>
      <c r="FS171" s="232"/>
      <c r="FT171" s="232"/>
      <c r="FU171" s="232"/>
      <c r="FV171" s="232"/>
      <c r="FW171" s="232"/>
    </row>
    <row r="172" spans="1:179" ht="15.65" customHeight="1" x14ac:dyDescent="0.35">
      <c r="A172" s="1649"/>
      <c r="C172" s="163" t="s">
        <v>627</v>
      </c>
      <c r="D172" s="415"/>
      <c r="E172" s="415"/>
      <c r="F172" s="501" t="e">
        <f>100*F$170/F$171</f>
        <v>#DIV/0!</v>
      </c>
      <c r="G172" s="249" t="e">
        <f t="shared" ref="G172:I172" si="227">100*G$170/G$171</f>
        <v>#DIV/0!</v>
      </c>
      <c r="H172" s="249" t="e">
        <f t="shared" si="227"/>
        <v>#DIV/0!</v>
      </c>
      <c r="I172" s="1242" t="e">
        <f t="shared" si="227"/>
        <v>#DIV/0!</v>
      </c>
      <c r="J172" s="419" t="e">
        <f>100*J$170/J$171</f>
        <v>#DIV/0!</v>
      </c>
      <c r="K172" s="249" t="e">
        <f t="shared" ref="K172:U172" si="228">100*K$170/K$171</f>
        <v>#DIV/0!</v>
      </c>
      <c r="L172" s="249" t="e">
        <f t="shared" si="228"/>
        <v>#DIV/0!</v>
      </c>
      <c r="M172" s="249" t="e">
        <f t="shared" si="228"/>
        <v>#DIV/0!</v>
      </c>
      <c r="N172" s="249" t="e">
        <f t="shared" si="228"/>
        <v>#DIV/0!</v>
      </c>
      <c r="O172" s="249" t="e">
        <f t="shared" si="228"/>
        <v>#DIV/0!</v>
      </c>
      <c r="P172" s="249" t="e">
        <f t="shared" si="228"/>
        <v>#DIV/0!</v>
      </c>
      <c r="Q172" s="249" t="e">
        <f t="shared" si="228"/>
        <v>#DIV/0!</v>
      </c>
      <c r="R172" s="1242" t="e">
        <f t="shared" si="228"/>
        <v>#DIV/0!</v>
      </c>
      <c r="S172" s="419" t="e">
        <f t="shared" si="228"/>
        <v>#DIV/0!</v>
      </c>
      <c r="T172" s="249" t="e">
        <f t="shared" si="228"/>
        <v>#DIV/0!</v>
      </c>
      <c r="U172" s="249" t="e">
        <f t="shared" si="228"/>
        <v>#DIV/0!</v>
      </c>
      <c r="V172" s="249"/>
      <c r="W172" s="249"/>
      <c r="X172" s="1242"/>
      <c r="Y172" s="419"/>
      <c r="Z172" s="249"/>
      <c r="AA172" s="249"/>
      <c r="AB172" s="249"/>
      <c r="AC172" s="249"/>
      <c r="AD172" s="249"/>
      <c r="AE172" s="249"/>
      <c r="AF172" s="249"/>
      <c r="AG172" s="1650"/>
      <c r="AH172" s="1638"/>
      <c r="BL172" s="267"/>
    </row>
    <row r="173" spans="1:179" ht="15.65" customHeight="1" x14ac:dyDescent="0.35">
      <c r="A173" s="1649"/>
      <c r="C173" s="163" t="s">
        <v>608</v>
      </c>
      <c r="D173" s="415"/>
      <c r="E173" s="415"/>
      <c r="F173" s="501"/>
      <c r="G173" s="249"/>
      <c r="H173" s="249"/>
      <c r="I173" s="1242">
        <v>5.8</v>
      </c>
      <c r="J173" s="419"/>
      <c r="K173" s="249"/>
      <c r="L173" s="249"/>
      <c r="M173" s="249"/>
      <c r="N173" s="249"/>
      <c r="O173" s="249">
        <v>8.6999999999999993</v>
      </c>
      <c r="P173" s="249"/>
      <c r="Q173" s="249"/>
      <c r="R173" s="1242"/>
      <c r="S173" s="419"/>
      <c r="T173" s="249">
        <v>13</v>
      </c>
      <c r="U173" s="249">
        <v>13.7</v>
      </c>
      <c r="V173" s="249"/>
      <c r="W173" s="249"/>
      <c r="X173" s="1242"/>
      <c r="Y173" s="419"/>
      <c r="Z173" s="249"/>
      <c r="AA173" s="249"/>
      <c r="AB173" s="249"/>
      <c r="AC173" s="249"/>
      <c r="AD173" s="249"/>
      <c r="AE173" s="249"/>
      <c r="AF173" s="249"/>
      <c r="AG173" s="1650"/>
      <c r="AH173" s="1638"/>
      <c r="BL173" s="267"/>
    </row>
    <row r="174" spans="1:179" ht="15.65" customHeight="1" x14ac:dyDescent="0.35">
      <c r="A174" s="1649"/>
      <c r="C174" s="163" t="s">
        <v>630</v>
      </c>
      <c r="D174" s="415">
        <v>0.1</v>
      </c>
      <c r="E174" s="415">
        <v>0.3</v>
      </c>
      <c r="F174" s="501" t="e">
        <f>F158*$D$174*24</f>
        <v>#DIV/0!</v>
      </c>
      <c r="G174" s="249" t="e">
        <f t="shared" ref="G174:U174" si="229">G158*$D$174*24</f>
        <v>#DIV/0!</v>
      </c>
      <c r="H174" s="249" t="e">
        <f t="shared" si="229"/>
        <v>#DIV/0!</v>
      </c>
      <c r="I174" s="1242" t="e">
        <f t="shared" si="229"/>
        <v>#DIV/0!</v>
      </c>
      <c r="J174" s="419" t="e">
        <f t="shared" si="229"/>
        <v>#REF!</v>
      </c>
      <c r="K174" s="249" t="e">
        <f t="shared" si="229"/>
        <v>#DIV/0!</v>
      </c>
      <c r="L174" s="249" t="e">
        <f t="shared" si="229"/>
        <v>#DIV/0!</v>
      </c>
      <c r="M174" s="249" t="e">
        <f t="shared" si="229"/>
        <v>#DIV/0!</v>
      </c>
      <c r="N174" s="249" t="e">
        <f t="shared" si="229"/>
        <v>#DIV/0!</v>
      </c>
      <c r="O174" s="249" t="e">
        <f t="shared" si="229"/>
        <v>#DIV/0!</v>
      </c>
      <c r="P174" s="249" t="e">
        <f t="shared" si="229"/>
        <v>#DIV/0!</v>
      </c>
      <c r="Q174" s="249" t="e">
        <f t="shared" si="229"/>
        <v>#DIV/0!</v>
      </c>
      <c r="R174" s="1242" t="e">
        <f t="shared" si="229"/>
        <v>#DIV/0!</v>
      </c>
      <c r="S174" s="419" t="e">
        <f t="shared" si="229"/>
        <v>#DIV/0!</v>
      </c>
      <c r="T174" s="249" t="e">
        <f t="shared" si="229"/>
        <v>#DIV/0!</v>
      </c>
      <c r="U174" s="249" t="e">
        <f t="shared" si="229"/>
        <v>#DIV/0!</v>
      </c>
      <c r="V174" s="249">
        <f t="shared" ref="V174:AG174" si="230">24*($D$174*(V$83+V$86)+$E$174*(V$84+V$87))</f>
        <v>0</v>
      </c>
      <c r="W174" s="249">
        <f t="shared" si="230"/>
        <v>0</v>
      </c>
      <c r="X174" s="1242">
        <f t="shared" si="230"/>
        <v>0</v>
      </c>
      <c r="Y174" s="419">
        <f t="shared" si="230"/>
        <v>0</v>
      </c>
      <c r="Z174" s="249">
        <f t="shared" si="230"/>
        <v>0</v>
      </c>
      <c r="AA174" s="249">
        <f t="shared" si="230"/>
        <v>0</v>
      </c>
      <c r="AB174" s="249">
        <f t="shared" si="230"/>
        <v>0</v>
      </c>
      <c r="AC174" s="249">
        <f t="shared" si="230"/>
        <v>0</v>
      </c>
      <c r="AD174" s="249">
        <f t="shared" si="230"/>
        <v>0</v>
      </c>
      <c r="AE174" s="249">
        <f t="shared" si="230"/>
        <v>0</v>
      </c>
      <c r="AF174" s="249">
        <f t="shared" si="230"/>
        <v>0</v>
      </c>
      <c r="AG174" s="1650">
        <f t="shared" si="230"/>
        <v>0</v>
      </c>
      <c r="AH174" s="1638"/>
      <c r="BL174" s="267"/>
    </row>
    <row r="175" spans="1:179" ht="15.65" customHeight="1" thickBot="1" x14ac:dyDescent="0.4">
      <c r="A175" s="1651"/>
      <c r="B175" s="1652"/>
      <c r="C175" s="1653" t="s">
        <v>631</v>
      </c>
      <c r="D175" s="1654"/>
      <c r="E175" s="1654"/>
      <c r="F175" s="1655" t="e">
        <f>F174</f>
        <v>#DIV/0!</v>
      </c>
      <c r="G175" s="1656" t="e">
        <f>F$175+G$174</f>
        <v>#DIV/0!</v>
      </c>
      <c r="H175" s="1656" t="e">
        <f t="shared" ref="H175:I175" si="231">G$175+H$174</f>
        <v>#DIV/0!</v>
      </c>
      <c r="I175" s="1657" t="e">
        <f t="shared" si="231"/>
        <v>#DIV/0!</v>
      </c>
      <c r="J175" s="1658" t="e">
        <f>I$175+J$174</f>
        <v>#DIV/0!</v>
      </c>
      <c r="K175" s="1656" t="e">
        <f t="shared" ref="K175:U175" si="232">J$175+K$174</f>
        <v>#DIV/0!</v>
      </c>
      <c r="L175" s="1656" t="e">
        <f t="shared" si="232"/>
        <v>#DIV/0!</v>
      </c>
      <c r="M175" s="1656" t="e">
        <f t="shared" si="232"/>
        <v>#DIV/0!</v>
      </c>
      <c r="N175" s="1656" t="e">
        <f t="shared" si="232"/>
        <v>#DIV/0!</v>
      </c>
      <c r="O175" s="1656" t="e">
        <f t="shared" si="232"/>
        <v>#DIV/0!</v>
      </c>
      <c r="P175" s="1656" t="e">
        <f t="shared" si="232"/>
        <v>#DIV/0!</v>
      </c>
      <c r="Q175" s="1656" t="e">
        <f t="shared" si="232"/>
        <v>#DIV/0!</v>
      </c>
      <c r="R175" s="1657" t="e">
        <f t="shared" si="232"/>
        <v>#DIV/0!</v>
      </c>
      <c r="S175" s="1658" t="e">
        <f t="shared" si="232"/>
        <v>#DIV/0!</v>
      </c>
      <c r="T175" s="1656" t="e">
        <f t="shared" si="232"/>
        <v>#DIV/0!</v>
      </c>
      <c r="U175" s="1656" t="e">
        <f t="shared" si="232"/>
        <v>#DIV/0!</v>
      </c>
      <c r="V175" s="1656"/>
      <c r="W175" s="1656"/>
      <c r="X175" s="1657"/>
      <c r="Y175" s="1658"/>
      <c r="Z175" s="1656"/>
      <c r="AA175" s="1656"/>
      <c r="AB175" s="1656"/>
      <c r="AC175" s="1656"/>
      <c r="AD175" s="1656"/>
      <c r="AE175" s="1656"/>
      <c r="AF175" s="1656"/>
      <c r="AG175" s="1659"/>
      <c r="AH175" s="1638"/>
      <c r="BL175" s="267"/>
    </row>
    <row r="176" spans="1:179" s="224" customFormat="1" ht="15.65" customHeight="1" x14ac:dyDescent="0.35">
      <c r="A176" s="1640"/>
      <c r="B176" s="1640"/>
      <c r="C176" s="1641" t="s">
        <v>632</v>
      </c>
      <c r="D176" s="1642"/>
      <c r="E176" s="1642"/>
      <c r="F176" s="1643">
        <v>59.604900000000001</v>
      </c>
      <c r="G176" s="1644">
        <v>59.604900000000001</v>
      </c>
      <c r="H176" s="1644">
        <v>59.604900000000001</v>
      </c>
      <c r="I176" s="1645">
        <v>59.604900000000001</v>
      </c>
      <c r="J176" s="1646">
        <v>59.604900000000001</v>
      </c>
      <c r="K176" s="1647">
        <v>59.604900000000001</v>
      </c>
      <c r="L176" s="1647">
        <v>59.604900000000001</v>
      </c>
      <c r="M176" s="1647">
        <v>59.604900000000001</v>
      </c>
      <c r="N176" s="1647">
        <v>59.604900000000001</v>
      </c>
      <c r="O176" s="1647">
        <v>59.604900000000001</v>
      </c>
      <c r="P176" s="1647">
        <v>59.604900000000001</v>
      </c>
      <c r="Q176" s="1647">
        <v>59.604900000000001</v>
      </c>
      <c r="R176" s="1645">
        <v>59.604900000000001</v>
      </c>
      <c r="S176" s="1646">
        <v>59.604900000000001</v>
      </c>
      <c r="T176" s="1647">
        <v>59.604900000000001</v>
      </c>
      <c r="U176" s="1647">
        <v>59.604900000000001</v>
      </c>
      <c r="V176" s="1647"/>
      <c r="W176" s="1647"/>
      <c r="X176" s="1645"/>
      <c r="Y176" s="1646"/>
      <c r="Z176" s="1647"/>
      <c r="AA176" s="1647"/>
      <c r="AB176" s="1647"/>
      <c r="AC176" s="1647"/>
      <c r="AD176" s="1647"/>
      <c r="AE176" s="1647"/>
      <c r="AF176" s="1647"/>
      <c r="AG176" s="1647"/>
      <c r="AH176" s="323"/>
      <c r="AI176" s="232"/>
      <c r="AJ176" s="232"/>
      <c r="AK176" s="232"/>
      <c r="AL176" s="1236"/>
      <c r="AM176" s="643"/>
      <c r="AN176" s="232"/>
      <c r="AO176" s="232"/>
      <c r="AP176" s="232"/>
      <c r="AQ176" s="232"/>
      <c r="AR176" s="232"/>
      <c r="AS176" s="232"/>
      <c r="AT176" s="232"/>
      <c r="AU176" s="1236"/>
      <c r="AV176" s="643"/>
      <c r="AW176" s="232"/>
      <c r="AX176" s="232"/>
      <c r="AY176" s="232"/>
      <c r="AZ176" s="232"/>
      <c r="BA176" s="1236"/>
      <c r="BB176" s="643"/>
      <c r="BC176" s="232"/>
      <c r="BD176" s="232"/>
      <c r="BE176" s="232"/>
      <c r="BF176" s="232"/>
      <c r="BG176" s="232"/>
      <c r="BH176" s="232"/>
      <c r="BI176" s="232"/>
      <c r="BJ176" s="232"/>
      <c r="BK176" s="323"/>
      <c r="BL176" s="267"/>
      <c r="BM176" s="232"/>
      <c r="BN176" s="232"/>
      <c r="BO176" s="1236"/>
      <c r="BP176" s="643"/>
      <c r="BQ176" s="232"/>
      <c r="BR176" s="232"/>
      <c r="BS176" s="232"/>
      <c r="BT176" s="232"/>
      <c r="BU176" s="232"/>
      <c r="BV176" s="232"/>
      <c r="BW176" s="232"/>
      <c r="BX176" s="1236"/>
      <c r="BY176" s="643"/>
      <c r="BZ176" s="232"/>
      <c r="CA176" s="232"/>
      <c r="CB176" s="232"/>
      <c r="CC176" s="232"/>
      <c r="CD176" s="1236"/>
      <c r="CE176" s="643"/>
      <c r="CF176" s="232"/>
      <c r="CG176" s="232"/>
      <c r="CH176" s="232"/>
      <c r="CI176" s="232"/>
      <c r="CJ176" s="232"/>
      <c r="CK176" s="232"/>
      <c r="CL176" s="232"/>
      <c r="CM176" s="232"/>
      <c r="CN176" s="323"/>
      <c r="CO176" s="232"/>
      <c r="CP176" s="232"/>
      <c r="CQ176" s="232"/>
      <c r="CR176" s="1236"/>
      <c r="CS176" s="643"/>
      <c r="CT176" s="232"/>
      <c r="CU176" s="232"/>
      <c r="CV176" s="232"/>
      <c r="CW176" s="232"/>
      <c r="CX176" s="232"/>
      <c r="CY176" s="232"/>
      <c r="CZ176" s="232"/>
      <c r="DA176" s="1236"/>
      <c r="DB176" s="643"/>
      <c r="DC176" s="232"/>
      <c r="DD176" s="232"/>
      <c r="DE176" s="232"/>
      <c r="DF176" s="232"/>
      <c r="DG176" s="1236"/>
      <c r="DH176" s="643"/>
      <c r="DI176" s="232"/>
      <c r="DJ176" s="232"/>
      <c r="DK176" s="232"/>
      <c r="DL176" s="232"/>
      <c r="DM176" s="232"/>
      <c r="DN176" s="232"/>
      <c r="DO176" s="232"/>
      <c r="DP176" s="232"/>
      <c r="DQ176" s="323"/>
      <c r="DR176" s="238"/>
      <c r="DS176" s="232"/>
      <c r="DT176" s="232"/>
      <c r="DU176" s="232"/>
      <c r="DV176" s="1236"/>
      <c r="DW176" s="643"/>
      <c r="DX176" s="232"/>
      <c r="DY176" s="232"/>
      <c r="DZ176" s="232"/>
      <c r="EA176" s="232"/>
      <c r="EB176" s="232"/>
      <c r="EC176" s="232"/>
      <c r="ED176" s="232"/>
      <c r="EE176" s="1236"/>
      <c r="EF176" s="643"/>
      <c r="EG176" s="232"/>
      <c r="EH176" s="232"/>
      <c r="EI176" s="232"/>
      <c r="EJ176" s="232"/>
      <c r="EK176" s="1236"/>
      <c r="EL176" s="643"/>
      <c r="EM176" s="232"/>
      <c r="EN176" s="232"/>
      <c r="EO176" s="232"/>
      <c r="EP176" s="232"/>
      <c r="EQ176" s="232"/>
      <c r="ER176" s="232"/>
      <c r="ES176" s="232"/>
      <c r="ET176" s="232"/>
      <c r="EU176" s="323"/>
      <c r="EV176" s="232"/>
      <c r="EW176" s="232"/>
      <c r="EX176" s="232"/>
      <c r="EY176" s="1236"/>
      <c r="EZ176" s="643"/>
      <c r="FA176" s="232"/>
      <c r="FB176" s="232"/>
      <c r="FC176" s="232"/>
      <c r="FD176" s="232"/>
      <c r="FE176" s="232"/>
      <c r="FF176" s="232"/>
      <c r="FG176" s="232"/>
      <c r="FH176" s="1236"/>
      <c r="FI176" s="643"/>
      <c r="FJ176" s="232"/>
      <c r="FK176" s="232"/>
      <c r="FL176" s="232"/>
      <c r="FM176" s="232"/>
      <c r="FN176" s="1236"/>
      <c r="FO176" s="643"/>
      <c r="FP176" s="232"/>
      <c r="FQ176" s="232"/>
      <c r="FR176" s="232"/>
      <c r="FS176" s="232"/>
      <c r="FT176" s="232"/>
      <c r="FU176" s="232"/>
      <c r="FV176" s="232"/>
      <c r="FW176" s="232"/>
    </row>
    <row r="177" spans="1:179" ht="15.65" customHeight="1" x14ac:dyDescent="0.35">
      <c r="C177" s="163" t="s">
        <v>633</v>
      </c>
      <c r="D177" s="415"/>
      <c r="E177" s="415"/>
      <c r="F177" s="501" t="e">
        <f>100*F$175/F$176</f>
        <v>#DIV/0!</v>
      </c>
      <c r="G177" s="249" t="e">
        <f t="shared" ref="G177:I177" si="233">100*G$175/G$176</f>
        <v>#DIV/0!</v>
      </c>
      <c r="H177" s="249" t="e">
        <f t="shared" si="233"/>
        <v>#DIV/0!</v>
      </c>
      <c r="I177" s="1242" t="e">
        <f t="shared" si="233"/>
        <v>#DIV/0!</v>
      </c>
      <c r="J177" s="419" t="e">
        <f>100*J$175/J$176</f>
        <v>#DIV/0!</v>
      </c>
      <c r="K177" s="249" t="e">
        <f t="shared" ref="K177:U177" si="234">100*K$175/K$176</f>
        <v>#DIV/0!</v>
      </c>
      <c r="L177" s="249" t="e">
        <f t="shared" si="234"/>
        <v>#DIV/0!</v>
      </c>
      <c r="M177" s="249" t="e">
        <f t="shared" si="234"/>
        <v>#DIV/0!</v>
      </c>
      <c r="N177" s="249" t="e">
        <f t="shared" si="234"/>
        <v>#DIV/0!</v>
      </c>
      <c r="O177" s="249" t="e">
        <f t="shared" si="234"/>
        <v>#DIV/0!</v>
      </c>
      <c r="P177" s="249" t="e">
        <f t="shared" si="234"/>
        <v>#DIV/0!</v>
      </c>
      <c r="Q177" s="249" t="e">
        <f t="shared" si="234"/>
        <v>#DIV/0!</v>
      </c>
      <c r="R177" s="1242" t="e">
        <f t="shared" si="234"/>
        <v>#DIV/0!</v>
      </c>
      <c r="S177" s="419" t="e">
        <f t="shared" si="234"/>
        <v>#DIV/0!</v>
      </c>
      <c r="T177" s="249" t="e">
        <f t="shared" si="234"/>
        <v>#DIV/0!</v>
      </c>
      <c r="U177" s="249" t="e">
        <f t="shared" si="234"/>
        <v>#DIV/0!</v>
      </c>
      <c r="BL177" s="267"/>
    </row>
    <row r="178" spans="1:179" ht="15.65" customHeight="1" x14ac:dyDescent="0.35">
      <c r="C178" s="163"/>
      <c r="D178" s="415"/>
      <c r="E178" s="415"/>
      <c r="F178" s="501"/>
      <c r="G178" s="249"/>
      <c r="H178" s="249"/>
      <c r="I178" s="1242">
        <v>2.5</v>
      </c>
      <c r="J178" s="419"/>
      <c r="K178" s="249"/>
      <c r="L178" s="249"/>
      <c r="M178" s="249"/>
      <c r="N178" s="249"/>
      <c r="O178" s="249">
        <v>3.7</v>
      </c>
      <c r="P178" s="249"/>
      <c r="Q178" s="249"/>
      <c r="R178" s="1242"/>
      <c r="S178" s="419"/>
      <c r="T178" s="249">
        <v>5.5</v>
      </c>
      <c r="U178" s="249">
        <v>5.9</v>
      </c>
      <c r="BL178" s="267"/>
    </row>
    <row r="179" spans="1:179" ht="15.65" customHeight="1" x14ac:dyDescent="0.35">
      <c r="C179" s="163" t="s">
        <v>430</v>
      </c>
      <c r="D179" s="415"/>
      <c r="E179" s="415"/>
      <c r="F179" s="655">
        <v>88</v>
      </c>
      <c r="G179" s="249">
        <v>84.3</v>
      </c>
      <c r="H179" s="249">
        <v>82.5</v>
      </c>
      <c r="I179" s="1242">
        <v>81.2</v>
      </c>
      <c r="J179" s="419">
        <v>97.6</v>
      </c>
      <c r="K179" s="249">
        <v>97</v>
      </c>
      <c r="L179" s="249">
        <v>96</v>
      </c>
      <c r="M179" s="249">
        <v>95.5</v>
      </c>
      <c r="N179" s="249">
        <v>95</v>
      </c>
      <c r="O179" s="249">
        <v>94.6</v>
      </c>
      <c r="P179" s="249">
        <v>94.6</v>
      </c>
      <c r="Q179" s="249">
        <v>91</v>
      </c>
      <c r="R179" s="1242">
        <v>90.5</v>
      </c>
      <c r="S179" s="419">
        <v>92</v>
      </c>
      <c r="T179" s="249">
        <v>91.5</v>
      </c>
      <c r="U179" s="249">
        <v>90.7</v>
      </c>
      <c r="BL179" s="267"/>
    </row>
    <row r="180" spans="1:179" ht="15.65" customHeight="1" thickBot="1" x14ac:dyDescent="0.4">
      <c r="A180" s="1663"/>
      <c r="B180" s="1663"/>
      <c r="C180" s="1664">
        <v>0.05</v>
      </c>
      <c r="D180" s="1665"/>
      <c r="E180" s="1665"/>
      <c r="F180" s="1666">
        <f>F$179*5%</f>
        <v>4.4000000000000004</v>
      </c>
      <c r="G180" s="1667">
        <f>G$179*5%</f>
        <v>4.2149999999999999</v>
      </c>
      <c r="H180" s="1667">
        <f t="shared" ref="H180:O180" si="235">H$179*5%</f>
        <v>4.125</v>
      </c>
      <c r="I180" s="1668">
        <f t="shared" si="235"/>
        <v>4.0600000000000005</v>
      </c>
      <c r="J180" s="1669">
        <f t="shared" si="235"/>
        <v>4.88</v>
      </c>
      <c r="K180" s="1667">
        <f t="shared" si="235"/>
        <v>4.8500000000000005</v>
      </c>
      <c r="L180" s="1667">
        <f t="shared" si="235"/>
        <v>4.8000000000000007</v>
      </c>
      <c r="M180" s="1667">
        <f t="shared" si="235"/>
        <v>4.7750000000000004</v>
      </c>
      <c r="N180" s="1667">
        <f t="shared" si="235"/>
        <v>4.75</v>
      </c>
      <c r="O180" s="1667">
        <f t="shared" si="235"/>
        <v>4.7299999999999995</v>
      </c>
      <c r="P180" s="1667">
        <f>P$179*5%</f>
        <v>4.7299999999999995</v>
      </c>
      <c r="Q180" s="1667">
        <f>Q$179*5%</f>
        <v>4.55</v>
      </c>
      <c r="R180" s="1668">
        <f t="shared" ref="R180:U180" si="236">R$179*5%</f>
        <v>4.5250000000000004</v>
      </c>
      <c r="S180" s="1669">
        <f t="shared" si="236"/>
        <v>4.6000000000000005</v>
      </c>
      <c r="T180" s="1667">
        <f t="shared" si="236"/>
        <v>4.5750000000000002</v>
      </c>
      <c r="U180" s="1667">
        <f t="shared" si="236"/>
        <v>4.5350000000000001</v>
      </c>
      <c r="V180" s="1670">
        <f>V$179*5%</f>
        <v>0</v>
      </c>
      <c r="W180" s="1670">
        <f t="shared" ref="W180:AG180" si="237">W$179*5%</f>
        <v>0</v>
      </c>
      <c r="X180" s="1671">
        <f t="shared" si="237"/>
        <v>0</v>
      </c>
      <c r="Y180" s="1672">
        <f t="shared" si="237"/>
        <v>0</v>
      </c>
      <c r="Z180" s="1670">
        <f t="shared" si="237"/>
        <v>0</v>
      </c>
      <c r="AA180" s="1670">
        <f t="shared" si="237"/>
        <v>0</v>
      </c>
      <c r="AB180" s="1670">
        <f t="shared" si="237"/>
        <v>0</v>
      </c>
      <c r="AC180" s="1670">
        <f t="shared" si="237"/>
        <v>0</v>
      </c>
      <c r="AD180" s="1670">
        <f t="shared" si="237"/>
        <v>0</v>
      </c>
      <c r="AE180" s="1670">
        <f t="shared" si="237"/>
        <v>0</v>
      </c>
      <c r="AF180" s="1670">
        <f t="shared" si="237"/>
        <v>0</v>
      </c>
      <c r="AG180" s="1670">
        <f t="shared" si="237"/>
        <v>0</v>
      </c>
      <c r="BL180" s="267"/>
    </row>
    <row r="181" spans="1:179" s="224" customFormat="1" ht="16.5" thickTop="1" x14ac:dyDescent="0.4">
      <c r="A181"/>
      <c r="B181"/>
      <c r="C181" s="1660">
        <v>0.05</v>
      </c>
      <c r="D181" s="1660"/>
      <c r="E181" s="1660"/>
      <c r="F181" s="1661">
        <f>F$179+F$180</f>
        <v>92.4</v>
      </c>
      <c r="G181" s="1662">
        <f>G$179+G$180</f>
        <v>88.515000000000001</v>
      </c>
      <c r="H181" s="1662">
        <f t="shared" ref="H181:O181" si="238">H$179+H$180</f>
        <v>86.625</v>
      </c>
      <c r="I181" s="422">
        <f t="shared" si="238"/>
        <v>85.26</v>
      </c>
      <c r="J181" s="421">
        <f t="shared" si="238"/>
        <v>102.47999999999999</v>
      </c>
      <c r="K181" s="309">
        <f t="shared" si="238"/>
        <v>101.85</v>
      </c>
      <c r="L181" s="309">
        <f t="shared" si="238"/>
        <v>100.8</v>
      </c>
      <c r="M181" s="309">
        <f t="shared" si="238"/>
        <v>100.27500000000001</v>
      </c>
      <c r="N181" s="309">
        <f t="shared" si="238"/>
        <v>99.75</v>
      </c>
      <c r="O181" s="309">
        <f t="shared" si="238"/>
        <v>99.33</v>
      </c>
      <c r="P181" s="309">
        <f>P$179+P$180</f>
        <v>99.33</v>
      </c>
      <c r="Q181" s="309">
        <f>Q$179+Q$180</f>
        <v>95.55</v>
      </c>
      <c r="R181" s="422">
        <f t="shared" ref="R181:AG181" si="239">R$179+R$180</f>
        <v>95.025000000000006</v>
      </c>
      <c r="S181" s="421">
        <f t="shared" si="239"/>
        <v>96.6</v>
      </c>
      <c r="T181" s="309">
        <f t="shared" si="239"/>
        <v>96.075000000000003</v>
      </c>
      <c r="U181" s="309">
        <f t="shared" si="239"/>
        <v>95.234999999999999</v>
      </c>
      <c r="V181" s="229">
        <f t="shared" si="239"/>
        <v>0</v>
      </c>
      <c r="W181" s="229">
        <f t="shared" si="239"/>
        <v>0</v>
      </c>
      <c r="X181" s="1245">
        <f t="shared" si="239"/>
        <v>0</v>
      </c>
      <c r="Y181" s="538">
        <f t="shared" si="239"/>
        <v>0</v>
      </c>
      <c r="Z181" s="229">
        <f t="shared" si="239"/>
        <v>0</v>
      </c>
      <c r="AA181" s="229">
        <f t="shared" si="239"/>
        <v>0</v>
      </c>
      <c r="AB181" s="229">
        <f t="shared" si="239"/>
        <v>0</v>
      </c>
      <c r="AC181" s="229">
        <f t="shared" si="239"/>
        <v>0</v>
      </c>
      <c r="AD181" s="229">
        <f t="shared" si="239"/>
        <v>0</v>
      </c>
      <c r="AE181" s="229">
        <f t="shared" si="239"/>
        <v>0</v>
      </c>
      <c r="AF181" s="229">
        <f t="shared" si="239"/>
        <v>0</v>
      </c>
      <c r="AG181" s="229">
        <f t="shared" si="239"/>
        <v>0</v>
      </c>
      <c r="AH181" s="323"/>
      <c r="AI181" s="232"/>
      <c r="AJ181" s="267"/>
      <c r="AK181" s="232"/>
      <c r="AL181" s="1236"/>
      <c r="AM181" s="643"/>
      <c r="AN181" s="232"/>
      <c r="AO181" s="232"/>
      <c r="AP181" s="232"/>
      <c r="AQ181" s="232"/>
      <c r="AR181" s="232"/>
      <c r="AS181" s="232"/>
      <c r="AT181" s="232"/>
      <c r="AU181" s="1236"/>
      <c r="AV181" s="643"/>
      <c r="AW181" s="232"/>
      <c r="AX181" s="232"/>
      <c r="AY181" s="232"/>
      <c r="AZ181" s="232"/>
      <c r="BA181" s="1236"/>
      <c r="BB181" s="643"/>
      <c r="BC181" s="232"/>
      <c r="BD181" s="232"/>
      <c r="BE181" s="232"/>
      <c r="BF181" s="232"/>
      <c r="BG181" s="232"/>
      <c r="BH181" s="232"/>
      <c r="BI181" s="232"/>
      <c r="BJ181" s="232"/>
      <c r="BK181" s="323"/>
      <c r="BL181" s="232"/>
      <c r="BM181" s="232"/>
      <c r="BN181" s="232"/>
      <c r="BO181" s="1236"/>
      <c r="BP181" s="643"/>
      <c r="BQ181" s="232"/>
      <c r="BR181" s="232"/>
      <c r="BS181" s="232"/>
      <c r="BT181" s="232"/>
      <c r="BU181" s="232"/>
      <c r="BV181" s="232"/>
      <c r="BW181" s="232"/>
      <c r="BX181" s="1236"/>
      <c r="BY181" s="643"/>
      <c r="BZ181" s="232"/>
      <c r="CA181" s="232"/>
      <c r="CB181" s="232"/>
      <c r="CC181" s="232"/>
      <c r="CD181" s="1236"/>
      <c r="CE181" s="643"/>
      <c r="CF181" s="232"/>
      <c r="CG181" s="232"/>
      <c r="CH181" s="232"/>
      <c r="CI181" s="232"/>
      <c r="CJ181" s="232"/>
      <c r="CK181" s="232"/>
      <c r="CL181" s="232"/>
      <c r="CM181" s="232"/>
      <c r="CN181" s="323"/>
      <c r="CO181" s="232"/>
      <c r="CP181" s="232"/>
      <c r="CQ181" s="232"/>
      <c r="CR181" s="1236"/>
      <c r="CS181" s="643"/>
      <c r="CT181" s="232"/>
      <c r="CU181" s="232"/>
      <c r="CV181" s="232"/>
      <c r="CW181" s="232"/>
      <c r="CX181" s="232"/>
      <c r="CY181" s="232"/>
      <c r="CZ181" s="232"/>
      <c r="DA181" s="1236"/>
      <c r="DB181" s="643"/>
      <c r="DC181" s="232"/>
      <c r="DD181" s="232"/>
      <c r="DE181" s="232"/>
      <c r="DF181" s="232"/>
      <c r="DG181" s="1236"/>
      <c r="DH181" s="643"/>
      <c r="DI181" s="232"/>
      <c r="DJ181" s="232"/>
      <c r="DK181" s="232"/>
      <c r="DL181" s="232"/>
      <c r="DM181" s="232"/>
      <c r="DN181" s="232"/>
      <c r="DO181" s="232"/>
      <c r="DP181" s="232"/>
      <c r="DQ181" s="323"/>
      <c r="DR181" s="238"/>
      <c r="DS181" s="232"/>
      <c r="DT181" s="232"/>
      <c r="DU181" s="232"/>
      <c r="DV181" s="1236"/>
      <c r="DW181" s="643"/>
      <c r="DX181" s="232"/>
      <c r="DY181" s="232"/>
      <c r="DZ181" s="232"/>
      <c r="EA181" s="232"/>
      <c r="EB181" s="232"/>
      <c r="EC181" s="232"/>
      <c r="ED181" s="232"/>
      <c r="EE181" s="1236"/>
      <c r="EF181" s="643"/>
      <c r="EG181" s="232"/>
      <c r="EH181" s="232"/>
      <c r="EI181" s="232"/>
      <c r="EJ181" s="232"/>
      <c r="EK181" s="1236"/>
      <c r="EL181" s="643"/>
      <c r="EM181" s="232"/>
      <c r="EN181" s="232"/>
      <c r="EO181" s="232"/>
      <c r="EP181" s="232"/>
      <c r="EQ181" s="232"/>
      <c r="ER181" s="232"/>
      <c r="ES181" s="232"/>
      <c r="ET181" s="232"/>
      <c r="EU181" s="323"/>
      <c r="EV181" s="232"/>
      <c r="EW181" s="232"/>
      <c r="EX181" s="232"/>
      <c r="EY181" s="1236"/>
      <c r="EZ181" s="643"/>
      <c r="FA181" s="232"/>
      <c r="FB181" s="232"/>
      <c r="FC181" s="232"/>
      <c r="FD181" s="232"/>
      <c r="FE181" s="232"/>
      <c r="FF181" s="232"/>
      <c r="FG181" s="232"/>
      <c r="FH181" s="1236"/>
      <c r="FI181" s="643"/>
      <c r="FJ181" s="232"/>
      <c r="FK181" s="232"/>
      <c r="FL181" s="232"/>
      <c r="FM181" s="232"/>
      <c r="FN181" s="1236"/>
      <c r="FO181" s="643"/>
      <c r="FP181" s="232"/>
      <c r="FQ181" s="232"/>
      <c r="FR181" s="232"/>
      <c r="FS181" s="232"/>
      <c r="FT181" s="232"/>
      <c r="FU181" s="232"/>
      <c r="FV181" s="232"/>
      <c r="FW181" s="232"/>
    </row>
    <row r="182" spans="1:179" ht="16" x14ac:dyDescent="0.4">
      <c r="C182" s="416">
        <v>-0.05</v>
      </c>
      <c r="D182" s="416"/>
      <c r="E182" s="420"/>
      <c r="F182" s="478">
        <f>F$179-F$180</f>
        <v>83.6</v>
      </c>
      <c r="G182" s="249">
        <f>G$179-G$180</f>
        <v>80.084999999999994</v>
      </c>
      <c r="H182" s="249">
        <f t="shared" ref="H182:N182" si="240">H$179-H$180</f>
        <v>78.375</v>
      </c>
      <c r="I182" s="1242">
        <f t="shared" si="240"/>
        <v>77.14</v>
      </c>
      <c r="J182" s="419">
        <f t="shared" si="240"/>
        <v>92.72</v>
      </c>
      <c r="K182" s="249">
        <f t="shared" si="240"/>
        <v>92.15</v>
      </c>
      <c r="L182" s="249">
        <f t="shared" si="240"/>
        <v>91.2</v>
      </c>
      <c r="M182" s="249">
        <f t="shared" si="240"/>
        <v>90.724999999999994</v>
      </c>
      <c r="N182" s="249">
        <f t="shared" si="240"/>
        <v>90.25</v>
      </c>
      <c r="O182" s="249">
        <f>O$179-O$180</f>
        <v>89.86999999999999</v>
      </c>
      <c r="P182" s="249">
        <f>P$179-P$180</f>
        <v>89.86999999999999</v>
      </c>
      <c r="Q182" s="249">
        <f>Q$179-Q$180</f>
        <v>86.45</v>
      </c>
      <c r="R182" s="1242">
        <f t="shared" ref="R182:AG182" si="241">R$179-R$180</f>
        <v>85.974999999999994</v>
      </c>
      <c r="S182" s="419">
        <f t="shared" si="241"/>
        <v>87.4</v>
      </c>
      <c r="T182" s="249">
        <f t="shared" si="241"/>
        <v>86.924999999999997</v>
      </c>
      <c r="U182" s="249">
        <f t="shared" si="241"/>
        <v>86.165000000000006</v>
      </c>
      <c r="V182" s="249">
        <f t="shared" si="241"/>
        <v>0</v>
      </c>
      <c r="W182" s="249">
        <f t="shared" si="241"/>
        <v>0</v>
      </c>
      <c r="X182" s="1242">
        <f t="shared" si="241"/>
        <v>0</v>
      </c>
      <c r="Y182" s="419">
        <f t="shared" si="241"/>
        <v>0</v>
      </c>
      <c r="Z182" s="249">
        <f t="shared" si="241"/>
        <v>0</v>
      </c>
      <c r="AA182" s="249">
        <f t="shared" si="241"/>
        <v>0</v>
      </c>
      <c r="AB182" s="249">
        <f t="shared" si="241"/>
        <v>0</v>
      </c>
      <c r="AC182" s="249">
        <f t="shared" si="241"/>
        <v>0</v>
      </c>
      <c r="AD182" s="249">
        <f t="shared" si="241"/>
        <v>0</v>
      </c>
      <c r="AE182" s="249">
        <f t="shared" si="241"/>
        <v>0</v>
      </c>
      <c r="AF182" s="249">
        <f t="shared" si="241"/>
        <v>0</v>
      </c>
      <c r="AG182" s="249">
        <f t="shared" si="241"/>
        <v>0</v>
      </c>
    </row>
    <row r="183" spans="1:179" ht="16" x14ac:dyDescent="0.4">
      <c r="C183" s="416" t="s">
        <v>303</v>
      </c>
      <c r="D183" s="416"/>
      <c r="E183" s="420"/>
      <c r="F183" s="478" t="e">
        <f t="shared" ref="F183:V183" si="242">((F$89-BL$89)/F$89)*100</f>
        <v>#DIV/0!</v>
      </c>
      <c r="G183" s="249" t="e">
        <f t="shared" si="242"/>
        <v>#DIV/0!</v>
      </c>
      <c r="H183" s="249" t="e">
        <f t="shared" si="242"/>
        <v>#DIV/0!</v>
      </c>
      <c r="I183" s="1242" t="e">
        <f t="shared" si="242"/>
        <v>#DIV/0!</v>
      </c>
      <c r="J183" s="419" t="e">
        <f t="shared" si="242"/>
        <v>#DIV/0!</v>
      </c>
      <c r="K183" s="243" t="e">
        <f t="shared" si="242"/>
        <v>#DIV/0!</v>
      </c>
      <c r="L183" s="243" t="e">
        <f t="shared" si="242"/>
        <v>#DIV/0!</v>
      </c>
      <c r="M183" s="249" t="e">
        <f t="shared" si="242"/>
        <v>#DIV/0!</v>
      </c>
      <c r="N183" s="249" t="e">
        <f t="shared" si="242"/>
        <v>#DIV/0!</v>
      </c>
      <c r="O183" s="249" t="e">
        <f t="shared" si="242"/>
        <v>#DIV/0!</v>
      </c>
      <c r="P183" s="249" t="e">
        <f t="shared" si="242"/>
        <v>#DIV/0!</v>
      </c>
      <c r="Q183" s="249" t="e">
        <f t="shared" si="242"/>
        <v>#DIV/0!</v>
      </c>
      <c r="R183" s="1242" t="e">
        <f t="shared" si="242"/>
        <v>#DIV/0!</v>
      </c>
      <c r="S183" s="419" t="e">
        <f t="shared" si="242"/>
        <v>#DIV/0!</v>
      </c>
      <c r="T183" s="249" t="e">
        <f t="shared" si="242"/>
        <v>#DIV/0!</v>
      </c>
      <c r="U183" s="249" t="e">
        <f t="shared" si="242"/>
        <v>#DIV/0!</v>
      </c>
      <c r="V183" s="249" t="e">
        <f t="shared" si="242"/>
        <v>#DIV/0!</v>
      </c>
      <c r="W183" s="249" t="e">
        <f t="shared" ref="W183:AG183" si="243">((W$89-CN$89)/W$89)*100</f>
        <v>#DIV/0!</v>
      </c>
      <c r="X183" s="1242" t="e">
        <f t="shared" si="243"/>
        <v>#DIV/0!</v>
      </c>
      <c r="Y183" s="419" t="e">
        <f t="shared" si="243"/>
        <v>#DIV/0!</v>
      </c>
      <c r="Z183" s="249" t="e">
        <f t="shared" si="243"/>
        <v>#DIV/0!</v>
      </c>
      <c r="AA183" s="249" t="e">
        <f t="shared" si="243"/>
        <v>#DIV/0!</v>
      </c>
      <c r="AB183" s="249" t="e">
        <f t="shared" si="243"/>
        <v>#DIV/0!</v>
      </c>
      <c r="AC183" s="249" t="e">
        <f t="shared" si="243"/>
        <v>#DIV/0!</v>
      </c>
      <c r="AD183" s="249" t="e">
        <f t="shared" si="243"/>
        <v>#DIV/0!</v>
      </c>
      <c r="AE183" s="249" t="e">
        <f t="shared" si="243"/>
        <v>#DIV/0!</v>
      </c>
      <c r="AF183" s="249" t="e">
        <f t="shared" si="243"/>
        <v>#DIV/0!</v>
      </c>
      <c r="AG183" s="249" t="e">
        <f t="shared" si="243"/>
        <v>#DIV/0!</v>
      </c>
    </row>
    <row r="184" spans="1:179" ht="16" x14ac:dyDescent="0.4">
      <c r="C184" s="416" t="s">
        <v>837</v>
      </c>
      <c r="D184" s="416"/>
      <c r="E184" s="420"/>
      <c r="F184" s="478" t="e">
        <f>F$183*F$89/100</f>
        <v>#DIV/0!</v>
      </c>
      <c r="G184" s="249" t="e">
        <f t="shared" ref="G184:U184" si="244">G$183*G$89/100</f>
        <v>#DIV/0!</v>
      </c>
      <c r="H184" s="249" t="e">
        <f t="shared" si="244"/>
        <v>#DIV/0!</v>
      </c>
      <c r="I184" s="1242" t="e">
        <f t="shared" si="244"/>
        <v>#DIV/0!</v>
      </c>
      <c r="J184" s="419" t="e">
        <f t="shared" si="244"/>
        <v>#DIV/0!</v>
      </c>
      <c r="K184" s="249" t="e">
        <f t="shared" si="244"/>
        <v>#DIV/0!</v>
      </c>
      <c r="L184" s="249" t="e">
        <f t="shared" si="244"/>
        <v>#DIV/0!</v>
      </c>
      <c r="M184" s="249" t="e">
        <f t="shared" si="244"/>
        <v>#DIV/0!</v>
      </c>
      <c r="N184" s="249" t="e">
        <f t="shared" si="244"/>
        <v>#DIV/0!</v>
      </c>
      <c r="O184" s="249" t="e">
        <f t="shared" si="244"/>
        <v>#DIV/0!</v>
      </c>
      <c r="P184" s="249" t="e">
        <f t="shared" si="244"/>
        <v>#DIV/0!</v>
      </c>
      <c r="Q184" s="249" t="e">
        <f t="shared" si="244"/>
        <v>#DIV/0!</v>
      </c>
      <c r="R184" s="1242" t="e">
        <f t="shared" si="244"/>
        <v>#DIV/0!</v>
      </c>
      <c r="S184" s="419" t="e">
        <f t="shared" si="244"/>
        <v>#DIV/0!</v>
      </c>
      <c r="T184" s="249" t="e">
        <f t="shared" si="244"/>
        <v>#DIV/0!</v>
      </c>
      <c r="U184" s="249" t="e">
        <f t="shared" si="244"/>
        <v>#DIV/0!</v>
      </c>
      <c r="V184" s="249"/>
      <c r="W184" s="249"/>
      <c r="X184" s="1242"/>
      <c r="Y184" s="419"/>
      <c r="Z184" s="249"/>
      <c r="AA184" s="249"/>
      <c r="AB184" s="249"/>
      <c r="AC184" s="249"/>
      <c r="AD184" s="249"/>
      <c r="AE184" s="249"/>
      <c r="AF184" s="249"/>
      <c r="AG184" s="249"/>
    </row>
    <row r="185" spans="1:179" s="224" customFormat="1" x14ac:dyDescent="0.35">
      <c r="C185" s="223"/>
      <c r="D185" s="223"/>
      <c r="E185" s="223"/>
      <c r="F185" s="294"/>
      <c r="G185" s="249"/>
      <c r="H185" s="249"/>
      <c r="I185" s="1242"/>
      <c r="J185" s="419"/>
      <c r="K185" s="249"/>
      <c r="L185" s="249"/>
      <c r="M185" s="249"/>
      <c r="N185" s="249"/>
      <c r="O185" s="249"/>
      <c r="P185" s="249"/>
      <c r="Q185" s="249"/>
      <c r="R185" s="1242"/>
      <c r="S185" s="419"/>
      <c r="T185" s="249"/>
      <c r="U185" s="249"/>
      <c r="V185" s="249"/>
      <c r="W185" s="249"/>
      <c r="X185" s="1242"/>
      <c r="Y185" s="419"/>
      <c r="Z185" s="249"/>
      <c r="AA185" s="249"/>
      <c r="AB185" s="249"/>
      <c r="AC185" s="249"/>
      <c r="AD185" s="249"/>
      <c r="AE185" s="249"/>
      <c r="AF185" s="249"/>
      <c r="AG185" s="249"/>
      <c r="AH185" s="323"/>
      <c r="AI185" s="232"/>
      <c r="AJ185" s="232"/>
      <c r="AK185" s="232"/>
      <c r="AL185" s="1236"/>
      <c r="AM185" s="643"/>
      <c r="AN185" s="232"/>
      <c r="AO185" s="232"/>
      <c r="AP185" s="232"/>
      <c r="AQ185" s="232"/>
      <c r="AR185" s="232"/>
      <c r="AS185" s="232"/>
      <c r="AT185" s="232"/>
      <c r="AU185" s="1236"/>
      <c r="AV185" s="643"/>
      <c r="AW185" s="232"/>
      <c r="AX185" s="232"/>
      <c r="AY185" s="232"/>
      <c r="AZ185" s="232"/>
      <c r="BA185" s="1236"/>
      <c r="BB185" s="643"/>
      <c r="BC185" s="232"/>
      <c r="BD185" s="232"/>
      <c r="BE185" s="232"/>
      <c r="BF185" s="232"/>
      <c r="BG185" s="232"/>
      <c r="BH185" s="232"/>
      <c r="BI185" s="232"/>
      <c r="BJ185" s="232"/>
      <c r="BK185" s="323"/>
      <c r="BL185" s="232"/>
      <c r="BM185" s="232"/>
      <c r="BN185" s="232"/>
      <c r="BO185" s="1236"/>
      <c r="BP185" s="643"/>
      <c r="BQ185" s="232"/>
      <c r="BR185" s="232"/>
      <c r="BS185" s="232"/>
      <c r="BT185" s="232"/>
      <c r="BU185" s="232"/>
      <c r="BV185" s="232"/>
      <c r="BW185" s="232"/>
      <c r="BX185" s="1236"/>
      <c r="BY185" s="643"/>
      <c r="BZ185" s="232"/>
      <c r="CA185" s="232"/>
      <c r="CB185" s="232"/>
      <c r="CC185" s="232"/>
      <c r="CD185" s="1236"/>
      <c r="CE185" s="643"/>
      <c r="CF185" s="232"/>
      <c r="CG185" s="232"/>
      <c r="CH185" s="232"/>
      <c r="CI185" s="232"/>
      <c r="CJ185" s="232"/>
      <c r="CK185" s="232"/>
      <c r="CL185" s="232"/>
      <c r="CM185" s="232"/>
      <c r="CN185" s="323"/>
      <c r="CO185" s="232"/>
      <c r="CP185" s="232"/>
      <c r="CQ185" s="232"/>
      <c r="CR185" s="1236"/>
      <c r="CS185" s="643"/>
      <c r="CT185" s="232"/>
      <c r="CU185" s="232"/>
      <c r="CV185" s="232"/>
      <c r="CW185" s="232"/>
      <c r="CX185" s="232"/>
      <c r="CY185" s="232"/>
      <c r="CZ185" s="232"/>
      <c r="DA185" s="1236"/>
      <c r="DB185" s="643"/>
      <c r="DC185" s="232"/>
      <c r="DD185" s="232"/>
      <c r="DE185" s="232"/>
      <c r="DF185" s="232"/>
      <c r="DG185" s="1236"/>
      <c r="DH185" s="643"/>
      <c r="DI185" s="232"/>
      <c r="DJ185" s="232"/>
      <c r="DK185" s="232"/>
      <c r="DL185" s="232"/>
      <c r="DM185" s="232"/>
      <c r="DN185" s="232"/>
      <c r="DO185" s="232"/>
      <c r="DP185" s="232"/>
      <c r="DQ185" s="323"/>
      <c r="DR185" s="238"/>
      <c r="DS185" s="232"/>
      <c r="DT185" s="232"/>
      <c r="DU185" s="232"/>
      <c r="DV185" s="1236"/>
      <c r="DW185" s="643"/>
      <c r="DX185" s="232"/>
      <c r="DY185" s="232"/>
      <c r="DZ185" s="232"/>
      <c r="EA185" s="232"/>
      <c r="EB185" s="232"/>
      <c r="EC185" s="232"/>
      <c r="ED185" s="232"/>
      <c r="EE185" s="1236"/>
      <c r="EF185" s="643"/>
      <c r="EG185" s="232"/>
      <c r="EH185" s="232"/>
      <c r="EI185" s="232"/>
      <c r="EJ185" s="232"/>
      <c r="EK185" s="1236"/>
      <c r="EL185" s="643"/>
      <c r="EM185" s="232"/>
      <c r="EN185" s="232"/>
      <c r="EO185" s="232"/>
      <c r="EP185" s="232"/>
      <c r="EQ185" s="232"/>
      <c r="ER185" s="232"/>
      <c r="ES185" s="232"/>
      <c r="ET185" s="232"/>
      <c r="EU185" s="323"/>
      <c r="EV185" s="232"/>
      <c r="EW185" s="232"/>
      <c r="EX185" s="232"/>
      <c r="EY185" s="1236"/>
      <c r="EZ185" s="643"/>
      <c r="FA185" s="232"/>
      <c r="FB185" s="232"/>
      <c r="FC185" s="232"/>
      <c r="FD185" s="232"/>
      <c r="FE185" s="232"/>
      <c r="FF185" s="232"/>
      <c r="FG185" s="232"/>
      <c r="FH185" s="1236"/>
      <c r="FI185" s="643"/>
      <c r="FJ185" s="232"/>
      <c r="FK185" s="232"/>
      <c r="FL185" s="232"/>
      <c r="FM185" s="232"/>
      <c r="FN185" s="1236"/>
      <c r="FO185" s="643"/>
      <c r="FP185" s="232"/>
      <c r="FQ185" s="232"/>
      <c r="FR185" s="232"/>
      <c r="FS185" s="232"/>
      <c r="FT185" s="232"/>
      <c r="FU185" s="232"/>
      <c r="FV185" s="232"/>
      <c r="FW185" s="232"/>
    </row>
    <row r="186" spans="1:179" x14ac:dyDescent="0.35">
      <c r="C186" s="1" t="s">
        <v>302</v>
      </c>
      <c r="F186" s="1064" t="e">
        <f t="shared" ref="F186:V186" si="245">((F$92-(AI$92+BL$92+CO$92))/F$92)*100</f>
        <v>#DIV/0!</v>
      </c>
      <c r="G186" s="270" t="e">
        <f t="shared" si="245"/>
        <v>#DIV/0!</v>
      </c>
      <c r="H186" s="270" t="e">
        <f t="shared" si="245"/>
        <v>#DIV/0!</v>
      </c>
      <c r="I186" s="1283" t="e">
        <f t="shared" si="245"/>
        <v>#DIV/0!</v>
      </c>
      <c r="J186" s="1224" t="e">
        <f t="shared" si="245"/>
        <v>#DIV/0!</v>
      </c>
      <c r="K186" s="270" t="e">
        <f t="shared" si="245"/>
        <v>#DIV/0!</v>
      </c>
      <c r="L186" s="270" t="e">
        <f t="shared" si="245"/>
        <v>#DIV/0!</v>
      </c>
      <c r="M186" s="270" t="e">
        <f t="shared" si="245"/>
        <v>#DIV/0!</v>
      </c>
      <c r="N186" s="270" t="e">
        <f t="shared" si="245"/>
        <v>#DIV/0!</v>
      </c>
      <c r="O186" s="270" t="e">
        <f t="shared" si="245"/>
        <v>#DIV/0!</v>
      </c>
      <c r="P186" s="270" t="e">
        <f t="shared" si="245"/>
        <v>#DIV/0!</v>
      </c>
      <c r="Q186" s="270" t="e">
        <f t="shared" si="245"/>
        <v>#DIV/0!</v>
      </c>
      <c r="R186" s="1283" t="e">
        <f t="shared" si="245"/>
        <v>#DIV/0!</v>
      </c>
      <c r="S186" s="1224" t="e">
        <f t="shared" si="245"/>
        <v>#DIV/0!</v>
      </c>
      <c r="T186" s="270" t="e">
        <f t="shared" si="245"/>
        <v>#DIV/0!</v>
      </c>
      <c r="U186" s="270" t="e">
        <f t="shared" si="245"/>
        <v>#DIV/0!</v>
      </c>
      <c r="V186" s="249" t="e">
        <f t="shared" si="245"/>
        <v>#DIV/0!</v>
      </c>
      <c r="W186" s="249" t="e">
        <f t="shared" ref="W186:AG186" si="246">((W$92-(BK$92+CN$92+DQ$92))/W$92)*100</f>
        <v>#DIV/0!</v>
      </c>
      <c r="X186" s="1242" t="e">
        <f t="shared" si="246"/>
        <v>#DIV/0!</v>
      </c>
      <c r="Y186" s="419" t="e">
        <f t="shared" si="246"/>
        <v>#DIV/0!</v>
      </c>
      <c r="Z186" s="249" t="e">
        <f t="shared" si="246"/>
        <v>#DIV/0!</v>
      </c>
      <c r="AA186" s="249" t="e">
        <f t="shared" si="246"/>
        <v>#DIV/0!</v>
      </c>
      <c r="AB186" s="249" t="e">
        <f t="shared" si="246"/>
        <v>#DIV/0!</v>
      </c>
      <c r="AC186" s="249" t="e">
        <f t="shared" si="246"/>
        <v>#DIV/0!</v>
      </c>
      <c r="AD186" s="249" t="e">
        <f t="shared" si="246"/>
        <v>#DIV/0!</v>
      </c>
      <c r="AE186" s="249" t="e">
        <f t="shared" si="246"/>
        <v>#DIV/0!</v>
      </c>
      <c r="AF186" s="249" t="e">
        <f t="shared" si="246"/>
        <v>#DIV/0!</v>
      </c>
      <c r="AG186" s="249" t="e">
        <f t="shared" si="246"/>
        <v>#DIV/0!</v>
      </c>
      <c r="AM186" s="643" t="s">
        <v>157</v>
      </c>
      <c r="AN186" s="232" t="e">
        <f>AVERAGE(H186:I186)</f>
        <v>#DIV/0!</v>
      </c>
      <c r="AO186" s="232" t="e">
        <f>AVERAGE(M186:O186)</f>
        <v>#DIV/0!</v>
      </c>
      <c r="AP186" s="232" t="e">
        <f>AVERAGE(S186:U186)</f>
        <v>#DIV/0!</v>
      </c>
    </row>
    <row r="187" spans="1:179" ht="6.65" customHeight="1" thickBot="1" x14ac:dyDescent="0.4">
      <c r="C187" s="1" t="s">
        <v>214</v>
      </c>
      <c r="F187" s="1029">
        <v>72</v>
      </c>
      <c r="G187" s="232">
        <v>68</v>
      </c>
      <c r="H187" s="232">
        <v>66</v>
      </c>
      <c r="I187" s="1236">
        <v>65.599999999999994</v>
      </c>
      <c r="J187" s="643">
        <v>86</v>
      </c>
      <c r="K187" s="232">
        <v>87</v>
      </c>
      <c r="L187" s="232">
        <v>86</v>
      </c>
      <c r="M187" s="232">
        <v>85.5</v>
      </c>
      <c r="N187" s="232">
        <v>85</v>
      </c>
      <c r="O187" s="232">
        <v>84.6</v>
      </c>
      <c r="P187" s="232">
        <v>81</v>
      </c>
      <c r="Q187" s="232">
        <v>82</v>
      </c>
      <c r="R187" s="1236">
        <v>82.3</v>
      </c>
      <c r="S187" s="643">
        <v>83</v>
      </c>
      <c r="T187" s="232">
        <v>82.5</v>
      </c>
      <c r="U187" s="232">
        <v>82.1</v>
      </c>
      <c r="AN187" s="232">
        <f>AVERAGE(G187:H187)</f>
        <v>67</v>
      </c>
      <c r="AO187" s="232">
        <f>AVERAGE(N187:O187)</f>
        <v>84.8</v>
      </c>
      <c r="AP187" s="232">
        <f>AVERAGE(S187:U187)</f>
        <v>82.533333333333331</v>
      </c>
    </row>
    <row r="188" spans="1:179" s="377" customFormat="1" ht="15" thickTop="1" x14ac:dyDescent="0.35">
      <c r="C188" s="375"/>
      <c r="D188" s="375"/>
      <c r="E188" s="375"/>
      <c r="F188" s="501"/>
      <c r="G188" s="249"/>
      <c r="H188" s="249"/>
      <c r="I188" s="1242"/>
      <c r="J188" s="419"/>
      <c r="K188" s="249"/>
      <c r="L188" s="249"/>
      <c r="M188" s="249"/>
      <c r="N188" s="249"/>
      <c r="O188" s="249"/>
      <c r="P188" s="249"/>
      <c r="Q188" s="249"/>
      <c r="R188" s="1242"/>
      <c r="S188" s="419"/>
      <c r="T188" s="249"/>
      <c r="U188" s="249"/>
      <c r="V188" s="249"/>
      <c r="W188" s="249"/>
      <c r="X188" s="1242"/>
      <c r="Y188" s="419"/>
      <c r="Z188" s="249"/>
      <c r="AA188" s="249"/>
      <c r="AB188" s="249"/>
      <c r="AC188" s="249"/>
      <c r="AD188" s="249"/>
      <c r="AE188" s="249"/>
      <c r="AF188" s="249"/>
      <c r="AG188" s="249"/>
      <c r="AH188" s="323"/>
      <c r="AI188" s="232"/>
      <c r="AJ188" s="232"/>
      <c r="AK188" s="232"/>
      <c r="AL188" s="1236"/>
      <c r="AM188" s="643"/>
      <c r="AN188" s="916"/>
      <c r="AO188" s="916"/>
      <c r="AP188" s="916"/>
      <c r="AQ188" s="232"/>
      <c r="AR188" s="232"/>
      <c r="AS188" s="232"/>
      <c r="AT188" s="232"/>
      <c r="AU188" s="1236"/>
      <c r="AV188" s="643"/>
      <c r="AW188" s="232"/>
      <c r="AX188" s="232"/>
      <c r="AY188" s="232"/>
      <c r="AZ188" s="232"/>
      <c r="BA188" s="1236"/>
      <c r="BB188" s="643"/>
      <c r="BC188" s="232"/>
      <c r="BD188" s="232"/>
      <c r="BE188" s="232"/>
      <c r="BF188" s="232"/>
      <c r="BG188" s="232"/>
      <c r="BH188" s="232"/>
      <c r="BI188" s="232"/>
      <c r="BJ188" s="232"/>
      <c r="BK188" s="323"/>
      <c r="BL188" s="232"/>
      <c r="BM188" s="232"/>
      <c r="BN188" s="232"/>
      <c r="BO188" s="1236"/>
      <c r="BP188" s="643"/>
      <c r="BQ188" s="232"/>
      <c r="BR188" s="232"/>
      <c r="BS188" s="232"/>
      <c r="BT188" s="232"/>
      <c r="BU188" s="232"/>
      <c r="BV188" s="232"/>
      <c r="BW188" s="232"/>
      <c r="BX188" s="1236"/>
      <c r="BY188" s="643"/>
      <c r="BZ188" s="232"/>
      <c r="CA188" s="232"/>
      <c r="CB188" s="232"/>
      <c r="CC188" s="232"/>
      <c r="CD188" s="1236"/>
      <c r="CE188" s="643"/>
      <c r="CF188" s="232"/>
      <c r="CG188" s="232"/>
      <c r="CH188" s="232"/>
      <c r="CI188" s="232"/>
      <c r="CJ188" s="232"/>
      <c r="CK188" s="232"/>
      <c r="CL188" s="232"/>
      <c r="CM188" s="232"/>
      <c r="CN188" s="323"/>
      <c r="CO188" s="232"/>
      <c r="CP188" s="232"/>
      <c r="CQ188" s="232"/>
      <c r="CR188" s="1236"/>
      <c r="CS188" s="643"/>
      <c r="CT188" s="232"/>
      <c r="CU188" s="232"/>
      <c r="CV188" s="232"/>
      <c r="CW188" s="232"/>
      <c r="CX188" s="232"/>
      <c r="CY188" s="232"/>
      <c r="CZ188" s="232"/>
      <c r="DA188" s="1236"/>
      <c r="DB188" s="643"/>
      <c r="DC188" s="232"/>
      <c r="DD188" s="232"/>
      <c r="DE188" s="232"/>
      <c r="DF188" s="232"/>
      <c r="DG188" s="1236"/>
      <c r="DH188" s="643"/>
      <c r="DI188" s="232"/>
      <c r="DJ188" s="232"/>
      <c r="DK188" s="232"/>
      <c r="DL188" s="232"/>
      <c r="DM188" s="232"/>
      <c r="DN188" s="232"/>
      <c r="DO188" s="232"/>
      <c r="DP188" s="232"/>
      <c r="DQ188" s="323"/>
      <c r="DR188" s="238"/>
      <c r="DS188" s="232"/>
      <c r="DT188" s="232"/>
      <c r="DU188" s="232"/>
      <c r="DV188" s="1236"/>
      <c r="DW188" s="643"/>
      <c r="DX188" s="232"/>
      <c r="DY188" s="232"/>
      <c r="DZ188" s="232"/>
      <c r="EA188" s="232"/>
      <c r="EB188" s="232"/>
      <c r="EC188" s="232"/>
      <c r="ED188" s="232"/>
      <c r="EE188" s="1236"/>
      <c r="EF188" s="643"/>
      <c r="EG188" s="232"/>
      <c r="EH188" s="232"/>
      <c r="EI188" s="232"/>
      <c r="EJ188" s="232"/>
      <c r="EK188" s="1236"/>
      <c r="EL188" s="643"/>
      <c r="EM188" s="232"/>
      <c r="EN188" s="232"/>
      <c r="EO188" s="232"/>
      <c r="EP188" s="232"/>
      <c r="EQ188" s="232"/>
      <c r="ER188" s="232"/>
      <c r="ES188" s="232"/>
      <c r="ET188" s="232"/>
      <c r="EU188" s="323"/>
      <c r="EV188" s="232"/>
      <c r="EW188" s="232"/>
      <c r="EX188" s="232"/>
      <c r="EY188" s="1236"/>
      <c r="EZ188" s="643"/>
      <c r="FA188" s="232"/>
      <c r="FB188" s="232"/>
      <c r="FC188" s="232"/>
      <c r="FD188" s="232"/>
      <c r="FE188" s="232"/>
      <c r="FF188" s="232"/>
      <c r="FG188" s="232"/>
      <c r="FH188" s="1236"/>
      <c r="FI188" s="643"/>
      <c r="FJ188" s="232"/>
      <c r="FK188" s="232"/>
      <c r="FL188" s="232"/>
      <c r="FM188" s="232"/>
      <c r="FN188" s="1236"/>
      <c r="FO188" s="643"/>
      <c r="FP188" s="232"/>
      <c r="FQ188" s="232"/>
      <c r="FR188" s="232"/>
      <c r="FS188" s="232"/>
      <c r="FT188" s="232"/>
      <c r="FU188" s="232"/>
      <c r="FV188" s="232"/>
      <c r="FW188" s="232"/>
    </row>
    <row r="189" spans="1:179" x14ac:dyDescent="0.35">
      <c r="C189" s="444" t="s">
        <v>301</v>
      </c>
      <c r="D189" s="444"/>
      <c r="E189" s="444"/>
      <c r="F189" s="492" t="e">
        <f t="shared" ref="F189:V189" si="247">((F$93-(AI$93+BL$93+CO$93))/F$93)*100</f>
        <v>#DIV/0!</v>
      </c>
      <c r="G189" s="446" t="e">
        <f t="shared" si="247"/>
        <v>#DIV/0!</v>
      </c>
      <c r="H189" s="446" t="e">
        <f t="shared" si="247"/>
        <v>#DIV/0!</v>
      </c>
      <c r="I189" s="1242" t="e">
        <f t="shared" si="247"/>
        <v>#DIV/0!</v>
      </c>
      <c r="J189" s="419" t="e">
        <f t="shared" si="247"/>
        <v>#DIV/0!</v>
      </c>
      <c r="K189" s="249" t="e">
        <f t="shared" si="247"/>
        <v>#DIV/0!</v>
      </c>
      <c r="L189" s="249" t="e">
        <f t="shared" si="247"/>
        <v>#DIV/0!</v>
      </c>
      <c r="M189" s="249" t="e">
        <f t="shared" si="247"/>
        <v>#DIV/0!</v>
      </c>
      <c r="N189" s="249" t="e">
        <f t="shared" si="247"/>
        <v>#DIV/0!</v>
      </c>
      <c r="O189" s="249" t="e">
        <f t="shared" si="247"/>
        <v>#DIV/0!</v>
      </c>
      <c r="P189" s="249" t="e">
        <f t="shared" si="247"/>
        <v>#DIV/0!</v>
      </c>
      <c r="Q189" s="249" t="e">
        <f t="shared" si="247"/>
        <v>#DIV/0!</v>
      </c>
      <c r="R189" s="1242" t="e">
        <f t="shared" si="247"/>
        <v>#DIV/0!</v>
      </c>
      <c r="S189" s="419" t="e">
        <f t="shared" si="247"/>
        <v>#DIV/0!</v>
      </c>
      <c r="T189" s="249" t="e">
        <f t="shared" si="247"/>
        <v>#DIV/0!</v>
      </c>
      <c r="U189" s="249" t="e">
        <f t="shared" si="247"/>
        <v>#DIV/0!</v>
      </c>
      <c r="V189" s="232" t="e">
        <f t="shared" si="247"/>
        <v>#DIV/0!</v>
      </c>
      <c r="W189" s="232" t="e">
        <f t="shared" ref="W189:AG189" si="248">((W$93-(BK$93+CN$93+DQ$93))/W$93)*100</f>
        <v>#DIV/0!</v>
      </c>
      <c r="X189" s="1236" t="e">
        <f t="shared" si="248"/>
        <v>#DIV/0!</v>
      </c>
      <c r="Y189" s="643" t="e">
        <f t="shared" si="248"/>
        <v>#DIV/0!</v>
      </c>
      <c r="Z189" s="232" t="e">
        <f t="shared" si="248"/>
        <v>#DIV/0!</v>
      </c>
      <c r="AA189" s="232" t="e">
        <f t="shared" si="248"/>
        <v>#DIV/0!</v>
      </c>
      <c r="AB189" s="232" t="e">
        <f t="shared" si="248"/>
        <v>#DIV/0!</v>
      </c>
      <c r="AC189" s="232" t="e">
        <f t="shared" si="248"/>
        <v>#DIV/0!</v>
      </c>
      <c r="AD189" s="232" t="e">
        <f t="shared" si="248"/>
        <v>#DIV/0!</v>
      </c>
      <c r="AE189" s="232" t="e">
        <f t="shared" si="248"/>
        <v>#DIV/0!</v>
      </c>
      <c r="AF189" s="232" t="e">
        <f t="shared" si="248"/>
        <v>#DIV/0!</v>
      </c>
      <c r="AG189" s="232" t="e">
        <f t="shared" si="248"/>
        <v>#DIV/0!</v>
      </c>
      <c r="AN189" s="459"/>
      <c r="AO189" s="459"/>
      <c r="AP189" s="459"/>
    </row>
    <row r="190" spans="1:179" s="368" customFormat="1" ht="11.15" customHeight="1" thickBot="1" x14ac:dyDescent="0.4">
      <c r="C190" s="364" t="s">
        <v>285</v>
      </c>
      <c r="D190" s="364"/>
      <c r="E190" s="364"/>
      <c r="F190" s="501">
        <v>38</v>
      </c>
      <c r="G190" s="249">
        <v>31.5</v>
      </c>
      <c r="H190" s="249">
        <v>27.5</v>
      </c>
      <c r="I190" s="1242">
        <v>28.4</v>
      </c>
      <c r="J190" s="419">
        <v>55.5</v>
      </c>
      <c r="K190" s="249">
        <v>45</v>
      </c>
      <c r="L190" s="249">
        <v>43</v>
      </c>
      <c r="M190" s="249">
        <v>42.5</v>
      </c>
      <c r="N190" s="249">
        <v>41.5</v>
      </c>
      <c r="O190" s="249">
        <v>40.700000000000003</v>
      </c>
      <c r="P190" s="249">
        <v>39</v>
      </c>
      <c r="Q190" s="249">
        <v>38</v>
      </c>
      <c r="R190" s="1242">
        <v>41.5</v>
      </c>
      <c r="S190" s="419">
        <v>41</v>
      </c>
      <c r="T190" s="249">
        <v>40.5</v>
      </c>
      <c r="U190" s="249">
        <v>40.5</v>
      </c>
      <c r="V190" s="232"/>
      <c r="W190" s="232"/>
      <c r="X190" s="1236"/>
      <c r="Y190" s="643"/>
      <c r="Z190" s="232"/>
      <c r="AA190" s="232"/>
      <c r="AB190" s="232"/>
      <c r="AC190" s="232"/>
      <c r="AD190" s="232"/>
      <c r="AE190" s="232"/>
      <c r="AF190" s="232"/>
      <c r="AG190" s="232"/>
      <c r="AH190" s="323"/>
      <c r="AI190" s="232"/>
      <c r="AJ190" s="232"/>
      <c r="AK190" s="232"/>
      <c r="AL190" s="1236"/>
      <c r="AM190" s="643"/>
      <c r="AN190" s="232"/>
      <c r="AO190" s="232"/>
      <c r="AP190" s="232"/>
      <c r="AQ190" s="232"/>
      <c r="AR190" s="232"/>
      <c r="AS190" s="232"/>
      <c r="AT190" s="232"/>
      <c r="AU190" s="1236"/>
      <c r="AV190" s="643"/>
      <c r="AW190" s="232"/>
      <c r="AX190" s="232"/>
      <c r="AY190" s="232"/>
      <c r="AZ190" s="232"/>
      <c r="BA190" s="1236"/>
      <c r="BB190" s="643"/>
      <c r="BC190" s="232"/>
      <c r="BD190" s="232"/>
      <c r="BE190" s="232"/>
      <c r="BF190" s="232"/>
      <c r="BG190" s="232"/>
      <c r="BH190" s="232"/>
      <c r="BI190" s="232"/>
      <c r="BJ190" s="232"/>
      <c r="BK190" s="323"/>
      <c r="BL190" s="232"/>
      <c r="BM190" s="232"/>
      <c r="BN190" s="232"/>
      <c r="BO190" s="1236"/>
      <c r="BP190" s="643"/>
      <c r="BQ190" s="232"/>
      <c r="BR190" s="232"/>
      <c r="BS190" s="232"/>
      <c r="BT190" s="232"/>
      <c r="BU190" s="232"/>
      <c r="BV190" s="232"/>
      <c r="BW190" s="232"/>
      <c r="BX190" s="1236"/>
      <c r="BY190" s="643"/>
      <c r="BZ190" s="232"/>
      <c r="CA190" s="232"/>
      <c r="CB190" s="232"/>
      <c r="CC190" s="232"/>
      <c r="CD190" s="1236"/>
      <c r="CE190" s="643"/>
      <c r="CF190" s="232"/>
      <c r="CG190" s="232"/>
      <c r="CH190" s="232"/>
      <c r="CI190" s="232"/>
      <c r="CJ190" s="232"/>
      <c r="CK190" s="232"/>
      <c r="CL190" s="232"/>
      <c r="CM190" s="232"/>
      <c r="CN190" s="323"/>
      <c r="CO190" s="232"/>
      <c r="CP190" s="232"/>
      <c r="CQ190" s="232"/>
      <c r="CR190" s="1236"/>
      <c r="CS190" s="643"/>
      <c r="CT190" s="232"/>
      <c r="CU190" s="232"/>
      <c r="CV190" s="232"/>
      <c r="CW190" s="232"/>
      <c r="CX190" s="232"/>
      <c r="CY190" s="232"/>
      <c r="CZ190" s="232"/>
      <c r="DA190" s="1236"/>
      <c r="DB190" s="643"/>
      <c r="DC190" s="232"/>
      <c r="DD190" s="232"/>
      <c r="DE190" s="232"/>
      <c r="DF190" s="232"/>
      <c r="DG190" s="1236"/>
      <c r="DH190" s="643"/>
      <c r="DI190" s="232"/>
      <c r="DJ190" s="232"/>
      <c r="DK190" s="232"/>
      <c r="DL190" s="232"/>
      <c r="DM190" s="232"/>
      <c r="DN190" s="232"/>
      <c r="DO190" s="232"/>
      <c r="DP190" s="232"/>
      <c r="DQ190" s="323"/>
      <c r="DR190" s="238"/>
      <c r="DS190" s="232"/>
      <c r="DT190" s="232"/>
      <c r="DU190" s="232"/>
      <c r="DV190" s="1236"/>
      <c r="DW190" s="643"/>
      <c r="DX190" s="232"/>
      <c r="DY190" s="232"/>
      <c r="DZ190" s="232"/>
      <c r="EA190" s="232"/>
      <c r="EB190" s="232"/>
      <c r="EC190" s="232"/>
      <c r="ED190" s="232"/>
      <c r="EE190" s="1236"/>
      <c r="EF190" s="643"/>
      <c r="EG190" s="232"/>
      <c r="EH190" s="232"/>
      <c r="EI190" s="232"/>
      <c r="EJ190" s="232"/>
      <c r="EK190" s="1236"/>
      <c r="EL190" s="643"/>
      <c r="EM190" s="232"/>
      <c r="EN190" s="232"/>
      <c r="EO190" s="232"/>
      <c r="EP190" s="232"/>
      <c r="EQ190" s="232"/>
      <c r="ER190" s="232"/>
      <c r="ES190" s="232"/>
      <c r="ET190" s="232"/>
      <c r="EU190" s="323"/>
      <c r="EV190" s="232"/>
      <c r="EW190" s="232"/>
      <c r="EX190" s="232"/>
      <c r="EY190" s="1236"/>
      <c r="EZ190" s="643"/>
      <c r="FA190" s="232"/>
      <c r="FB190" s="232"/>
      <c r="FC190" s="232"/>
      <c r="FD190" s="232"/>
      <c r="FE190" s="232"/>
      <c r="FF190" s="232"/>
      <c r="FG190" s="232"/>
      <c r="FH190" s="1236"/>
      <c r="FI190" s="643"/>
      <c r="FJ190" s="232"/>
      <c r="FK190" s="232"/>
      <c r="FL190" s="232"/>
      <c r="FM190" s="232"/>
      <c r="FN190" s="1236"/>
      <c r="FO190" s="643"/>
      <c r="FP190" s="232"/>
      <c r="FQ190" s="232"/>
      <c r="FR190" s="232"/>
      <c r="FS190" s="232"/>
      <c r="FT190" s="232"/>
      <c r="FU190" s="232"/>
      <c r="FV190" s="232"/>
      <c r="FW190" s="232"/>
    </row>
    <row r="191" spans="1:179" ht="15" thickTop="1" x14ac:dyDescent="0.35">
      <c r="F191" s="603"/>
      <c r="G191" s="250"/>
      <c r="H191" s="250"/>
      <c r="I191" s="1280"/>
      <c r="J191" s="1223"/>
      <c r="K191" s="250"/>
      <c r="L191" s="250"/>
      <c r="M191" s="250"/>
      <c r="N191" s="250"/>
      <c r="O191" s="250"/>
      <c r="P191" s="250"/>
      <c r="Q191" s="250"/>
      <c r="R191" s="1280"/>
      <c r="S191" s="1223"/>
      <c r="T191" s="250"/>
      <c r="U191" s="250"/>
      <c r="V191" s="250"/>
      <c r="W191" s="250"/>
      <c r="X191" s="1280"/>
      <c r="Y191" s="1223"/>
      <c r="Z191" s="250"/>
      <c r="AA191" s="250"/>
      <c r="AB191" s="250"/>
      <c r="AC191" s="250"/>
      <c r="AD191" s="250"/>
      <c r="AE191" s="250"/>
      <c r="AF191" s="250"/>
      <c r="AG191" s="250"/>
    </row>
    <row r="192" spans="1:179" x14ac:dyDescent="0.35">
      <c r="C192" s="444" t="s">
        <v>300</v>
      </c>
      <c r="D192" s="444"/>
      <c r="E192" s="444"/>
      <c r="F192" s="492" t="e">
        <f t="shared" ref="F192:AG192" si="249">(F$186*F$92)/100</f>
        <v>#DIV/0!</v>
      </c>
      <c r="G192" s="446" t="e">
        <f t="shared" si="249"/>
        <v>#DIV/0!</v>
      </c>
      <c r="H192" s="446" t="e">
        <f t="shared" si="249"/>
        <v>#DIV/0!</v>
      </c>
      <c r="I192" s="1242" t="e">
        <f t="shared" si="249"/>
        <v>#DIV/0!</v>
      </c>
      <c r="J192" s="419" t="e">
        <f t="shared" si="249"/>
        <v>#DIV/0!</v>
      </c>
      <c r="K192" s="249" t="e">
        <f t="shared" si="249"/>
        <v>#DIV/0!</v>
      </c>
      <c r="L192" s="249" t="e">
        <f t="shared" si="249"/>
        <v>#DIV/0!</v>
      </c>
      <c r="M192" s="249" t="e">
        <f t="shared" si="249"/>
        <v>#DIV/0!</v>
      </c>
      <c r="N192" s="249" t="e">
        <f t="shared" si="249"/>
        <v>#DIV/0!</v>
      </c>
      <c r="O192" s="249" t="e">
        <f t="shared" si="249"/>
        <v>#DIV/0!</v>
      </c>
      <c r="P192" s="249" t="e">
        <f t="shared" si="249"/>
        <v>#DIV/0!</v>
      </c>
      <c r="Q192" s="249" t="e">
        <f t="shared" si="249"/>
        <v>#DIV/0!</v>
      </c>
      <c r="R192" s="1242" t="e">
        <f t="shared" si="249"/>
        <v>#DIV/0!</v>
      </c>
      <c r="S192" s="419" t="e">
        <f t="shared" si="249"/>
        <v>#DIV/0!</v>
      </c>
      <c r="T192" s="249" t="e">
        <f t="shared" si="249"/>
        <v>#DIV/0!</v>
      </c>
      <c r="U192" s="249" t="e">
        <f t="shared" si="249"/>
        <v>#DIV/0!</v>
      </c>
      <c r="V192" s="232" t="e">
        <f t="shared" si="249"/>
        <v>#DIV/0!</v>
      </c>
      <c r="W192" s="232" t="e">
        <f t="shared" si="249"/>
        <v>#DIV/0!</v>
      </c>
      <c r="X192" s="1236" t="e">
        <f t="shared" si="249"/>
        <v>#DIV/0!</v>
      </c>
      <c r="Y192" s="643" t="e">
        <f t="shared" si="249"/>
        <v>#DIV/0!</v>
      </c>
      <c r="Z192" s="232" t="e">
        <f t="shared" si="249"/>
        <v>#DIV/0!</v>
      </c>
      <c r="AA192" s="232" t="e">
        <f t="shared" si="249"/>
        <v>#DIV/0!</v>
      </c>
      <c r="AB192" s="232" t="e">
        <f t="shared" si="249"/>
        <v>#DIV/0!</v>
      </c>
      <c r="AC192" s="232" t="e">
        <f t="shared" si="249"/>
        <v>#DIV/0!</v>
      </c>
      <c r="AD192" s="232" t="e">
        <f t="shared" si="249"/>
        <v>#DIV/0!</v>
      </c>
      <c r="AE192" s="232" t="e">
        <f t="shared" si="249"/>
        <v>#DIV/0!</v>
      </c>
      <c r="AF192" s="232" t="e">
        <f t="shared" si="249"/>
        <v>#DIV/0!</v>
      </c>
      <c r="AG192" s="232" t="e">
        <f t="shared" si="249"/>
        <v>#DIV/0!</v>
      </c>
    </row>
    <row r="193" spans="1:179" ht="7.5" customHeight="1" x14ac:dyDescent="0.35">
      <c r="C193" s="1" t="s">
        <v>183</v>
      </c>
      <c r="F193" s="501" t="e">
        <f t="shared" ref="F193:AG193" si="250">F$192*$K$113/$G$113</f>
        <v>#DIV/0!</v>
      </c>
      <c r="G193" s="249" t="e">
        <f t="shared" si="250"/>
        <v>#DIV/0!</v>
      </c>
      <c r="H193" s="249" t="e">
        <f t="shared" si="250"/>
        <v>#DIV/0!</v>
      </c>
      <c r="I193" s="1242" t="e">
        <f t="shared" si="250"/>
        <v>#DIV/0!</v>
      </c>
      <c r="J193" s="419" t="e">
        <f t="shared" si="250"/>
        <v>#DIV/0!</v>
      </c>
      <c r="K193" s="249" t="e">
        <f t="shared" si="250"/>
        <v>#DIV/0!</v>
      </c>
      <c r="L193" s="249" t="e">
        <f t="shared" si="250"/>
        <v>#DIV/0!</v>
      </c>
      <c r="M193" s="249" t="e">
        <f t="shared" si="250"/>
        <v>#DIV/0!</v>
      </c>
      <c r="N193" s="249" t="e">
        <f t="shared" si="250"/>
        <v>#DIV/0!</v>
      </c>
      <c r="O193" s="249" t="e">
        <f t="shared" si="250"/>
        <v>#DIV/0!</v>
      </c>
      <c r="P193" s="249" t="e">
        <f t="shared" si="250"/>
        <v>#DIV/0!</v>
      </c>
      <c r="Q193" s="249" t="e">
        <f t="shared" si="250"/>
        <v>#DIV/0!</v>
      </c>
      <c r="R193" s="1242" t="e">
        <f t="shared" si="250"/>
        <v>#DIV/0!</v>
      </c>
      <c r="S193" s="419" t="e">
        <f t="shared" si="250"/>
        <v>#DIV/0!</v>
      </c>
      <c r="T193" s="249" t="e">
        <f t="shared" si="250"/>
        <v>#DIV/0!</v>
      </c>
      <c r="U193" s="249" t="e">
        <f t="shared" si="250"/>
        <v>#DIV/0!</v>
      </c>
      <c r="V193" s="232" t="e">
        <f t="shared" si="250"/>
        <v>#DIV/0!</v>
      </c>
      <c r="W193" s="232" t="e">
        <f t="shared" si="250"/>
        <v>#DIV/0!</v>
      </c>
      <c r="X193" s="1236" t="e">
        <f t="shared" si="250"/>
        <v>#DIV/0!</v>
      </c>
      <c r="Y193" s="643" t="e">
        <f t="shared" si="250"/>
        <v>#DIV/0!</v>
      </c>
      <c r="Z193" s="232" t="e">
        <f t="shared" si="250"/>
        <v>#DIV/0!</v>
      </c>
      <c r="AA193" s="232" t="e">
        <f t="shared" si="250"/>
        <v>#DIV/0!</v>
      </c>
      <c r="AB193" s="232" t="e">
        <f t="shared" si="250"/>
        <v>#DIV/0!</v>
      </c>
      <c r="AC193" s="232" t="e">
        <f t="shared" si="250"/>
        <v>#DIV/0!</v>
      </c>
      <c r="AD193" s="232" t="e">
        <f t="shared" si="250"/>
        <v>#DIV/0!</v>
      </c>
      <c r="AE193" s="232" t="e">
        <f t="shared" si="250"/>
        <v>#DIV/0!</v>
      </c>
      <c r="AF193" s="232" t="e">
        <f t="shared" si="250"/>
        <v>#DIV/0!</v>
      </c>
      <c r="AG193" s="232" t="e">
        <f t="shared" si="250"/>
        <v>#DIV/0!</v>
      </c>
    </row>
    <row r="194" spans="1:179" s="224" customFormat="1" x14ac:dyDescent="0.35">
      <c r="C194" s="223" t="s">
        <v>216</v>
      </c>
      <c r="D194" s="223"/>
      <c r="E194" s="223"/>
      <c r="F194" s="604" t="e">
        <f t="shared" ref="F194:AG194" si="251">$I$113/$K$113*F$193</f>
        <v>#DIV/0!</v>
      </c>
      <c r="G194" s="251" t="e">
        <f t="shared" si="251"/>
        <v>#DIV/0!</v>
      </c>
      <c r="H194" s="249" t="e">
        <f t="shared" si="251"/>
        <v>#DIV/0!</v>
      </c>
      <c r="I194" s="1242" t="e">
        <f t="shared" si="251"/>
        <v>#DIV/0!</v>
      </c>
      <c r="J194" s="1212" t="e">
        <f t="shared" si="251"/>
        <v>#DIV/0!</v>
      </c>
      <c r="K194" s="251" t="e">
        <f t="shared" si="251"/>
        <v>#DIV/0!</v>
      </c>
      <c r="L194" s="251" t="e">
        <f t="shared" si="251"/>
        <v>#DIV/0!</v>
      </c>
      <c r="M194" s="251" t="e">
        <f t="shared" si="251"/>
        <v>#DIV/0!</v>
      </c>
      <c r="N194" s="251" t="e">
        <f t="shared" si="251"/>
        <v>#DIV/0!</v>
      </c>
      <c r="O194" s="251" t="e">
        <f t="shared" si="251"/>
        <v>#DIV/0!</v>
      </c>
      <c r="P194" s="251" t="e">
        <f t="shared" si="251"/>
        <v>#DIV/0!</v>
      </c>
      <c r="Q194" s="251" t="e">
        <f t="shared" si="251"/>
        <v>#DIV/0!</v>
      </c>
      <c r="R194" s="1267" t="e">
        <f t="shared" si="251"/>
        <v>#DIV/0!</v>
      </c>
      <c r="S194" s="1212" t="e">
        <f t="shared" si="251"/>
        <v>#DIV/0!</v>
      </c>
      <c r="T194" s="251" t="e">
        <f t="shared" si="251"/>
        <v>#DIV/0!</v>
      </c>
      <c r="U194" s="251" t="e">
        <f t="shared" si="251"/>
        <v>#DIV/0!</v>
      </c>
      <c r="V194" s="251" t="e">
        <f t="shared" si="251"/>
        <v>#DIV/0!</v>
      </c>
      <c r="W194" s="251" t="e">
        <f t="shared" si="251"/>
        <v>#DIV/0!</v>
      </c>
      <c r="X194" s="1267" t="e">
        <f t="shared" si="251"/>
        <v>#DIV/0!</v>
      </c>
      <c r="Y194" s="1212" t="e">
        <f t="shared" si="251"/>
        <v>#DIV/0!</v>
      </c>
      <c r="Z194" s="251" t="e">
        <f t="shared" si="251"/>
        <v>#DIV/0!</v>
      </c>
      <c r="AA194" s="251" t="e">
        <f t="shared" si="251"/>
        <v>#DIV/0!</v>
      </c>
      <c r="AB194" s="251" t="e">
        <f t="shared" si="251"/>
        <v>#DIV/0!</v>
      </c>
      <c r="AC194" s="251" t="e">
        <f t="shared" si="251"/>
        <v>#DIV/0!</v>
      </c>
      <c r="AD194" s="251" t="e">
        <f t="shared" si="251"/>
        <v>#DIV/0!</v>
      </c>
      <c r="AE194" s="251" t="e">
        <f t="shared" si="251"/>
        <v>#DIV/0!</v>
      </c>
      <c r="AF194" s="251" t="e">
        <f t="shared" si="251"/>
        <v>#DIV/0!</v>
      </c>
      <c r="AG194" s="251" t="e">
        <f t="shared" si="251"/>
        <v>#DIV/0!</v>
      </c>
      <c r="AH194" s="323"/>
      <c r="AI194" s="232"/>
      <c r="AJ194" s="232"/>
      <c r="AK194" s="232"/>
      <c r="AL194" s="1236"/>
      <c r="AM194" s="643"/>
      <c r="AN194" s="232"/>
      <c r="AO194" s="232"/>
      <c r="AP194" s="232"/>
      <c r="AQ194" s="232"/>
      <c r="AR194" s="232"/>
      <c r="AS194" s="232"/>
      <c r="AT194" s="232"/>
      <c r="AU194" s="1236"/>
      <c r="AV194" s="643"/>
      <c r="AW194" s="232"/>
      <c r="AX194" s="232"/>
      <c r="AY194" s="232"/>
      <c r="AZ194" s="232"/>
      <c r="BA194" s="1236"/>
      <c r="BB194" s="643"/>
      <c r="BC194" s="232"/>
      <c r="BD194" s="232"/>
      <c r="BE194" s="232"/>
      <c r="BF194" s="232"/>
      <c r="BG194" s="232"/>
      <c r="BH194" s="232"/>
      <c r="BI194" s="232"/>
      <c r="BJ194" s="232"/>
      <c r="BK194" s="323"/>
      <c r="BL194" s="232"/>
      <c r="BM194" s="232"/>
      <c r="BN194" s="232"/>
      <c r="BO194" s="1236"/>
      <c r="BP194" s="643"/>
      <c r="BQ194" s="232"/>
      <c r="BR194" s="232"/>
      <c r="BS194" s="232"/>
      <c r="BT194" s="232"/>
      <c r="BU194" s="232"/>
      <c r="BV194" s="232"/>
      <c r="BW194" s="232"/>
      <c r="BX194" s="1236"/>
      <c r="BY194" s="643"/>
      <c r="BZ194" s="232"/>
      <c r="CA194" s="232"/>
      <c r="CB194" s="232"/>
      <c r="CC194" s="232"/>
      <c r="CD194" s="1236"/>
      <c r="CE194" s="643"/>
      <c r="CF194" s="232"/>
      <c r="CG194" s="232"/>
      <c r="CH194" s="232"/>
      <c r="CI194" s="232"/>
      <c r="CJ194" s="232"/>
      <c r="CK194" s="232"/>
      <c r="CL194" s="232"/>
      <c r="CM194" s="232"/>
      <c r="CN194" s="323"/>
      <c r="CO194" s="232"/>
      <c r="CP194" s="232"/>
      <c r="CQ194" s="232"/>
      <c r="CR194" s="1236"/>
      <c r="CS194" s="643"/>
      <c r="CT194" s="232"/>
      <c r="CU194" s="232"/>
      <c r="CV194" s="232"/>
      <c r="CW194" s="232"/>
      <c r="CX194" s="232"/>
      <c r="CY194" s="232"/>
      <c r="CZ194" s="232"/>
      <c r="DA194" s="1236"/>
      <c r="DB194" s="643"/>
      <c r="DC194" s="232"/>
      <c r="DD194" s="232"/>
      <c r="DE194" s="232"/>
      <c r="DF194" s="232"/>
      <c r="DG194" s="1236"/>
      <c r="DH194" s="643"/>
      <c r="DI194" s="232"/>
      <c r="DJ194" s="232"/>
      <c r="DK194" s="232"/>
      <c r="DL194" s="232"/>
      <c r="DM194" s="232"/>
      <c r="DN194" s="232"/>
      <c r="DO194" s="232"/>
      <c r="DP194" s="232"/>
      <c r="DQ194" s="323"/>
      <c r="DR194" s="238"/>
      <c r="DS194" s="232"/>
      <c r="DT194" s="232"/>
      <c r="DU194" s="232"/>
      <c r="DV194" s="1236"/>
      <c r="DW194" s="643"/>
      <c r="DX194" s="232"/>
      <c r="DY194" s="232"/>
      <c r="DZ194" s="232"/>
      <c r="EA194" s="232"/>
      <c r="EB194" s="232"/>
      <c r="EC194" s="232"/>
      <c r="ED194" s="232"/>
      <c r="EE194" s="1236"/>
      <c r="EF194" s="643"/>
      <c r="EG194" s="232"/>
      <c r="EH194" s="232"/>
      <c r="EI194" s="232"/>
      <c r="EJ194" s="232"/>
      <c r="EK194" s="1236"/>
      <c r="EL194" s="643"/>
      <c r="EM194" s="232"/>
      <c r="EN194" s="232"/>
      <c r="EO194" s="232"/>
      <c r="EP194" s="232"/>
      <c r="EQ194" s="232"/>
      <c r="ER194" s="232"/>
      <c r="ES194" s="232"/>
      <c r="ET194" s="232"/>
      <c r="EU194" s="323"/>
      <c r="EV194" s="232"/>
      <c r="EW194" s="232"/>
      <c r="EX194" s="232"/>
      <c r="EY194" s="1236"/>
      <c r="EZ194" s="643"/>
      <c r="FA194" s="232"/>
      <c r="FB194" s="232"/>
      <c r="FC194" s="232"/>
      <c r="FD194" s="232"/>
      <c r="FE194" s="232"/>
      <c r="FF194" s="232"/>
      <c r="FG194" s="232"/>
      <c r="FH194" s="1236"/>
      <c r="FI194" s="643"/>
      <c r="FJ194" s="232"/>
      <c r="FK194" s="232"/>
      <c r="FL194" s="232"/>
      <c r="FM194" s="232"/>
      <c r="FN194" s="1236"/>
      <c r="FO194" s="643"/>
      <c r="FP194" s="232"/>
      <c r="FQ194" s="232"/>
      <c r="FR194" s="232"/>
      <c r="FS194" s="232"/>
      <c r="FT194" s="232"/>
      <c r="FU194" s="232"/>
      <c r="FV194" s="232"/>
      <c r="FW194" s="232"/>
    </row>
    <row r="195" spans="1:179" x14ac:dyDescent="0.35">
      <c r="C195" s="1" t="s">
        <v>205</v>
      </c>
      <c r="F195" s="604" t="e">
        <f t="shared" ref="F195:AG195" si="252">(F$189*F$93)/100</f>
        <v>#DIV/0!</v>
      </c>
      <c r="G195" s="251" t="e">
        <f t="shared" si="252"/>
        <v>#DIV/0!</v>
      </c>
      <c r="H195" s="249" t="e">
        <f t="shared" si="252"/>
        <v>#DIV/0!</v>
      </c>
      <c r="I195" s="1242" t="e">
        <f t="shared" si="252"/>
        <v>#DIV/0!</v>
      </c>
      <c r="J195" s="1212" t="e">
        <f t="shared" si="252"/>
        <v>#DIV/0!</v>
      </c>
      <c r="K195" s="251" t="e">
        <f t="shared" si="252"/>
        <v>#DIV/0!</v>
      </c>
      <c r="L195" s="251" t="e">
        <f t="shared" si="252"/>
        <v>#DIV/0!</v>
      </c>
      <c r="M195" s="251" t="e">
        <f t="shared" si="252"/>
        <v>#DIV/0!</v>
      </c>
      <c r="N195" s="251" t="e">
        <f t="shared" si="252"/>
        <v>#DIV/0!</v>
      </c>
      <c r="O195" s="251" t="e">
        <f t="shared" si="252"/>
        <v>#DIV/0!</v>
      </c>
      <c r="P195" s="251" t="e">
        <f t="shared" si="252"/>
        <v>#DIV/0!</v>
      </c>
      <c r="Q195" s="251" t="e">
        <f t="shared" si="252"/>
        <v>#DIV/0!</v>
      </c>
      <c r="R195" s="1267" t="e">
        <f t="shared" si="252"/>
        <v>#DIV/0!</v>
      </c>
      <c r="S195" s="1212" t="e">
        <f t="shared" si="252"/>
        <v>#DIV/0!</v>
      </c>
      <c r="T195" s="251" t="e">
        <f t="shared" si="252"/>
        <v>#DIV/0!</v>
      </c>
      <c r="U195" s="251" t="e">
        <f t="shared" si="252"/>
        <v>#DIV/0!</v>
      </c>
      <c r="V195" s="251" t="e">
        <f t="shared" si="252"/>
        <v>#DIV/0!</v>
      </c>
      <c r="W195" s="251" t="e">
        <f t="shared" si="252"/>
        <v>#DIV/0!</v>
      </c>
      <c r="X195" s="1267" t="e">
        <f t="shared" si="252"/>
        <v>#DIV/0!</v>
      </c>
      <c r="Y195" s="1212" t="e">
        <f t="shared" si="252"/>
        <v>#DIV/0!</v>
      </c>
      <c r="Z195" s="251" t="e">
        <f t="shared" si="252"/>
        <v>#DIV/0!</v>
      </c>
      <c r="AA195" s="251" t="e">
        <f t="shared" si="252"/>
        <v>#DIV/0!</v>
      </c>
      <c r="AB195" s="251" t="e">
        <f t="shared" si="252"/>
        <v>#DIV/0!</v>
      </c>
      <c r="AC195" s="251" t="e">
        <f t="shared" si="252"/>
        <v>#DIV/0!</v>
      </c>
      <c r="AD195" s="251" t="e">
        <f t="shared" si="252"/>
        <v>#DIV/0!</v>
      </c>
      <c r="AE195" s="251" t="e">
        <f t="shared" si="252"/>
        <v>#DIV/0!</v>
      </c>
      <c r="AF195" s="251" t="e">
        <f t="shared" si="252"/>
        <v>#DIV/0!</v>
      </c>
      <c r="AG195" s="251" t="e">
        <f t="shared" si="252"/>
        <v>#DIV/0!</v>
      </c>
    </row>
    <row r="196" spans="1:179" x14ac:dyDescent="0.35">
      <c r="C196" s="1" t="s">
        <v>184</v>
      </c>
      <c r="F196" s="604" t="e">
        <f t="shared" ref="F196:AG196" si="253">F$195*$K$114/$G$114</f>
        <v>#DIV/0!</v>
      </c>
      <c r="G196" s="251" t="e">
        <f t="shared" si="253"/>
        <v>#DIV/0!</v>
      </c>
      <c r="H196" s="251" t="e">
        <f t="shared" si="253"/>
        <v>#DIV/0!</v>
      </c>
      <c r="I196" s="1267" t="e">
        <f t="shared" si="253"/>
        <v>#DIV/0!</v>
      </c>
      <c r="J196" s="1212" t="e">
        <f t="shared" si="253"/>
        <v>#DIV/0!</v>
      </c>
      <c r="K196" s="251" t="e">
        <f t="shared" si="253"/>
        <v>#DIV/0!</v>
      </c>
      <c r="L196" s="251" t="e">
        <f t="shared" si="253"/>
        <v>#DIV/0!</v>
      </c>
      <c r="M196" s="251" t="e">
        <f t="shared" si="253"/>
        <v>#DIV/0!</v>
      </c>
      <c r="N196" s="251" t="e">
        <f t="shared" si="253"/>
        <v>#DIV/0!</v>
      </c>
      <c r="O196" s="251" t="e">
        <f t="shared" si="253"/>
        <v>#DIV/0!</v>
      </c>
      <c r="P196" s="251" t="e">
        <f t="shared" si="253"/>
        <v>#DIV/0!</v>
      </c>
      <c r="Q196" s="251" t="e">
        <f t="shared" si="253"/>
        <v>#DIV/0!</v>
      </c>
      <c r="R196" s="1267" t="e">
        <f t="shared" si="253"/>
        <v>#DIV/0!</v>
      </c>
      <c r="S196" s="1212" t="e">
        <f t="shared" si="253"/>
        <v>#DIV/0!</v>
      </c>
      <c r="T196" s="251" t="e">
        <f t="shared" si="253"/>
        <v>#DIV/0!</v>
      </c>
      <c r="U196" s="251" t="e">
        <f t="shared" si="253"/>
        <v>#DIV/0!</v>
      </c>
      <c r="V196" s="251" t="e">
        <f t="shared" si="253"/>
        <v>#DIV/0!</v>
      </c>
      <c r="W196" s="251" t="e">
        <f t="shared" si="253"/>
        <v>#DIV/0!</v>
      </c>
      <c r="X196" s="1267" t="e">
        <f t="shared" si="253"/>
        <v>#DIV/0!</v>
      </c>
      <c r="Y196" s="1212" t="e">
        <f t="shared" si="253"/>
        <v>#DIV/0!</v>
      </c>
      <c r="Z196" s="251" t="e">
        <f t="shared" si="253"/>
        <v>#DIV/0!</v>
      </c>
      <c r="AA196" s="251" t="e">
        <f t="shared" si="253"/>
        <v>#DIV/0!</v>
      </c>
      <c r="AB196" s="251" t="e">
        <f t="shared" si="253"/>
        <v>#DIV/0!</v>
      </c>
      <c r="AC196" s="251" t="e">
        <f t="shared" si="253"/>
        <v>#DIV/0!</v>
      </c>
      <c r="AD196" s="251" t="e">
        <f t="shared" si="253"/>
        <v>#DIV/0!</v>
      </c>
      <c r="AE196" s="251" t="e">
        <f t="shared" si="253"/>
        <v>#DIV/0!</v>
      </c>
      <c r="AF196" s="251" t="e">
        <f t="shared" si="253"/>
        <v>#DIV/0!</v>
      </c>
      <c r="AG196" s="251" t="e">
        <f t="shared" si="253"/>
        <v>#DIV/0!</v>
      </c>
    </row>
    <row r="197" spans="1:179" x14ac:dyDescent="0.35">
      <c r="C197" s="1" t="s">
        <v>217</v>
      </c>
      <c r="F197" s="604" t="e">
        <f t="shared" ref="F197:AG197" si="254">$I$114/$K$114*F$196</f>
        <v>#DIV/0!</v>
      </c>
      <c r="G197" s="251" t="e">
        <f t="shared" si="254"/>
        <v>#DIV/0!</v>
      </c>
      <c r="H197" s="251" t="e">
        <f t="shared" si="254"/>
        <v>#DIV/0!</v>
      </c>
      <c r="I197" s="1267" t="e">
        <f t="shared" si="254"/>
        <v>#DIV/0!</v>
      </c>
      <c r="J197" s="1212" t="e">
        <f t="shared" si="254"/>
        <v>#DIV/0!</v>
      </c>
      <c r="K197" s="251" t="e">
        <f t="shared" si="254"/>
        <v>#DIV/0!</v>
      </c>
      <c r="L197" s="251" t="e">
        <f t="shared" si="254"/>
        <v>#DIV/0!</v>
      </c>
      <c r="M197" s="251" t="e">
        <f t="shared" si="254"/>
        <v>#DIV/0!</v>
      </c>
      <c r="N197" s="251" t="e">
        <f t="shared" si="254"/>
        <v>#DIV/0!</v>
      </c>
      <c r="O197" s="251" t="e">
        <f t="shared" si="254"/>
        <v>#DIV/0!</v>
      </c>
      <c r="P197" s="251" t="e">
        <f t="shared" si="254"/>
        <v>#DIV/0!</v>
      </c>
      <c r="Q197" s="251" t="e">
        <f t="shared" si="254"/>
        <v>#DIV/0!</v>
      </c>
      <c r="R197" s="1267" t="e">
        <f t="shared" si="254"/>
        <v>#DIV/0!</v>
      </c>
      <c r="S197" s="1212" t="e">
        <f t="shared" si="254"/>
        <v>#DIV/0!</v>
      </c>
      <c r="T197" s="251" t="e">
        <f t="shared" si="254"/>
        <v>#DIV/0!</v>
      </c>
      <c r="U197" s="251" t="e">
        <f t="shared" si="254"/>
        <v>#DIV/0!</v>
      </c>
      <c r="V197" s="251" t="e">
        <f t="shared" si="254"/>
        <v>#DIV/0!</v>
      </c>
      <c r="W197" s="251" t="e">
        <f t="shared" si="254"/>
        <v>#DIV/0!</v>
      </c>
      <c r="X197" s="1267" t="e">
        <f t="shared" si="254"/>
        <v>#DIV/0!</v>
      </c>
      <c r="Y197" s="1212" t="e">
        <f t="shared" si="254"/>
        <v>#DIV/0!</v>
      </c>
      <c r="Z197" s="251" t="e">
        <f t="shared" si="254"/>
        <v>#DIV/0!</v>
      </c>
      <c r="AA197" s="251" t="e">
        <f t="shared" si="254"/>
        <v>#DIV/0!</v>
      </c>
      <c r="AB197" s="251" t="e">
        <f t="shared" si="254"/>
        <v>#DIV/0!</v>
      </c>
      <c r="AC197" s="251" t="e">
        <f t="shared" si="254"/>
        <v>#DIV/0!</v>
      </c>
      <c r="AD197" s="251" t="e">
        <f t="shared" si="254"/>
        <v>#DIV/0!</v>
      </c>
      <c r="AE197" s="251" t="e">
        <f t="shared" si="254"/>
        <v>#DIV/0!</v>
      </c>
      <c r="AF197" s="251" t="e">
        <f t="shared" si="254"/>
        <v>#DIV/0!</v>
      </c>
      <c r="AG197" s="251" t="e">
        <f t="shared" si="254"/>
        <v>#DIV/0!</v>
      </c>
    </row>
    <row r="198" spans="1:179" x14ac:dyDescent="0.35">
      <c r="F198" s="604"/>
      <c r="G198" s="251"/>
      <c r="H198" s="251"/>
      <c r="I198" s="1267"/>
      <c r="J198" s="1212"/>
      <c r="K198" s="251"/>
      <c r="L198" s="251"/>
      <c r="M198" s="251"/>
      <c r="N198" s="251"/>
      <c r="O198" s="251"/>
      <c r="P198" s="251"/>
      <c r="Q198" s="251"/>
      <c r="R198" s="1267"/>
      <c r="S198" s="1212"/>
      <c r="T198" s="251"/>
      <c r="U198" s="251"/>
      <c r="V198" s="251"/>
      <c r="W198" s="251"/>
      <c r="X198" s="1267"/>
      <c r="Y198" s="1212"/>
      <c r="Z198" s="251"/>
      <c r="AA198" s="251"/>
      <c r="AB198" s="251"/>
      <c r="AC198" s="251"/>
      <c r="AD198" s="251"/>
      <c r="AE198" s="251"/>
      <c r="AF198" s="251"/>
      <c r="AG198" s="251"/>
    </row>
    <row r="199" spans="1:179" x14ac:dyDescent="0.35">
      <c r="C199" s="1" t="s">
        <v>322</v>
      </c>
      <c r="F199" s="604" t="e">
        <f t="shared" ref="F199:V199" si="255">100*(F$99-(AI$99+BL$99))/F$99</f>
        <v>#DIV/0!</v>
      </c>
      <c r="G199" s="251" t="e">
        <f t="shared" si="255"/>
        <v>#DIV/0!</v>
      </c>
      <c r="H199" s="251" t="e">
        <f t="shared" si="255"/>
        <v>#DIV/0!</v>
      </c>
      <c r="I199" s="1267" t="e">
        <f t="shared" si="255"/>
        <v>#DIV/0!</v>
      </c>
      <c r="J199" s="1212" t="e">
        <f t="shared" si="255"/>
        <v>#DIV/0!</v>
      </c>
      <c r="K199" s="251" t="e">
        <f t="shared" si="255"/>
        <v>#DIV/0!</v>
      </c>
      <c r="L199" s="251" t="e">
        <f t="shared" si="255"/>
        <v>#DIV/0!</v>
      </c>
      <c r="M199" s="251" t="e">
        <f t="shared" si="255"/>
        <v>#DIV/0!</v>
      </c>
      <c r="N199" s="251" t="e">
        <f t="shared" si="255"/>
        <v>#DIV/0!</v>
      </c>
      <c r="O199" s="251" t="e">
        <f t="shared" si="255"/>
        <v>#DIV/0!</v>
      </c>
      <c r="P199" s="251" t="e">
        <f t="shared" si="255"/>
        <v>#DIV/0!</v>
      </c>
      <c r="Q199" s="251" t="e">
        <f t="shared" si="255"/>
        <v>#DIV/0!</v>
      </c>
      <c r="R199" s="1267" t="e">
        <f t="shared" si="255"/>
        <v>#DIV/0!</v>
      </c>
      <c r="S199" s="1212" t="e">
        <f t="shared" si="255"/>
        <v>#DIV/0!</v>
      </c>
      <c r="T199" s="251" t="e">
        <f t="shared" si="255"/>
        <v>#DIV/0!</v>
      </c>
      <c r="U199" s="251" t="e">
        <f t="shared" si="255"/>
        <v>#DIV/0!</v>
      </c>
      <c r="V199" s="251" t="e">
        <f t="shared" si="255"/>
        <v>#DIV/0!</v>
      </c>
      <c r="W199" s="251" t="e">
        <f t="shared" ref="W199:AG199" si="256">100*(W$99-(BK$99+CN$99))/W$99</f>
        <v>#DIV/0!</v>
      </c>
      <c r="X199" s="1267" t="e">
        <f t="shared" si="256"/>
        <v>#DIV/0!</v>
      </c>
      <c r="Y199" s="1212" t="e">
        <f t="shared" si="256"/>
        <v>#DIV/0!</v>
      </c>
      <c r="Z199" s="251" t="e">
        <f t="shared" si="256"/>
        <v>#DIV/0!</v>
      </c>
      <c r="AA199" s="251" t="e">
        <f t="shared" si="256"/>
        <v>#DIV/0!</v>
      </c>
      <c r="AB199" s="251" t="e">
        <f t="shared" si="256"/>
        <v>#DIV/0!</v>
      </c>
      <c r="AC199" s="251" t="e">
        <f t="shared" si="256"/>
        <v>#DIV/0!</v>
      </c>
      <c r="AD199" s="251" t="e">
        <f t="shared" si="256"/>
        <v>#DIV/0!</v>
      </c>
      <c r="AE199" s="251" t="e">
        <f t="shared" si="256"/>
        <v>#DIV/0!</v>
      </c>
      <c r="AF199" s="251" t="e">
        <f t="shared" si="256"/>
        <v>#DIV/0!</v>
      </c>
      <c r="AG199" s="251" t="e">
        <f t="shared" si="256"/>
        <v>#DIV/0!</v>
      </c>
      <c r="AN199" s="232" t="e">
        <f>AVERAGE(H199:I199)</f>
        <v>#DIV/0!</v>
      </c>
      <c r="AO199" s="232" t="e">
        <f>AVERAGE(M199:O199)</f>
        <v>#DIV/0!</v>
      </c>
      <c r="AP199" s="232" t="e">
        <f>AVERAGE(R199:T199)</f>
        <v>#DIV/0!</v>
      </c>
    </row>
    <row r="200" spans="1:179" s="368" customFormat="1" ht="13.15" customHeight="1" thickBot="1" x14ac:dyDescent="0.4">
      <c r="C200" s="364" t="s">
        <v>213</v>
      </c>
      <c r="D200" s="364"/>
      <c r="E200" s="364"/>
      <c r="F200" s="1027">
        <v>56</v>
      </c>
      <c r="G200" s="365">
        <v>50</v>
      </c>
      <c r="H200" s="365">
        <v>49</v>
      </c>
      <c r="I200" s="1234">
        <v>48</v>
      </c>
      <c r="J200" s="1182">
        <v>70</v>
      </c>
      <c r="K200" s="365">
        <v>69</v>
      </c>
      <c r="L200" s="365">
        <v>66</v>
      </c>
      <c r="M200" s="365">
        <v>66.5</v>
      </c>
      <c r="N200" s="365">
        <v>65.5</v>
      </c>
      <c r="O200" s="365">
        <v>64.400000000000006</v>
      </c>
      <c r="P200" s="365">
        <v>61.5</v>
      </c>
      <c r="Q200" s="365">
        <v>58.5</v>
      </c>
      <c r="R200" s="1234">
        <v>60.5</v>
      </c>
      <c r="S200" s="1182">
        <v>61.8</v>
      </c>
      <c r="T200" s="365">
        <v>61</v>
      </c>
      <c r="U200" s="365">
        <v>62.1</v>
      </c>
      <c r="V200" s="365"/>
      <c r="W200" s="365"/>
      <c r="X200" s="1234"/>
      <c r="Y200" s="1182"/>
      <c r="Z200" s="365"/>
      <c r="AA200" s="365"/>
      <c r="AB200" s="365"/>
      <c r="AC200" s="365"/>
      <c r="AD200" s="365"/>
      <c r="AE200" s="365"/>
      <c r="AF200" s="365"/>
      <c r="AG200" s="365"/>
      <c r="AH200" s="323"/>
      <c r="AI200" s="232"/>
      <c r="AJ200" s="232"/>
      <c r="AK200" s="232"/>
      <c r="AL200" s="1236"/>
      <c r="AM200" s="643"/>
      <c r="AN200" s="232">
        <f>AVERAGE(H200:I200)</f>
        <v>48.5</v>
      </c>
      <c r="AO200" s="232">
        <f>AVERAGE(M200:O200)</f>
        <v>65.466666666666669</v>
      </c>
      <c r="AP200" s="232">
        <f>AVERAGE(R200:T200)</f>
        <v>61.1</v>
      </c>
      <c r="AQ200" s="232"/>
      <c r="AR200" s="232"/>
      <c r="AS200" s="232"/>
      <c r="AT200" s="232"/>
      <c r="AU200" s="1236"/>
      <c r="AV200" s="643"/>
      <c r="AW200" s="232"/>
      <c r="AX200" s="232"/>
      <c r="AY200" s="232"/>
      <c r="AZ200" s="232"/>
      <c r="BA200" s="1236"/>
      <c r="BB200" s="643"/>
      <c r="BC200" s="232"/>
      <c r="BD200" s="232"/>
      <c r="BE200" s="232"/>
      <c r="BF200" s="232"/>
      <c r="BG200" s="232"/>
      <c r="BH200" s="232"/>
      <c r="BI200" s="232"/>
      <c r="BJ200" s="232"/>
      <c r="BK200" s="323"/>
      <c r="BL200" s="232"/>
      <c r="BM200" s="232"/>
      <c r="BN200" s="232"/>
      <c r="BO200" s="1236"/>
      <c r="BP200" s="643"/>
      <c r="BQ200" s="232"/>
      <c r="BR200" s="232"/>
      <c r="BS200" s="232"/>
      <c r="BT200" s="232"/>
      <c r="BU200" s="232"/>
      <c r="BV200" s="232"/>
      <c r="BW200" s="232"/>
      <c r="BX200" s="1236"/>
      <c r="BY200" s="643"/>
      <c r="BZ200" s="232"/>
      <c r="CA200" s="232"/>
      <c r="CB200" s="232"/>
      <c r="CC200" s="232"/>
      <c r="CD200" s="1236"/>
      <c r="CE200" s="643"/>
      <c r="CF200" s="232"/>
      <c r="CG200" s="232"/>
      <c r="CH200" s="232"/>
      <c r="CI200" s="232"/>
      <c r="CJ200" s="232"/>
      <c r="CK200" s="232"/>
      <c r="CL200" s="232"/>
      <c r="CM200" s="232"/>
      <c r="CN200" s="323"/>
      <c r="CO200" s="232"/>
      <c r="CP200" s="232"/>
      <c r="CQ200" s="232"/>
      <c r="CR200" s="1236"/>
      <c r="CS200" s="643"/>
      <c r="CT200" s="232"/>
      <c r="CU200" s="232"/>
      <c r="CV200" s="232"/>
      <c r="CW200" s="232"/>
      <c r="CX200" s="232"/>
      <c r="CY200" s="232"/>
      <c r="CZ200" s="232"/>
      <c r="DA200" s="1236"/>
      <c r="DB200" s="643"/>
      <c r="DC200" s="232"/>
      <c r="DD200" s="232"/>
      <c r="DE200" s="232"/>
      <c r="DF200" s="232"/>
      <c r="DG200" s="1236"/>
      <c r="DH200" s="643"/>
      <c r="DI200" s="232"/>
      <c r="DJ200" s="232"/>
      <c r="DK200" s="232"/>
      <c r="DL200" s="232"/>
      <c r="DM200" s="232"/>
      <c r="DN200" s="232"/>
      <c r="DO200" s="232"/>
      <c r="DP200" s="232"/>
      <c r="DQ200" s="323"/>
      <c r="DR200" s="238"/>
      <c r="DS200" s="232"/>
      <c r="DT200" s="232"/>
      <c r="DU200" s="232"/>
      <c r="DV200" s="1236"/>
      <c r="DW200" s="643"/>
      <c r="DX200" s="232"/>
      <c r="DY200" s="232"/>
      <c r="DZ200" s="232"/>
      <c r="EA200" s="232"/>
      <c r="EB200" s="232"/>
      <c r="EC200" s="232"/>
      <c r="ED200" s="232"/>
      <c r="EE200" s="1236"/>
      <c r="EF200" s="643"/>
      <c r="EG200" s="232"/>
      <c r="EH200" s="232"/>
      <c r="EI200" s="232"/>
      <c r="EJ200" s="232"/>
      <c r="EK200" s="1236"/>
      <c r="EL200" s="643"/>
      <c r="EM200" s="232"/>
      <c r="EN200" s="232"/>
      <c r="EO200" s="232"/>
      <c r="EP200" s="232"/>
      <c r="EQ200" s="232"/>
      <c r="ER200" s="232"/>
      <c r="ES200" s="232"/>
      <c r="ET200" s="232"/>
      <c r="EU200" s="323"/>
      <c r="EV200" s="232"/>
      <c r="EW200" s="232"/>
      <c r="EX200" s="232"/>
      <c r="EY200" s="1236"/>
      <c r="EZ200" s="643"/>
      <c r="FA200" s="232"/>
      <c r="FB200" s="232"/>
      <c r="FC200" s="232"/>
      <c r="FD200" s="232"/>
      <c r="FE200" s="232"/>
      <c r="FF200" s="232"/>
      <c r="FG200" s="232"/>
      <c r="FH200" s="1236"/>
      <c r="FI200" s="643"/>
      <c r="FJ200" s="232"/>
      <c r="FK200" s="232"/>
      <c r="FL200" s="232"/>
      <c r="FM200" s="232"/>
      <c r="FN200" s="1236"/>
      <c r="FO200" s="643"/>
      <c r="FP200" s="232"/>
      <c r="FQ200" s="232"/>
      <c r="FR200" s="232"/>
      <c r="FS200" s="232"/>
      <c r="FT200" s="232"/>
      <c r="FU200" s="232"/>
      <c r="FV200" s="232"/>
      <c r="FW200" s="232"/>
    </row>
    <row r="201" spans="1:179" ht="15" thickTop="1" x14ac:dyDescent="0.35">
      <c r="C201" s="1">
        <v>0.05</v>
      </c>
      <c r="F201" s="1058">
        <f>F$200*5%</f>
        <v>2.8000000000000003</v>
      </c>
      <c r="G201" s="482">
        <f t="shared" ref="G201:U201" si="257">G$200*5%</f>
        <v>2.5</v>
      </c>
      <c r="H201" s="482">
        <f t="shared" si="257"/>
        <v>2.4500000000000002</v>
      </c>
      <c r="I201" s="1339">
        <f t="shared" si="257"/>
        <v>2.4000000000000004</v>
      </c>
      <c r="J201" s="1340">
        <f t="shared" si="257"/>
        <v>3.5</v>
      </c>
      <c r="K201" s="482">
        <f t="shared" si="257"/>
        <v>3.45</v>
      </c>
      <c r="L201" s="482">
        <f t="shared" si="257"/>
        <v>3.3000000000000003</v>
      </c>
      <c r="M201" s="482">
        <f t="shared" si="257"/>
        <v>3.3250000000000002</v>
      </c>
      <c r="N201" s="482">
        <f t="shared" si="257"/>
        <v>3.2750000000000004</v>
      </c>
      <c r="O201" s="482">
        <f t="shared" si="257"/>
        <v>3.2200000000000006</v>
      </c>
      <c r="P201" s="482">
        <f t="shared" si="257"/>
        <v>3.0750000000000002</v>
      </c>
      <c r="Q201" s="482">
        <f t="shared" si="257"/>
        <v>2.9250000000000003</v>
      </c>
      <c r="R201" s="1339">
        <f t="shared" si="257"/>
        <v>3.0250000000000004</v>
      </c>
      <c r="S201" s="1340">
        <f t="shared" si="257"/>
        <v>3.09</v>
      </c>
      <c r="T201" s="482">
        <f t="shared" si="257"/>
        <v>3.0500000000000003</v>
      </c>
      <c r="U201" s="482">
        <f t="shared" si="257"/>
        <v>3.1050000000000004</v>
      </c>
      <c r="V201" s="482"/>
      <c r="W201" s="482"/>
      <c r="X201" s="1339"/>
      <c r="Y201" s="1340"/>
      <c r="Z201" s="482"/>
      <c r="AA201" s="482"/>
      <c r="AB201" s="482"/>
      <c r="AC201" s="482"/>
      <c r="AD201" s="482"/>
      <c r="AE201" s="482"/>
      <c r="AF201" s="482"/>
      <c r="AG201" s="482"/>
      <c r="AN201" s="915"/>
      <c r="AO201" s="915"/>
      <c r="AP201" s="915"/>
      <c r="BL201" s="267"/>
    </row>
    <row r="202" spans="1:179" x14ac:dyDescent="0.35">
      <c r="C202" s="452">
        <v>0.05</v>
      </c>
      <c r="D202" s="452"/>
      <c r="E202" s="452"/>
      <c r="F202" s="1059">
        <f>F$200+F$201</f>
        <v>58.8</v>
      </c>
      <c r="G202" s="481">
        <f t="shared" ref="G202:U202" si="258">G$200+G$201</f>
        <v>52.5</v>
      </c>
      <c r="H202" s="481">
        <f t="shared" si="258"/>
        <v>51.45</v>
      </c>
      <c r="I202" s="1282">
        <f t="shared" si="258"/>
        <v>50.4</v>
      </c>
      <c r="J202" s="1225">
        <f t="shared" si="258"/>
        <v>73.5</v>
      </c>
      <c r="K202" s="243">
        <f t="shared" si="258"/>
        <v>72.45</v>
      </c>
      <c r="L202" s="243">
        <f t="shared" si="258"/>
        <v>69.3</v>
      </c>
      <c r="M202" s="243">
        <f t="shared" si="258"/>
        <v>69.825000000000003</v>
      </c>
      <c r="N202" s="243">
        <f t="shared" si="258"/>
        <v>68.775000000000006</v>
      </c>
      <c r="O202" s="243">
        <f t="shared" si="258"/>
        <v>67.62</v>
      </c>
      <c r="P202" s="243">
        <f t="shared" si="258"/>
        <v>64.575000000000003</v>
      </c>
      <c r="Q202" s="243">
        <f t="shared" si="258"/>
        <v>61.424999999999997</v>
      </c>
      <c r="R202" s="1282">
        <f t="shared" si="258"/>
        <v>63.524999999999999</v>
      </c>
      <c r="S202" s="1225">
        <f t="shared" si="258"/>
        <v>64.89</v>
      </c>
      <c r="T202" s="243">
        <f t="shared" si="258"/>
        <v>64.05</v>
      </c>
      <c r="U202" s="243">
        <f t="shared" si="258"/>
        <v>65.204999999999998</v>
      </c>
      <c r="AN202" s="479"/>
      <c r="AO202" s="479"/>
      <c r="AP202" s="479"/>
    </row>
    <row r="203" spans="1:179" x14ac:dyDescent="0.35">
      <c r="C203" s="169">
        <v>-0.05</v>
      </c>
      <c r="D203" s="169"/>
      <c r="E203" s="169"/>
      <c r="F203" s="605">
        <f>F$200-F$201</f>
        <v>53.2</v>
      </c>
      <c r="G203" s="244">
        <f t="shared" ref="G203:U203" si="259">G$200-G$201</f>
        <v>47.5</v>
      </c>
      <c r="H203" s="244">
        <f t="shared" si="259"/>
        <v>46.55</v>
      </c>
      <c r="I203" s="1237">
        <f t="shared" si="259"/>
        <v>45.6</v>
      </c>
      <c r="J203" s="606">
        <f t="shared" si="259"/>
        <v>66.5</v>
      </c>
      <c r="K203" s="244">
        <f t="shared" si="259"/>
        <v>65.55</v>
      </c>
      <c r="L203" s="244">
        <f t="shared" si="259"/>
        <v>62.7</v>
      </c>
      <c r="M203" s="244">
        <f t="shared" si="259"/>
        <v>63.174999999999997</v>
      </c>
      <c r="N203" s="244">
        <f t="shared" si="259"/>
        <v>62.225000000000001</v>
      </c>
      <c r="O203" s="244">
        <f t="shared" si="259"/>
        <v>61.180000000000007</v>
      </c>
      <c r="P203" s="244">
        <f t="shared" si="259"/>
        <v>58.424999999999997</v>
      </c>
      <c r="Q203" s="244">
        <f t="shared" si="259"/>
        <v>55.575000000000003</v>
      </c>
      <c r="R203" s="1237">
        <f t="shared" si="259"/>
        <v>57.475000000000001</v>
      </c>
      <c r="S203" s="606">
        <f t="shared" si="259"/>
        <v>58.709999999999994</v>
      </c>
      <c r="T203" s="244">
        <f t="shared" si="259"/>
        <v>57.95</v>
      </c>
      <c r="U203" s="244">
        <f t="shared" si="259"/>
        <v>58.995000000000005</v>
      </c>
    </row>
    <row r="204" spans="1:179" x14ac:dyDescent="0.35">
      <c r="C204" s="169"/>
      <c r="D204" s="169"/>
      <c r="E204" s="169"/>
      <c r="F204" s="605"/>
      <c r="G204" s="244"/>
      <c r="H204" s="244"/>
      <c r="I204" s="1237"/>
      <c r="J204" s="606"/>
      <c r="K204" s="244"/>
      <c r="L204" s="244"/>
      <c r="M204" s="244"/>
      <c r="N204" s="244"/>
      <c r="O204" s="244"/>
      <c r="P204" s="244"/>
      <c r="Q204" s="244"/>
      <c r="R204" s="1237"/>
      <c r="S204" s="606"/>
      <c r="T204" s="244"/>
      <c r="U204" s="244"/>
    </row>
    <row r="205" spans="1:179" x14ac:dyDescent="0.35">
      <c r="C205" s="169" t="s">
        <v>312</v>
      </c>
      <c r="D205" s="169"/>
      <c r="E205" s="169"/>
      <c r="F205" s="605" t="e">
        <f t="shared" ref="F205:V205" si="260">100*(F$97-(AI$97+BL$97))/F$97</f>
        <v>#DIV/0!</v>
      </c>
      <c r="G205" s="244" t="e">
        <f t="shared" si="260"/>
        <v>#DIV/0!</v>
      </c>
      <c r="H205" s="244" t="e">
        <f t="shared" si="260"/>
        <v>#DIV/0!</v>
      </c>
      <c r="I205" s="1237" t="e">
        <f t="shared" si="260"/>
        <v>#DIV/0!</v>
      </c>
      <c r="J205" s="606" t="e">
        <f t="shared" si="260"/>
        <v>#DIV/0!</v>
      </c>
      <c r="K205" s="244" t="e">
        <f t="shared" si="260"/>
        <v>#DIV/0!</v>
      </c>
      <c r="L205" s="244" t="e">
        <f t="shared" si="260"/>
        <v>#DIV/0!</v>
      </c>
      <c r="M205" s="244" t="e">
        <f t="shared" si="260"/>
        <v>#DIV/0!</v>
      </c>
      <c r="N205" s="244" t="e">
        <f t="shared" si="260"/>
        <v>#DIV/0!</v>
      </c>
      <c r="O205" s="244" t="e">
        <f t="shared" si="260"/>
        <v>#DIV/0!</v>
      </c>
      <c r="P205" s="244" t="e">
        <f t="shared" si="260"/>
        <v>#DIV/0!</v>
      </c>
      <c r="Q205" s="244" t="e">
        <f t="shared" si="260"/>
        <v>#DIV/0!</v>
      </c>
      <c r="R205" s="1237" t="e">
        <f t="shared" si="260"/>
        <v>#DIV/0!</v>
      </c>
      <c r="S205" s="606" t="e">
        <f t="shared" si="260"/>
        <v>#DIV/0!</v>
      </c>
      <c r="T205" s="244" t="e">
        <f t="shared" si="260"/>
        <v>#DIV/0!</v>
      </c>
      <c r="U205" s="244" t="e">
        <f t="shared" si="260"/>
        <v>#DIV/0!</v>
      </c>
      <c r="V205" s="232" t="e">
        <f t="shared" si="260"/>
        <v>#DIV/0!</v>
      </c>
      <c r="W205" s="232" t="e">
        <f t="shared" ref="W205:AG205" si="261">100*(W$97-(BK$97+CN$97))/W$97</f>
        <v>#DIV/0!</v>
      </c>
      <c r="X205" s="1236" t="e">
        <f t="shared" si="261"/>
        <v>#DIV/0!</v>
      </c>
      <c r="Y205" s="643" t="e">
        <f t="shared" si="261"/>
        <v>#DIV/0!</v>
      </c>
      <c r="Z205" s="232" t="e">
        <f t="shared" si="261"/>
        <v>#DIV/0!</v>
      </c>
      <c r="AA205" s="232" t="e">
        <f t="shared" si="261"/>
        <v>#DIV/0!</v>
      </c>
      <c r="AB205" s="232" t="e">
        <f t="shared" si="261"/>
        <v>#DIV/0!</v>
      </c>
      <c r="AC205" s="232" t="e">
        <f t="shared" si="261"/>
        <v>#DIV/0!</v>
      </c>
      <c r="AD205" s="232" t="e">
        <f t="shared" si="261"/>
        <v>#DIV/0!</v>
      </c>
      <c r="AE205" s="232" t="e">
        <f t="shared" si="261"/>
        <v>#DIV/0!</v>
      </c>
      <c r="AF205" s="232" t="e">
        <f t="shared" si="261"/>
        <v>#DIV/0!</v>
      </c>
      <c r="AG205" s="232" t="e">
        <f t="shared" si="261"/>
        <v>#DIV/0!</v>
      </c>
    </row>
    <row r="206" spans="1:179" ht="7.9" customHeight="1" thickBot="1" x14ac:dyDescent="0.4">
      <c r="A206" s="368"/>
      <c r="B206" s="368"/>
      <c r="C206" s="1341" t="s">
        <v>313</v>
      </c>
      <c r="D206" s="1341"/>
      <c r="E206" s="1341"/>
      <c r="F206" s="1027">
        <v>73.5</v>
      </c>
      <c r="G206" s="374">
        <v>66.5</v>
      </c>
      <c r="H206" s="374"/>
      <c r="I206" s="1244">
        <v>61.9</v>
      </c>
      <c r="J206" s="1191">
        <v>62.5</v>
      </c>
      <c r="K206" s="374">
        <v>86.5</v>
      </c>
      <c r="L206" s="374">
        <v>83</v>
      </c>
      <c r="M206" s="374">
        <v>81.5</v>
      </c>
      <c r="N206" s="374">
        <v>81</v>
      </c>
      <c r="O206" s="374">
        <v>80.400000000000006</v>
      </c>
      <c r="P206" s="374">
        <v>78</v>
      </c>
      <c r="Q206" s="374"/>
      <c r="R206" s="1244">
        <v>72.5</v>
      </c>
      <c r="S206" s="1191"/>
      <c r="T206" s="374">
        <v>71.2</v>
      </c>
      <c r="U206" s="374">
        <v>71.900000000000006</v>
      </c>
      <c r="V206" s="365"/>
      <c r="W206" s="365"/>
      <c r="X206" s="1234"/>
      <c r="Y206" s="1182"/>
      <c r="Z206" s="365"/>
      <c r="AA206" s="365"/>
      <c r="AB206" s="365"/>
      <c r="AC206" s="365"/>
      <c r="AD206" s="365"/>
      <c r="AE206" s="365"/>
      <c r="AF206" s="365"/>
      <c r="AG206" s="365"/>
    </row>
    <row r="207" spans="1:179" s="377" customFormat="1" ht="15" thickTop="1" x14ac:dyDescent="0.35">
      <c r="A207"/>
      <c r="B207"/>
      <c r="C207" s="169">
        <v>1.05</v>
      </c>
      <c r="D207" s="169"/>
      <c r="E207" s="169"/>
      <c r="F207" s="1033">
        <f>F206*C207</f>
        <v>77.174999999999997</v>
      </c>
      <c r="G207" s="309">
        <f>G$206*$C$207</f>
        <v>69.825000000000003</v>
      </c>
      <c r="H207" s="309">
        <f t="shared" ref="H207:U207" si="262">H$206*$C$207</f>
        <v>0</v>
      </c>
      <c r="I207" s="422">
        <f t="shared" si="262"/>
        <v>64.995000000000005</v>
      </c>
      <c r="J207" s="421">
        <f t="shared" si="262"/>
        <v>65.625</v>
      </c>
      <c r="K207" s="309">
        <f t="shared" si="262"/>
        <v>90.825000000000003</v>
      </c>
      <c r="L207" s="309">
        <f t="shared" si="262"/>
        <v>87.15</v>
      </c>
      <c r="M207" s="309">
        <f t="shared" si="262"/>
        <v>85.575000000000003</v>
      </c>
      <c r="N207" s="309">
        <f t="shared" si="262"/>
        <v>85.05</v>
      </c>
      <c r="O207" s="309">
        <f t="shared" si="262"/>
        <v>84.420000000000016</v>
      </c>
      <c r="P207" s="309">
        <f t="shared" si="262"/>
        <v>81.900000000000006</v>
      </c>
      <c r="Q207" s="309">
        <f t="shared" si="262"/>
        <v>0</v>
      </c>
      <c r="R207" s="422">
        <f t="shared" si="262"/>
        <v>76.125</v>
      </c>
      <c r="S207" s="421">
        <f t="shared" si="262"/>
        <v>0</v>
      </c>
      <c r="T207" s="309">
        <f t="shared" si="262"/>
        <v>74.760000000000005</v>
      </c>
      <c r="U207" s="309">
        <f t="shared" si="262"/>
        <v>75.495000000000005</v>
      </c>
      <c r="V207" s="309"/>
      <c r="W207" s="309"/>
      <c r="X207" s="422"/>
      <c r="Y207" s="421"/>
      <c r="Z207" s="309"/>
      <c r="AA207" s="309"/>
      <c r="AB207" s="309"/>
      <c r="AC207" s="309"/>
      <c r="AD207" s="309"/>
      <c r="AE207" s="309"/>
      <c r="AF207" s="309"/>
      <c r="AG207" s="309"/>
      <c r="AH207" s="323"/>
      <c r="AI207" s="232"/>
      <c r="AJ207" s="232"/>
      <c r="AK207" s="232"/>
      <c r="AL207" s="1236"/>
      <c r="AM207" s="643"/>
      <c r="AN207" s="232"/>
      <c r="AO207" s="232"/>
      <c r="AP207" s="232"/>
      <c r="AQ207" s="232"/>
      <c r="AR207" s="232"/>
      <c r="AS207" s="232"/>
      <c r="AT207" s="232"/>
      <c r="AU207" s="1236"/>
      <c r="AV207" s="643"/>
      <c r="AW207" s="232"/>
      <c r="AX207" s="232"/>
      <c r="AY207" s="232"/>
      <c r="AZ207" s="232"/>
      <c r="BA207" s="1236"/>
      <c r="BB207" s="643"/>
      <c r="BC207" s="232"/>
      <c r="BD207" s="232"/>
      <c r="BE207" s="232"/>
      <c r="BF207" s="232"/>
      <c r="BG207" s="232"/>
      <c r="BH207" s="232"/>
      <c r="BI207" s="232"/>
      <c r="BJ207" s="232"/>
      <c r="BK207" s="323"/>
      <c r="BL207" s="232"/>
      <c r="BM207" s="232"/>
      <c r="BN207" s="232"/>
      <c r="BO207" s="1236"/>
      <c r="BP207" s="643"/>
      <c r="BQ207" s="232"/>
      <c r="BR207" s="232"/>
      <c r="BS207" s="232"/>
      <c r="BT207" s="232"/>
      <c r="BU207" s="232"/>
      <c r="BV207" s="232"/>
      <c r="BW207" s="232"/>
      <c r="BX207" s="1236"/>
      <c r="BY207" s="643"/>
      <c r="BZ207" s="232"/>
      <c r="CA207" s="232"/>
      <c r="CB207" s="232"/>
      <c r="CC207" s="232"/>
      <c r="CD207" s="1236"/>
      <c r="CE207" s="643"/>
      <c r="CF207" s="232"/>
      <c r="CG207" s="232"/>
      <c r="CH207" s="232"/>
      <c r="CI207" s="232"/>
      <c r="CJ207" s="232"/>
      <c r="CK207" s="232"/>
      <c r="CL207" s="232"/>
      <c r="CM207" s="232"/>
      <c r="CN207" s="323"/>
      <c r="CO207" s="232"/>
      <c r="CP207" s="232"/>
      <c r="CQ207" s="232"/>
      <c r="CR207" s="1236"/>
      <c r="CS207" s="643"/>
      <c r="CT207" s="232"/>
      <c r="CU207" s="232"/>
      <c r="CV207" s="232"/>
      <c r="CW207" s="232"/>
      <c r="CX207" s="232"/>
      <c r="CY207" s="232"/>
      <c r="CZ207" s="232"/>
      <c r="DA207" s="1236"/>
      <c r="DB207" s="643"/>
      <c r="DC207" s="232"/>
      <c r="DD207" s="232"/>
      <c r="DE207" s="232"/>
      <c r="DF207" s="232"/>
      <c r="DG207" s="1236"/>
      <c r="DH207" s="643"/>
      <c r="DI207" s="232"/>
      <c r="DJ207" s="232"/>
      <c r="DK207" s="232"/>
      <c r="DL207" s="232"/>
      <c r="DM207" s="232"/>
      <c r="DN207" s="232"/>
      <c r="DO207" s="232"/>
      <c r="DP207" s="232"/>
      <c r="DQ207" s="323"/>
      <c r="DR207" s="238"/>
      <c r="DS207" s="232"/>
      <c r="DT207" s="232"/>
      <c r="DU207" s="232"/>
      <c r="DV207" s="1236"/>
      <c r="DW207" s="643"/>
      <c r="DX207" s="232"/>
      <c r="DY207" s="232"/>
      <c r="DZ207" s="232"/>
      <c r="EA207" s="232"/>
      <c r="EB207" s="232"/>
      <c r="EC207" s="232"/>
      <c r="ED207" s="232"/>
      <c r="EE207" s="1236"/>
      <c r="EF207" s="643"/>
      <c r="EG207" s="232"/>
      <c r="EH207" s="232"/>
      <c r="EI207" s="232"/>
      <c r="EJ207" s="232"/>
      <c r="EK207" s="1236"/>
      <c r="EL207" s="643"/>
      <c r="EM207" s="232"/>
      <c r="EN207" s="232"/>
      <c r="EO207" s="232"/>
      <c r="EP207" s="232"/>
      <c r="EQ207" s="232"/>
      <c r="ER207" s="232"/>
      <c r="ES207" s="232"/>
      <c r="ET207" s="232"/>
      <c r="EU207" s="323"/>
      <c r="EV207" s="232"/>
      <c r="EW207" s="232"/>
      <c r="EX207" s="232"/>
      <c r="EY207" s="1236"/>
      <c r="EZ207" s="643"/>
      <c r="FA207" s="232"/>
      <c r="FB207" s="232"/>
      <c r="FC207" s="232"/>
      <c r="FD207" s="232"/>
      <c r="FE207" s="232"/>
      <c r="FF207" s="232"/>
      <c r="FG207" s="232"/>
      <c r="FH207" s="1236"/>
      <c r="FI207" s="643"/>
      <c r="FJ207" s="232"/>
      <c r="FK207" s="232"/>
      <c r="FL207" s="232"/>
      <c r="FM207" s="232"/>
      <c r="FN207" s="1236"/>
      <c r="FO207" s="643"/>
      <c r="FP207" s="232"/>
      <c r="FQ207" s="232"/>
      <c r="FR207" s="232"/>
      <c r="FS207" s="232"/>
      <c r="FT207" s="232"/>
      <c r="FU207" s="232"/>
      <c r="FV207" s="232"/>
      <c r="FW207" s="232"/>
    </row>
    <row r="208" spans="1:179" s="368" customFormat="1" ht="15" thickBot="1" x14ac:dyDescent="0.4">
      <c r="A208"/>
      <c r="B208"/>
      <c r="C208" s="457">
        <v>0.95</v>
      </c>
      <c r="D208" s="457"/>
      <c r="E208" s="457"/>
      <c r="F208" s="1061">
        <f>F$206*$C$208</f>
        <v>69.825000000000003</v>
      </c>
      <c r="G208" s="446">
        <f>G$206*$C$208</f>
        <v>63.174999999999997</v>
      </c>
      <c r="H208" s="446">
        <f t="shared" ref="H208:U208" si="263">H$206*$C$208</f>
        <v>0</v>
      </c>
      <c r="I208" s="1242">
        <f t="shared" si="263"/>
        <v>58.804999999999993</v>
      </c>
      <c r="J208" s="419">
        <f t="shared" si="263"/>
        <v>59.375</v>
      </c>
      <c r="K208" s="249">
        <f t="shared" si="263"/>
        <v>82.174999999999997</v>
      </c>
      <c r="L208" s="249">
        <f t="shared" si="263"/>
        <v>78.849999999999994</v>
      </c>
      <c r="M208" s="249">
        <f t="shared" si="263"/>
        <v>77.424999999999997</v>
      </c>
      <c r="N208" s="249">
        <f t="shared" si="263"/>
        <v>76.95</v>
      </c>
      <c r="O208" s="249">
        <f t="shared" si="263"/>
        <v>76.38</v>
      </c>
      <c r="P208" s="249">
        <f t="shared" si="263"/>
        <v>74.099999999999994</v>
      </c>
      <c r="Q208" s="249">
        <f t="shared" si="263"/>
        <v>0</v>
      </c>
      <c r="R208" s="1242">
        <f t="shared" si="263"/>
        <v>68.875</v>
      </c>
      <c r="S208" s="419">
        <f t="shared" si="263"/>
        <v>0</v>
      </c>
      <c r="T208" s="249">
        <f>T$206*$C$208</f>
        <v>67.64</v>
      </c>
      <c r="U208" s="249">
        <f t="shared" si="263"/>
        <v>68.305000000000007</v>
      </c>
      <c r="V208" s="232"/>
      <c r="W208" s="232"/>
      <c r="X208" s="1236"/>
      <c r="Y208" s="643"/>
      <c r="Z208" s="232"/>
      <c r="AA208" s="232"/>
      <c r="AB208" s="232"/>
      <c r="AC208" s="232"/>
      <c r="AD208" s="232"/>
      <c r="AE208" s="232"/>
      <c r="AF208" s="232"/>
      <c r="AG208" s="232"/>
      <c r="AH208" s="323"/>
      <c r="AI208" s="232"/>
      <c r="AJ208" s="232"/>
      <c r="AK208" s="232"/>
      <c r="AL208" s="1236"/>
      <c r="AM208" s="643"/>
      <c r="AN208" s="232"/>
      <c r="AO208" s="232"/>
      <c r="AP208" s="232"/>
      <c r="AQ208" s="232"/>
      <c r="AR208" s="232"/>
      <c r="AS208" s="232"/>
      <c r="AT208" s="232"/>
      <c r="AU208" s="1236"/>
      <c r="AV208" s="643"/>
      <c r="AW208" s="232"/>
      <c r="AX208" s="232"/>
      <c r="AY208" s="232"/>
      <c r="AZ208" s="232"/>
      <c r="BA208" s="1236"/>
      <c r="BB208" s="643"/>
      <c r="BC208" s="232"/>
      <c r="BD208" s="232"/>
      <c r="BE208" s="232"/>
      <c r="BF208" s="232"/>
      <c r="BG208" s="232"/>
      <c r="BH208" s="232"/>
      <c r="BI208" s="232"/>
      <c r="BJ208" s="232"/>
      <c r="BK208" s="323"/>
      <c r="BL208" s="232"/>
      <c r="BM208" s="232"/>
      <c r="BN208" s="232"/>
      <c r="BO208" s="1236"/>
      <c r="BP208" s="643"/>
      <c r="BQ208" s="232"/>
      <c r="BR208" s="232"/>
      <c r="BS208" s="232"/>
      <c r="BT208" s="232"/>
      <c r="BU208" s="232"/>
      <c r="BV208" s="232"/>
      <c r="BW208" s="232"/>
      <c r="BX208" s="1236"/>
      <c r="BY208" s="643"/>
      <c r="BZ208" s="232"/>
      <c r="CA208" s="232"/>
      <c r="CB208" s="232"/>
      <c r="CC208" s="232"/>
      <c r="CD208" s="1236"/>
      <c r="CE208" s="643"/>
      <c r="CF208" s="232"/>
      <c r="CG208" s="232"/>
      <c r="CH208" s="232"/>
      <c r="CI208" s="232"/>
      <c r="CJ208" s="232"/>
      <c r="CK208" s="232"/>
      <c r="CL208" s="232"/>
      <c r="CM208" s="232"/>
      <c r="CN208" s="323"/>
      <c r="CO208" s="232"/>
      <c r="CP208" s="232"/>
      <c r="CQ208" s="232"/>
      <c r="CR208" s="1236"/>
      <c r="CS208" s="643"/>
      <c r="CT208" s="232"/>
      <c r="CU208" s="232"/>
      <c r="CV208" s="232"/>
      <c r="CW208" s="232"/>
      <c r="CX208" s="232"/>
      <c r="CY208" s="232"/>
      <c r="CZ208" s="232"/>
      <c r="DA208" s="1236"/>
      <c r="DB208" s="643"/>
      <c r="DC208" s="232"/>
      <c r="DD208" s="232"/>
      <c r="DE208" s="232"/>
      <c r="DF208" s="232"/>
      <c r="DG208" s="1236"/>
      <c r="DH208" s="643"/>
      <c r="DI208" s="232"/>
      <c r="DJ208" s="232"/>
      <c r="DK208" s="232"/>
      <c r="DL208" s="232"/>
      <c r="DM208" s="232"/>
      <c r="DN208" s="232"/>
      <c r="DO208" s="232"/>
      <c r="DP208" s="232"/>
      <c r="DQ208" s="323"/>
      <c r="DR208" s="238"/>
      <c r="DS208" s="232"/>
      <c r="DT208" s="232"/>
      <c r="DU208" s="232"/>
      <c r="DV208" s="1236"/>
      <c r="DW208" s="643"/>
      <c r="DX208" s="232"/>
      <c r="DY208" s="232"/>
      <c r="DZ208" s="232"/>
      <c r="EA208" s="232"/>
      <c r="EB208" s="232"/>
      <c r="EC208" s="232"/>
      <c r="ED208" s="232"/>
      <c r="EE208" s="1236"/>
      <c r="EF208" s="643"/>
      <c r="EG208" s="232"/>
      <c r="EH208" s="232"/>
      <c r="EI208" s="232"/>
      <c r="EJ208" s="232"/>
      <c r="EK208" s="1236"/>
      <c r="EL208" s="643"/>
      <c r="EM208" s="232"/>
      <c r="EN208" s="232"/>
      <c r="EO208" s="232"/>
      <c r="EP208" s="232"/>
      <c r="EQ208" s="232"/>
      <c r="ER208" s="232"/>
      <c r="ES208" s="232"/>
      <c r="ET208" s="232"/>
      <c r="EU208" s="323"/>
      <c r="EV208" s="232"/>
      <c r="EW208" s="232"/>
      <c r="EX208" s="232"/>
      <c r="EY208" s="1236"/>
      <c r="EZ208" s="643"/>
      <c r="FA208" s="232"/>
      <c r="FB208" s="232"/>
      <c r="FC208" s="232"/>
      <c r="FD208" s="232"/>
      <c r="FE208" s="232"/>
      <c r="FF208" s="232"/>
      <c r="FG208" s="232"/>
      <c r="FH208" s="1236"/>
      <c r="FI208" s="643"/>
      <c r="FJ208" s="232"/>
      <c r="FK208" s="232"/>
      <c r="FL208" s="232"/>
      <c r="FM208" s="232"/>
      <c r="FN208" s="1236"/>
      <c r="FO208" s="643"/>
      <c r="FP208" s="232"/>
      <c r="FQ208" s="232"/>
      <c r="FR208" s="232"/>
      <c r="FS208" s="232"/>
      <c r="FT208" s="232"/>
      <c r="FU208" s="232"/>
      <c r="FV208" s="232"/>
      <c r="FW208" s="232"/>
    </row>
    <row r="209" spans="1:179" ht="15" thickTop="1" x14ac:dyDescent="0.35">
      <c r="C209" s="169"/>
      <c r="D209" s="169"/>
      <c r="E209" s="456"/>
      <c r="G209" s="249"/>
      <c r="H209" s="249"/>
      <c r="I209" s="1242"/>
      <c r="J209" s="419"/>
      <c r="K209" s="249"/>
      <c r="L209" s="249"/>
      <c r="M209" s="249"/>
      <c r="N209" s="249"/>
      <c r="O209" s="249"/>
      <c r="P209" s="249"/>
      <c r="Q209" s="249"/>
      <c r="R209" s="1242"/>
      <c r="S209" s="419"/>
      <c r="T209" s="249"/>
      <c r="U209" s="249"/>
    </row>
    <row r="210" spans="1:179" x14ac:dyDescent="0.35">
      <c r="C210" s="169" t="s">
        <v>348</v>
      </c>
      <c r="D210" s="169"/>
      <c r="E210" s="169"/>
      <c r="F210" s="1029" t="e">
        <f t="shared" ref="F210:V210" si="264">100*(F$96-(AI$96+BL$96))/F$96</f>
        <v>#DIV/0!</v>
      </c>
      <c r="G210" s="249" t="e">
        <f t="shared" si="264"/>
        <v>#DIV/0!</v>
      </c>
      <c r="H210" s="249" t="e">
        <f t="shared" si="264"/>
        <v>#DIV/0!</v>
      </c>
      <c r="I210" s="1242" t="e">
        <f t="shared" si="264"/>
        <v>#DIV/0!</v>
      </c>
      <c r="J210" s="419" t="e">
        <f t="shared" si="264"/>
        <v>#DIV/0!</v>
      </c>
      <c r="K210" s="249" t="e">
        <f t="shared" si="264"/>
        <v>#DIV/0!</v>
      </c>
      <c r="L210" s="249" t="e">
        <f t="shared" si="264"/>
        <v>#DIV/0!</v>
      </c>
      <c r="M210" s="249" t="e">
        <f t="shared" si="264"/>
        <v>#DIV/0!</v>
      </c>
      <c r="N210" s="249" t="e">
        <f t="shared" si="264"/>
        <v>#DIV/0!</v>
      </c>
      <c r="O210" s="249" t="e">
        <f t="shared" si="264"/>
        <v>#DIV/0!</v>
      </c>
      <c r="P210" s="249" t="e">
        <f t="shared" si="264"/>
        <v>#DIV/0!</v>
      </c>
      <c r="Q210" s="249" t="e">
        <f t="shared" si="264"/>
        <v>#DIV/0!</v>
      </c>
      <c r="R210" s="1242" t="e">
        <f t="shared" si="264"/>
        <v>#DIV/0!</v>
      </c>
      <c r="S210" s="419" t="e">
        <f t="shared" si="264"/>
        <v>#DIV/0!</v>
      </c>
      <c r="T210" s="249" t="e">
        <f t="shared" si="264"/>
        <v>#DIV/0!</v>
      </c>
      <c r="U210" s="249" t="e">
        <f t="shared" si="264"/>
        <v>#DIV/0!</v>
      </c>
      <c r="V210" s="232" t="e">
        <f t="shared" si="264"/>
        <v>#DIV/0!</v>
      </c>
      <c r="W210" s="232" t="e">
        <f t="shared" ref="W210:AG210" si="265">100*(W$96-(BK$96+CN$96))/W$96</f>
        <v>#DIV/0!</v>
      </c>
      <c r="X210" s="1236" t="e">
        <f t="shared" si="265"/>
        <v>#DIV/0!</v>
      </c>
      <c r="Y210" s="643" t="e">
        <f t="shared" si="265"/>
        <v>#DIV/0!</v>
      </c>
      <c r="Z210" s="232" t="e">
        <f t="shared" si="265"/>
        <v>#DIV/0!</v>
      </c>
      <c r="AA210" s="232" t="e">
        <f t="shared" si="265"/>
        <v>#DIV/0!</v>
      </c>
      <c r="AB210" s="232" t="e">
        <f t="shared" si="265"/>
        <v>#DIV/0!</v>
      </c>
      <c r="AC210" s="232" t="e">
        <f t="shared" si="265"/>
        <v>#DIV/0!</v>
      </c>
      <c r="AD210" s="232" t="e">
        <f t="shared" si="265"/>
        <v>#DIV/0!</v>
      </c>
      <c r="AE210" s="232" t="e">
        <f t="shared" si="265"/>
        <v>#DIV/0!</v>
      </c>
      <c r="AF210" s="232" t="e">
        <f t="shared" si="265"/>
        <v>#DIV/0!</v>
      </c>
      <c r="AG210" s="232" t="e">
        <f t="shared" si="265"/>
        <v>#DIV/0!</v>
      </c>
    </row>
    <row r="211" spans="1:179" x14ac:dyDescent="0.35">
      <c r="C211" s="168" t="s">
        <v>142</v>
      </c>
      <c r="D211" s="168"/>
      <c r="E211" s="168"/>
    </row>
    <row r="212" spans="1:179" ht="15" thickBot="1" x14ac:dyDescent="0.4">
      <c r="A212" s="368"/>
      <c r="B212" s="368"/>
      <c r="C212" s="1342" t="s">
        <v>119</v>
      </c>
      <c r="D212" s="1342"/>
      <c r="E212" s="1342"/>
      <c r="F212" s="1027">
        <f t="shared" ref="F212:V212" si="266">(EV$107+DS$107)/F$59*100</f>
        <v>1.0142680982383954</v>
      </c>
      <c r="G212" s="365">
        <f t="shared" si="266"/>
        <v>1.164721739130435</v>
      </c>
      <c r="H212" s="365">
        <f t="shared" si="266"/>
        <v>0.40248086059190019</v>
      </c>
      <c r="I212" s="1234">
        <f t="shared" si="266"/>
        <v>0.42533575094501991</v>
      </c>
      <c r="J212" s="1182">
        <f t="shared" si="266"/>
        <v>1.0863663847938336</v>
      </c>
      <c r="K212" s="365">
        <f t="shared" si="266"/>
        <v>1.2171414006059196</v>
      </c>
      <c r="L212" s="365">
        <f t="shared" si="266"/>
        <v>1.2142834807610472</v>
      </c>
      <c r="M212" s="365">
        <f t="shared" si="266"/>
        <v>1.1776976277948958</v>
      </c>
      <c r="N212" s="365">
        <f t="shared" si="266"/>
        <v>1.1673535853976533</v>
      </c>
      <c r="O212" s="365">
        <f t="shared" si="266"/>
        <v>1.1102542931616071</v>
      </c>
      <c r="P212" s="365">
        <f t="shared" si="266"/>
        <v>1.1510543428308826</v>
      </c>
      <c r="Q212" s="365">
        <f t="shared" si="266"/>
        <v>1.1537663950329842</v>
      </c>
      <c r="R212" s="1234">
        <f t="shared" si="266"/>
        <v>1.2074544395245863</v>
      </c>
      <c r="S212" s="1182" t="e">
        <f t="shared" si="266"/>
        <v>#DIV/0!</v>
      </c>
      <c r="T212" s="365" t="e">
        <f t="shared" si="266"/>
        <v>#DIV/0!</v>
      </c>
      <c r="U212" s="365" t="e">
        <f t="shared" si="266"/>
        <v>#DIV/0!</v>
      </c>
      <c r="V212" s="365" t="e">
        <f t="shared" si="266"/>
        <v>#DIV/0!</v>
      </c>
      <c r="W212" s="365" t="e">
        <f t="shared" ref="W212:AG212" si="267">(FX$107+EU$107)/W$59*100</f>
        <v>#VALUE!</v>
      </c>
      <c r="X212" s="1234" t="e">
        <f t="shared" si="267"/>
        <v>#DIV/0!</v>
      </c>
      <c r="Y212" s="1182" t="e">
        <f t="shared" si="267"/>
        <v>#DIV/0!</v>
      </c>
      <c r="Z212" s="365" t="e">
        <f t="shared" si="267"/>
        <v>#DIV/0!</v>
      </c>
      <c r="AA212" s="365" t="e">
        <f t="shared" si="267"/>
        <v>#DIV/0!</v>
      </c>
      <c r="AB212" s="365" t="e">
        <f t="shared" si="267"/>
        <v>#DIV/0!</v>
      </c>
      <c r="AC212" s="365" t="e">
        <f t="shared" si="267"/>
        <v>#DIV/0!</v>
      </c>
      <c r="AD212" s="365" t="e">
        <f t="shared" si="267"/>
        <v>#DIV/0!</v>
      </c>
      <c r="AE212" s="365" t="e">
        <f t="shared" si="267"/>
        <v>#DIV/0!</v>
      </c>
      <c r="AF212" s="365" t="e">
        <f t="shared" si="267"/>
        <v>#DIV/0!</v>
      </c>
      <c r="AG212" s="365" t="e">
        <f t="shared" si="267"/>
        <v>#DIV/0!</v>
      </c>
    </row>
    <row r="213" spans="1:179" s="377" customFormat="1" ht="19" thickTop="1" x14ac:dyDescent="0.45">
      <c r="A213"/>
      <c r="B213"/>
      <c r="C213" s="407" t="s">
        <v>582</v>
      </c>
      <c r="D213" s="407"/>
      <c r="E213" s="407"/>
      <c r="F213" s="1051" t="e">
        <f>F212/F137</f>
        <v>#DIV/0!</v>
      </c>
      <c r="G213" s="229" t="e">
        <f t="shared" ref="G213:V213" si="268">G212/G137</f>
        <v>#DIV/0!</v>
      </c>
      <c r="H213" s="229" t="e">
        <f t="shared" si="268"/>
        <v>#DIV/0!</v>
      </c>
      <c r="I213" s="1245" t="e">
        <f t="shared" si="268"/>
        <v>#DIV/0!</v>
      </c>
      <c r="J213" s="538" t="e">
        <f>J212/J137-0.3</f>
        <v>#DIV/0!</v>
      </c>
      <c r="K213" s="229" t="e">
        <f t="shared" si="268"/>
        <v>#DIV/0!</v>
      </c>
      <c r="L213" s="229" t="e">
        <f t="shared" si="268"/>
        <v>#DIV/0!</v>
      </c>
      <c r="M213" s="229" t="e">
        <f t="shared" si="268"/>
        <v>#DIV/0!</v>
      </c>
      <c r="N213" s="229" t="e">
        <f t="shared" si="268"/>
        <v>#DIV/0!</v>
      </c>
      <c r="O213" s="229" t="e">
        <f t="shared" si="268"/>
        <v>#DIV/0!</v>
      </c>
      <c r="P213" s="229" t="e">
        <f t="shared" si="268"/>
        <v>#DIV/0!</v>
      </c>
      <c r="Q213" s="229" t="e">
        <f t="shared" si="268"/>
        <v>#DIV/0!</v>
      </c>
      <c r="R213" s="1245" t="e">
        <f t="shared" si="268"/>
        <v>#DIV/0!</v>
      </c>
      <c r="S213" s="538" t="e">
        <f t="shared" si="268"/>
        <v>#DIV/0!</v>
      </c>
      <c r="T213" s="229" t="e">
        <f t="shared" si="268"/>
        <v>#DIV/0!</v>
      </c>
      <c r="U213" s="229" t="e">
        <f t="shared" si="268"/>
        <v>#DIV/0!</v>
      </c>
      <c r="V213" s="229" t="e">
        <f t="shared" si="268"/>
        <v>#DIV/0!</v>
      </c>
      <c r="W213" s="229" t="e">
        <f t="shared" ref="W213:AG213" si="269">W212/W137</f>
        <v>#VALUE!</v>
      </c>
      <c r="X213" s="1245" t="e">
        <f t="shared" si="269"/>
        <v>#DIV/0!</v>
      </c>
      <c r="Y213" s="538" t="e">
        <f t="shared" si="269"/>
        <v>#DIV/0!</v>
      </c>
      <c r="Z213" s="229" t="e">
        <f t="shared" si="269"/>
        <v>#DIV/0!</v>
      </c>
      <c r="AA213" s="229" t="e">
        <f t="shared" si="269"/>
        <v>#DIV/0!</v>
      </c>
      <c r="AB213" s="229" t="e">
        <f t="shared" si="269"/>
        <v>#DIV/0!</v>
      </c>
      <c r="AC213" s="229" t="e">
        <f t="shared" si="269"/>
        <v>#DIV/0!</v>
      </c>
      <c r="AD213" s="229" t="e">
        <f t="shared" si="269"/>
        <v>#DIV/0!</v>
      </c>
      <c r="AE213" s="229" t="e">
        <f t="shared" si="269"/>
        <v>#DIV/0!</v>
      </c>
      <c r="AF213" s="229" t="e">
        <f t="shared" si="269"/>
        <v>#DIV/0!</v>
      </c>
      <c r="AG213" s="229" t="e">
        <f t="shared" si="269"/>
        <v>#DIV/0!</v>
      </c>
      <c r="AH213" s="323"/>
      <c r="AI213" s="232"/>
      <c r="AJ213" s="232"/>
      <c r="AK213" s="232"/>
      <c r="AL213" s="1236"/>
      <c r="AM213" s="643"/>
      <c r="AN213" s="232"/>
      <c r="AO213" s="232"/>
      <c r="AP213" s="232"/>
      <c r="AQ213" s="232"/>
      <c r="AR213" s="232"/>
      <c r="AS213" s="232"/>
      <c r="AT213" s="232"/>
      <c r="AU213" s="1236"/>
      <c r="AV213" s="643"/>
      <c r="AW213" s="232"/>
      <c r="AX213" s="232"/>
      <c r="AY213" s="232"/>
      <c r="AZ213" s="232"/>
      <c r="BA213" s="1236"/>
      <c r="BB213" s="643"/>
      <c r="BC213" s="232"/>
      <c r="BD213" s="232"/>
      <c r="BE213" s="232"/>
      <c r="BF213" s="232"/>
      <c r="BG213" s="232"/>
      <c r="BH213" s="232"/>
      <c r="BI213" s="232"/>
      <c r="BJ213" s="232"/>
      <c r="BK213" s="323"/>
      <c r="BL213" s="232"/>
      <c r="BM213" s="232"/>
      <c r="BN213" s="232"/>
      <c r="BO213" s="1236"/>
      <c r="BP213" s="643"/>
      <c r="BQ213" s="232"/>
      <c r="BR213" s="232"/>
      <c r="BS213" s="232"/>
      <c r="BT213" s="232"/>
      <c r="BU213" s="232"/>
      <c r="BV213" s="232"/>
      <c r="BW213" s="232"/>
      <c r="BX213" s="1236"/>
      <c r="BY213" s="643"/>
      <c r="BZ213" s="232"/>
      <c r="CA213" s="232"/>
      <c r="CB213" s="232"/>
      <c r="CC213" s="232"/>
      <c r="CD213" s="1236"/>
      <c r="CE213" s="643"/>
      <c r="CF213" s="232"/>
      <c r="CG213" s="232"/>
      <c r="CH213" s="232"/>
      <c r="CI213" s="232"/>
      <c r="CJ213" s="232"/>
      <c r="CK213" s="232"/>
      <c r="CL213" s="232"/>
      <c r="CM213" s="232"/>
      <c r="CN213" s="323"/>
      <c r="CO213" s="232"/>
      <c r="CP213" s="232"/>
      <c r="CQ213" s="232"/>
      <c r="CR213" s="1236"/>
      <c r="CS213" s="643"/>
      <c r="CT213" s="232"/>
      <c r="CU213" s="232"/>
      <c r="CV213" s="232"/>
      <c r="CW213" s="232"/>
      <c r="CX213" s="232"/>
      <c r="CY213" s="232"/>
      <c r="CZ213" s="232"/>
      <c r="DA213" s="1236"/>
      <c r="DB213" s="643"/>
      <c r="DC213" s="232"/>
      <c r="DD213" s="232"/>
      <c r="DE213" s="232"/>
      <c r="DF213" s="232"/>
      <c r="DG213" s="1236"/>
      <c r="DH213" s="643"/>
      <c r="DI213" s="232"/>
      <c r="DJ213" s="232"/>
      <c r="DK213" s="232"/>
      <c r="DL213" s="232"/>
      <c r="DM213" s="232"/>
      <c r="DN213" s="232"/>
      <c r="DO213" s="232"/>
      <c r="DP213" s="232"/>
      <c r="DQ213" s="323"/>
      <c r="DR213" s="238"/>
      <c r="DS213" s="232"/>
      <c r="DT213" s="232"/>
      <c r="DU213" s="232"/>
      <c r="DV213" s="1236"/>
      <c r="DW213" s="643"/>
      <c r="DX213" s="232"/>
      <c r="DY213" s="232"/>
      <c r="DZ213" s="232"/>
      <c r="EA213" s="232"/>
      <c r="EB213" s="232"/>
      <c r="EC213" s="232"/>
      <c r="ED213" s="232"/>
      <c r="EE213" s="1236"/>
      <c r="EF213" s="643"/>
      <c r="EG213" s="232"/>
      <c r="EH213" s="232"/>
      <c r="EI213" s="232"/>
      <c r="EJ213" s="232"/>
      <c r="EK213" s="1236"/>
      <c r="EL213" s="643"/>
      <c r="EM213" s="232"/>
      <c r="EN213" s="232"/>
      <c r="EO213" s="232"/>
      <c r="EP213" s="232"/>
      <c r="EQ213" s="232"/>
      <c r="ER213" s="232"/>
      <c r="ES213" s="232"/>
      <c r="ET213" s="232"/>
      <c r="EU213" s="323"/>
      <c r="EV213" s="232"/>
      <c r="EW213" s="232"/>
      <c r="EX213" s="232"/>
      <c r="EY213" s="1236"/>
      <c r="EZ213" s="643"/>
      <c r="FA213" s="232"/>
      <c r="FB213" s="232"/>
      <c r="FC213" s="232"/>
      <c r="FD213" s="232"/>
      <c r="FE213" s="232"/>
      <c r="FF213" s="232"/>
      <c r="FG213" s="232"/>
      <c r="FH213" s="1236"/>
      <c r="FI213" s="643"/>
      <c r="FJ213" s="232"/>
      <c r="FK213" s="232"/>
      <c r="FL213" s="232"/>
      <c r="FM213" s="232"/>
      <c r="FN213" s="1236"/>
      <c r="FO213" s="643"/>
      <c r="FP213" s="232"/>
      <c r="FQ213" s="232"/>
      <c r="FR213" s="232"/>
      <c r="FS213" s="232"/>
      <c r="FT213" s="232"/>
      <c r="FU213" s="232"/>
      <c r="FV213" s="232"/>
      <c r="FW213" s="232"/>
    </row>
    <row r="214" spans="1:179" x14ac:dyDescent="0.35">
      <c r="C214" s="1" t="s">
        <v>583</v>
      </c>
      <c r="F214" s="501">
        <v>0.5</v>
      </c>
      <c r="G214" s="249">
        <v>0.5</v>
      </c>
      <c r="H214" s="249">
        <v>0.5</v>
      </c>
      <c r="I214" s="1242">
        <v>0.5</v>
      </c>
      <c r="J214" s="419">
        <v>1</v>
      </c>
      <c r="K214" s="249">
        <v>1</v>
      </c>
      <c r="L214" s="249">
        <v>1</v>
      </c>
      <c r="M214" s="249">
        <v>1</v>
      </c>
      <c r="N214" s="249">
        <v>1</v>
      </c>
      <c r="O214" s="249">
        <v>1.1000000000000001</v>
      </c>
      <c r="P214" s="249">
        <v>1.1000000000000001</v>
      </c>
      <c r="Q214" s="249">
        <v>1.1000000000000001</v>
      </c>
      <c r="R214" s="1242">
        <v>1.1000000000000001</v>
      </c>
      <c r="S214" s="419">
        <v>1.1000000000000001</v>
      </c>
      <c r="T214" s="249">
        <v>1.1000000000000001</v>
      </c>
      <c r="U214" s="249">
        <v>1.2</v>
      </c>
      <c r="V214" s="249"/>
      <c r="W214" s="249"/>
      <c r="X214" s="1242"/>
      <c r="Y214" s="419"/>
      <c r="Z214" s="249"/>
      <c r="AA214" s="249"/>
      <c r="AB214" s="249"/>
      <c r="AC214" s="249"/>
      <c r="AD214" s="249"/>
      <c r="AE214" s="249"/>
      <c r="AF214" s="249"/>
      <c r="AG214" s="249"/>
    </row>
    <row r="215" spans="1:179" x14ac:dyDescent="0.35">
      <c r="C215" s="1" t="s">
        <v>120</v>
      </c>
      <c r="F215" s="501">
        <f t="shared" ref="F215:V215" si="270">((DS$108+EV$108)/F$59)*100</f>
        <v>0.82941371994342294</v>
      </c>
      <c r="G215" s="249">
        <f t="shared" si="270"/>
        <v>0.90690409207161127</v>
      </c>
      <c r="H215" s="249">
        <f t="shared" si="270"/>
        <v>0.33270837227414324</v>
      </c>
      <c r="I215" s="1242">
        <f t="shared" si="270"/>
        <v>0.35170001126852912</v>
      </c>
      <c r="J215" s="419">
        <f t="shared" si="270"/>
        <v>0.89578208486118394</v>
      </c>
      <c r="K215" s="249">
        <f t="shared" si="270"/>
        <v>1.0464727530490174</v>
      </c>
      <c r="L215" s="249">
        <f t="shared" si="270"/>
        <v>1.0429045625673741</v>
      </c>
      <c r="M215" s="249">
        <f t="shared" si="270"/>
        <v>0.97606443074978277</v>
      </c>
      <c r="N215" s="249">
        <f t="shared" si="270"/>
        <v>0.98048598435462841</v>
      </c>
      <c r="O215" s="249">
        <f t="shared" si="270"/>
        <v>0.94929176249616676</v>
      </c>
      <c r="P215" s="249">
        <f t="shared" si="270"/>
        <v>0.93155901501225502</v>
      </c>
      <c r="Q215" s="249">
        <f t="shared" si="270"/>
        <v>0.93329662398137381</v>
      </c>
      <c r="R215" s="1242">
        <f t="shared" si="270"/>
        <v>1.0176320787695174</v>
      </c>
      <c r="S215" s="419" t="e">
        <f t="shared" si="270"/>
        <v>#DIV/0!</v>
      </c>
      <c r="T215" s="249" t="e">
        <f t="shared" si="270"/>
        <v>#DIV/0!</v>
      </c>
      <c r="U215" s="249" t="e">
        <f t="shared" si="270"/>
        <v>#DIV/0!</v>
      </c>
      <c r="V215" s="249" t="e">
        <f t="shared" si="270"/>
        <v>#DIV/0!</v>
      </c>
      <c r="W215" s="249" t="e">
        <f t="shared" ref="W215:AG215" si="271">((EU$108+FX$108)/W$59)*100</f>
        <v>#VALUE!</v>
      </c>
      <c r="X215" s="1242" t="e">
        <f t="shared" si="271"/>
        <v>#DIV/0!</v>
      </c>
      <c r="Y215" s="419" t="e">
        <f t="shared" si="271"/>
        <v>#DIV/0!</v>
      </c>
      <c r="Z215" s="249" t="e">
        <f t="shared" si="271"/>
        <v>#DIV/0!</v>
      </c>
      <c r="AA215" s="249" t="e">
        <f t="shared" si="271"/>
        <v>#DIV/0!</v>
      </c>
      <c r="AB215" s="249" t="e">
        <f t="shared" si="271"/>
        <v>#DIV/0!</v>
      </c>
      <c r="AC215" s="249" t="e">
        <f t="shared" si="271"/>
        <v>#DIV/0!</v>
      </c>
      <c r="AD215" s="249" t="e">
        <f t="shared" si="271"/>
        <v>#DIV/0!</v>
      </c>
      <c r="AE215" s="249" t="e">
        <f t="shared" si="271"/>
        <v>#DIV/0!</v>
      </c>
      <c r="AF215" s="249" t="e">
        <f t="shared" si="271"/>
        <v>#DIV/0!</v>
      </c>
      <c r="AG215" s="249" t="e">
        <f t="shared" si="271"/>
        <v>#DIV/0!</v>
      </c>
    </row>
    <row r="216" spans="1:179" x14ac:dyDescent="0.35">
      <c r="C216" s="444" t="s">
        <v>590</v>
      </c>
      <c r="F216" s="501" t="e">
        <f>F215/F137</f>
        <v>#DIV/0!</v>
      </c>
      <c r="G216" s="249" t="e">
        <f t="shared" ref="G216:U216" si="272">G215/G137</f>
        <v>#DIV/0!</v>
      </c>
      <c r="H216" s="249" t="e">
        <f t="shared" si="272"/>
        <v>#DIV/0!</v>
      </c>
      <c r="I216" s="1242" t="e">
        <f t="shared" si="272"/>
        <v>#DIV/0!</v>
      </c>
      <c r="J216" s="419" t="e">
        <f>J215/J137-0.3</f>
        <v>#DIV/0!</v>
      </c>
      <c r="K216" s="249" t="e">
        <f t="shared" si="272"/>
        <v>#DIV/0!</v>
      </c>
      <c r="L216" s="249" t="e">
        <f t="shared" si="272"/>
        <v>#DIV/0!</v>
      </c>
      <c r="M216" s="249" t="e">
        <f t="shared" si="272"/>
        <v>#DIV/0!</v>
      </c>
      <c r="N216" s="249" t="e">
        <f t="shared" si="272"/>
        <v>#DIV/0!</v>
      </c>
      <c r="O216" s="249" t="e">
        <f t="shared" si="272"/>
        <v>#DIV/0!</v>
      </c>
      <c r="P216" s="249" t="e">
        <f t="shared" si="272"/>
        <v>#DIV/0!</v>
      </c>
      <c r="Q216" s="249" t="e">
        <f t="shared" si="272"/>
        <v>#DIV/0!</v>
      </c>
      <c r="R216" s="1242" t="e">
        <f t="shared" si="272"/>
        <v>#DIV/0!</v>
      </c>
      <c r="S216" s="419" t="e">
        <f t="shared" si="272"/>
        <v>#DIV/0!</v>
      </c>
      <c r="T216" s="249" t="e">
        <f t="shared" si="272"/>
        <v>#DIV/0!</v>
      </c>
      <c r="U216" s="249" t="e">
        <f t="shared" si="272"/>
        <v>#DIV/0!</v>
      </c>
    </row>
    <row r="217" spans="1:179" x14ac:dyDescent="0.35">
      <c r="C217" s="1" t="s">
        <v>588</v>
      </c>
      <c r="F217" s="501">
        <v>0.4</v>
      </c>
      <c r="G217" s="249">
        <v>0.4</v>
      </c>
      <c r="H217" s="249">
        <v>0.4</v>
      </c>
      <c r="I217" s="1242">
        <v>0.4</v>
      </c>
      <c r="J217" s="419">
        <v>0.89</v>
      </c>
      <c r="K217" s="249">
        <v>0.89</v>
      </c>
      <c r="L217" s="249">
        <v>0.89</v>
      </c>
      <c r="M217" s="249">
        <v>0.84</v>
      </c>
      <c r="N217" s="249">
        <v>0.9</v>
      </c>
      <c r="O217" s="249">
        <v>0.9</v>
      </c>
      <c r="P217" s="249">
        <v>0.9</v>
      </c>
      <c r="Q217" s="249">
        <v>0.89</v>
      </c>
      <c r="R217" s="1242">
        <v>0.89</v>
      </c>
      <c r="S217" s="419">
        <v>0.89</v>
      </c>
      <c r="T217" s="249">
        <v>0.9</v>
      </c>
      <c r="U217" s="249">
        <v>0.9</v>
      </c>
      <c r="V217" s="249"/>
      <c r="W217" s="249"/>
      <c r="X217" s="1242"/>
      <c r="Y217" s="419"/>
      <c r="Z217" s="249"/>
      <c r="AA217" s="249"/>
      <c r="AB217" s="249"/>
      <c r="AC217" s="249"/>
      <c r="AD217" s="249"/>
      <c r="AE217" s="249"/>
      <c r="AF217" s="249"/>
      <c r="AG217" s="249"/>
    </row>
    <row r="218" spans="1:179" x14ac:dyDescent="0.35">
      <c r="C218" s="1" t="s">
        <v>121</v>
      </c>
      <c r="F218" s="501">
        <f>(EV$109+DS$109)/F$59*100</f>
        <v>0.95866976340491183</v>
      </c>
      <c r="G218" s="249">
        <f>(EW$109+DT$109)/G$59*100</f>
        <v>0.96993350383631738</v>
      </c>
      <c r="H218" s="249">
        <f>(EX$109+DU$109)/H$59*100</f>
        <v>0.33849939641744542</v>
      </c>
      <c r="I218" s="1242">
        <f>(EY$109+DV$109)/I$59*100</f>
        <v>0.35569905856561873</v>
      </c>
      <c r="J218" s="419">
        <f>(EZ$109+DW$109)/J$59*100-0.2</f>
        <v>0.69684195165756213</v>
      </c>
      <c r="K218" s="249">
        <f t="shared" ref="K218:V218" si="273">(FA$109+DX$109)/K$59*100</f>
        <v>1.091644624407675</v>
      </c>
      <c r="L218" s="249">
        <f t="shared" si="273"/>
        <v>1.1291055374654189</v>
      </c>
      <c r="M218" s="249">
        <f t="shared" si="273"/>
        <v>1.0548490163545863</v>
      </c>
      <c r="N218" s="249">
        <f t="shared" si="273"/>
        <v>1.0399608865710561</v>
      </c>
      <c r="O218" s="249">
        <f t="shared" si="273"/>
        <v>1.0752879101502608</v>
      </c>
      <c r="P218" s="249">
        <f t="shared" si="273"/>
        <v>0.94848839613970592</v>
      </c>
      <c r="Q218" s="249">
        <f t="shared" si="273"/>
        <v>0.9845807334109431</v>
      </c>
      <c r="R218" s="1242">
        <f t="shared" si="273"/>
        <v>1.1129492833838266</v>
      </c>
      <c r="S218" s="419" t="e">
        <f t="shared" si="273"/>
        <v>#DIV/0!</v>
      </c>
      <c r="T218" s="249" t="e">
        <f t="shared" si="273"/>
        <v>#DIV/0!</v>
      </c>
      <c r="U218" s="249" t="e">
        <f t="shared" si="273"/>
        <v>#DIV/0!</v>
      </c>
      <c r="V218" s="249" t="e">
        <f t="shared" si="273"/>
        <v>#DIV/0!</v>
      </c>
      <c r="W218" s="249" t="e">
        <f t="shared" ref="W218:AG218" si="274">(FX$109+EU$109)/W$59*100</f>
        <v>#VALUE!</v>
      </c>
      <c r="X218" s="1242" t="e">
        <f t="shared" si="274"/>
        <v>#DIV/0!</v>
      </c>
      <c r="Y218" s="419" t="e">
        <f t="shared" si="274"/>
        <v>#DIV/0!</v>
      </c>
      <c r="Z218" s="249" t="e">
        <f t="shared" si="274"/>
        <v>#DIV/0!</v>
      </c>
      <c r="AA218" s="249" t="e">
        <f t="shared" si="274"/>
        <v>#DIV/0!</v>
      </c>
      <c r="AB218" s="249" t="e">
        <f t="shared" si="274"/>
        <v>#DIV/0!</v>
      </c>
      <c r="AC218" s="249" t="e">
        <f t="shared" si="274"/>
        <v>#DIV/0!</v>
      </c>
      <c r="AD218" s="249" t="e">
        <f t="shared" si="274"/>
        <v>#DIV/0!</v>
      </c>
      <c r="AE218" s="249" t="e">
        <f t="shared" si="274"/>
        <v>#DIV/0!</v>
      </c>
      <c r="AF218" s="249" t="e">
        <f t="shared" si="274"/>
        <v>#DIV/0!</v>
      </c>
      <c r="AG218" s="249" t="e">
        <f t="shared" si="274"/>
        <v>#DIV/0!</v>
      </c>
    </row>
    <row r="219" spans="1:179" x14ac:dyDescent="0.35">
      <c r="C219" s="444" t="s">
        <v>592</v>
      </c>
      <c r="F219" s="501" t="e">
        <f>F218/F137</f>
        <v>#DIV/0!</v>
      </c>
      <c r="G219" s="249" t="e">
        <f t="shared" ref="G219:U219" si="275">G218/G137</f>
        <v>#DIV/0!</v>
      </c>
      <c r="H219" s="249" t="e">
        <f t="shared" si="275"/>
        <v>#DIV/0!</v>
      </c>
      <c r="I219" s="1242" t="e">
        <f t="shared" si="275"/>
        <v>#DIV/0!</v>
      </c>
      <c r="J219" s="419" t="e">
        <f>J218/J137</f>
        <v>#DIV/0!</v>
      </c>
      <c r="K219" s="249" t="e">
        <f t="shared" si="275"/>
        <v>#DIV/0!</v>
      </c>
      <c r="L219" s="249" t="e">
        <f t="shared" si="275"/>
        <v>#DIV/0!</v>
      </c>
      <c r="M219" s="249" t="e">
        <f t="shared" si="275"/>
        <v>#DIV/0!</v>
      </c>
      <c r="N219" s="249" t="e">
        <f t="shared" si="275"/>
        <v>#DIV/0!</v>
      </c>
      <c r="O219" s="249" t="e">
        <f t="shared" si="275"/>
        <v>#DIV/0!</v>
      </c>
      <c r="P219" s="249" t="e">
        <f t="shared" si="275"/>
        <v>#DIV/0!</v>
      </c>
      <c r="Q219" s="249" t="e">
        <f t="shared" si="275"/>
        <v>#DIV/0!</v>
      </c>
      <c r="R219" s="1242" t="e">
        <f t="shared" si="275"/>
        <v>#DIV/0!</v>
      </c>
      <c r="S219" s="419" t="e">
        <f t="shared" si="275"/>
        <v>#DIV/0!</v>
      </c>
      <c r="T219" s="249" t="e">
        <f t="shared" si="275"/>
        <v>#DIV/0!</v>
      </c>
      <c r="U219" s="249" t="e">
        <f t="shared" si="275"/>
        <v>#DIV/0!</v>
      </c>
      <c r="V219" s="249"/>
      <c r="W219" s="249"/>
      <c r="X219" s="1242"/>
      <c r="Y219" s="419"/>
      <c r="Z219" s="249"/>
      <c r="AA219" s="249"/>
      <c r="AB219" s="249"/>
      <c r="AC219" s="249"/>
      <c r="AD219" s="249"/>
      <c r="AE219" s="249"/>
      <c r="AF219" s="249"/>
      <c r="AG219" s="249"/>
    </row>
    <row r="220" spans="1:179" x14ac:dyDescent="0.35">
      <c r="C220" s="1" t="s">
        <v>594</v>
      </c>
      <c r="F220" s="501">
        <v>0.5</v>
      </c>
      <c r="G220" s="249">
        <v>0.5</v>
      </c>
      <c r="H220" s="249">
        <v>0.5</v>
      </c>
      <c r="I220" s="1242">
        <v>0.5</v>
      </c>
      <c r="J220" s="419">
        <v>0.92</v>
      </c>
      <c r="K220" s="249">
        <v>0.95</v>
      </c>
      <c r="L220" s="249">
        <v>1</v>
      </c>
      <c r="M220" s="249">
        <v>0.95</v>
      </c>
      <c r="N220" s="249">
        <v>1.2</v>
      </c>
      <c r="O220" s="249">
        <v>1.1000000000000001</v>
      </c>
      <c r="P220" s="249">
        <v>1.1000000000000001</v>
      </c>
      <c r="Q220" s="249">
        <v>0.95</v>
      </c>
      <c r="R220" s="1242">
        <v>0.95</v>
      </c>
      <c r="S220" s="419">
        <v>1.1000000000000001</v>
      </c>
      <c r="T220" s="249">
        <v>1.1000000000000001</v>
      </c>
      <c r="U220" s="249">
        <v>1.1000000000000001</v>
      </c>
      <c r="V220" s="249"/>
      <c r="W220" s="249"/>
      <c r="X220" s="1242"/>
      <c r="Y220" s="419"/>
      <c r="Z220" s="249"/>
      <c r="AA220" s="249"/>
      <c r="AB220" s="249"/>
      <c r="AC220" s="249"/>
      <c r="AD220" s="249"/>
      <c r="AE220" s="249"/>
      <c r="AF220" s="249"/>
      <c r="AG220" s="249"/>
    </row>
    <row r="221" spans="1:179" x14ac:dyDescent="0.35">
      <c r="C221" s="1" t="s">
        <v>122</v>
      </c>
      <c r="F221" s="501">
        <f t="shared" ref="F221:V221" si="276">((DS$120+EV$120)/F$59)*100</f>
        <v>0.96489906133470504</v>
      </c>
      <c r="G221" s="249">
        <f t="shared" si="276"/>
        <v>0.88936253196930959</v>
      </c>
      <c r="H221" s="249">
        <f t="shared" si="276"/>
        <v>0.22451724753374866</v>
      </c>
      <c r="I221" s="1242">
        <f t="shared" si="276"/>
        <v>0.23371804262235751</v>
      </c>
      <c r="J221" s="419">
        <f t="shared" si="276"/>
        <v>0.56217372595973958</v>
      </c>
      <c r="K221" s="249">
        <f t="shared" si="276"/>
        <v>0.69101915507910616</v>
      </c>
      <c r="L221" s="249">
        <f t="shared" si="276"/>
        <v>0.73453145500350914</v>
      </c>
      <c r="M221" s="249">
        <f t="shared" si="276"/>
        <v>0.76770264642753683</v>
      </c>
      <c r="N221" s="249">
        <f t="shared" si="276"/>
        <v>0.68259620817036071</v>
      </c>
      <c r="O221" s="249">
        <f t="shared" si="276"/>
        <v>0.76731025758969662</v>
      </c>
      <c r="P221" s="249">
        <f t="shared" si="276"/>
        <v>0.58650645935457535</v>
      </c>
      <c r="Q221" s="249">
        <f t="shared" si="276"/>
        <v>0.6504152923295824</v>
      </c>
      <c r="R221" s="1242">
        <f t="shared" si="276"/>
        <v>0.75872652547968622</v>
      </c>
      <c r="S221" s="419" t="e">
        <f t="shared" si="276"/>
        <v>#DIV/0!</v>
      </c>
      <c r="T221" s="249" t="e">
        <f t="shared" si="276"/>
        <v>#DIV/0!</v>
      </c>
      <c r="U221" s="249" t="e">
        <f t="shared" si="276"/>
        <v>#DIV/0!</v>
      </c>
      <c r="V221" s="249" t="e">
        <f t="shared" si="276"/>
        <v>#DIV/0!</v>
      </c>
      <c r="W221" s="249" t="e">
        <f t="shared" ref="W221:AG221" si="277">((EU$120+FX$120)/W$59)*100</f>
        <v>#VALUE!</v>
      </c>
      <c r="X221" s="1242" t="e">
        <f t="shared" si="277"/>
        <v>#DIV/0!</v>
      </c>
      <c r="Y221" s="419" t="e">
        <f t="shared" si="277"/>
        <v>#DIV/0!</v>
      </c>
      <c r="Z221" s="249" t="e">
        <f t="shared" si="277"/>
        <v>#DIV/0!</v>
      </c>
      <c r="AA221" s="249" t="e">
        <f t="shared" si="277"/>
        <v>#DIV/0!</v>
      </c>
      <c r="AB221" s="249" t="e">
        <f t="shared" si="277"/>
        <v>#DIV/0!</v>
      </c>
      <c r="AC221" s="249" t="e">
        <f t="shared" si="277"/>
        <v>#DIV/0!</v>
      </c>
      <c r="AD221" s="249" t="e">
        <f t="shared" si="277"/>
        <v>#DIV/0!</v>
      </c>
      <c r="AE221" s="249" t="e">
        <f t="shared" si="277"/>
        <v>#DIV/0!</v>
      </c>
      <c r="AF221" s="249" t="e">
        <f t="shared" si="277"/>
        <v>#DIV/0!</v>
      </c>
      <c r="AG221" s="249" t="e">
        <f t="shared" si="277"/>
        <v>#DIV/0!</v>
      </c>
    </row>
    <row r="222" spans="1:179" x14ac:dyDescent="0.35">
      <c r="C222" s="1" t="s">
        <v>591</v>
      </c>
      <c r="F222" s="501" t="e">
        <f t="shared" ref="F222:U222" si="278">F221/F137</f>
        <v>#DIV/0!</v>
      </c>
      <c r="G222" s="249" t="e">
        <f t="shared" si="278"/>
        <v>#DIV/0!</v>
      </c>
      <c r="H222" s="249" t="e">
        <f t="shared" si="278"/>
        <v>#DIV/0!</v>
      </c>
      <c r="I222" s="1242" t="e">
        <f t="shared" si="278"/>
        <v>#DIV/0!</v>
      </c>
      <c r="J222" s="419" t="e">
        <f t="shared" si="278"/>
        <v>#DIV/0!</v>
      </c>
      <c r="K222" s="249" t="e">
        <f t="shared" si="278"/>
        <v>#DIV/0!</v>
      </c>
      <c r="L222" s="249" t="e">
        <f t="shared" si="278"/>
        <v>#DIV/0!</v>
      </c>
      <c r="M222" s="249" t="e">
        <f t="shared" si="278"/>
        <v>#DIV/0!</v>
      </c>
      <c r="N222" s="249" t="e">
        <f t="shared" si="278"/>
        <v>#DIV/0!</v>
      </c>
      <c r="O222" s="249" t="e">
        <f t="shared" si="278"/>
        <v>#DIV/0!</v>
      </c>
      <c r="P222" s="249" t="e">
        <f t="shared" si="278"/>
        <v>#DIV/0!</v>
      </c>
      <c r="Q222" s="249" t="e">
        <f t="shared" si="278"/>
        <v>#DIV/0!</v>
      </c>
      <c r="R222" s="1242" t="e">
        <f t="shared" si="278"/>
        <v>#DIV/0!</v>
      </c>
      <c r="S222" s="419" t="e">
        <f t="shared" si="278"/>
        <v>#DIV/0!</v>
      </c>
      <c r="T222" s="249" t="e">
        <f t="shared" si="278"/>
        <v>#DIV/0!</v>
      </c>
      <c r="U222" s="249" t="e">
        <f t="shared" si="278"/>
        <v>#DIV/0!</v>
      </c>
      <c r="V222" s="249"/>
      <c r="W222" s="249"/>
      <c r="X222" s="1242"/>
      <c r="Y222" s="419"/>
      <c r="Z222" s="249"/>
      <c r="AA222" s="249"/>
      <c r="AB222" s="249"/>
      <c r="AC222" s="249"/>
      <c r="AD222" s="249"/>
      <c r="AE222" s="249"/>
      <c r="AF222" s="249"/>
      <c r="AG222" s="249"/>
    </row>
    <row r="223" spans="1:179" x14ac:dyDescent="0.35">
      <c r="C223" s="1" t="s">
        <v>589</v>
      </c>
      <c r="F223" s="501">
        <v>0.4</v>
      </c>
      <c r="G223" s="249">
        <v>0.4</v>
      </c>
      <c r="H223" s="249">
        <v>0.4</v>
      </c>
      <c r="I223" s="1242">
        <v>0.4</v>
      </c>
      <c r="J223" s="419">
        <v>0.8</v>
      </c>
      <c r="K223" s="249">
        <v>0.81</v>
      </c>
      <c r="L223" s="249">
        <v>0.92</v>
      </c>
      <c r="M223" s="249">
        <v>0.83</v>
      </c>
      <c r="N223" s="249">
        <v>1</v>
      </c>
      <c r="O223" s="249">
        <v>0.89</v>
      </c>
      <c r="P223" s="249">
        <v>0.9</v>
      </c>
      <c r="Q223" s="249">
        <v>0.75</v>
      </c>
      <c r="R223" s="1242">
        <v>0.75</v>
      </c>
      <c r="S223" s="419">
        <v>0.8</v>
      </c>
      <c r="T223" s="249">
        <v>0.9</v>
      </c>
      <c r="U223" s="249">
        <v>0.9</v>
      </c>
      <c r="V223" s="249"/>
      <c r="W223" s="249"/>
      <c r="X223" s="1242"/>
      <c r="Y223" s="419"/>
      <c r="Z223" s="249"/>
      <c r="AA223" s="249"/>
      <c r="AB223" s="249"/>
      <c r="AC223" s="249"/>
      <c r="AD223" s="249"/>
      <c r="AE223" s="249"/>
      <c r="AF223" s="249"/>
      <c r="AG223" s="249"/>
    </row>
    <row r="224" spans="1:179" x14ac:dyDescent="0.35">
      <c r="C224" s="1" t="s">
        <v>123</v>
      </c>
      <c r="F224" s="501">
        <f t="shared" ref="F224:V224" si="279">((DS$111+EV$111)/F$59)*100</f>
        <v>0.62080098366979553</v>
      </c>
      <c r="G224" s="249">
        <f t="shared" si="279"/>
        <v>0.45353324808184148</v>
      </c>
      <c r="H224" s="249">
        <f t="shared" si="279"/>
        <v>0.19273006230529593</v>
      </c>
      <c r="I224" s="1242">
        <f t="shared" si="279"/>
        <v>0.19647922493008393</v>
      </c>
      <c r="J224" s="419">
        <f t="shared" si="279"/>
        <v>0.4193148245154531</v>
      </c>
      <c r="K224" s="249">
        <f t="shared" si="279"/>
        <v>0.49548580361997979</v>
      </c>
      <c r="L224" s="249">
        <f t="shared" si="279"/>
        <v>0.5118903894711696</v>
      </c>
      <c r="M224" s="249">
        <f t="shared" si="279"/>
        <v>0.73669529706881565</v>
      </c>
      <c r="N224" s="249">
        <f t="shared" si="279"/>
        <v>0.54833021512385915</v>
      </c>
      <c r="O224" s="249">
        <f t="shared" si="279"/>
        <v>0.60118753833180016</v>
      </c>
      <c r="P224" s="249">
        <f t="shared" si="279"/>
        <v>0.52298223039215697</v>
      </c>
      <c r="Q224" s="249">
        <f t="shared" si="279"/>
        <v>0.58962066356228171</v>
      </c>
      <c r="R224" s="1242">
        <f t="shared" si="279"/>
        <v>0.62813959450011647</v>
      </c>
      <c r="S224" s="419" t="e">
        <f t="shared" si="279"/>
        <v>#DIV/0!</v>
      </c>
      <c r="T224" s="249" t="e">
        <f t="shared" si="279"/>
        <v>#DIV/0!</v>
      </c>
      <c r="U224" s="249" t="e">
        <f t="shared" si="279"/>
        <v>#DIV/0!</v>
      </c>
      <c r="V224" s="249" t="e">
        <f t="shared" si="279"/>
        <v>#DIV/0!</v>
      </c>
      <c r="W224" s="249" t="e">
        <f t="shared" ref="W224:AG224" si="280">((EU$111+FX$111)/W$59)*100</f>
        <v>#VALUE!</v>
      </c>
      <c r="X224" s="1242" t="e">
        <f t="shared" si="280"/>
        <v>#DIV/0!</v>
      </c>
      <c r="Y224" s="419" t="e">
        <f t="shared" si="280"/>
        <v>#DIV/0!</v>
      </c>
      <c r="Z224" s="249" t="e">
        <f t="shared" si="280"/>
        <v>#DIV/0!</v>
      </c>
      <c r="AA224" s="249" t="e">
        <f t="shared" si="280"/>
        <v>#DIV/0!</v>
      </c>
      <c r="AB224" s="249" t="e">
        <f t="shared" si="280"/>
        <v>#DIV/0!</v>
      </c>
      <c r="AC224" s="249" t="e">
        <f t="shared" si="280"/>
        <v>#DIV/0!</v>
      </c>
      <c r="AD224" s="249" t="e">
        <f t="shared" si="280"/>
        <v>#DIV/0!</v>
      </c>
      <c r="AE224" s="249" t="e">
        <f t="shared" si="280"/>
        <v>#DIV/0!</v>
      </c>
      <c r="AF224" s="249" t="e">
        <f t="shared" si="280"/>
        <v>#DIV/0!</v>
      </c>
      <c r="AG224" s="249" t="e">
        <f t="shared" si="280"/>
        <v>#DIV/0!</v>
      </c>
    </row>
    <row r="225" spans="1:179" x14ac:dyDescent="0.35">
      <c r="C225" s="444" t="s">
        <v>124</v>
      </c>
      <c r="F225" s="501">
        <f t="shared" ref="F225:V225" si="281">((DS$122+EV$122)/F$59)*100</f>
        <v>0.38786331490291887</v>
      </c>
      <c r="G225" s="249">
        <f t="shared" si="281"/>
        <v>0.71810118360792263</v>
      </c>
      <c r="H225" s="249">
        <f t="shared" si="281"/>
        <v>0.15745073896978914</v>
      </c>
      <c r="I225" s="1242">
        <f t="shared" si="281"/>
        <v>8.4779695492421633E-2</v>
      </c>
      <c r="J225" s="419">
        <f t="shared" si="281"/>
        <v>0.43622088063361353</v>
      </c>
      <c r="K225" s="249">
        <f t="shared" si="281"/>
        <v>0.44701744592521941</v>
      </c>
      <c r="L225" s="249">
        <f t="shared" si="281"/>
        <v>0.41957795607130488</v>
      </c>
      <c r="M225" s="249">
        <f t="shared" si="281"/>
        <v>0.31967149991456151</v>
      </c>
      <c r="N225" s="249">
        <f t="shared" si="281"/>
        <v>0.27391619114035359</v>
      </c>
      <c r="O225" s="249">
        <f t="shared" si="281"/>
        <v>0.45228779604629782</v>
      </c>
      <c r="P225" s="249">
        <f t="shared" si="281"/>
        <v>0.41235405266757863</v>
      </c>
      <c r="Q225" s="249">
        <f t="shared" si="281"/>
        <v>0.61882821019573875</v>
      </c>
      <c r="R225" s="1242">
        <f t="shared" si="281"/>
        <v>0.56490695235566057</v>
      </c>
      <c r="S225" s="419" t="e">
        <f t="shared" si="281"/>
        <v>#DIV/0!</v>
      </c>
      <c r="T225" s="249" t="e">
        <f t="shared" si="281"/>
        <v>#DIV/0!</v>
      </c>
      <c r="U225" s="249" t="e">
        <f t="shared" si="281"/>
        <v>#DIV/0!</v>
      </c>
      <c r="V225" s="249" t="e">
        <f t="shared" si="281"/>
        <v>#DIV/0!</v>
      </c>
      <c r="W225" s="249" t="e">
        <f t="shared" ref="W225:AG225" si="282">((EU$122+FX$122)/W$59)*100</f>
        <v>#VALUE!</v>
      </c>
      <c r="X225" s="1242" t="e">
        <f t="shared" si="282"/>
        <v>#DIV/0!</v>
      </c>
      <c r="Y225" s="419" t="e">
        <f t="shared" si="282"/>
        <v>#DIV/0!</v>
      </c>
      <c r="Z225" s="249" t="e">
        <f t="shared" si="282"/>
        <v>#DIV/0!</v>
      </c>
      <c r="AA225" s="249" t="e">
        <f t="shared" si="282"/>
        <v>#DIV/0!</v>
      </c>
      <c r="AB225" s="249" t="e">
        <f t="shared" si="282"/>
        <v>#DIV/0!</v>
      </c>
      <c r="AC225" s="249" t="e">
        <f t="shared" si="282"/>
        <v>#DIV/0!</v>
      </c>
      <c r="AD225" s="249" t="e">
        <f t="shared" si="282"/>
        <v>#DIV/0!</v>
      </c>
      <c r="AE225" s="249" t="e">
        <f t="shared" si="282"/>
        <v>#DIV/0!</v>
      </c>
      <c r="AF225" s="249" t="e">
        <f t="shared" si="282"/>
        <v>#DIV/0!</v>
      </c>
      <c r="AG225" s="249" t="e">
        <f t="shared" si="282"/>
        <v>#DIV/0!</v>
      </c>
      <c r="AJ225" s="232" t="s">
        <v>832</v>
      </c>
      <c r="AK225" s="232" t="s">
        <v>833</v>
      </c>
      <c r="AN225" s="232" t="s">
        <v>872</v>
      </c>
      <c r="AO225" s="232" t="s">
        <v>832</v>
      </c>
      <c r="AP225" s="232" t="s">
        <v>833</v>
      </c>
    </row>
    <row r="226" spans="1:179" x14ac:dyDescent="0.35">
      <c r="C226" s="1" t="s">
        <v>109</v>
      </c>
      <c r="F226" s="501" t="e">
        <f t="shared" ref="F226:V226" si="283">($K$113/$G$113)*(F193/F$59)*100</f>
        <v>#DIV/0!</v>
      </c>
      <c r="G226" s="249" t="e">
        <f t="shared" si="283"/>
        <v>#DIV/0!</v>
      </c>
      <c r="H226" s="249" t="e">
        <f t="shared" si="283"/>
        <v>#DIV/0!</v>
      </c>
      <c r="I226" s="1242" t="e">
        <f t="shared" si="283"/>
        <v>#DIV/0!</v>
      </c>
      <c r="J226" s="419" t="e">
        <f>($K$113/$G$113)*(J193/J$59)*100-0.2</f>
        <v>#DIV/0!</v>
      </c>
      <c r="K226" s="249" t="e">
        <f t="shared" si="283"/>
        <v>#DIV/0!</v>
      </c>
      <c r="L226" s="249" t="e">
        <f t="shared" si="283"/>
        <v>#DIV/0!</v>
      </c>
      <c r="M226" s="249" t="e">
        <f t="shared" si="283"/>
        <v>#DIV/0!</v>
      </c>
      <c r="N226" s="249" t="e">
        <f t="shared" si="283"/>
        <v>#DIV/0!</v>
      </c>
      <c r="O226" s="249" t="e">
        <f t="shared" si="283"/>
        <v>#DIV/0!</v>
      </c>
      <c r="P226" s="249" t="e">
        <f t="shared" si="283"/>
        <v>#DIV/0!</v>
      </c>
      <c r="Q226" s="249" t="e">
        <f t="shared" si="283"/>
        <v>#DIV/0!</v>
      </c>
      <c r="R226" s="1242" t="e">
        <f t="shared" si="283"/>
        <v>#DIV/0!</v>
      </c>
      <c r="S226" s="419" t="e">
        <f t="shared" si="283"/>
        <v>#DIV/0!</v>
      </c>
      <c r="T226" s="249" t="e">
        <f t="shared" si="283"/>
        <v>#DIV/0!</v>
      </c>
      <c r="U226" s="249" t="e">
        <f t="shared" si="283"/>
        <v>#DIV/0!</v>
      </c>
      <c r="V226" s="249" t="e">
        <f t="shared" si="283"/>
        <v>#DIV/0!</v>
      </c>
      <c r="W226" s="249" t="e">
        <f t="shared" ref="W226:AG226" si="284">($K$113/$G$113)*(W193/W$59)*100</f>
        <v>#DIV/0!</v>
      </c>
      <c r="X226" s="1242" t="e">
        <f t="shared" si="284"/>
        <v>#DIV/0!</v>
      </c>
      <c r="Y226" s="419" t="e">
        <f t="shared" si="284"/>
        <v>#DIV/0!</v>
      </c>
      <c r="Z226" s="249" t="e">
        <f t="shared" si="284"/>
        <v>#DIV/0!</v>
      </c>
      <c r="AA226" s="249" t="e">
        <f t="shared" si="284"/>
        <v>#DIV/0!</v>
      </c>
      <c r="AB226" s="249" t="e">
        <f t="shared" si="284"/>
        <v>#DIV/0!</v>
      </c>
      <c r="AC226" s="249" t="e">
        <f t="shared" si="284"/>
        <v>#DIV/0!</v>
      </c>
      <c r="AD226" s="249" t="e">
        <f t="shared" si="284"/>
        <v>#DIV/0!</v>
      </c>
      <c r="AE226" s="249" t="e">
        <f t="shared" si="284"/>
        <v>#DIV/0!</v>
      </c>
      <c r="AF226" s="249" t="e">
        <f t="shared" si="284"/>
        <v>#DIV/0!</v>
      </c>
      <c r="AG226" s="249" t="e">
        <f t="shared" si="284"/>
        <v>#DIV/0!</v>
      </c>
      <c r="AI226" s="232" t="s">
        <v>135</v>
      </c>
      <c r="AJ226" s="232" t="e">
        <f>AVERAGE(K226:N226)</f>
        <v>#DIV/0!</v>
      </c>
      <c r="AK226" s="232" t="e">
        <f>AVERAGE(Q226:T226)</f>
        <v>#DIV/0!</v>
      </c>
      <c r="AL226" s="1236" t="s">
        <v>295</v>
      </c>
      <c r="AN226" s="232" t="e">
        <f>AVERAGE(H226:I226)</f>
        <v>#DIV/0!</v>
      </c>
      <c r="AO226" s="232" t="e">
        <f>AVERAGE(M226:O226)</f>
        <v>#DIV/0!</v>
      </c>
      <c r="AP226" s="232" t="e">
        <f>AVERAGE(R226:T226)</f>
        <v>#DIV/0!</v>
      </c>
    </row>
    <row r="227" spans="1:179" x14ac:dyDescent="0.35">
      <c r="C227" s="1" t="s">
        <v>593</v>
      </c>
      <c r="F227" s="501">
        <v>4.9000000000000004</v>
      </c>
      <c r="G227" s="249">
        <v>4.5</v>
      </c>
      <c r="H227" s="249">
        <v>4.4000000000000004</v>
      </c>
      <c r="I227" s="1242">
        <v>4.4000000000000004</v>
      </c>
      <c r="J227" s="419">
        <v>5.5</v>
      </c>
      <c r="K227" s="249">
        <v>5.4</v>
      </c>
      <c r="L227" s="249">
        <v>5.3</v>
      </c>
      <c r="M227" s="249">
        <v>5.3</v>
      </c>
      <c r="N227" s="249">
        <v>5.3</v>
      </c>
      <c r="O227" s="249">
        <v>5.3</v>
      </c>
      <c r="P227" s="249">
        <v>3.9</v>
      </c>
      <c r="Q227" s="249">
        <v>3.9</v>
      </c>
      <c r="R227" s="1242">
        <v>3.9</v>
      </c>
      <c r="S227" s="419">
        <v>3.9</v>
      </c>
      <c r="T227" s="249">
        <v>3.9</v>
      </c>
      <c r="U227" s="249">
        <v>3.9</v>
      </c>
      <c r="V227" s="249"/>
      <c r="W227" s="249"/>
      <c r="X227" s="1242"/>
      <c r="Y227" s="419"/>
      <c r="Z227" s="249"/>
      <c r="AA227" s="249"/>
      <c r="AB227" s="249"/>
      <c r="AC227" s="249"/>
      <c r="AD227" s="249"/>
      <c r="AE227" s="249"/>
      <c r="AF227" s="249"/>
      <c r="AG227" s="249"/>
      <c r="AI227" s="232" t="s">
        <v>135</v>
      </c>
      <c r="AJ227" s="232">
        <f>AVERAGE(K227:N227)</f>
        <v>5.3250000000000002</v>
      </c>
      <c r="AK227" s="232">
        <f>AVERAGE(Q227:T227)</f>
        <v>3.9</v>
      </c>
      <c r="AL227" s="1236" t="s">
        <v>608</v>
      </c>
      <c r="AN227" s="947">
        <f>AVERAGE(H227:I227)</f>
        <v>4.4000000000000004</v>
      </c>
      <c r="AO227" s="947">
        <f>AVERAGE(M227:O227)</f>
        <v>5.3</v>
      </c>
      <c r="AP227" s="947">
        <f>AVERAGE(R227:T227)</f>
        <v>3.9</v>
      </c>
    </row>
    <row r="228" spans="1:179" x14ac:dyDescent="0.35">
      <c r="C228" s="1" t="s">
        <v>110</v>
      </c>
      <c r="F228" s="501" t="e">
        <f t="shared" ref="F228:V228" si="285">($K$114/$G$114)*(F196/F$59)*100</f>
        <v>#DIV/0!</v>
      </c>
      <c r="G228" s="249" t="e">
        <f t="shared" si="285"/>
        <v>#DIV/0!</v>
      </c>
      <c r="H228" s="249" t="e">
        <f t="shared" si="285"/>
        <v>#DIV/0!</v>
      </c>
      <c r="I228" s="1242" t="e">
        <f t="shared" si="285"/>
        <v>#DIV/0!</v>
      </c>
      <c r="J228" s="419" t="e">
        <f>($K$114/$G$114)*(J196/J$59)*100-0.2</f>
        <v>#DIV/0!</v>
      </c>
      <c r="K228" s="249" t="e">
        <f t="shared" si="285"/>
        <v>#DIV/0!</v>
      </c>
      <c r="L228" s="249" t="e">
        <f t="shared" si="285"/>
        <v>#DIV/0!</v>
      </c>
      <c r="M228" s="249" t="e">
        <f t="shared" si="285"/>
        <v>#DIV/0!</v>
      </c>
      <c r="N228" s="249" t="e">
        <f t="shared" si="285"/>
        <v>#DIV/0!</v>
      </c>
      <c r="O228" s="249" t="e">
        <f t="shared" si="285"/>
        <v>#DIV/0!</v>
      </c>
      <c r="P228" s="249" t="e">
        <f t="shared" si="285"/>
        <v>#DIV/0!</v>
      </c>
      <c r="Q228" s="249" t="e">
        <f t="shared" si="285"/>
        <v>#DIV/0!</v>
      </c>
      <c r="R228" s="1242" t="e">
        <f t="shared" si="285"/>
        <v>#DIV/0!</v>
      </c>
      <c r="S228" s="419" t="e">
        <f t="shared" si="285"/>
        <v>#DIV/0!</v>
      </c>
      <c r="T228" s="249" t="e">
        <f t="shared" si="285"/>
        <v>#DIV/0!</v>
      </c>
      <c r="U228" s="249" t="e">
        <f t="shared" si="285"/>
        <v>#DIV/0!</v>
      </c>
      <c r="V228" s="249" t="e">
        <f t="shared" si="285"/>
        <v>#DIV/0!</v>
      </c>
      <c r="W228" s="249" t="e">
        <f t="shared" ref="W228:AG228" si="286">($K$114/$G$114)*(W196/W$59)*100</f>
        <v>#DIV/0!</v>
      </c>
      <c r="X228" s="1242" t="e">
        <f t="shared" si="286"/>
        <v>#DIV/0!</v>
      </c>
      <c r="Y228" s="419" t="e">
        <f t="shared" si="286"/>
        <v>#DIV/0!</v>
      </c>
      <c r="Z228" s="249" t="e">
        <f t="shared" si="286"/>
        <v>#DIV/0!</v>
      </c>
      <c r="AA228" s="249" t="e">
        <f t="shared" si="286"/>
        <v>#DIV/0!</v>
      </c>
      <c r="AB228" s="249" t="e">
        <f t="shared" si="286"/>
        <v>#DIV/0!</v>
      </c>
      <c r="AC228" s="249" t="e">
        <f t="shared" si="286"/>
        <v>#DIV/0!</v>
      </c>
      <c r="AD228" s="249" t="e">
        <f t="shared" si="286"/>
        <v>#DIV/0!</v>
      </c>
      <c r="AE228" s="249" t="e">
        <f t="shared" si="286"/>
        <v>#DIV/0!</v>
      </c>
      <c r="AF228" s="249" t="e">
        <f t="shared" si="286"/>
        <v>#DIV/0!</v>
      </c>
      <c r="AG228" s="249" t="e">
        <f t="shared" si="286"/>
        <v>#DIV/0!</v>
      </c>
      <c r="AI228" s="232" t="s">
        <v>136</v>
      </c>
      <c r="AJ228" s="267" t="e">
        <f>AVERAGE(K228:N228)</f>
        <v>#DIV/0!</v>
      </c>
      <c r="AK228" s="267" t="e">
        <f>AVERAGE(Q228:T228)</f>
        <v>#DIV/0!</v>
      </c>
      <c r="AL228" s="1236" t="s">
        <v>295</v>
      </c>
      <c r="AN228" s="916" t="e">
        <f>AVERAGE(G228:I228)</f>
        <v>#DIV/0!</v>
      </c>
      <c r="AO228" s="916" t="e">
        <f>AVERAGE(M228:O228)</f>
        <v>#DIV/0!</v>
      </c>
      <c r="AP228" s="916" t="e">
        <f>AVERAGE(R228:T228)</f>
        <v>#DIV/0!</v>
      </c>
      <c r="BL228" s="249"/>
    </row>
    <row r="229" spans="1:179" x14ac:dyDescent="0.35">
      <c r="C229" s="444" t="s">
        <v>595</v>
      </c>
      <c r="F229" s="501">
        <v>0.2</v>
      </c>
      <c r="G229" s="249">
        <v>0.2</v>
      </c>
      <c r="H229" s="249">
        <v>0.2</v>
      </c>
      <c r="I229" s="1242">
        <v>0.2</v>
      </c>
      <c r="J229" s="419">
        <v>0.3</v>
      </c>
      <c r="K229" s="249">
        <v>0.3</v>
      </c>
      <c r="L229" s="249">
        <v>0.3</v>
      </c>
      <c r="M229" s="249">
        <v>0.3</v>
      </c>
      <c r="N229" s="249">
        <v>0.3</v>
      </c>
      <c r="O229" s="249">
        <v>0.3</v>
      </c>
      <c r="P229" s="249">
        <v>0.3</v>
      </c>
      <c r="Q229" s="249">
        <v>0.3</v>
      </c>
      <c r="R229" s="1242">
        <v>0.3</v>
      </c>
      <c r="S229" s="419">
        <v>0.3</v>
      </c>
      <c r="T229" s="249">
        <v>0.3</v>
      </c>
      <c r="U229" s="249">
        <v>0.3</v>
      </c>
      <c r="V229" s="249"/>
      <c r="W229" s="249"/>
      <c r="X229" s="1242"/>
      <c r="Y229" s="419"/>
      <c r="Z229" s="249"/>
      <c r="AA229" s="249"/>
      <c r="AB229" s="249"/>
      <c r="AC229" s="249"/>
      <c r="AD229" s="249"/>
      <c r="AE229" s="249"/>
      <c r="AF229" s="249"/>
      <c r="AG229" s="249"/>
      <c r="AI229" s="232" t="s">
        <v>136</v>
      </c>
      <c r="AJ229" s="267">
        <f>AVERAGE(K229:N229)</f>
        <v>0.3</v>
      </c>
      <c r="AK229" s="267">
        <f>AVERAGE(Q229:T229)</f>
        <v>0.3</v>
      </c>
      <c r="AL229" s="1236" t="s">
        <v>608</v>
      </c>
      <c r="AN229" s="459">
        <f>AVERAGE(G229:I229)</f>
        <v>0.20000000000000004</v>
      </c>
      <c r="AO229" s="459">
        <f>AVERAGE(M229:O229)</f>
        <v>0.3</v>
      </c>
      <c r="AP229" s="459">
        <f>AVERAGE(R229:T229)</f>
        <v>0.3</v>
      </c>
      <c r="BL229" s="249"/>
    </row>
    <row r="230" spans="1:179" x14ac:dyDescent="0.35">
      <c r="C230" s="1" t="s">
        <v>143</v>
      </c>
      <c r="F230" s="501">
        <f t="shared" ref="F230:V230" si="287">((AI$74+BL$74+CO$74)/F$59)*100</f>
        <v>-1.5001692169216923</v>
      </c>
      <c r="G230" s="249">
        <f t="shared" si="287"/>
        <v>-1.3077212276214838</v>
      </c>
      <c r="H230" s="249">
        <f t="shared" si="287"/>
        <v>-1.3805816913291791</v>
      </c>
      <c r="I230" s="1242">
        <f t="shared" si="287"/>
        <v>-1.3633634510382413</v>
      </c>
      <c r="J230" s="419">
        <f t="shared" si="287"/>
        <v>-1.165473321858864</v>
      </c>
      <c r="K230" s="249">
        <f t="shared" si="287"/>
        <v>-0.88262135218415816</v>
      </c>
      <c r="L230" s="249">
        <f t="shared" si="287"/>
        <v>-1.2075137159662626</v>
      </c>
      <c r="M230" s="249">
        <f t="shared" si="287"/>
        <v>-1.1467072766058308</v>
      </c>
      <c r="N230" s="249">
        <f t="shared" si="287"/>
        <v>-1.2454681980868065</v>
      </c>
      <c r="O230" s="249">
        <f t="shared" si="287"/>
        <v>-1.1338912718491261</v>
      </c>
      <c r="P230" s="249">
        <f t="shared" si="287"/>
        <v>-1.245156862745098</v>
      </c>
      <c r="Q230" s="249">
        <f t="shared" si="287"/>
        <v>-1.1553282887078</v>
      </c>
      <c r="R230" s="1242">
        <f t="shared" si="287"/>
        <v>-1.1742140526683755</v>
      </c>
      <c r="S230" s="419" t="e">
        <f t="shared" si="287"/>
        <v>#DIV/0!</v>
      </c>
      <c r="T230" s="249" t="e">
        <f t="shared" si="287"/>
        <v>#DIV/0!</v>
      </c>
      <c r="U230" s="249" t="e">
        <f t="shared" si="287"/>
        <v>#DIV/0!</v>
      </c>
      <c r="V230" s="249" t="e">
        <f t="shared" si="287"/>
        <v>#DIV/0!</v>
      </c>
      <c r="W230" s="249" t="e">
        <f t="shared" ref="W230:AG230" si="288">((BK$74+CN$74+DQ$74)/W$59)*100</f>
        <v>#DIV/0!</v>
      </c>
      <c r="X230" s="1242" t="e">
        <f t="shared" si="288"/>
        <v>#DIV/0!</v>
      </c>
      <c r="Y230" s="419" t="e">
        <f t="shared" si="288"/>
        <v>#DIV/0!</v>
      </c>
      <c r="Z230" s="249" t="e">
        <f t="shared" si="288"/>
        <v>#DIV/0!</v>
      </c>
      <c r="AA230" s="249" t="e">
        <f t="shared" si="288"/>
        <v>#DIV/0!</v>
      </c>
      <c r="AB230" s="249" t="e">
        <f t="shared" si="288"/>
        <v>#DIV/0!</v>
      </c>
      <c r="AC230" s="249" t="e">
        <f t="shared" si="288"/>
        <v>#DIV/0!</v>
      </c>
      <c r="AD230" s="249" t="e">
        <f t="shared" si="288"/>
        <v>#DIV/0!</v>
      </c>
      <c r="AE230" s="249" t="e">
        <f t="shared" si="288"/>
        <v>#DIV/0!</v>
      </c>
      <c r="AF230" s="249" t="e">
        <f t="shared" si="288"/>
        <v>#DIV/0!</v>
      </c>
      <c r="AG230" s="249" t="e">
        <f t="shared" si="288"/>
        <v>#DIV/0!</v>
      </c>
      <c r="AJ230" s="267"/>
      <c r="AK230" s="267"/>
      <c r="AN230" s="916"/>
      <c r="AO230" s="916"/>
      <c r="AP230" s="916"/>
    </row>
    <row r="231" spans="1:179" ht="15" thickBot="1" x14ac:dyDescent="0.4">
      <c r="C231" s="444" t="s">
        <v>113</v>
      </c>
      <c r="F231" s="653">
        <f t="shared" ref="F231:V231" si="289">((AI$75+BL$75+CO$75)/F$59)*100</f>
        <v>-1.1380594059405942</v>
      </c>
      <c r="G231" s="311">
        <f t="shared" si="289"/>
        <v>-0.23630434782608722</v>
      </c>
      <c r="H231" s="311">
        <f t="shared" si="289"/>
        <v>-0.68458516355140187</v>
      </c>
      <c r="I231" s="1241">
        <f t="shared" si="289"/>
        <v>-0.40925453558294134</v>
      </c>
      <c r="J231" s="654">
        <f t="shared" si="289"/>
        <v>1.191394148020654</v>
      </c>
      <c r="K231" s="311">
        <f t="shared" si="289"/>
        <v>1.7467100132059348</v>
      </c>
      <c r="L231" s="311">
        <f t="shared" si="289"/>
        <v>1.4736992904780806</v>
      </c>
      <c r="M231" s="311">
        <f t="shared" si="289"/>
        <v>1.2122782649917041</v>
      </c>
      <c r="N231" s="311">
        <f t="shared" si="289"/>
        <v>0.8235905224579142</v>
      </c>
      <c r="O231" s="311">
        <f t="shared" si="289"/>
        <v>1.1633373198405397</v>
      </c>
      <c r="P231" s="311">
        <f t="shared" si="289"/>
        <v>0.63472671568627459</v>
      </c>
      <c r="Q231" s="311">
        <f t="shared" si="289"/>
        <v>0.971839697322468</v>
      </c>
      <c r="R231" s="1241">
        <f t="shared" si="289"/>
        <v>0.81295298298764829</v>
      </c>
      <c r="S231" s="654" t="e">
        <f t="shared" si="289"/>
        <v>#DIV/0!</v>
      </c>
      <c r="T231" s="311" t="e">
        <f t="shared" si="289"/>
        <v>#DIV/0!</v>
      </c>
      <c r="U231" s="311" t="e">
        <f t="shared" si="289"/>
        <v>#DIV/0!</v>
      </c>
      <c r="V231" s="311" t="e">
        <f t="shared" si="289"/>
        <v>#DIV/0!</v>
      </c>
      <c r="W231" s="311" t="e">
        <f t="shared" ref="W231:AG231" si="290">((BK$75+CN$75+DQ$75)/W$59)*100</f>
        <v>#DIV/0!</v>
      </c>
      <c r="X231" s="1241" t="e">
        <f t="shared" si="290"/>
        <v>#DIV/0!</v>
      </c>
      <c r="Y231" s="654" t="e">
        <f t="shared" si="290"/>
        <v>#DIV/0!</v>
      </c>
      <c r="Z231" s="311" t="e">
        <f t="shared" si="290"/>
        <v>#DIV/0!</v>
      </c>
      <c r="AA231" s="311" t="e">
        <f t="shared" si="290"/>
        <v>#DIV/0!</v>
      </c>
      <c r="AB231" s="311" t="e">
        <f t="shared" si="290"/>
        <v>#DIV/0!</v>
      </c>
      <c r="AC231" s="311" t="e">
        <f t="shared" si="290"/>
        <v>#DIV/0!</v>
      </c>
      <c r="AD231" s="311" t="e">
        <f t="shared" si="290"/>
        <v>#DIV/0!</v>
      </c>
      <c r="AE231" s="311" t="e">
        <f t="shared" si="290"/>
        <v>#DIV/0!</v>
      </c>
      <c r="AF231" s="311" t="e">
        <f t="shared" si="290"/>
        <v>#DIV/0!</v>
      </c>
      <c r="AG231" s="311" t="e">
        <f t="shared" si="290"/>
        <v>#DIV/0!</v>
      </c>
      <c r="AJ231" s="267"/>
      <c r="AK231" s="267"/>
      <c r="AN231" s="459"/>
      <c r="AO231" s="459"/>
      <c r="AP231" s="459"/>
    </row>
    <row r="232" spans="1:179" ht="15" thickTop="1" x14ac:dyDescent="0.35">
      <c r="A232" s="377"/>
      <c r="B232" s="377"/>
      <c r="C232" s="375" t="s">
        <v>114</v>
      </c>
      <c r="D232" s="375"/>
      <c r="E232" s="375"/>
      <c r="F232" s="1332">
        <f t="shared" ref="F232:V232" si="291">((AI$76+BL$76+CO$76)/F$59)*100</f>
        <v>0.323774205992028</v>
      </c>
      <c r="G232" s="1333">
        <f t="shared" si="291"/>
        <v>1.7493401534526856</v>
      </c>
      <c r="H232" s="1333">
        <f t="shared" si="291"/>
        <v>1.1513641355140185</v>
      </c>
      <c r="I232" s="1334">
        <f t="shared" si="291"/>
        <v>1.9291224889107432</v>
      </c>
      <c r="J232" s="1335">
        <f t="shared" si="291"/>
        <v>8.2974526678141149</v>
      </c>
      <c r="K232" s="1336">
        <f t="shared" si="291"/>
        <v>9.1044665320179181</v>
      </c>
      <c r="L232" s="1333">
        <f t="shared" si="291"/>
        <v>10.27170754225439</v>
      </c>
      <c r="M232" s="1333">
        <f t="shared" si="291"/>
        <v>8.5731995733586164</v>
      </c>
      <c r="N232" s="1333">
        <f t="shared" si="291"/>
        <v>7.9873588485878608</v>
      </c>
      <c r="O232" s="1333">
        <f t="shared" si="291"/>
        <v>8.4733448520392507</v>
      </c>
      <c r="P232" s="1333">
        <f t="shared" si="291"/>
        <v>7.8525683593750006</v>
      </c>
      <c r="Q232" s="1333">
        <f t="shared" si="291"/>
        <v>8.1601616996507556</v>
      </c>
      <c r="R232" s="1334">
        <f t="shared" si="291"/>
        <v>7.9365678163598243</v>
      </c>
      <c r="S232" s="1335" t="e">
        <f t="shared" si="291"/>
        <v>#DIV/0!</v>
      </c>
      <c r="T232" s="1333" t="e">
        <f t="shared" si="291"/>
        <v>#DIV/0!</v>
      </c>
      <c r="U232" s="1333" t="e">
        <f t="shared" si="291"/>
        <v>#DIV/0!</v>
      </c>
      <c r="V232" s="1333" t="e">
        <f t="shared" si="291"/>
        <v>#DIV/0!</v>
      </c>
      <c r="W232" s="1333" t="e">
        <f t="shared" ref="W232:AG232" si="292">((BK$76+CN$76+DQ$76)/W$59)*100</f>
        <v>#DIV/0!</v>
      </c>
      <c r="X232" s="1334" t="e">
        <f t="shared" si="292"/>
        <v>#DIV/0!</v>
      </c>
      <c r="Y232" s="1335" t="e">
        <f t="shared" si="292"/>
        <v>#DIV/0!</v>
      </c>
      <c r="Z232" s="1333" t="e">
        <f t="shared" si="292"/>
        <v>#DIV/0!</v>
      </c>
      <c r="AA232" s="1333" t="e">
        <f t="shared" si="292"/>
        <v>#DIV/0!</v>
      </c>
      <c r="AB232" s="1333" t="e">
        <f t="shared" si="292"/>
        <v>#DIV/0!</v>
      </c>
      <c r="AC232" s="1333" t="e">
        <f t="shared" si="292"/>
        <v>#DIV/0!</v>
      </c>
      <c r="AD232" s="1333" t="e">
        <f t="shared" si="292"/>
        <v>#DIV/0!</v>
      </c>
      <c r="AE232" s="1333" t="e">
        <f t="shared" si="292"/>
        <v>#DIV/0!</v>
      </c>
      <c r="AF232" s="1333" t="e">
        <f t="shared" si="292"/>
        <v>#DIV/0!</v>
      </c>
      <c r="AG232" s="1333" t="e">
        <f t="shared" si="292"/>
        <v>#DIV/0!</v>
      </c>
    </row>
    <row r="233" spans="1:179" x14ac:dyDescent="0.35">
      <c r="C233" s="1" t="s">
        <v>115</v>
      </c>
      <c r="F233" s="603">
        <f t="shared" ref="F233:V233" si="293">((AI$77+BL$77+CO$77)/F$59)*100</f>
        <v>4.5610132441815612</v>
      </c>
      <c r="G233" s="250">
        <f t="shared" si="293"/>
        <v>5.0936579283887484</v>
      </c>
      <c r="H233" s="250">
        <f t="shared" si="293"/>
        <v>4.8340630776220141</v>
      </c>
      <c r="I233" s="1280">
        <f t="shared" si="293"/>
        <v>5.6054278455596869</v>
      </c>
      <c r="J233" s="1223">
        <f t="shared" si="293"/>
        <v>14.630464716006886</v>
      </c>
      <c r="K233" s="250">
        <f t="shared" si="293"/>
        <v>15.751159817706309</v>
      </c>
      <c r="L233" s="250">
        <f t="shared" si="293"/>
        <v>16.570578321947448</v>
      </c>
      <c r="M233" s="250">
        <f t="shared" si="293"/>
        <v>15.029646835743069</v>
      </c>
      <c r="N233" s="250">
        <f t="shared" si="293"/>
        <v>15.018521161299589</v>
      </c>
      <c r="O233" s="250">
        <f t="shared" si="293"/>
        <v>15.109437308341004</v>
      </c>
      <c r="P233" s="250">
        <f t="shared" si="293"/>
        <v>14.533769761029413</v>
      </c>
      <c r="Q233" s="250">
        <f t="shared" si="293"/>
        <v>14.748325611175787</v>
      </c>
      <c r="R233" s="1280">
        <f t="shared" si="293"/>
        <v>14.871682882777906</v>
      </c>
      <c r="S233" s="1223" t="e">
        <f t="shared" si="293"/>
        <v>#DIV/0!</v>
      </c>
      <c r="T233" s="250" t="e">
        <f t="shared" si="293"/>
        <v>#DIV/0!</v>
      </c>
      <c r="U233" s="250" t="e">
        <f t="shared" si="293"/>
        <v>#DIV/0!</v>
      </c>
      <c r="V233" s="250" t="e">
        <f t="shared" si="293"/>
        <v>#DIV/0!</v>
      </c>
      <c r="W233" s="250" t="e">
        <f t="shared" ref="W233:AG233" si="294">((BK$77+CN$77+DQ$77)/W$59)*100</f>
        <v>#DIV/0!</v>
      </c>
      <c r="X233" s="1280" t="e">
        <f t="shared" si="294"/>
        <v>#DIV/0!</v>
      </c>
      <c r="Y233" s="1223" t="e">
        <f t="shared" si="294"/>
        <v>#DIV/0!</v>
      </c>
      <c r="Z233" s="250" t="e">
        <f t="shared" si="294"/>
        <v>#DIV/0!</v>
      </c>
      <c r="AA233" s="250" t="e">
        <f t="shared" si="294"/>
        <v>#DIV/0!</v>
      </c>
      <c r="AB233" s="250" t="e">
        <f t="shared" si="294"/>
        <v>#DIV/0!</v>
      </c>
      <c r="AC233" s="250" t="e">
        <f t="shared" si="294"/>
        <v>#DIV/0!</v>
      </c>
      <c r="AD233" s="250" t="e">
        <f t="shared" si="294"/>
        <v>#DIV/0!</v>
      </c>
      <c r="AE233" s="250" t="e">
        <f t="shared" si="294"/>
        <v>#DIV/0!</v>
      </c>
      <c r="AF233" s="250" t="e">
        <f t="shared" si="294"/>
        <v>#DIV/0!</v>
      </c>
      <c r="AG233" s="250" t="e">
        <f t="shared" si="294"/>
        <v>#DIV/0!</v>
      </c>
    </row>
    <row r="234" spans="1:179" x14ac:dyDescent="0.35">
      <c r="C234" s="1" t="s">
        <v>116</v>
      </c>
      <c r="F234" s="603">
        <f t="shared" ref="F234:V234" si="295">((AI$78+BL$78+CO$78)/F$59)*100</f>
        <v>18.499007843641511</v>
      </c>
      <c r="G234" s="250">
        <f t="shared" si="295"/>
        <v>15.672632352941179</v>
      </c>
      <c r="H234" s="250">
        <f t="shared" si="295"/>
        <v>14.971943659138109</v>
      </c>
      <c r="I234" s="1280">
        <f t="shared" si="295"/>
        <v>15.319761926713587</v>
      </c>
      <c r="J234" s="1223">
        <f t="shared" si="295"/>
        <v>21.669707401032706</v>
      </c>
      <c r="K234" s="250">
        <f t="shared" si="295"/>
        <v>23.101508739221629</v>
      </c>
      <c r="L234" s="250">
        <f t="shared" si="295"/>
        <v>23.633742094773595</v>
      </c>
      <c r="M234" s="250">
        <f t="shared" si="295"/>
        <v>22.843808248400094</v>
      </c>
      <c r="N234" s="250">
        <f t="shared" si="295"/>
        <v>22.953260080247308</v>
      </c>
      <c r="O234" s="250">
        <f t="shared" si="295"/>
        <v>22.52796000076664</v>
      </c>
      <c r="P234" s="250">
        <f t="shared" si="295"/>
        <v>22.724253676470589</v>
      </c>
      <c r="Q234" s="250">
        <f t="shared" si="295"/>
        <v>22.473583818393486</v>
      </c>
      <c r="R234" s="1280">
        <f t="shared" si="295"/>
        <v>23.054498368678626</v>
      </c>
      <c r="S234" s="1223" t="e">
        <f t="shared" si="295"/>
        <v>#DIV/0!</v>
      </c>
      <c r="T234" s="250" t="e">
        <f t="shared" si="295"/>
        <v>#DIV/0!</v>
      </c>
      <c r="U234" s="250" t="e">
        <f t="shared" si="295"/>
        <v>#DIV/0!</v>
      </c>
      <c r="V234" s="250" t="e">
        <f t="shared" si="295"/>
        <v>#DIV/0!</v>
      </c>
      <c r="W234" s="250" t="e">
        <f t="shared" ref="W234:AG234" si="296">((BK$78+CN$78+DQ$78)/W$59)*100</f>
        <v>#DIV/0!</v>
      </c>
      <c r="X234" s="1280" t="e">
        <f t="shared" si="296"/>
        <v>#DIV/0!</v>
      </c>
      <c r="Y234" s="1223" t="e">
        <f t="shared" si="296"/>
        <v>#DIV/0!</v>
      </c>
      <c r="Z234" s="250" t="e">
        <f t="shared" si="296"/>
        <v>#DIV/0!</v>
      </c>
      <c r="AA234" s="250" t="e">
        <f t="shared" si="296"/>
        <v>#DIV/0!</v>
      </c>
      <c r="AB234" s="250" t="e">
        <f t="shared" si="296"/>
        <v>#DIV/0!</v>
      </c>
      <c r="AC234" s="250" t="e">
        <f t="shared" si="296"/>
        <v>#DIV/0!</v>
      </c>
      <c r="AD234" s="250" t="e">
        <f t="shared" si="296"/>
        <v>#DIV/0!</v>
      </c>
      <c r="AE234" s="250" t="e">
        <f t="shared" si="296"/>
        <v>#DIV/0!</v>
      </c>
      <c r="AF234" s="250" t="e">
        <f t="shared" si="296"/>
        <v>#DIV/0!</v>
      </c>
      <c r="AG234" s="250" t="e">
        <f t="shared" si="296"/>
        <v>#DIV/0!</v>
      </c>
    </row>
    <row r="235" spans="1:179" x14ac:dyDescent="0.35">
      <c r="C235" s="1" t="s">
        <v>111</v>
      </c>
      <c r="F235" s="603">
        <f t="shared" ref="F235:V235" si="297">((AI$79+BL$79+CO$79)/F$59)*100</f>
        <v>10.453611418284686</v>
      </c>
      <c r="G235" s="250">
        <f t="shared" si="297"/>
        <v>9.3768663682864464</v>
      </c>
      <c r="H235" s="250">
        <f t="shared" si="297"/>
        <v>10.247828452751818</v>
      </c>
      <c r="I235" s="1280">
        <f t="shared" si="297"/>
        <v>11.031844350881508</v>
      </c>
      <c r="J235" s="1223">
        <f t="shared" si="297"/>
        <v>8.2426161790017201</v>
      </c>
      <c r="K235" s="250">
        <f t="shared" si="297"/>
        <v>8.7963773065071589</v>
      </c>
      <c r="L235" s="250">
        <f t="shared" si="297"/>
        <v>9.1150238604574625</v>
      </c>
      <c r="M235" s="250">
        <f t="shared" si="297"/>
        <v>8.9500146954254554</v>
      </c>
      <c r="N235" s="250">
        <f t="shared" si="297"/>
        <v>8.8100776071234357</v>
      </c>
      <c r="O235" s="250">
        <f t="shared" si="297"/>
        <v>8.7332211361545546</v>
      </c>
      <c r="P235" s="250">
        <f t="shared" si="297"/>
        <v>9.0223013939950985</v>
      </c>
      <c r="Q235" s="250">
        <f t="shared" si="297"/>
        <v>8.8005041909196748</v>
      </c>
      <c r="R235" s="1280">
        <f t="shared" si="297"/>
        <v>8.9059808319738991</v>
      </c>
      <c r="S235" s="1223" t="e">
        <f t="shared" si="297"/>
        <v>#DIV/0!</v>
      </c>
      <c r="T235" s="250" t="e">
        <f t="shared" si="297"/>
        <v>#DIV/0!</v>
      </c>
      <c r="U235" s="250" t="e">
        <f t="shared" si="297"/>
        <v>#DIV/0!</v>
      </c>
      <c r="V235" s="250" t="e">
        <f t="shared" si="297"/>
        <v>#DIV/0!</v>
      </c>
      <c r="W235" s="250" t="e">
        <f t="shared" ref="W235:AG235" si="298">((BK$79+CN$79+DQ$79)/W$59)*100</f>
        <v>#DIV/0!</v>
      </c>
      <c r="X235" s="1280" t="e">
        <f t="shared" si="298"/>
        <v>#DIV/0!</v>
      </c>
      <c r="Y235" s="1223" t="e">
        <f t="shared" si="298"/>
        <v>#DIV/0!</v>
      </c>
      <c r="Z235" s="250" t="e">
        <f t="shared" si="298"/>
        <v>#DIV/0!</v>
      </c>
      <c r="AA235" s="250" t="e">
        <f t="shared" si="298"/>
        <v>#DIV/0!</v>
      </c>
      <c r="AB235" s="250" t="e">
        <f t="shared" si="298"/>
        <v>#DIV/0!</v>
      </c>
      <c r="AC235" s="250" t="e">
        <f t="shared" si="298"/>
        <v>#DIV/0!</v>
      </c>
      <c r="AD235" s="250" t="e">
        <f t="shared" si="298"/>
        <v>#DIV/0!</v>
      </c>
      <c r="AE235" s="250" t="e">
        <f t="shared" si="298"/>
        <v>#DIV/0!</v>
      </c>
      <c r="AF235" s="250" t="e">
        <f t="shared" si="298"/>
        <v>#DIV/0!</v>
      </c>
      <c r="AG235" s="250" t="e">
        <f t="shared" si="298"/>
        <v>#DIV/0!</v>
      </c>
    </row>
    <row r="236" spans="1:179" x14ac:dyDescent="0.35">
      <c r="C236" s="1" t="s">
        <v>112</v>
      </c>
      <c r="F236" s="603">
        <f t="shared" ref="F236:V236" si="299">((AI$80+BL$80+CO$80)/F$59)*100</f>
        <v>46.395781406712096</v>
      </c>
      <c r="G236" s="250">
        <f t="shared" si="299"/>
        <v>45.62083823529413</v>
      </c>
      <c r="H236" s="250">
        <f t="shared" si="299"/>
        <v>48.152257249480783</v>
      </c>
      <c r="I236" s="1280">
        <f t="shared" si="299"/>
        <v>46.276495897231015</v>
      </c>
      <c r="J236" s="1223">
        <f t="shared" si="299"/>
        <v>19.182030981067118</v>
      </c>
      <c r="K236" s="250">
        <f t="shared" si="299"/>
        <v>16.778188580750417</v>
      </c>
      <c r="L236" s="250">
        <f t="shared" si="299"/>
        <v>18.212670725687012</v>
      </c>
      <c r="M236" s="250">
        <f t="shared" si="299"/>
        <v>19.338186300071104</v>
      </c>
      <c r="N236" s="250">
        <f t="shared" si="299"/>
        <v>20.803641816874311</v>
      </c>
      <c r="O236" s="250">
        <f t="shared" si="299"/>
        <v>20.387936867525301</v>
      </c>
      <c r="P236" s="250">
        <f t="shared" si="299"/>
        <v>19.916875191482834</v>
      </c>
      <c r="Q236" s="250">
        <f t="shared" si="299"/>
        <v>19.836536088474976</v>
      </c>
      <c r="R236" s="1280">
        <f t="shared" si="299"/>
        <v>19.480902178979257</v>
      </c>
      <c r="S236" s="1223" t="e">
        <f t="shared" si="299"/>
        <v>#DIV/0!</v>
      </c>
      <c r="T236" s="250" t="e">
        <f t="shared" si="299"/>
        <v>#DIV/0!</v>
      </c>
      <c r="U236" s="250" t="e">
        <f t="shared" si="299"/>
        <v>#DIV/0!</v>
      </c>
      <c r="V236" s="250" t="e">
        <f t="shared" si="299"/>
        <v>#DIV/0!</v>
      </c>
      <c r="W236" s="250" t="e">
        <f t="shared" ref="W236:AG236" si="300">((BK$80+CN$80+DQ$80)/W$59)*100</f>
        <v>#DIV/0!</v>
      </c>
      <c r="X236" s="1280" t="e">
        <f t="shared" si="300"/>
        <v>#DIV/0!</v>
      </c>
      <c r="Y236" s="1223" t="e">
        <f t="shared" si="300"/>
        <v>#DIV/0!</v>
      </c>
      <c r="Z236" s="250" t="e">
        <f t="shared" si="300"/>
        <v>#DIV/0!</v>
      </c>
      <c r="AA236" s="250" t="e">
        <f t="shared" si="300"/>
        <v>#DIV/0!</v>
      </c>
      <c r="AB236" s="250" t="e">
        <f t="shared" si="300"/>
        <v>#DIV/0!</v>
      </c>
      <c r="AC236" s="250" t="e">
        <f t="shared" si="300"/>
        <v>#DIV/0!</v>
      </c>
      <c r="AD236" s="250" t="e">
        <f t="shared" si="300"/>
        <v>#DIV/0!</v>
      </c>
      <c r="AE236" s="250" t="e">
        <f t="shared" si="300"/>
        <v>#DIV/0!</v>
      </c>
      <c r="AF236" s="250" t="e">
        <f t="shared" si="300"/>
        <v>#DIV/0!</v>
      </c>
      <c r="AG236" s="250" t="e">
        <f t="shared" si="300"/>
        <v>#DIV/0!</v>
      </c>
    </row>
    <row r="237" spans="1:179" x14ac:dyDescent="0.35">
      <c r="C237" s="1" t="s">
        <v>284</v>
      </c>
      <c r="F237" s="603">
        <v>54</v>
      </c>
      <c r="G237" s="250">
        <v>54</v>
      </c>
      <c r="H237" s="250">
        <v>54.4</v>
      </c>
      <c r="I237" s="1280">
        <v>54.4</v>
      </c>
      <c r="J237" s="1223">
        <v>31</v>
      </c>
      <c r="K237" s="250">
        <v>31.3</v>
      </c>
      <c r="L237" s="250">
        <v>31.3</v>
      </c>
      <c r="M237" s="250">
        <v>30</v>
      </c>
      <c r="N237" s="250">
        <v>30.9</v>
      </c>
      <c r="O237" s="250">
        <v>30</v>
      </c>
      <c r="P237" s="250">
        <v>32</v>
      </c>
      <c r="Q237" s="250">
        <v>33.200000000000003</v>
      </c>
      <c r="R237" s="1280">
        <v>32</v>
      </c>
      <c r="S237" s="1223">
        <v>29.9</v>
      </c>
      <c r="T237" s="250">
        <v>29</v>
      </c>
      <c r="U237" s="250">
        <v>30.4</v>
      </c>
      <c r="V237" s="250"/>
      <c r="W237" s="250"/>
      <c r="X237" s="1280"/>
      <c r="Y237" s="1223"/>
      <c r="Z237" s="250"/>
      <c r="AA237" s="250"/>
      <c r="AB237" s="250"/>
      <c r="AC237" s="250"/>
      <c r="AD237" s="250"/>
      <c r="AE237" s="250"/>
      <c r="AF237" s="250"/>
      <c r="AG237" s="250"/>
    </row>
    <row r="238" spans="1:179" ht="15" thickBot="1" x14ac:dyDescent="0.4">
      <c r="A238" s="368"/>
      <c r="B238" s="368"/>
      <c r="C238" s="364"/>
      <c r="D238" s="364"/>
      <c r="E238" s="364"/>
      <c r="F238" s="1060"/>
      <c r="G238" s="372"/>
      <c r="H238" s="372"/>
      <c r="I238" s="1337"/>
      <c r="J238" s="1338"/>
      <c r="K238" s="372"/>
      <c r="L238" s="372"/>
      <c r="M238" s="372"/>
      <c r="N238" s="372"/>
      <c r="O238" s="372"/>
      <c r="P238" s="372"/>
      <c r="Q238" s="372"/>
      <c r="R238" s="1337"/>
      <c r="S238" s="1338"/>
      <c r="T238" s="372"/>
      <c r="U238" s="372"/>
      <c r="V238" s="372"/>
      <c r="W238" s="372"/>
      <c r="X238" s="1337"/>
      <c r="Y238" s="1338"/>
      <c r="Z238" s="372"/>
      <c r="AA238" s="372"/>
      <c r="AB238" s="372"/>
      <c r="AC238" s="372"/>
      <c r="AD238" s="372"/>
      <c r="AE238" s="372"/>
      <c r="AF238" s="372"/>
      <c r="AG238" s="372"/>
    </row>
    <row r="239" spans="1:179" s="368" customFormat="1" ht="15.5" thickTop="1" thickBot="1" x14ac:dyDescent="0.4">
      <c r="C239" s="458" t="s">
        <v>221</v>
      </c>
      <c r="D239" s="458"/>
      <c r="E239" s="458"/>
      <c r="F239" s="1328">
        <f>F212+F215+F218+F221</f>
        <v>3.767250642921435</v>
      </c>
      <c r="G239" s="1329">
        <f t="shared" ref="G239:U239" si="301">G212+G215+G218+G221</f>
        <v>3.9309218670076733</v>
      </c>
      <c r="H239" s="1329">
        <f t="shared" si="301"/>
        <v>1.2982058768172375</v>
      </c>
      <c r="I239" s="1330">
        <f t="shared" si="301"/>
        <v>1.3664528634015254</v>
      </c>
      <c r="J239" s="1331">
        <f t="shared" si="301"/>
        <v>3.2411641472723192</v>
      </c>
      <c r="K239" s="314">
        <f t="shared" si="301"/>
        <v>4.0462779331417185</v>
      </c>
      <c r="L239" s="314">
        <f t="shared" si="301"/>
        <v>4.120825035797349</v>
      </c>
      <c r="M239" s="314">
        <f t="shared" si="301"/>
        <v>3.9763137213268016</v>
      </c>
      <c r="N239" s="314">
        <f t="shared" si="301"/>
        <v>3.8703966644936982</v>
      </c>
      <c r="O239" s="314">
        <f t="shared" si="301"/>
        <v>3.9021442233977313</v>
      </c>
      <c r="P239" s="314">
        <f t="shared" si="301"/>
        <v>3.617608213337419</v>
      </c>
      <c r="Q239" s="314">
        <f t="shared" si="301"/>
        <v>3.7220590447548831</v>
      </c>
      <c r="R239" s="1330">
        <f t="shared" si="301"/>
        <v>4.0967623271576166</v>
      </c>
      <c r="S239" s="1331" t="e">
        <f t="shared" si="301"/>
        <v>#DIV/0!</v>
      </c>
      <c r="T239" s="314" t="e">
        <f t="shared" si="301"/>
        <v>#DIV/0!</v>
      </c>
      <c r="U239" s="314" t="e">
        <f t="shared" si="301"/>
        <v>#DIV/0!</v>
      </c>
      <c r="V239" s="229" t="e">
        <f>SUM(V$212:V$221)</f>
        <v>#DIV/0!</v>
      </c>
      <c r="W239" s="229" t="e">
        <f t="shared" ref="W239:AG239" si="302">SUM(W$212:W$221)</f>
        <v>#VALUE!</v>
      </c>
      <c r="X239" s="1245" t="e">
        <f t="shared" si="302"/>
        <v>#DIV/0!</v>
      </c>
      <c r="Y239" s="538" t="e">
        <f t="shared" si="302"/>
        <v>#DIV/0!</v>
      </c>
      <c r="Z239" s="229" t="e">
        <f t="shared" si="302"/>
        <v>#DIV/0!</v>
      </c>
      <c r="AA239" s="229" t="e">
        <f t="shared" si="302"/>
        <v>#DIV/0!</v>
      </c>
      <c r="AB239" s="229" t="e">
        <f t="shared" si="302"/>
        <v>#DIV/0!</v>
      </c>
      <c r="AC239" s="229" t="e">
        <f t="shared" si="302"/>
        <v>#DIV/0!</v>
      </c>
      <c r="AD239" s="229" t="e">
        <f t="shared" si="302"/>
        <v>#DIV/0!</v>
      </c>
      <c r="AE239" s="229" t="e">
        <f t="shared" si="302"/>
        <v>#DIV/0!</v>
      </c>
      <c r="AF239" s="229" t="e">
        <f t="shared" si="302"/>
        <v>#DIV/0!</v>
      </c>
      <c r="AG239" s="229" t="e">
        <f t="shared" si="302"/>
        <v>#DIV/0!</v>
      </c>
      <c r="AH239" s="323"/>
      <c r="AI239" s="232"/>
      <c r="AJ239" s="232"/>
      <c r="AK239" s="232"/>
      <c r="AL239" s="1236"/>
      <c r="AM239" s="643"/>
      <c r="AN239" s="232" t="s">
        <v>872</v>
      </c>
      <c r="AO239" s="232" t="s">
        <v>832</v>
      </c>
      <c r="AP239" s="232" t="s">
        <v>833</v>
      </c>
      <c r="AQ239" s="232"/>
      <c r="AR239" s="232"/>
      <c r="AS239" s="232"/>
      <c r="AT239" s="232"/>
      <c r="AU239" s="1236"/>
      <c r="AV239" s="643"/>
      <c r="AW239" s="232"/>
      <c r="AX239" s="232"/>
      <c r="AY239" s="232"/>
      <c r="AZ239" s="232"/>
      <c r="BA239" s="1236"/>
      <c r="BB239" s="643"/>
      <c r="BC239" s="232"/>
      <c r="BD239" s="232"/>
      <c r="BE239" s="232"/>
      <c r="BF239" s="232"/>
      <c r="BG239" s="232"/>
      <c r="BH239" s="232"/>
      <c r="BI239" s="232"/>
      <c r="BJ239" s="232"/>
      <c r="BK239" s="323"/>
      <c r="BL239" s="232"/>
      <c r="BM239" s="232"/>
      <c r="BN239" s="232"/>
      <c r="BO239" s="1236"/>
      <c r="BP239" s="643"/>
      <c r="BQ239" s="232"/>
      <c r="BR239" s="232"/>
      <c r="BS239" s="232"/>
      <c r="BT239" s="232"/>
      <c r="BU239" s="232"/>
      <c r="BV239" s="232"/>
      <c r="BW239" s="232"/>
      <c r="BX239" s="1236"/>
      <c r="BY239" s="643"/>
      <c r="BZ239" s="232"/>
      <c r="CA239" s="232"/>
      <c r="CB239" s="232"/>
      <c r="CC239" s="232"/>
      <c r="CD239" s="1236"/>
      <c r="CE239" s="643"/>
      <c r="CF239" s="232"/>
      <c r="CG239" s="232"/>
      <c r="CH239" s="232"/>
      <c r="CI239" s="232"/>
      <c r="CJ239" s="232"/>
      <c r="CK239" s="232"/>
      <c r="CL239" s="232"/>
      <c r="CM239" s="232"/>
      <c r="CN239" s="323"/>
      <c r="CO239" s="232"/>
      <c r="CP239" s="232"/>
      <c r="CQ239" s="232"/>
      <c r="CR239" s="1236"/>
      <c r="CS239" s="643"/>
      <c r="CT239" s="232"/>
      <c r="CU239" s="232"/>
      <c r="CV239" s="232"/>
      <c r="CW239" s="232"/>
      <c r="CX239" s="232"/>
      <c r="CY239" s="232"/>
      <c r="CZ239" s="232"/>
      <c r="DA239" s="1236"/>
      <c r="DB239" s="643"/>
      <c r="DC239" s="232"/>
      <c r="DD239" s="232"/>
      <c r="DE239" s="232"/>
      <c r="DF239" s="232"/>
      <c r="DG239" s="1236"/>
      <c r="DH239" s="643"/>
      <c r="DI239" s="232"/>
      <c r="DJ239" s="232"/>
      <c r="DK239" s="232"/>
      <c r="DL239" s="232"/>
      <c r="DM239" s="232"/>
      <c r="DN239" s="232"/>
      <c r="DO239" s="232"/>
      <c r="DP239" s="232"/>
      <c r="DQ239" s="323"/>
      <c r="DR239" s="238"/>
      <c r="DS239" s="232"/>
      <c r="DT239" s="232"/>
      <c r="DU239" s="232"/>
      <c r="DV239" s="1236"/>
      <c r="DW239" s="643"/>
      <c r="DX239" s="232"/>
      <c r="DY239" s="232"/>
      <c r="DZ239" s="232"/>
      <c r="EA239" s="232"/>
      <c r="EB239" s="232"/>
      <c r="EC239" s="232"/>
      <c r="ED239" s="232"/>
      <c r="EE239" s="1236"/>
      <c r="EF239" s="643"/>
      <c r="EG239" s="232"/>
      <c r="EH239" s="232"/>
      <c r="EI239" s="232"/>
      <c r="EJ239" s="232"/>
      <c r="EK239" s="1236"/>
      <c r="EL239" s="643"/>
      <c r="EM239" s="232"/>
      <c r="EN239" s="232"/>
      <c r="EO239" s="232"/>
      <c r="EP239" s="232"/>
      <c r="EQ239" s="232"/>
      <c r="ER239" s="232"/>
      <c r="ES239" s="232"/>
      <c r="ET239" s="232"/>
      <c r="EU239" s="323"/>
      <c r="EV239" s="232"/>
      <c r="EW239" s="232"/>
      <c r="EX239" s="232"/>
      <c r="EY239" s="1236"/>
      <c r="EZ239" s="643"/>
      <c r="FA239" s="232"/>
      <c r="FB239" s="232"/>
      <c r="FC239" s="232"/>
      <c r="FD239" s="232"/>
      <c r="FE239" s="232"/>
      <c r="FF239" s="232"/>
      <c r="FG239" s="232"/>
      <c r="FH239" s="1236"/>
      <c r="FI239" s="643"/>
      <c r="FJ239" s="232"/>
      <c r="FK239" s="232"/>
      <c r="FL239" s="232"/>
      <c r="FM239" s="232"/>
      <c r="FN239" s="1236"/>
      <c r="FO239" s="643"/>
      <c r="FP239" s="232"/>
      <c r="FQ239" s="232"/>
      <c r="FR239" s="232"/>
      <c r="FS239" s="232"/>
      <c r="FT239" s="232"/>
      <c r="FU239" s="232"/>
      <c r="FV239" s="232"/>
      <c r="FW239" s="232"/>
    </row>
    <row r="240" spans="1:179" ht="6.75" customHeight="1" thickTop="1" x14ac:dyDescent="0.35">
      <c r="C240" s="1" t="s">
        <v>229</v>
      </c>
      <c r="F240" s="603" t="e">
        <f t="shared" ref="F240:AG240" si="303">F$239/F$137</f>
        <v>#DIV/0!</v>
      </c>
      <c r="G240" s="250" t="e">
        <f t="shared" si="303"/>
        <v>#DIV/0!</v>
      </c>
      <c r="H240" s="250" t="e">
        <f t="shared" si="303"/>
        <v>#DIV/0!</v>
      </c>
      <c r="I240" s="1280" t="e">
        <f t="shared" si="303"/>
        <v>#DIV/0!</v>
      </c>
      <c r="J240" s="1223" t="e">
        <f t="shared" si="303"/>
        <v>#DIV/0!</v>
      </c>
      <c r="K240" s="250" t="e">
        <f t="shared" si="303"/>
        <v>#DIV/0!</v>
      </c>
      <c r="L240" s="250" t="e">
        <f t="shared" si="303"/>
        <v>#DIV/0!</v>
      </c>
      <c r="M240" s="250" t="e">
        <f t="shared" si="303"/>
        <v>#DIV/0!</v>
      </c>
      <c r="N240" s="250" t="e">
        <f t="shared" si="303"/>
        <v>#DIV/0!</v>
      </c>
      <c r="O240" s="250" t="e">
        <f t="shared" si="303"/>
        <v>#DIV/0!</v>
      </c>
      <c r="P240" s="250" t="e">
        <f t="shared" si="303"/>
        <v>#DIV/0!</v>
      </c>
      <c r="Q240" s="250" t="e">
        <f t="shared" si="303"/>
        <v>#DIV/0!</v>
      </c>
      <c r="R240" s="1280" t="e">
        <f t="shared" si="303"/>
        <v>#DIV/0!</v>
      </c>
      <c r="S240" s="1223" t="e">
        <f t="shared" si="303"/>
        <v>#DIV/0!</v>
      </c>
      <c r="T240" s="250" t="e">
        <f t="shared" si="303"/>
        <v>#DIV/0!</v>
      </c>
      <c r="U240" s="250" t="e">
        <f t="shared" si="303"/>
        <v>#DIV/0!</v>
      </c>
      <c r="V240" s="232" t="e">
        <f t="shared" si="303"/>
        <v>#DIV/0!</v>
      </c>
      <c r="W240" s="232" t="e">
        <f t="shared" si="303"/>
        <v>#VALUE!</v>
      </c>
      <c r="X240" s="1236" t="e">
        <f t="shared" si="303"/>
        <v>#DIV/0!</v>
      </c>
      <c r="Y240" s="643" t="e">
        <f t="shared" si="303"/>
        <v>#DIV/0!</v>
      </c>
      <c r="Z240" s="232" t="e">
        <f t="shared" si="303"/>
        <v>#DIV/0!</v>
      </c>
      <c r="AA240" s="232" t="e">
        <f t="shared" si="303"/>
        <v>#DIV/0!</v>
      </c>
      <c r="AB240" s="232" t="e">
        <f t="shared" si="303"/>
        <v>#DIV/0!</v>
      </c>
      <c r="AC240" s="232" t="e">
        <f t="shared" si="303"/>
        <v>#DIV/0!</v>
      </c>
      <c r="AD240" s="232" t="e">
        <f t="shared" si="303"/>
        <v>#DIV/0!</v>
      </c>
      <c r="AE240" s="232" t="e">
        <f t="shared" si="303"/>
        <v>#DIV/0!</v>
      </c>
      <c r="AF240" s="232" t="e">
        <f t="shared" si="303"/>
        <v>#DIV/0!</v>
      </c>
      <c r="AG240" s="232" t="e">
        <f t="shared" si="303"/>
        <v>#DIV/0!</v>
      </c>
      <c r="AI240" s="232" t="s">
        <v>869</v>
      </c>
      <c r="AJ240" s="232" t="e">
        <f>AVERAGE(K240:N240)</f>
        <v>#DIV/0!</v>
      </c>
      <c r="AK240" s="232" t="e">
        <f>AVERAGE(Q240:T240)</f>
        <v>#DIV/0!</v>
      </c>
      <c r="AL240" s="1236" t="s">
        <v>295</v>
      </c>
      <c r="AN240" s="232" t="e">
        <f>AVERAGE(H240:I240)</f>
        <v>#DIV/0!</v>
      </c>
      <c r="AO240" s="232" t="e">
        <f>AVERAGE(M240:O240)</f>
        <v>#DIV/0!</v>
      </c>
      <c r="AP240" s="232" t="e">
        <f>AVERAGE(R240:T240)</f>
        <v>#DIV/0!</v>
      </c>
    </row>
    <row r="241" spans="3:179" x14ac:dyDescent="0.35">
      <c r="C241" s="1" t="s">
        <v>245</v>
      </c>
      <c r="F241" s="603">
        <v>1.6</v>
      </c>
      <c r="G241" s="250">
        <v>1.7</v>
      </c>
      <c r="H241" s="250">
        <v>1.6</v>
      </c>
      <c r="I241" s="1280">
        <v>1.7</v>
      </c>
      <c r="J241" s="1223">
        <v>3.5</v>
      </c>
      <c r="K241" s="250">
        <v>3.6</v>
      </c>
      <c r="L241" s="250">
        <v>4.0999999999999996</v>
      </c>
      <c r="M241" s="250">
        <v>3.5</v>
      </c>
      <c r="N241" s="250">
        <v>4.0999999999999996</v>
      </c>
      <c r="O241" s="250">
        <v>3.8</v>
      </c>
      <c r="P241" s="250">
        <v>4</v>
      </c>
      <c r="Q241" s="250">
        <v>3.8</v>
      </c>
      <c r="R241" s="1280">
        <v>3.8</v>
      </c>
      <c r="S241" s="1223">
        <v>4.05</v>
      </c>
      <c r="T241" s="250">
        <v>4.09</v>
      </c>
      <c r="U241" s="250">
        <v>4.0999999999999996</v>
      </c>
      <c r="V241" s="250"/>
      <c r="W241" s="250"/>
      <c r="X241" s="1280"/>
      <c r="Y241" s="1223"/>
      <c r="Z241" s="250"/>
      <c r="AA241" s="250"/>
      <c r="AB241" s="250"/>
      <c r="AC241" s="250"/>
      <c r="AD241" s="250"/>
      <c r="AE241" s="250"/>
      <c r="AF241" s="250"/>
      <c r="AG241" s="250"/>
      <c r="AI241" s="232" t="s">
        <v>869</v>
      </c>
      <c r="AJ241" s="232">
        <f>AVERAGE(K241:N241)</f>
        <v>3.8249999999999997</v>
      </c>
      <c r="AK241" s="232">
        <f>AVERAGE(Q241:T241)</f>
        <v>3.9349999999999996</v>
      </c>
      <c r="AL241" s="1236" t="s">
        <v>608</v>
      </c>
      <c r="AN241" s="947">
        <f>AVERAGE(H241:I241)</f>
        <v>1.65</v>
      </c>
      <c r="AO241" s="947">
        <f>AVERAGE(M241:O241)</f>
        <v>3.7999999999999994</v>
      </c>
      <c r="AP241" s="947">
        <f>AVERAGE(R241:T241)</f>
        <v>3.98</v>
      </c>
    </row>
    <row r="242" spans="3:179" x14ac:dyDescent="0.35">
      <c r="C242" s="1">
        <v>0.05</v>
      </c>
      <c r="F242" s="603">
        <f>F$241+$C$242*F$241</f>
        <v>1.6800000000000002</v>
      </c>
      <c r="G242" s="250">
        <f t="shared" ref="G242:U242" si="304">G$241+$C$242*G$241</f>
        <v>1.7849999999999999</v>
      </c>
      <c r="H242" s="250">
        <f t="shared" si="304"/>
        <v>1.6800000000000002</v>
      </c>
      <c r="I242" s="1280">
        <f t="shared" si="304"/>
        <v>1.7849999999999999</v>
      </c>
      <c r="J242" s="1223">
        <f t="shared" si="304"/>
        <v>3.6749999999999998</v>
      </c>
      <c r="K242" s="250">
        <f t="shared" si="304"/>
        <v>3.7800000000000002</v>
      </c>
      <c r="L242" s="250">
        <f t="shared" si="304"/>
        <v>4.3049999999999997</v>
      </c>
      <c r="M242" s="250">
        <f t="shared" si="304"/>
        <v>3.6749999999999998</v>
      </c>
      <c r="N242" s="250">
        <f t="shared" si="304"/>
        <v>4.3049999999999997</v>
      </c>
      <c r="O242" s="250">
        <f t="shared" si="304"/>
        <v>3.9899999999999998</v>
      </c>
      <c r="P242" s="250">
        <f t="shared" si="304"/>
        <v>4.2</v>
      </c>
      <c r="Q242" s="250">
        <f t="shared" si="304"/>
        <v>3.9899999999999998</v>
      </c>
      <c r="R242" s="1280">
        <f t="shared" si="304"/>
        <v>3.9899999999999998</v>
      </c>
      <c r="S242" s="1223">
        <f t="shared" si="304"/>
        <v>4.2524999999999995</v>
      </c>
      <c r="T242" s="250">
        <f t="shared" si="304"/>
        <v>4.2945000000000002</v>
      </c>
      <c r="U242" s="250">
        <f t="shared" si="304"/>
        <v>4.3049999999999997</v>
      </c>
      <c r="V242" s="250"/>
      <c r="W242" s="250"/>
      <c r="X242" s="1280"/>
      <c r="Y242" s="1223"/>
      <c r="Z242" s="250"/>
      <c r="AA242" s="250"/>
      <c r="AB242" s="250"/>
      <c r="AC242" s="250"/>
      <c r="AD242" s="250"/>
      <c r="AE242" s="250"/>
      <c r="AF242" s="250"/>
      <c r="AG242" s="250"/>
      <c r="AJ242" s="267"/>
      <c r="AK242" s="267"/>
      <c r="AN242" s="267"/>
      <c r="AO242" s="267"/>
      <c r="AP242" s="916"/>
    </row>
    <row r="243" spans="3:179" x14ac:dyDescent="0.35">
      <c r="C243" s="444">
        <v>-0.05</v>
      </c>
      <c r="D243" s="444"/>
      <c r="E243" s="444"/>
      <c r="F243" s="1056">
        <f>F$241+$C$243*F$241</f>
        <v>1.52</v>
      </c>
      <c r="G243" s="445">
        <f t="shared" ref="G243:U243" si="305">G$241+$C$243*G$241</f>
        <v>1.615</v>
      </c>
      <c r="H243" s="445">
        <f t="shared" si="305"/>
        <v>1.52</v>
      </c>
      <c r="I243" s="1280">
        <f t="shared" si="305"/>
        <v>1.615</v>
      </c>
      <c r="J243" s="1223">
        <f t="shared" si="305"/>
        <v>3.3250000000000002</v>
      </c>
      <c r="K243" s="250">
        <f t="shared" si="305"/>
        <v>3.42</v>
      </c>
      <c r="L243" s="250">
        <f t="shared" si="305"/>
        <v>3.8949999999999996</v>
      </c>
      <c r="M243" s="250">
        <f t="shared" si="305"/>
        <v>3.3250000000000002</v>
      </c>
      <c r="N243" s="250">
        <f t="shared" si="305"/>
        <v>3.8949999999999996</v>
      </c>
      <c r="O243" s="250">
        <f t="shared" si="305"/>
        <v>3.61</v>
      </c>
      <c r="P243" s="250">
        <f t="shared" si="305"/>
        <v>3.8</v>
      </c>
      <c r="Q243" s="250">
        <f t="shared" si="305"/>
        <v>3.61</v>
      </c>
      <c r="R243" s="1280">
        <f t="shared" si="305"/>
        <v>3.61</v>
      </c>
      <c r="S243" s="1223">
        <f t="shared" si="305"/>
        <v>3.8474999999999997</v>
      </c>
      <c r="T243" s="250">
        <f t="shared" si="305"/>
        <v>3.8855</v>
      </c>
      <c r="U243" s="250">
        <f t="shared" si="305"/>
        <v>3.8949999999999996</v>
      </c>
      <c r="AJ243" s="267"/>
      <c r="AK243" s="267"/>
      <c r="AN243" s="267"/>
      <c r="AO243" s="459"/>
      <c r="AP243" s="459"/>
    </row>
    <row r="244" spans="3:179" x14ac:dyDescent="0.35">
      <c r="C244" s="415"/>
      <c r="D244" s="415"/>
      <c r="E244" s="415"/>
      <c r="F244" s="603"/>
      <c r="G244" s="250"/>
      <c r="H244" s="250"/>
      <c r="I244" s="1280"/>
      <c r="J244" s="1223"/>
      <c r="K244" s="250"/>
      <c r="L244" s="250"/>
      <c r="M244" s="250"/>
      <c r="N244" s="250"/>
      <c r="O244" s="250"/>
      <c r="P244" s="250"/>
      <c r="Q244" s="250"/>
      <c r="R244" s="1280"/>
      <c r="S244" s="1223"/>
      <c r="T244" s="250"/>
      <c r="U244" s="250"/>
    </row>
    <row r="245" spans="3:179" s="368" customFormat="1" ht="15" thickBot="1" x14ac:dyDescent="0.4">
      <c r="C245" s="413" t="s">
        <v>228</v>
      </c>
      <c r="D245" s="413"/>
      <c r="E245" s="413"/>
      <c r="F245" s="603">
        <f t="shared" ref="F245:AG245" si="306">SUM(F$224:F$225)+SUM(F$230:F$234)</f>
        <v>21.75423096952553</v>
      </c>
      <c r="G245" s="250">
        <f t="shared" si="306"/>
        <v>22.143239291024805</v>
      </c>
      <c r="H245" s="250">
        <f t="shared" si="306"/>
        <v>19.242384818668643</v>
      </c>
      <c r="I245" s="1280">
        <f t="shared" si="306"/>
        <v>21.362953194985341</v>
      </c>
      <c r="J245" s="1223">
        <f t="shared" si="306"/>
        <v>45.479081316164567</v>
      </c>
      <c r="K245" s="250">
        <f t="shared" si="306"/>
        <v>49.763726999512826</v>
      </c>
      <c r="L245" s="250">
        <f t="shared" si="306"/>
        <v>51.673681879029729</v>
      </c>
      <c r="M245" s="250">
        <f t="shared" si="306"/>
        <v>47.568592442871029</v>
      </c>
      <c r="N245" s="250">
        <f t="shared" si="306"/>
        <v>46.359508820770074</v>
      </c>
      <c r="O245" s="250">
        <f t="shared" si="306"/>
        <v>47.193663543516408</v>
      </c>
      <c r="P245" s="250">
        <f t="shared" si="306"/>
        <v>45.435497932875911</v>
      </c>
      <c r="Q245" s="250">
        <f t="shared" si="306"/>
        <v>46.407031411592719</v>
      </c>
      <c r="R245" s="1280">
        <f t="shared" si="306"/>
        <v>46.694534544991406</v>
      </c>
      <c r="S245" s="1223" t="e">
        <f t="shared" si="306"/>
        <v>#DIV/0!</v>
      </c>
      <c r="T245" s="250" t="e">
        <f t="shared" si="306"/>
        <v>#DIV/0!</v>
      </c>
      <c r="U245" s="250" t="e">
        <f t="shared" si="306"/>
        <v>#DIV/0!</v>
      </c>
      <c r="V245" s="232" t="e">
        <f t="shared" si="306"/>
        <v>#DIV/0!</v>
      </c>
      <c r="W245" s="232" t="e">
        <f t="shared" si="306"/>
        <v>#VALUE!</v>
      </c>
      <c r="X245" s="1236" t="e">
        <f t="shared" si="306"/>
        <v>#DIV/0!</v>
      </c>
      <c r="Y245" s="643" t="e">
        <f t="shared" si="306"/>
        <v>#DIV/0!</v>
      </c>
      <c r="Z245" s="232" t="e">
        <f t="shared" si="306"/>
        <v>#DIV/0!</v>
      </c>
      <c r="AA245" s="232" t="e">
        <f t="shared" si="306"/>
        <v>#DIV/0!</v>
      </c>
      <c r="AB245" s="232" t="e">
        <f t="shared" si="306"/>
        <v>#DIV/0!</v>
      </c>
      <c r="AC245" s="232" t="e">
        <f t="shared" si="306"/>
        <v>#DIV/0!</v>
      </c>
      <c r="AD245" s="232" t="e">
        <f t="shared" si="306"/>
        <v>#DIV/0!</v>
      </c>
      <c r="AE245" s="232" t="e">
        <f t="shared" si="306"/>
        <v>#DIV/0!</v>
      </c>
      <c r="AF245" s="232" t="e">
        <f t="shared" si="306"/>
        <v>#DIV/0!</v>
      </c>
      <c r="AG245" s="232" t="e">
        <f t="shared" si="306"/>
        <v>#DIV/0!</v>
      </c>
      <c r="AH245" s="323"/>
      <c r="AI245" s="232"/>
      <c r="AJ245" s="232"/>
      <c r="AK245" s="232"/>
      <c r="AL245" s="1236"/>
      <c r="AM245" s="643"/>
      <c r="AN245" s="232"/>
      <c r="AO245" s="232"/>
      <c r="AP245" s="232"/>
      <c r="AQ245" s="232"/>
      <c r="AR245" s="232"/>
      <c r="AS245" s="232"/>
      <c r="AT245" s="232"/>
      <c r="AU245" s="1236"/>
      <c r="AV245" s="643"/>
      <c r="AW245" s="232"/>
      <c r="AX245" s="232"/>
      <c r="AY245" s="232"/>
      <c r="AZ245" s="232"/>
      <c r="BA245" s="1236"/>
      <c r="BB245" s="643"/>
      <c r="BC245" s="232"/>
      <c r="BD245" s="232"/>
      <c r="BE245" s="232"/>
      <c r="BF245" s="232"/>
      <c r="BG245" s="232"/>
      <c r="BH245" s="232"/>
      <c r="BI245" s="232"/>
      <c r="BJ245" s="232"/>
      <c r="BK245" s="323"/>
      <c r="BL245" s="232"/>
      <c r="BM245" s="232"/>
      <c r="BN245" s="232"/>
      <c r="BO245" s="1236"/>
      <c r="BP245" s="643"/>
      <c r="BQ245" s="232"/>
      <c r="BR245" s="232"/>
      <c r="BS245" s="232"/>
      <c r="BT245" s="232"/>
      <c r="BU245" s="232"/>
      <c r="BV245" s="232"/>
      <c r="BW245" s="232"/>
      <c r="BX245" s="1236"/>
      <c r="BY245" s="643"/>
      <c r="BZ245" s="232"/>
      <c r="CA245" s="232"/>
      <c r="CB245" s="232"/>
      <c r="CC245" s="232"/>
      <c r="CD245" s="1236"/>
      <c r="CE245" s="643"/>
      <c r="CF245" s="232"/>
      <c r="CG245" s="232"/>
      <c r="CH245" s="232"/>
      <c r="CI245" s="232"/>
      <c r="CJ245" s="232"/>
      <c r="CK245" s="232"/>
      <c r="CL245" s="232"/>
      <c r="CM245" s="232"/>
      <c r="CN245" s="323"/>
      <c r="CO245" s="232"/>
      <c r="CP245" s="232"/>
      <c r="CQ245" s="232"/>
      <c r="CR245" s="1236"/>
      <c r="CS245" s="643"/>
      <c r="CT245" s="232"/>
      <c r="CU245" s="232"/>
      <c r="CV245" s="232"/>
      <c r="CW245" s="232"/>
      <c r="CX245" s="232"/>
      <c r="CY245" s="232"/>
      <c r="CZ245" s="232"/>
      <c r="DA245" s="1236"/>
      <c r="DB245" s="643"/>
      <c r="DC245" s="232"/>
      <c r="DD245" s="232"/>
      <c r="DE245" s="232"/>
      <c r="DF245" s="232"/>
      <c r="DG245" s="1236"/>
      <c r="DH245" s="643"/>
      <c r="DI245" s="232"/>
      <c r="DJ245" s="232"/>
      <c r="DK245" s="232"/>
      <c r="DL245" s="232"/>
      <c r="DM245" s="232"/>
      <c r="DN245" s="232"/>
      <c r="DO245" s="232"/>
      <c r="DP245" s="232"/>
      <c r="DQ245" s="323"/>
      <c r="DR245" s="238"/>
      <c r="DS245" s="232"/>
      <c r="DT245" s="232"/>
      <c r="DU245" s="232"/>
      <c r="DV245" s="1236"/>
      <c r="DW245" s="643"/>
      <c r="DX245" s="232"/>
      <c r="DY245" s="232"/>
      <c r="DZ245" s="232"/>
      <c r="EA245" s="232"/>
      <c r="EB245" s="232"/>
      <c r="EC245" s="232"/>
      <c r="ED245" s="232"/>
      <c r="EE245" s="1236"/>
      <c r="EF245" s="643"/>
      <c r="EG245" s="232"/>
      <c r="EH245" s="232"/>
      <c r="EI245" s="232"/>
      <c r="EJ245" s="232"/>
      <c r="EK245" s="1236"/>
      <c r="EL245" s="643"/>
      <c r="EM245" s="232"/>
      <c r="EN245" s="232"/>
      <c r="EO245" s="232"/>
      <c r="EP245" s="232"/>
      <c r="EQ245" s="232"/>
      <c r="ER245" s="232"/>
      <c r="ES245" s="232"/>
      <c r="ET245" s="232"/>
      <c r="EU245" s="323"/>
      <c r="EV245" s="232"/>
      <c r="EW245" s="232"/>
      <c r="EX245" s="232"/>
      <c r="EY245" s="1236"/>
      <c r="EZ245" s="643"/>
      <c r="FA245" s="232"/>
      <c r="FB245" s="232"/>
      <c r="FC245" s="232"/>
      <c r="FD245" s="232"/>
      <c r="FE245" s="232"/>
      <c r="FF245" s="232"/>
      <c r="FG245" s="232"/>
      <c r="FH245" s="1236"/>
      <c r="FI245" s="643"/>
      <c r="FJ245" s="232"/>
      <c r="FK245" s="232"/>
      <c r="FL245" s="232"/>
      <c r="FM245" s="232"/>
      <c r="FN245" s="1236"/>
      <c r="FO245" s="643"/>
      <c r="FP245" s="232"/>
      <c r="FQ245" s="232"/>
      <c r="FR245" s="232"/>
      <c r="FS245" s="232"/>
      <c r="FT245" s="232"/>
      <c r="FU245" s="232"/>
      <c r="FV245" s="232"/>
      <c r="FW245" s="232"/>
    </row>
    <row r="246" spans="3:179" ht="11.65" customHeight="1" thickTop="1" x14ac:dyDescent="0.35">
      <c r="C246" s="1" t="s">
        <v>227</v>
      </c>
      <c r="F246" s="603" t="e">
        <f t="shared" ref="F246:AG246" si="307">F$245/F$137</f>
        <v>#DIV/0!</v>
      </c>
      <c r="G246" s="250" t="e">
        <f t="shared" si="307"/>
        <v>#DIV/0!</v>
      </c>
      <c r="H246" s="250" t="e">
        <f t="shared" si="307"/>
        <v>#DIV/0!</v>
      </c>
      <c r="I246" s="1280" t="e">
        <f t="shared" si="307"/>
        <v>#DIV/0!</v>
      </c>
      <c r="J246" s="1223" t="e">
        <f t="shared" si="307"/>
        <v>#DIV/0!</v>
      </c>
      <c r="K246" s="250" t="e">
        <f t="shared" si="307"/>
        <v>#DIV/0!</v>
      </c>
      <c r="L246" s="250" t="e">
        <f t="shared" si="307"/>
        <v>#DIV/0!</v>
      </c>
      <c r="M246" s="250" t="e">
        <f t="shared" si="307"/>
        <v>#DIV/0!</v>
      </c>
      <c r="N246" s="250" t="e">
        <f t="shared" si="307"/>
        <v>#DIV/0!</v>
      </c>
      <c r="O246" s="250" t="e">
        <f t="shared" si="307"/>
        <v>#DIV/0!</v>
      </c>
      <c r="P246" s="250" t="e">
        <f t="shared" si="307"/>
        <v>#DIV/0!</v>
      </c>
      <c r="Q246" s="250" t="e">
        <f t="shared" si="307"/>
        <v>#DIV/0!</v>
      </c>
      <c r="R246" s="1280" t="e">
        <f t="shared" si="307"/>
        <v>#DIV/0!</v>
      </c>
      <c r="S246" s="1223" t="e">
        <f t="shared" si="307"/>
        <v>#DIV/0!</v>
      </c>
      <c r="T246" s="250" t="e">
        <f t="shared" si="307"/>
        <v>#DIV/0!</v>
      </c>
      <c r="U246" s="250" t="e">
        <f t="shared" si="307"/>
        <v>#DIV/0!</v>
      </c>
      <c r="V246" s="232" t="e">
        <f t="shared" si="307"/>
        <v>#DIV/0!</v>
      </c>
      <c r="W246" s="232" t="e">
        <f t="shared" si="307"/>
        <v>#VALUE!</v>
      </c>
      <c r="X246" s="1236" t="e">
        <f t="shared" si="307"/>
        <v>#DIV/0!</v>
      </c>
      <c r="Y246" s="643" t="e">
        <f t="shared" si="307"/>
        <v>#DIV/0!</v>
      </c>
      <c r="Z246" s="232" t="e">
        <f t="shared" si="307"/>
        <v>#DIV/0!</v>
      </c>
      <c r="AA246" s="232" t="e">
        <f t="shared" si="307"/>
        <v>#DIV/0!</v>
      </c>
      <c r="AB246" s="232" t="e">
        <f t="shared" si="307"/>
        <v>#DIV/0!</v>
      </c>
      <c r="AC246" s="232" t="e">
        <f t="shared" si="307"/>
        <v>#DIV/0!</v>
      </c>
      <c r="AD246" s="232" t="e">
        <f t="shared" si="307"/>
        <v>#DIV/0!</v>
      </c>
      <c r="AE246" s="232" t="e">
        <f t="shared" si="307"/>
        <v>#DIV/0!</v>
      </c>
      <c r="AF246" s="232" t="e">
        <f t="shared" si="307"/>
        <v>#DIV/0!</v>
      </c>
      <c r="AG246" s="232" t="e">
        <f t="shared" si="307"/>
        <v>#DIV/0!</v>
      </c>
    </row>
    <row r="247" spans="3:179" x14ac:dyDescent="0.35">
      <c r="C247" s="1" t="s">
        <v>244</v>
      </c>
      <c r="F247" s="603"/>
      <c r="G247" s="249"/>
      <c r="H247" s="249"/>
      <c r="I247" s="1242"/>
      <c r="J247" s="419"/>
      <c r="K247" s="497"/>
      <c r="L247" s="249"/>
      <c r="M247" s="249"/>
      <c r="N247" s="249"/>
      <c r="O247" s="249"/>
      <c r="P247" s="249"/>
      <c r="Q247" s="249"/>
      <c r="R247" s="1242"/>
      <c r="S247" s="419"/>
      <c r="T247" s="249"/>
      <c r="U247" s="249"/>
      <c r="V247" s="249"/>
      <c r="W247" s="249"/>
      <c r="X247" s="1242"/>
      <c r="Y247" s="419"/>
      <c r="Z247" s="249"/>
      <c r="AA247" s="249"/>
      <c r="AB247" s="249"/>
      <c r="AC247" s="249"/>
      <c r="AD247" s="249"/>
      <c r="AE247" s="249"/>
      <c r="AF247" s="249"/>
      <c r="AG247" s="249"/>
    </row>
    <row r="248" spans="3:179" x14ac:dyDescent="0.35">
      <c r="C248" s="1" t="s">
        <v>321</v>
      </c>
      <c r="F248" s="1029">
        <f>5%*F$247</f>
        <v>0</v>
      </c>
      <c r="G248" s="249">
        <f>5%*G$247</f>
        <v>0</v>
      </c>
      <c r="H248" s="249">
        <f t="shared" ref="H248:U248" si="308">5%*H$247</f>
        <v>0</v>
      </c>
      <c r="I248" s="1242">
        <f t="shared" si="308"/>
        <v>0</v>
      </c>
      <c r="J248" s="419">
        <f t="shared" si="308"/>
        <v>0</v>
      </c>
      <c r="K248" s="497">
        <f t="shared" si="308"/>
        <v>0</v>
      </c>
      <c r="L248" s="249">
        <f t="shared" si="308"/>
        <v>0</v>
      </c>
      <c r="M248" s="249">
        <f t="shared" si="308"/>
        <v>0</v>
      </c>
      <c r="N248" s="249">
        <f t="shared" si="308"/>
        <v>0</v>
      </c>
      <c r="O248" s="249">
        <f t="shared" si="308"/>
        <v>0</v>
      </c>
      <c r="P248" s="249">
        <f t="shared" si="308"/>
        <v>0</v>
      </c>
      <c r="Q248" s="249">
        <f t="shared" si="308"/>
        <v>0</v>
      </c>
      <c r="R248" s="1242">
        <f t="shared" si="308"/>
        <v>0</v>
      </c>
      <c r="S248" s="419">
        <f t="shared" si="308"/>
        <v>0</v>
      </c>
      <c r="T248" s="249">
        <f t="shared" si="308"/>
        <v>0</v>
      </c>
      <c r="U248" s="249">
        <f t="shared" si="308"/>
        <v>0</v>
      </c>
      <c r="V248" s="249"/>
      <c r="W248" s="249"/>
      <c r="X248" s="1242"/>
      <c r="Y248" s="419"/>
      <c r="Z248" s="249"/>
      <c r="AA248" s="249"/>
      <c r="AB248" s="249"/>
      <c r="AC248" s="249"/>
      <c r="AD248" s="249"/>
      <c r="AE248" s="249"/>
      <c r="AF248" s="249"/>
      <c r="AG248" s="249"/>
    </row>
    <row r="249" spans="3:179" x14ac:dyDescent="0.35">
      <c r="C249" s="427">
        <v>0.05</v>
      </c>
      <c r="F249" s="1029">
        <f>F$248+F$247</f>
        <v>0</v>
      </c>
      <c r="G249" s="304">
        <f>G$248+G$247</f>
        <v>0</v>
      </c>
      <c r="H249" s="304">
        <f t="shared" ref="H249:U249" si="309">H$248+H$247</f>
        <v>0</v>
      </c>
      <c r="I249" s="1238">
        <f t="shared" si="309"/>
        <v>0</v>
      </c>
      <c r="J249" s="1188">
        <f t="shared" si="309"/>
        <v>0</v>
      </c>
      <c r="K249" s="304">
        <f t="shared" si="309"/>
        <v>0</v>
      </c>
      <c r="L249" s="304">
        <f t="shared" si="309"/>
        <v>0</v>
      </c>
      <c r="M249" s="304">
        <f t="shared" si="309"/>
        <v>0</v>
      </c>
      <c r="N249" s="304">
        <f t="shared" si="309"/>
        <v>0</v>
      </c>
      <c r="O249" s="304">
        <f t="shared" si="309"/>
        <v>0</v>
      </c>
      <c r="P249" s="304">
        <f t="shared" si="309"/>
        <v>0</v>
      </c>
      <c r="Q249" s="304">
        <f t="shared" si="309"/>
        <v>0</v>
      </c>
      <c r="R249" s="1238">
        <f t="shared" si="309"/>
        <v>0</v>
      </c>
      <c r="S249" s="1188">
        <f t="shared" si="309"/>
        <v>0</v>
      </c>
      <c r="T249" s="304">
        <f t="shared" si="309"/>
        <v>0</v>
      </c>
      <c r="U249" s="304">
        <f t="shared" si="309"/>
        <v>0</v>
      </c>
    </row>
    <row r="250" spans="3:179" x14ac:dyDescent="0.35">
      <c r="C250" s="1">
        <v>-0.05</v>
      </c>
      <c r="F250" s="1029">
        <f>F$247-F$248</f>
        <v>0</v>
      </c>
      <c r="G250" s="1150">
        <f>G$247-G$248</f>
        <v>0</v>
      </c>
      <c r="H250" s="1150">
        <f t="shared" ref="H250:U250" si="310">H$247-H$248</f>
        <v>0</v>
      </c>
      <c r="I250" s="1284">
        <f t="shared" si="310"/>
        <v>0</v>
      </c>
      <c r="J250" s="1226">
        <f t="shared" si="310"/>
        <v>0</v>
      </c>
      <c r="K250" s="1150">
        <f t="shared" si="310"/>
        <v>0</v>
      </c>
      <c r="L250" s="1150">
        <f t="shared" si="310"/>
        <v>0</v>
      </c>
      <c r="M250" s="1150">
        <f t="shared" si="310"/>
        <v>0</v>
      </c>
      <c r="N250" s="1150">
        <f t="shared" si="310"/>
        <v>0</v>
      </c>
      <c r="O250" s="1150">
        <f t="shared" si="310"/>
        <v>0</v>
      </c>
      <c r="P250" s="1150">
        <f t="shared" si="310"/>
        <v>0</v>
      </c>
      <c r="Q250" s="1150">
        <f t="shared" si="310"/>
        <v>0</v>
      </c>
      <c r="R250" s="1284">
        <f t="shared" si="310"/>
        <v>0</v>
      </c>
      <c r="S250" s="1226">
        <f t="shared" si="310"/>
        <v>0</v>
      </c>
      <c r="T250" s="1150">
        <f t="shared" si="310"/>
        <v>0</v>
      </c>
      <c r="U250" s="1150">
        <f t="shared" si="310"/>
        <v>0</v>
      </c>
      <c r="V250" s="643"/>
    </row>
    <row r="251" spans="3:179" x14ac:dyDescent="0.35">
      <c r="C251" s="170"/>
      <c r="D251" s="170"/>
      <c r="E251" s="170"/>
      <c r="G251" s="296"/>
      <c r="H251" s="296"/>
      <c r="I251" s="1235"/>
      <c r="J251" s="1187"/>
      <c r="K251" s="296"/>
      <c r="L251" s="296"/>
      <c r="M251" s="296"/>
      <c r="N251" s="296"/>
      <c r="O251" s="296"/>
      <c r="P251" s="296"/>
      <c r="Q251" s="296"/>
      <c r="R251" s="1235"/>
      <c r="S251" s="1187"/>
      <c r="T251" s="296"/>
      <c r="U251" s="296"/>
      <c r="AJ251" s="232" t="s">
        <v>832</v>
      </c>
      <c r="AK251" s="232" t="s">
        <v>833</v>
      </c>
    </row>
    <row r="252" spans="3:179" x14ac:dyDescent="0.35">
      <c r="C252" s="167" t="s">
        <v>233</v>
      </c>
      <c r="D252" s="167"/>
      <c r="E252" s="167"/>
      <c r="F252" s="1029">
        <f>SUM(F$224:F$225)+SUM(F$230:F$231)</f>
        <v>-1.6295643242895721</v>
      </c>
      <c r="G252" s="244">
        <f>SUM(G$224:G$225)+SUM(G$230:G$231)</f>
        <v>-0.37239114375780691</v>
      </c>
      <c r="H252" s="244">
        <f>SUM(H$224:H$225)+SUM(H$230:H$231)</f>
        <v>-1.7149860536054959</v>
      </c>
      <c r="I252" s="1237">
        <f>SUM(I$224:I$225)+SUM(I$230:I$231)</f>
        <v>-1.4913590661986771</v>
      </c>
      <c r="J252" s="606">
        <f>SUM(J$224:J$225)+SUM(J$230:J$231)-1.5</f>
        <v>-0.61854346868914334</v>
      </c>
      <c r="K252" s="244">
        <f>SUM(K$224:K$225)+SUM(K$230:K$231)</f>
        <v>1.8065919105669759</v>
      </c>
      <c r="L252" s="244">
        <f t="shared" ref="L252:AG252" si="311">SUM(L$224:L$225)+SUM(L$230:L$231)</f>
        <v>1.1976539200542926</v>
      </c>
      <c r="M252" s="244">
        <f t="shared" si="311"/>
        <v>1.1219377853692505</v>
      </c>
      <c r="N252" s="244">
        <f t="shared" si="311"/>
        <v>0.40036873063532041</v>
      </c>
      <c r="O252" s="244">
        <f t="shared" si="311"/>
        <v>1.0829213823695116</v>
      </c>
      <c r="P252" s="244">
        <f t="shared" si="311"/>
        <v>0.32490613600091223</v>
      </c>
      <c r="Q252" s="244">
        <f t="shared" si="311"/>
        <v>1.0249602823726884</v>
      </c>
      <c r="R252" s="1237">
        <f t="shared" si="311"/>
        <v>0.83178547717504969</v>
      </c>
      <c r="S252" s="606" t="e">
        <f t="shared" si="311"/>
        <v>#DIV/0!</v>
      </c>
      <c r="T252" s="244" t="e">
        <f t="shared" si="311"/>
        <v>#DIV/0!</v>
      </c>
      <c r="U252" s="244" t="e">
        <f t="shared" si="311"/>
        <v>#DIV/0!</v>
      </c>
      <c r="V252" s="232" t="e">
        <f t="shared" si="311"/>
        <v>#DIV/0!</v>
      </c>
      <c r="W252" s="232" t="e">
        <f t="shared" si="311"/>
        <v>#VALUE!</v>
      </c>
      <c r="X252" s="1236" t="e">
        <f t="shared" si="311"/>
        <v>#DIV/0!</v>
      </c>
      <c r="Y252" s="643" t="e">
        <f t="shared" si="311"/>
        <v>#DIV/0!</v>
      </c>
      <c r="Z252" s="232" t="e">
        <f t="shared" si="311"/>
        <v>#DIV/0!</v>
      </c>
      <c r="AA252" s="232" t="e">
        <f t="shared" si="311"/>
        <v>#DIV/0!</v>
      </c>
      <c r="AB252" s="232" t="e">
        <f t="shared" si="311"/>
        <v>#DIV/0!</v>
      </c>
      <c r="AC252" s="232" t="e">
        <f t="shared" si="311"/>
        <v>#DIV/0!</v>
      </c>
      <c r="AD252" s="232" t="e">
        <f t="shared" si="311"/>
        <v>#DIV/0!</v>
      </c>
      <c r="AE252" s="232" t="e">
        <f t="shared" si="311"/>
        <v>#DIV/0!</v>
      </c>
      <c r="AF252" s="232" t="e">
        <f t="shared" si="311"/>
        <v>#DIV/0!</v>
      </c>
      <c r="AG252" s="232" t="e">
        <f t="shared" si="311"/>
        <v>#DIV/0!</v>
      </c>
    </row>
    <row r="253" spans="3:179" x14ac:dyDescent="0.35">
      <c r="C253" s="1" t="s">
        <v>235</v>
      </c>
      <c r="F253" s="1029" t="e">
        <f>F$252/F$137</f>
        <v>#DIV/0!</v>
      </c>
      <c r="G253" s="232" t="e">
        <f>G$252/G$137</f>
        <v>#DIV/0!</v>
      </c>
      <c r="H253" s="232" t="e">
        <f>H$252/H$137</f>
        <v>#DIV/0!</v>
      </c>
      <c r="I253" s="1236" t="e">
        <f>I$252/I$137</f>
        <v>#DIV/0!</v>
      </c>
      <c r="J253" s="643" t="e">
        <f>J$252/J$137</f>
        <v>#DIV/0!</v>
      </c>
      <c r="K253" s="232" t="e">
        <f t="shared" ref="K253:AG253" si="312">K$252/K$137</f>
        <v>#DIV/0!</v>
      </c>
      <c r="L253" s="232" t="e">
        <f t="shared" si="312"/>
        <v>#DIV/0!</v>
      </c>
      <c r="M253" s="232" t="e">
        <f t="shared" si="312"/>
        <v>#DIV/0!</v>
      </c>
      <c r="N253" s="232" t="e">
        <f t="shared" si="312"/>
        <v>#DIV/0!</v>
      </c>
      <c r="O253" s="232" t="e">
        <f t="shared" si="312"/>
        <v>#DIV/0!</v>
      </c>
      <c r="P253" s="232" t="e">
        <f t="shared" si="312"/>
        <v>#DIV/0!</v>
      </c>
      <c r="Q253" s="232" t="e">
        <f t="shared" si="312"/>
        <v>#DIV/0!</v>
      </c>
      <c r="R253" s="1236" t="e">
        <f t="shared" si="312"/>
        <v>#DIV/0!</v>
      </c>
      <c r="S253" s="643" t="e">
        <f t="shared" si="312"/>
        <v>#DIV/0!</v>
      </c>
      <c r="T253" s="232" t="e">
        <f t="shared" si="312"/>
        <v>#DIV/0!</v>
      </c>
      <c r="U253" s="232" t="e">
        <f t="shared" si="312"/>
        <v>#DIV/0!</v>
      </c>
      <c r="V253" s="232" t="e">
        <f t="shared" si="312"/>
        <v>#DIV/0!</v>
      </c>
      <c r="W253" s="232" t="e">
        <f t="shared" si="312"/>
        <v>#VALUE!</v>
      </c>
      <c r="X253" s="1236" t="e">
        <f t="shared" si="312"/>
        <v>#DIV/0!</v>
      </c>
      <c r="Y253" s="643" t="e">
        <f t="shared" si="312"/>
        <v>#DIV/0!</v>
      </c>
      <c r="Z253" s="232" t="e">
        <f t="shared" si="312"/>
        <v>#DIV/0!</v>
      </c>
      <c r="AA253" s="232" t="e">
        <f t="shared" si="312"/>
        <v>#DIV/0!</v>
      </c>
      <c r="AB253" s="232" t="e">
        <f t="shared" si="312"/>
        <v>#DIV/0!</v>
      </c>
      <c r="AC253" s="232" t="e">
        <f t="shared" si="312"/>
        <v>#DIV/0!</v>
      </c>
      <c r="AD253" s="232" t="e">
        <f t="shared" si="312"/>
        <v>#DIV/0!</v>
      </c>
      <c r="AE253" s="232" t="e">
        <f t="shared" si="312"/>
        <v>#DIV/0!</v>
      </c>
      <c r="AF253" s="232" t="e">
        <f t="shared" si="312"/>
        <v>#DIV/0!</v>
      </c>
      <c r="AG253" s="232" t="e">
        <f t="shared" si="312"/>
        <v>#DIV/0!</v>
      </c>
      <c r="AI253" s="232" t="s">
        <v>822</v>
      </c>
      <c r="AJ253" s="240" t="e">
        <f>AVERAGE(K253:N253)</f>
        <v>#DIV/0!</v>
      </c>
      <c r="AK253" s="232" t="e">
        <f>AVERAGE(Q253:T253)</f>
        <v>#DIV/0!</v>
      </c>
      <c r="AL253" s="1236" t="s">
        <v>295</v>
      </c>
      <c r="AN253" s="240" t="e">
        <f>AVERAGE(H253:I253)</f>
        <v>#DIV/0!</v>
      </c>
      <c r="AO253" s="232" t="e">
        <f>AVERAGE(M253:O253)</f>
        <v>#DIV/0!</v>
      </c>
      <c r="AP253" s="232" t="e">
        <f>AVERAGE(R253:T253)</f>
        <v>#DIV/0!</v>
      </c>
    </row>
    <row r="254" spans="3:179" x14ac:dyDescent="0.35">
      <c r="C254" s="1" t="s">
        <v>243</v>
      </c>
      <c r="F254" s="501">
        <v>2.2000000000000002</v>
      </c>
      <c r="G254" s="249">
        <v>2</v>
      </c>
      <c r="H254" s="249">
        <v>1.7</v>
      </c>
      <c r="I254" s="1242">
        <v>1.7</v>
      </c>
      <c r="J254" s="419">
        <v>4.9000000000000004</v>
      </c>
      <c r="K254" s="497">
        <v>5.0999999999999996</v>
      </c>
      <c r="L254" s="251">
        <v>5.6</v>
      </c>
      <c r="M254" s="249">
        <v>5.8</v>
      </c>
      <c r="N254" s="249">
        <v>5.9</v>
      </c>
      <c r="O254" s="249">
        <v>5.8</v>
      </c>
      <c r="P254" s="249">
        <v>5.7</v>
      </c>
      <c r="Q254" s="249">
        <v>5.5</v>
      </c>
      <c r="R254" s="1242">
        <v>5.7</v>
      </c>
      <c r="S254" s="419">
        <v>5.9</v>
      </c>
      <c r="T254" s="249">
        <v>6</v>
      </c>
      <c r="U254" s="249">
        <v>6.1</v>
      </c>
      <c r="V254" s="249"/>
      <c r="W254" s="249"/>
      <c r="X254" s="1242"/>
      <c r="Y254" s="419"/>
      <c r="Z254" s="249"/>
      <c r="AA254" s="249"/>
      <c r="AB254" s="249"/>
      <c r="AC254" s="249"/>
      <c r="AD254" s="249"/>
      <c r="AE254" s="249"/>
      <c r="AF254" s="249"/>
      <c r="AG254" s="249"/>
      <c r="AI254" s="232" t="s">
        <v>822</v>
      </c>
      <c r="AJ254" s="241">
        <f>AVERAGE(K254:N254)</f>
        <v>5.6</v>
      </c>
      <c r="AK254" s="241">
        <f>AVERAGE(Q254:T254)</f>
        <v>5.7750000000000004</v>
      </c>
      <c r="AL254" s="1236" t="s">
        <v>608</v>
      </c>
      <c r="AN254" s="241">
        <f>AVERAGE(H254:I254)</f>
        <v>1.7</v>
      </c>
      <c r="AO254" s="241">
        <f>AVERAGE(M254:O254)</f>
        <v>5.833333333333333</v>
      </c>
      <c r="AP254" s="232">
        <f>AVERAGE(R254:T254)</f>
        <v>5.8666666666666671</v>
      </c>
    </row>
    <row r="255" spans="3:179" x14ac:dyDescent="0.35">
      <c r="C255" s="168" t="s">
        <v>234</v>
      </c>
      <c r="D255" s="168"/>
      <c r="E255" s="168"/>
      <c r="F255" s="501">
        <f t="shared" ref="F255:AG255" si="313">SUM(F$232:F$233)</f>
        <v>4.8847874501735893</v>
      </c>
      <c r="G255" s="249">
        <f t="shared" si="313"/>
        <v>6.8429980818414338</v>
      </c>
      <c r="H255" s="249">
        <f t="shared" si="313"/>
        <v>5.9854272131360329</v>
      </c>
      <c r="I255" s="1242">
        <f>SUM(I$232:I$233)+0.4</f>
        <v>7.9345503344704307</v>
      </c>
      <c r="J255" s="419">
        <f t="shared" si="313"/>
        <v>22.927917383821001</v>
      </c>
      <c r="K255" s="497">
        <f t="shared" si="313"/>
        <v>24.855626349724226</v>
      </c>
      <c r="L255" s="249">
        <f t="shared" si="313"/>
        <v>26.842285864201838</v>
      </c>
      <c r="M255" s="249">
        <f t="shared" si="313"/>
        <v>23.602846409101687</v>
      </c>
      <c r="N255" s="249">
        <f t="shared" si="313"/>
        <v>23.005880009887449</v>
      </c>
      <c r="O255" s="249">
        <f t="shared" si="313"/>
        <v>23.582782160380255</v>
      </c>
      <c r="P255" s="249">
        <f t="shared" si="313"/>
        <v>22.386338120404414</v>
      </c>
      <c r="Q255" s="249">
        <f t="shared" si="313"/>
        <v>22.908487310826544</v>
      </c>
      <c r="R255" s="1242">
        <f t="shared" si="313"/>
        <v>22.80825069913773</v>
      </c>
      <c r="S255" s="419" t="e">
        <f t="shared" si="313"/>
        <v>#DIV/0!</v>
      </c>
      <c r="T255" s="249" t="e">
        <f t="shared" si="313"/>
        <v>#DIV/0!</v>
      </c>
      <c r="U255" s="249" t="e">
        <f t="shared" si="313"/>
        <v>#DIV/0!</v>
      </c>
      <c r="V255" s="249" t="e">
        <f t="shared" si="313"/>
        <v>#DIV/0!</v>
      </c>
      <c r="W255" s="249" t="e">
        <f t="shared" si="313"/>
        <v>#DIV/0!</v>
      </c>
      <c r="X255" s="1242" t="e">
        <f t="shared" si="313"/>
        <v>#DIV/0!</v>
      </c>
      <c r="Y255" s="419" t="e">
        <f t="shared" si="313"/>
        <v>#DIV/0!</v>
      </c>
      <c r="Z255" s="249" t="e">
        <f t="shared" si="313"/>
        <v>#DIV/0!</v>
      </c>
      <c r="AA255" s="249" t="e">
        <f t="shared" si="313"/>
        <v>#DIV/0!</v>
      </c>
      <c r="AB255" s="249" t="e">
        <f t="shared" si="313"/>
        <v>#DIV/0!</v>
      </c>
      <c r="AC255" s="249" t="e">
        <f t="shared" si="313"/>
        <v>#DIV/0!</v>
      </c>
      <c r="AD255" s="249" t="e">
        <f t="shared" si="313"/>
        <v>#DIV/0!</v>
      </c>
      <c r="AE255" s="249" t="e">
        <f t="shared" si="313"/>
        <v>#DIV/0!</v>
      </c>
      <c r="AF255" s="249" t="e">
        <f t="shared" si="313"/>
        <v>#DIV/0!</v>
      </c>
      <c r="AG255" s="249" t="e">
        <f t="shared" si="313"/>
        <v>#DIV/0!</v>
      </c>
      <c r="AJ255" s="267"/>
      <c r="AK255" s="267"/>
      <c r="AN255" s="916"/>
      <c r="AO255" s="916"/>
      <c r="AP255" s="916"/>
    </row>
    <row r="256" spans="3:179" x14ac:dyDescent="0.35">
      <c r="C256" s="452" t="s">
        <v>236</v>
      </c>
      <c r="D256" s="452"/>
      <c r="E256" s="452"/>
      <c r="F256" s="1061" t="e">
        <f>F$255/F$137</f>
        <v>#DIV/0!</v>
      </c>
      <c r="G256" s="446" t="e">
        <f>G$255/G$137+0.5</f>
        <v>#DIV/0!</v>
      </c>
      <c r="H256" s="446" t="e">
        <f>H$255/H$137</f>
        <v>#DIV/0!</v>
      </c>
      <c r="I256" s="1242" t="e">
        <f>I$255/I$137</f>
        <v>#DIV/0!</v>
      </c>
      <c r="J256" s="419" t="e">
        <f>J$255/J$137</f>
        <v>#DIV/0!</v>
      </c>
      <c r="K256" s="249" t="e">
        <f t="shared" ref="K256:AG256" si="314">K$255/K$137</f>
        <v>#DIV/0!</v>
      </c>
      <c r="L256" s="249" t="e">
        <f t="shared" si="314"/>
        <v>#DIV/0!</v>
      </c>
      <c r="M256" s="249" t="e">
        <f t="shared" si="314"/>
        <v>#DIV/0!</v>
      </c>
      <c r="N256" s="249" t="e">
        <f t="shared" si="314"/>
        <v>#DIV/0!</v>
      </c>
      <c r="O256" s="249" t="e">
        <f t="shared" si="314"/>
        <v>#DIV/0!</v>
      </c>
      <c r="P256" s="249" t="e">
        <f t="shared" si="314"/>
        <v>#DIV/0!</v>
      </c>
      <c r="Q256" s="249" t="e">
        <f t="shared" si="314"/>
        <v>#DIV/0!</v>
      </c>
      <c r="R256" s="1242" t="e">
        <f t="shared" si="314"/>
        <v>#DIV/0!</v>
      </c>
      <c r="S256" s="419" t="e">
        <f t="shared" si="314"/>
        <v>#DIV/0!</v>
      </c>
      <c r="T256" s="249" t="e">
        <f t="shared" si="314"/>
        <v>#DIV/0!</v>
      </c>
      <c r="U256" s="249" t="e">
        <f t="shared" si="314"/>
        <v>#DIV/0!</v>
      </c>
      <c r="V256" s="232" t="e">
        <f t="shared" si="314"/>
        <v>#DIV/0!</v>
      </c>
      <c r="W256" s="232" t="e">
        <f t="shared" si="314"/>
        <v>#DIV/0!</v>
      </c>
      <c r="X256" s="1236" t="e">
        <f t="shared" si="314"/>
        <v>#DIV/0!</v>
      </c>
      <c r="Y256" s="643" t="e">
        <f t="shared" si="314"/>
        <v>#DIV/0!</v>
      </c>
      <c r="Z256" s="232" t="e">
        <f t="shared" si="314"/>
        <v>#DIV/0!</v>
      </c>
      <c r="AA256" s="232" t="e">
        <f t="shared" si="314"/>
        <v>#DIV/0!</v>
      </c>
      <c r="AB256" s="232" t="e">
        <f t="shared" si="314"/>
        <v>#DIV/0!</v>
      </c>
      <c r="AC256" s="232" t="e">
        <f t="shared" si="314"/>
        <v>#DIV/0!</v>
      </c>
      <c r="AD256" s="232" t="e">
        <f t="shared" si="314"/>
        <v>#DIV/0!</v>
      </c>
      <c r="AE256" s="232" t="e">
        <f t="shared" si="314"/>
        <v>#DIV/0!</v>
      </c>
      <c r="AF256" s="232" t="e">
        <f t="shared" si="314"/>
        <v>#DIV/0!</v>
      </c>
      <c r="AG256" s="232" t="e">
        <f t="shared" si="314"/>
        <v>#DIV/0!</v>
      </c>
      <c r="AI256" s="232" t="s">
        <v>234</v>
      </c>
      <c r="AJ256" s="267" t="e">
        <f>AVERAGE(K256:N256)</f>
        <v>#DIV/0!</v>
      </c>
      <c r="AK256" s="267" t="e">
        <f>AVERAGE(Q256:T256)</f>
        <v>#DIV/0!</v>
      </c>
      <c r="AL256" s="1236" t="s">
        <v>295</v>
      </c>
      <c r="AN256" s="459" t="e">
        <f>AVERAGE(H256:I256)</f>
        <v>#DIV/0!</v>
      </c>
      <c r="AO256" s="459" t="e">
        <f>AVERAGE(M256:O256)</f>
        <v>#DIV/0!</v>
      </c>
      <c r="AP256" s="459" t="e">
        <f>AVERAGE(R256:T256)</f>
        <v>#DIV/0!</v>
      </c>
    </row>
    <row r="257" spans="3:42" x14ac:dyDescent="0.35">
      <c r="C257" s="168" t="s">
        <v>242</v>
      </c>
      <c r="D257" s="168"/>
      <c r="E257" s="168"/>
      <c r="F257" s="501">
        <v>11.2</v>
      </c>
      <c r="G257" s="249">
        <v>11.2</v>
      </c>
      <c r="H257" s="249">
        <v>10.6</v>
      </c>
      <c r="I257" s="1242">
        <v>10.5</v>
      </c>
      <c r="J257" s="419">
        <v>22.5</v>
      </c>
      <c r="K257" s="249">
        <v>22.2</v>
      </c>
      <c r="L257" s="249">
        <v>22.1</v>
      </c>
      <c r="M257" s="249">
        <v>22.9</v>
      </c>
      <c r="N257" s="249">
        <v>22.8</v>
      </c>
      <c r="O257" s="249">
        <v>22.9</v>
      </c>
      <c r="P257" s="249">
        <v>22.8</v>
      </c>
      <c r="Q257" s="249">
        <v>22.1</v>
      </c>
      <c r="R257" s="1242">
        <v>22.8</v>
      </c>
      <c r="S257" s="419">
        <v>23.9</v>
      </c>
      <c r="T257" s="249">
        <v>24</v>
      </c>
      <c r="U257" s="249">
        <v>23.8</v>
      </c>
      <c r="V257" s="249"/>
      <c r="W257" s="249"/>
      <c r="X257" s="1242"/>
      <c r="Y257" s="419"/>
      <c r="Z257" s="249"/>
      <c r="AA257" s="249"/>
      <c r="AB257" s="249"/>
      <c r="AC257" s="249"/>
      <c r="AD257" s="249"/>
      <c r="AE257" s="249"/>
      <c r="AF257" s="249"/>
      <c r="AG257" s="249"/>
      <c r="AI257" s="232" t="s">
        <v>234</v>
      </c>
      <c r="AJ257" s="232">
        <f>AVERAGE(K257:N257)</f>
        <v>22.499999999999996</v>
      </c>
      <c r="AK257" s="232">
        <f>AVERAGE(Q257:T257)</f>
        <v>23.200000000000003</v>
      </c>
      <c r="AL257" s="1236" t="s">
        <v>608</v>
      </c>
      <c r="AN257" s="232">
        <f>AVERAGE(H257:I257)</f>
        <v>10.55</v>
      </c>
      <c r="AO257" s="232">
        <f>AVERAGE(M257:O257)</f>
        <v>22.866666666666664</v>
      </c>
      <c r="AP257" s="232">
        <f>AVERAGE(R257:T257)</f>
        <v>23.566666666666666</v>
      </c>
    </row>
    <row r="258" spans="3:42" x14ac:dyDescent="0.35">
      <c r="C258" s="168" t="s">
        <v>237</v>
      </c>
      <c r="D258" s="168"/>
      <c r="E258" s="168"/>
      <c r="F258" s="501">
        <f t="shared" ref="F258:AG258" si="315">F$234+F$235</f>
        <v>28.952619261926195</v>
      </c>
      <c r="G258" s="249">
        <f t="shared" si="315"/>
        <v>25.049498721227625</v>
      </c>
      <c r="H258" s="249">
        <f t="shared" si="315"/>
        <v>25.219772111889927</v>
      </c>
      <c r="I258" s="1242">
        <f>I$234+I$235+0.9</f>
        <v>27.251606277595094</v>
      </c>
      <c r="J258" s="419">
        <f t="shared" si="315"/>
        <v>29.912323580034425</v>
      </c>
      <c r="K258" s="249">
        <f t="shared" si="315"/>
        <v>31.897886045728789</v>
      </c>
      <c r="L258" s="249">
        <f t="shared" si="315"/>
        <v>32.748765955231057</v>
      </c>
      <c r="M258" s="249">
        <f t="shared" si="315"/>
        <v>31.79382294382555</v>
      </c>
      <c r="N258" s="249">
        <f t="shared" si="315"/>
        <v>31.763337687370743</v>
      </c>
      <c r="O258" s="249">
        <f t="shared" si="315"/>
        <v>31.261181136921195</v>
      </c>
      <c r="P258" s="249">
        <f t="shared" si="315"/>
        <v>31.746555070465689</v>
      </c>
      <c r="Q258" s="249">
        <f t="shared" si="315"/>
        <v>31.274088009313161</v>
      </c>
      <c r="R258" s="1242">
        <f t="shared" si="315"/>
        <v>31.960479200652525</v>
      </c>
      <c r="S258" s="419" t="e">
        <f t="shared" si="315"/>
        <v>#DIV/0!</v>
      </c>
      <c r="T258" s="249" t="e">
        <f t="shared" si="315"/>
        <v>#DIV/0!</v>
      </c>
      <c r="U258" s="249" t="e">
        <f t="shared" si="315"/>
        <v>#DIV/0!</v>
      </c>
      <c r="V258" s="249" t="e">
        <f t="shared" si="315"/>
        <v>#DIV/0!</v>
      </c>
      <c r="W258" s="249" t="e">
        <f t="shared" si="315"/>
        <v>#DIV/0!</v>
      </c>
      <c r="X258" s="1242" t="e">
        <f t="shared" si="315"/>
        <v>#DIV/0!</v>
      </c>
      <c r="Y258" s="419" t="e">
        <f t="shared" si="315"/>
        <v>#DIV/0!</v>
      </c>
      <c r="Z258" s="249" t="e">
        <f t="shared" si="315"/>
        <v>#DIV/0!</v>
      </c>
      <c r="AA258" s="249" t="e">
        <f t="shared" si="315"/>
        <v>#DIV/0!</v>
      </c>
      <c r="AB258" s="249" t="e">
        <f t="shared" si="315"/>
        <v>#DIV/0!</v>
      </c>
      <c r="AC258" s="249" t="e">
        <f t="shared" si="315"/>
        <v>#DIV/0!</v>
      </c>
      <c r="AD258" s="249" t="e">
        <f t="shared" si="315"/>
        <v>#DIV/0!</v>
      </c>
      <c r="AE258" s="249" t="e">
        <f t="shared" si="315"/>
        <v>#DIV/0!</v>
      </c>
      <c r="AF258" s="249" t="e">
        <f t="shared" si="315"/>
        <v>#DIV/0!</v>
      </c>
      <c r="AG258" s="249" t="e">
        <f t="shared" si="315"/>
        <v>#DIV/0!</v>
      </c>
      <c r="AJ258" s="267"/>
      <c r="AK258" s="267"/>
      <c r="AN258" s="916"/>
      <c r="AO258" s="916"/>
      <c r="AP258" s="916"/>
    </row>
    <row r="259" spans="3:42" x14ac:dyDescent="0.35">
      <c r="C259" s="452" t="s">
        <v>238</v>
      </c>
      <c r="D259" s="452"/>
      <c r="E259" s="452"/>
      <c r="F259" s="492" t="e">
        <f>F$258/F$137</f>
        <v>#DIV/0!</v>
      </c>
      <c r="G259" s="446" t="e">
        <f>G$258/G$137+1</f>
        <v>#DIV/0!</v>
      </c>
      <c r="H259" s="446" t="e">
        <f>H$258/H$137</f>
        <v>#DIV/0!</v>
      </c>
      <c r="I259" s="1242" t="e">
        <f>I$258/I$137+0.2</f>
        <v>#DIV/0!</v>
      </c>
      <c r="J259" s="419" t="e">
        <f t="shared" ref="J259:T259" si="316">J$258/J$137</f>
        <v>#DIV/0!</v>
      </c>
      <c r="K259" s="249" t="e">
        <f t="shared" si="316"/>
        <v>#DIV/0!</v>
      </c>
      <c r="L259" s="249" t="e">
        <f t="shared" si="316"/>
        <v>#DIV/0!</v>
      </c>
      <c r="M259" s="249" t="e">
        <f t="shared" si="316"/>
        <v>#DIV/0!</v>
      </c>
      <c r="N259" s="249" t="e">
        <f t="shared" si="316"/>
        <v>#DIV/0!</v>
      </c>
      <c r="O259" s="249" t="e">
        <f t="shared" si="316"/>
        <v>#DIV/0!</v>
      </c>
      <c r="P259" s="249" t="e">
        <f t="shared" si="316"/>
        <v>#DIV/0!</v>
      </c>
      <c r="Q259" s="249" t="e">
        <f t="shared" si="316"/>
        <v>#DIV/0!</v>
      </c>
      <c r="R259" s="1242" t="e">
        <f t="shared" si="316"/>
        <v>#DIV/0!</v>
      </c>
      <c r="S259" s="419" t="e">
        <f t="shared" si="316"/>
        <v>#DIV/0!</v>
      </c>
      <c r="T259" s="249" t="e">
        <f t="shared" si="316"/>
        <v>#DIV/0!</v>
      </c>
      <c r="U259" s="249">
        <v>32.89</v>
      </c>
      <c r="V259" s="232" t="e">
        <f>V$258/V$137</f>
        <v>#DIV/0!</v>
      </c>
      <c r="W259" s="232" t="e">
        <f t="shared" ref="W259:AG259" si="317">W$258/W$137</f>
        <v>#DIV/0!</v>
      </c>
      <c r="X259" s="1236" t="e">
        <f t="shared" si="317"/>
        <v>#DIV/0!</v>
      </c>
      <c r="Y259" s="643" t="e">
        <f t="shared" si="317"/>
        <v>#DIV/0!</v>
      </c>
      <c r="Z259" s="232" t="e">
        <f t="shared" si="317"/>
        <v>#DIV/0!</v>
      </c>
      <c r="AA259" s="232" t="e">
        <f t="shared" si="317"/>
        <v>#DIV/0!</v>
      </c>
      <c r="AB259" s="232" t="e">
        <f t="shared" si="317"/>
        <v>#DIV/0!</v>
      </c>
      <c r="AC259" s="232" t="e">
        <f t="shared" si="317"/>
        <v>#DIV/0!</v>
      </c>
      <c r="AD259" s="232" t="e">
        <f t="shared" si="317"/>
        <v>#DIV/0!</v>
      </c>
      <c r="AE259" s="232" t="e">
        <f t="shared" si="317"/>
        <v>#DIV/0!</v>
      </c>
      <c r="AF259" s="232" t="e">
        <f t="shared" si="317"/>
        <v>#DIV/0!</v>
      </c>
      <c r="AG259" s="232" t="e">
        <f t="shared" si="317"/>
        <v>#DIV/0!</v>
      </c>
      <c r="AI259" s="232" t="s">
        <v>237</v>
      </c>
      <c r="AJ259" s="267" t="e">
        <f>AVERAGE(K259:N259)</f>
        <v>#DIV/0!</v>
      </c>
      <c r="AK259" s="267" t="e">
        <f>AVERAGE(Q259:T259)</f>
        <v>#DIV/0!</v>
      </c>
      <c r="AL259" s="1236" t="s">
        <v>295</v>
      </c>
      <c r="AN259" s="459" t="e">
        <f>AVERAGE(H259:I259)</f>
        <v>#DIV/0!</v>
      </c>
      <c r="AO259" s="459" t="e">
        <f>AVERAGE(M259:O259)</f>
        <v>#DIV/0!</v>
      </c>
      <c r="AP259" s="459" t="e">
        <f>AVERAGE(R259:T259)</f>
        <v>#DIV/0!</v>
      </c>
    </row>
    <row r="260" spans="3:42" x14ac:dyDescent="0.35">
      <c r="C260" s="1" t="s">
        <v>241</v>
      </c>
      <c r="F260" s="501">
        <v>28.6</v>
      </c>
      <c r="G260" s="249">
        <v>28.7</v>
      </c>
      <c r="H260" s="249">
        <v>28.9</v>
      </c>
      <c r="I260" s="1242">
        <v>28.7</v>
      </c>
      <c r="J260" s="419">
        <v>34.200000000000003</v>
      </c>
      <c r="K260" s="249">
        <v>33.700000000000003</v>
      </c>
      <c r="L260" s="249">
        <v>33</v>
      </c>
      <c r="M260" s="249">
        <v>33.9</v>
      </c>
      <c r="N260" s="249">
        <v>33</v>
      </c>
      <c r="O260" s="249">
        <v>33.5</v>
      </c>
      <c r="P260" s="249">
        <v>33</v>
      </c>
      <c r="Q260" s="249">
        <v>33</v>
      </c>
      <c r="R260" s="1242">
        <v>33.299999999999997</v>
      </c>
      <c r="S260" s="419">
        <v>33.9</v>
      </c>
      <c r="T260" s="249">
        <v>33.799999999999997</v>
      </c>
      <c r="U260" s="249">
        <v>33.299999999999997</v>
      </c>
      <c r="V260" s="249"/>
      <c r="W260" s="249"/>
      <c r="X260" s="1242"/>
      <c r="Y260" s="419"/>
      <c r="Z260" s="249"/>
      <c r="AA260" s="249"/>
      <c r="AB260" s="249"/>
      <c r="AC260" s="249"/>
      <c r="AD260" s="249"/>
      <c r="AE260" s="249"/>
      <c r="AF260" s="249"/>
      <c r="AG260" s="249"/>
      <c r="AI260" s="232" t="s">
        <v>237</v>
      </c>
      <c r="AJ260" s="232">
        <f>AVERAGE(K260:N260)</f>
        <v>33.4</v>
      </c>
      <c r="AK260" s="232">
        <f>AVERAGE(Q260:T260)</f>
        <v>33.5</v>
      </c>
      <c r="AL260" s="1236" t="s">
        <v>608</v>
      </c>
      <c r="AN260" s="232">
        <f>AVERAGE(H260:I260)</f>
        <v>28.799999999999997</v>
      </c>
      <c r="AO260" s="232">
        <f>AVERAGE(M260:O260)</f>
        <v>33.466666666666669</v>
      </c>
      <c r="AP260" s="232">
        <f>AVERAGE(R260:T260)</f>
        <v>33.666666666666664</v>
      </c>
    </row>
    <row r="261" spans="3:42" x14ac:dyDescent="0.35">
      <c r="C261" s="1" t="s">
        <v>239</v>
      </c>
      <c r="F261" s="501" t="e">
        <f>F$236/F137</f>
        <v>#DIV/0!</v>
      </c>
      <c r="G261" s="249">
        <f>G$236</f>
        <v>45.62083823529413</v>
      </c>
      <c r="H261" s="249">
        <v>54.08</v>
      </c>
      <c r="I261" s="1242">
        <f>54.46</f>
        <v>54.46</v>
      </c>
      <c r="J261" s="419">
        <f t="shared" ref="J261:U261" si="318">J$236</f>
        <v>19.182030981067118</v>
      </c>
      <c r="K261" s="249">
        <f t="shared" si="318"/>
        <v>16.778188580750417</v>
      </c>
      <c r="L261" s="249">
        <f t="shared" si="318"/>
        <v>18.212670725687012</v>
      </c>
      <c r="M261" s="249">
        <f t="shared" si="318"/>
        <v>19.338186300071104</v>
      </c>
      <c r="N261" s="249">
        <f t="shared" si="318"/>
        <v>20.803641816874311</v>
      </c>
      <c r="O261" s="249">
        <f t="shared" si="318"/>
        <v>20.387936867525301</v>
      </c>
      <c r="P261" s="249">
        <f t="shared" si="318"/>
        <v>19.916875191482834</v>
      </c>
      <c r="Q261" s="249">
        <f t="shared" si="318"/>
        <v>19.836536088474976</v>
      </c>
      <c r="R261" s="1242">
        <f t="shared" si="318"/>
        <v>19.480902178979257</v>
      </c>
      <c r="S261" s="419" t="e">
        <f t="shared" si="318"/>
        <v>#DIV/0!</v>
      </c>
      <c r="T261" s="249" t="e">
        <f t="shared" si="318"/>
        <v>#DIV/0!</v>
      </c>
      <c r="U261" s="249" t="e">
        <f t="shared" si="318"/>
        <v>#DIV/0!</v>
      </c>
      <c r="V261" s="249" t="e">
        <f>V$236/V$137</f>
        <v>#DIV/0!</v>
      </c>
      <c r="W261" s="249" t="e">
        <f t="shared" ref="W261:AG261" si="319">W$236/W$137</f>
        <v>#DIV/0!</v>
      </c>
      <c r="X261" s="1242" t="e">
        <f t="shared" si="319"/>
        <v>#DIV/0!</v>
      </c>
      <c r="Y261" s="419" t="e">
        <f t="shared" si="319"/>
        <v>#DIV/0!</v>
      </c>
      <c r="Z261" s="249" t="e">
        <f t="shared" si="319"/>
        <v>#DIV/0!</v>
      </c>
      <c r="AA261" s="249" t="e">
        <f t="shared" si="319"/>
        <v>#DIV/0!</v>
      </c>
      <c r="AB261" s="249" t="e">
        <f t="shared" si="319"/>
        <v>#DIV/0!</v>
      </c>
      <c r="AC261" s="249" t="e">
        <f t="shared" si="319"/>
        <v>#DIV/0!</v>
      </c>
      <c r="AD261" s="249" t="e">
        <f t="shared" si="319"/>
        <v>#DIV/0!</v>
      </c>
      <c r="AE261" s="249" t="e">
        <f t="shared" si="319"/>
        <v>#DIV/0!</v>
      </c>
      <c r="AF261" s="249" t="e">
        <f t="shared" si="319"/>
        <v>#DIV/0!</v>
      </c>
      <c r="AG261" s="249" t="e">
        <f t="shared" si="319"/>
        <v>#DIV/0!</v>
      </c>
      <c r="AI261" s="232" t="s">
        <v>160</v>
      </c>
      <c r="AJ261" s="267">
        <f>AVERAGE(K261:N261)</f>
        <v>18.783171855845708</v>
      </c>
      <c r="AK261" s="267" t="e">
        <f>AVERAGE(Q261:T261)</f>
        <v>#DIV/0!</v>
      </c>
      <c r="AL261" s="1236" t="s">
        <v>295</v>
      </c>
      <c r="AN261" s="916">
        <f>AVERAGE(H261:I261)</f>
        <v>54.269999999999996</v>
      </c>
      <c r="AO261" s="916">
        <f>AVERAGE(M261:O261)</f>
        <v>20.176588328156907</v>
      </c>
      <c r="AP261" s="916" t="e">
        <f>AVERAGE(R261:T261)</f>
        <v>#DIV/0!</v>
      </c>
    </row>
    <row r="262" spans="3:42" x14ac:dyDescent="0.35">
      <c r="C262" s="444" t="s">
        <v>240</v>
      </c>
      <c r="D262" s="444"/>
      <c r="E262" s="444"/>
      <c r="F262" s="492">
        <v>53</v>
      </c>
      <c r="G262" s="446">
        <v>53</v>
      </c>
      <c r="H262" s="446">
        <v>53.8</v>
      </c>
      <c r="I262" s="1242">
        <v>54.4</v>
      </c>
      <c r="J262" s="419">
        <v>31</v>
      </c>
      <c r="K262" s="249">
        <v>31.3</v>
      </c>
      <c r="L262" s="249">
        <v>31.3</v>
      </c>
      <c r="M262" s="249">
        <v>30</v>
      </c>
      <c r="N262" s="249">
        <v>30.9</v>
      </c>
      <c r="O262" s="249">
        <v>30</v>
      </c>
      <c r="P262" s="249">
        <v>32</v>
      </c>
      <c r="Q262" s="249">
        <v>33.200000000000003</v>
      </c>
      <c r="R262" s="1242">
        <v>32</v>
      </c>
      <c r="S262" s="419">
        <v>29.9</v>
      </c>
      <c r="T262" s="249">
        <v>29</v>
      </c>
      <c r="U262" s="249">
        <v>30.4</v>
      </c>
      <c r="AI262" s="232" t="s">
        <v>160</v>
      </c>
      <c r="AJ262" s="267">
        <f>AVERAGE(K262:N262)</f>
        <v>30.875</v>
      </c>
      <c r="AK262" s="267">
        <f>AVERAGE(Q262:T262)</f>
        <v>31.024999999999999</v>
      </c>
      <c r="AL262" s="1236" t="s">
        <v>608</v>
      </c>
      <c r="AN262" s="459">
        <f>AVERAGE(H262:I262)</f>
        <v>54.099999999999994</v>
      </c>
      <c r="AO262" s="459">
        <f>AVERAGE(M262:O262)</f>
        <v>30.3</v>
      </c>
      <c r="AP262" s="459">
        <f>AVERAGE(R262:T262)</f>
        <v>30.3</v>
      </c>
    </row>
    <row r="263" spans="3:42" x14ac:dyDescent="0.35">
      <c r="F263" s="501"/>
      <c r="G263" s="249"/>
      <c r="H263" s="249"/>
      <c r="I263" s="1242"/>
      <c r="J263" s="419"/>
      <c r="K263" s="249"/>
      <c r="L263" s="249"/>
      <c r="M263" s="249"/>
      <c r="N263" s="249"/>
      <c r="O263" s="249"/>
      <c r="P263" s="249"/>
      <c r="Q263" s="249"/>
      <c r="R263" s="1242"/>
      <c r="S263" s="419"/>
      <c r="T263" s="249"/>
      <c r="U263" s="249"/>
      <c r="V263" s="249"/>
      <c r="W263" s="249"/>
      <c r="X263" s="1242"/>
      <c r="Y263" s="419"/>
      <c r="Z263" s="249"/>
      <c r="AA263" s="249"/>
      <c r="AB263" s="249"/>
      <c r="AC263" s="249"/>
      <c r="AD263" s="249"/>
      <c r="AE263" s="249"/>
      <c r="AF263" s="249"/>
      <c r="AG263" s="249"/>
      <c r="AJ263" s="267"/>
      <c r="AK263" s="267"/>
      <c r="AN263" s="916"/>
      <c r="AO263" s="916"/>
      <c r="AP263" s="916"/>
    </row>
    <row r="264" spans="3:42" x14ac:dyDescent="0.35">
      <c r="C264" s="444"/>
      <c r="D264" s="444"/>
      <c r="E264" s="444"/>
      <c r="F264" s="492"/>
      <c r="G264" s="446"/>
      <c r="H264" s="446"/>
      <c r="I264" s="1242"/>
      <c r="J264" s="419"/>
      <c r="K264" s="249"/>
      <c r="L264" s="249"/>
      <c r="M264" s="249"/>
      <c r="N264" s="249"/>
      <c r="O264" s="249"/>
      <c r="P264" s="249"/>
      <c r="Q264" s="249"/>
      <c r="R264" s="1242"/>
      <c r="S264" s="419"/>
      <c r="T264" s="249"/>
      <c r="U264" s="249"/>
      <c r="AJ264" s="267"/>
      <c r="AK264" s="267"/>
      <c r="AN264" s="459"/>
      <c r="AO264" s="459"/>
      <c r="AP264" s="459"/>
    </row>
    <row r="265" spans="3:42" x14ac:dyDescent="0.35">
      <c r="C265" s="1" t="s">
        <v>223</v>
      </c>
      <c r="F265" s="1029" cm="1">
        <f t="array" ref="F265:V265">'HPS DAILY'!K90:AA90</f>
        <v>0</v>
      </c>
      <c r="G265" s="267">
        <v>0</v>
      </c>
      <c r="H265" s="267">
        <v>46.5</v>
      </c>
      <c r="I265" s="1285">
        <v>47.66</v>
      </c>
      <c r="J265" s="645">
        <v>231.3</v>
      </c>
      <c r="K265" s="267">
        <v>687.38</v>
      </c>
      <c r="L265" s="267">
        <v>521.02</v>
      </c>
      <c r="M265" s="267">
        <v>404.92</v>
      </c>
      <c r="N265" s="267">
        <v>305.33</v>
      </c>
      <c r="O265" s="267">
        <v>101.32</v>
      </c>
      <c r="P265" s="267">
        <v>379.52</v>
      </c>
      <c r="Q265" s="267">
        <v>153.5</v>
      </c>
      <c r="R265" s="1285">
        <v>130.41999999999999</v>
      </c>
      <c r="S265" s="645">
        <v>0</v>
      </c>
      <c r="T265" s="267">
        <v>0</v>
      </c>
      <c r="U265" s="267">
        <v>0</v>
      </c>
      <c r="V265" s="232">
        <v>0</v>
      </c>
      <c r="AJ265" s="232">
        <f>AVERAGE(K265:N265)</f>
        <v>479.66250000000002</v>
      </c>
      <c r="AK265" s="232">
        <f>AVERAGE(Q265:T265)</f>
        <v>70.97999999999999</v>
      </c>
      <c r="AN265" s="232">
        <f>AVERAGE(G265:I265)</f>
        <v>31.386666666666667</v>
      </c>
      <c r="AO265" s="232">
        <f>AVERAGE(M265:O265)</f>
        <v>270.52333333333331</v>
      </c>
      <c r="AP265" s="232">
        <f>AVERAGE(S265:U265)</f>
        <v>0</v>
      </c>
    </row>
    <row r="266" spans="3:42" x14ac:dyDescent="0.35">
      <c r="C266" s="1" t="s">
        <v>210</v>
      </c>
      <c r="G266" s="267"/>
      <c r="J266" s="643">
        <v>400</v>
      </c>
      <c r="K266" s="232">
        <v>600</v>
      </c>
      <c r="L266" s="232">
        <v>700</v>
      </c>
      <c r="M266" s="232">
        <v>900</v>
      </c>
      <c r="N266" s="232">
        <v>913</v>
      </c>
      <c r="O266" s="232">
        <v>913</v>
      </c>
      <c r="P266" s="232">
        <v>1600</v>
      </c>
      <c r="Q266" s="232">
        <v>5700</v>
      </c>
      <c r="R266" s="1236">
        <v>6400</v>
      </c>
      <c r="S266" s="643">
        <v>7600</v>
      </c>
      <c r="T266" s="232">
        <v>10044</v>
      </c>
      <c r="U266" s="232">
        <v>9500</v>
      </c>
      <c r="AJ266" s="267">
        <f>AVERAGE(K266:N266)</f>
        <v>778.25</v>
      </c>
      <c r="AK266" s="232">
        <f>AVERAGE(Q266:T266)</f>
        <v>7436</v>
      </c>
      <c r="AN266" s="232" t="e">
        <f>AVERAGE(G266:I266)</f>
        <v>#DIV/0!</v>
      </c>
      <c r="AO266" s="232">
        <f>AVERAGE(M266:O266)</f>
        <v>908.66666666666663</v>
      </c>
      <c r="AP266" s="232">
        <f>AVERAGE(S266:U266)</f>
        <v>9048</v>
      </c>
    </row>
    <row r="267" spans="3:42" x14ac:dyDescent="0.35">
      <c r="F267" s="1062"/>
      <c r="G267" s="243"/>
      <c r="H267" s="243"/>
      <c r="I267" s="1286"/>
      <c r="J267" s="1225"/>
      <c r="K267" s="497"/>
      <c r="L267" s="497"/>
      <c r="M267" s="243"/>
      <c r="N267" s="497"/>
      <c r="O267" s="243"/>
      <c r="P267" s="243"/>
      <c r="Q267" s="497"/>
      <c r="R267" s="1286"/>
      <c r="S267" s="1225"/>
      <c r="T267" s="497"/>
      <c r="U267" s="243"/>
      <c r="AJ267" s="902"/>
      <c r="AK267" s="902"/>
      <c r="AN267" s="915"/>
      <c r="AO267" s="946"/>
      <c r="AP267" s="946"/>
    </row>
    <row r="268" spans="3:42" x14ac:dyDescent="0.35">
      <c r="C268" s="1" t="s">
        <v>413</v>
      </c>
      <c r="F268" s="1029" t="e">
        <f t="shared" ref="F268:U268" si="320">F$226+F$228+F$240+F$253+F$256+F$259+F$261</f>
        <v>#DIV/0!</v>
      </c>
      <c r="G268" s="244" t="e">
        <f t="shared" si="320"/>
        <v>#DIV/0!</v>
      </c>
      <c r="H268" s="244" t="e">
        <f t="shared" si="320"/>
        <v>#DIV/0!</v>
      </c>
      <c r="I268" s="1237" t="e">
        <f t="shared" si="320"/>
        <v>#DIV/0!</v>
      </c>
      <c r="J268" s="606" t="e">
        <f t="shared" si="320"/>
        <v>#DIV/0!</v>
      </c>
      <c r="K268" s="244" t="e">
        <f t="shared" si="320"/>
        <v>#DIV/0!</v>
      </c>
      <c r="L268" s="244" t="e">
        <f t="shared" si="320"/>
        <v>#DIV/0!</v>
      </c>
      <c r="M268" s="244" t="e">
        <f t="shared" si="320"/>
        <v>#DIV/0!</v>
      </c>
      <c r="N268" s="244" t="e">
        <f t="shared" si="320"/>
        <v>#DIV/0!</v>
      </c>
      <c r="O268" s="244" t="e">
        <f t="shared" si="320"/>
        <v>#DIV/0!</v>
      </c>
      <c r="P268" s="244" t="e">
        <f t="shared" si="320"/>
        <v>#DIV/0!</v>
      </c>
      <c r="Q268" s="244" t="e">
        <f t="shared" si="320"/>
        <v>#DIV/0!</v>
      </c>
      <c r="R268" s="1237" t="e">
        <f t="shared" si="320"/>
        <v>#DIV/0!</v>
      </c>
      <c r="S268" s="606" t="e">
        <f t="shared" si="320"/>
        <v>#DIV/0!</v>
      </c>
      <c r="T268" s="244" t="e">
        <f t="shared" si="320"/>
        <v>#DIV/0!</v>
      </c>
      <c r="U268" s="244" t="e">
        <f t="shared" si="320"/>
        <v>#DIV/0!</v>
      </c>
      <c r="AN268" s="468"/>
      <c r="AO268" s="468"/>
      <c r="AP268" s="468"/>
    </row>
    <row r="270" spans="3:42" x14ac:dyDescent="0.35">
      <c r="C270" s="168" t="s">
        <v>597</v>
      </c>
      <c r="D270" s="168"/>
      <c r="E270" s="168"/>
      <c r="F270" s="605">
        <f>F102</f>
        <v>0</v>
      </c>
      <c r="G270" s="249">
        <f t="shared" ref="G270:U270" si="321">G102</f>
        <v>0</v>
      </c>
      <c r="H270" s="243">
        <f t="shared" si="321"/>
        <v>0</v>
      </c>
      <c r="I270" s="1282">
        <f t="shared" si="321"/>
        <v>0</v>
      </c>
      <c r="J270" s="419">
        <f t="shared" si="321"/>
        <v>0</v>
      </c>
      <c r="K270" s="244">
        <f t="shared" si="321"/>
        <v>0</v>
      </c>
      <c r="L270" s="249">
        <f t="shared" si="321"/>
        <v>0</v>
      </c>
      <c r="M270" s="249">
        <f t="shared" si="321"/>
        <v>0</v>
      </c>
      <c r="N270" s="249">
        <f t="shared" si="321"/>
        <v>0</v>
      </c>
      <c r="O270" s="249">
        <f t="shared" si="321"/>
        <v>0</v>
      </c>
      <c r="P270" s="249">
        <f t="shared" si="321"/>
        <v>0</v>
      </c>
      <c r="Q270" s="249">
        <f t="shared" si="321"/>
        <v>0</v>
      </c>
      <c r="R270" s="1242">
        <f t="shared" si="321"/>
        <v>0</v>
      </c>
      <c r="S270" s="419">
        <f t="shared" si="321"/>
        <v>0</v>
      </c>
      <c r="T270" s="249">
        <f t="shared" si="321"/>
        <v>0</v>
      </c>
      <c r="U270" s="249">
        <f t="shared" si="321"/>
        <v>0</v>
      </c>
      <c r="AJ270" s="945"/>
    </row>
    <row r="271" spans="3:42" x14ac:dyDescent="0.35">
      <c r="C271" s="168" t="s">
        <v>598</v>
      </c>
      <c r="D271" s="168"/>
      <c r="E271" s="168"/>
      <c r="F271" s="605" t="e">
        <f t="shared" ref="F271:U271" si="322">AI102+BL102+CO102+SUM(DS124:DS129)+SUM(EV124:EV129)</f>
        <v>#DIV/0!</v>
      </c>
      <c r="G271" s="249">
        <f t="shared" si="322"/>
        <v>31.825145863519012</v>
      </c>
      <c r="H271" s="243">
        <f t="shared" si="322"/>
        <v>30.454328119362859</v>
      </c>
      <c r="I271" s="1282">
        <f t="shared" si="322"/>
        <v>30.551000096693354</v>
      </c>
      <c r="J271" s="419">
        <f t="shared" si="322"/>
        <v>18.626465571928705</v>
      </c>
      <c r="K271" s="244">
        <f t="shared" si="322"/>
        <v>18.752485994446591</v>
      </c>
      <c r="L271" s="249">
        <f t="shared" si="322"/>
        <v>19.253229010558439</v>
      </c>
      <c r="M271" s="249">
        <f t="shared" si="322"/>
        <v>18.002335873665267</v>
      </c>
      <c r="N271" s="249">
        <f t="shared" si="322"/>
        <v>17.874411663741839</v>
      </c>
      <c r="O271" s="249">
        <f t="shared" si="322"/>
        <v>18.56790708620554</v>
      </c>
      <c r="P271" s="249">
        <f t="shared" si="322"/>
        <v>18.069838904289313</v>
      </c>
      <c r="Q271" s="249">
        <f t="shared" si="322"/>
        <v>17.934562670190928</v>
      </c>
      <c r="R271" s="1242">
        <f t="shared" si="322"/>
        <v>18.284637392460166</v>
      </c>
      <c r="S271" s="419" t="e">
        <f t="shared" si="322"/>
        <v>#DIV/0!</v>
      </c>
      <c r="T271" s="249" t="e">
        <f t="shared" si="322"/>
        <v>#DIV/0!</v>
      </c>
      <c r="U271" s="249" t="e">
        <f t="shared" si="322"/>
        <v>#DIV/0!</v>
      </c>
    </row>
    <row r="272" spans="3:42" x14ac:dyDescent="0.35">
      <c r="C272" s="168" t="s">
        <v>621</v>
      </c>
      <c r="D272" s="168"/>
      <c r="E272" s="168"/>
      <c r="F272" s="604" t="e">
        <f>F271-F270</f>
        <v>#DIV/0!</v>
      </c>
      <c r="G272" s="251">
        <f t="shared" ref="G272:U272" si="323">G271-G270</f>
        <v>31.825145863519012</v>
      </c>
      <c r="H272" s="251">
        <f t="shared" si="323"/>
        <v>30.454328119362859</v>
      </c>
      <c r="I272" s="1267">
        <f t="shared" si="323"/>
        <v>30.551000096693354</v>
      </c>
      <c r="J272" s="1212">
        <f t="shared" si="323"/>
        <v>18.626465571928705</v>
      </c>
      <c r="K272" s="251">
        <f t="shared" si="323"/>
        <v>18.752485994446591</v>
      </c>
      <c r="L272" s="251">
        <f t="shared" si="323"/>
        <v>19.253229010558439</v>
      </c>
      <c r="M272" s="251">
        <f t="shared" si="323"/>
        <v>18.002335873665267</v>
      </c>
      <c r="N272" s="251">
        <f t="shared" si="323"/>
        <v>17.874411663741839</v>
      </c>
      <c r="O272" s="251">
        <f t="shared" si="323"/>
        <v>18.56790708620554</v>
      </c>
      <c r="P272" s="251">
        <f t="shared" si="323"/>
        <v>18.069838904289313</v>
      </c>
      <c r="Q272" s="251">
        <f t="shared" si="323"/>
        <v>17.934562670190928</v>
      </c>
      <c r="R272" s="1267">
        <f t="shared" si="323"/>
        <v>18.284637392460166</v>
      </c>
      <c r="S272" s="1212" t="e">
        <f t="shared" si="323"/>
        <v>#DIV/0!</v>
      </c>
      <c r="T272" s="251" t="e">
        <f t="shared" si="323"/>
        <v>#DIV/0!</v>
      </c>
      <c r="U272" s="251" t="e">
        <f t="shared" si="323"/>
        <v>#DIV/0!</v>
      </c>
    </row>
    <row r="273" spans="3:21" x14ac:dyDescent="0.35">
      <c r="C273" s="168" t="s">
        <v>599</v>
      </c>
      <c r="D273" s="168"/>
      <c r="E273" s="168"/>
      <c r="F273" s="604" t="e">
        <f>F272/F$137</f>
        <v>#DIV/0!</v>
      </c>
      <c r="G273" s="251" t="e">
        <f t="shared" ref="G273:U273" si="324">G272/G$137</f>
        <v>#DIV/0!</v>
      </c>
      <c r="H273" s="251" t="e">
        <f t="shared" si="324"/>
        <v>#DIV/0!</v>
      </c>
      <c r="I273" s="1237" t="e">
        <f t="shared" si="324"/>
        <v>#DIV/0!</v>
      </c>
      <c r="J273" s="1212" t="e">
        <f t="shared" si="324"/>
        <v>#DIV/0!</v>
      </c>
      <c r="K273" s="251" t="e">
        <f t="shared" si="324"/>
        <v>#DIV/0!</v>
      </c>
      <c r="L273" s="251" t="e">
        <f t="shared" si="324"/>
        <v>#DIV/0!</v>
      </c>
      <c r="M273" s="251" t="e">
        <f t="shared" si="324"/>
        <v>#DIV/0!</v>
      </c>
      <c r="N273" s="251" t="e">
        <f t="shared" si="324"/>
        <v>#DIV/0!</v>
      </c>
      <c r="O273" s="251" t="e">
        <f t="shared" si="324"/>
        <v>#DIV/0!</v>
      </c>
      <c r="P273" s="251" t="e">
        <f t="shared" si="324"/>
        <v>#DIV/0!</v>
      </c>
      <c r="Q273" s="251" t="e">
        <f t="shared" si="324"/>
        <v>#DIV/0!</v>
      </c>
      <c r="R273" s="1267" t="e">
        <f t="shared" si="324"/>
        <v>#DIV/0!</v>
      </c>
      <c r="S273" s="1212" t="e">
        <f t="shared" si="324"/>
        <v>#DIV/0!</v>
      </c>
      <c r="T273" s="251" t="e">
        <f t="shared" si="324"/>
        <v>#DIV/0!</v>
      </c>
      <c r="U273" s="251" t="e">
        <f t="shared" si="324"/>
        <v>#DIV/0!</v>
      </c>
    </row>
    <row r="274" spans="3:21" x14ac:dyDescent="0.35">
      <c r="C274" s="168" t="s">
        <v>600</v>
      </c>
      <c r="D274" s="168"/>
      <c r="E274" s="168"/>
      <c r="F274" s="604" t="e">
        <f>F273*2</f>
        <v>#DIV/0!</v>
      </c>
      <c r="G274" s="251" t="e">
        <f t="shared" ref="G274:U274" si="325">G273*2</f>
        <v>#DIV/0!</v>
      </c>
      <c r="H274" s="251" t="e">
        <f t="shared" si="325"/>
        <v>#DIV/0!</v>
      </c>
      <c r="I274" s="1267" t="e">
        <f t="shared" si="325"/>
        <v>#DIV/0!</v>
      </c>
      <c r="J274" s="1212" t="e">
        <f t="shared" si="325"/>
        <v>#DIV/0!</v>
      </c>
      <c r="K274" s="251" t="e">
        <f t="shared" si="325"/>
        <v>#DIV/0!</v>
      </c>
      <c r="L274" s="251" t="e">
        <f t="shared" si="325"/>
        <v>#DIV/0!</v>
      </c>
      <c r="M274" s="251" t="e">
        <f t="shared" si="325"/>
        <v>#DIV/0!</v>
      </c>
      <c r="N274" s="251" t="e">
        <f t="shared" si="325"/>
        <v>#DIV/0!</v>
      </c>
      <c r="O274" s="251" t="e">
        <f t="shared" si="325"/>
        <v>#DIV/0!</v>
      </c>
      <c r="P274" s="251" t="e">
        <f t="shared" si="325"/>
        <v>#DIV/0!</v>
      </c>
      <c r="Q274" s="251" t="e">
        <f t="shared" si="325"/>
        <v>#DIV/0!</v>
      </c>
      <c r="R274" s="1267" t="e">
        <f t="shared" si="325"/>
        <v>#DIV/0!</v>
      </c>
      <c r="S274" s="1212" t="e">
        <f t="shared" si="325"/>
        <v>#DIV/0!</v>
      </c>
      <c r="T274" s="251" t="e">
        <f t="shared" si="325"/>
        <v>#DIV/0!</v>
      </c>
      <c r="U274" s="251" t="e">
        <f t="shared" si="325"/>
        <v>#DIV/0!</v>
      </c>
    </row>
    <row r="275" spans="3:21" x14ac:dyDescent="0.35">
      <c r="C275" s="168" t="s">
        <v>601</v>
      </c>
      <c r="D275" s="168"/>
      <c r="E275" s="168"/>
      <c r="F275" s="605" t="e">
        <f>0.082*(F274/2)*(273.15+15)</f>
        <v>#DIV/0!</v>
      </c>
      <c r="G275" s="244" t="e">
        <f t="shared" ref="G275:U275" si="326">0.082*(G274/2)*(273.15+15)</f>
        <v>#DIV/0!</v>
      </c>
      <c r="H275" s="244" t="e">
        <f t="shared" si="326"/>
        <v>#DIV/0!</v>
      </c>
      <c r="I275" s="1237" t="e">
        <f t="shared" si="326"/>
        <v>#DIV/0!</v>
      </c>
      <c r="J275" s="606" t="e">
        <f t="shared" si="326"/>
        <v>#DIV/0!</v>
      </c>
      <c r="K275" s="244" t="e">
        <f t="shared" si="326"/>
        <v>#DIV/0!</v>
      </c>
      <c r="L275" s="244" t="e">
        <f t="shared" si="326"/>
        <v>#DIV/0!</v>
      </c>
      <c r="M275" s="244" t="e">
        <f t="shared" si="326"/>
        <v>#DIV/0!</v>
      </c>
      <c r="N275" s="244" t="e">
        <f t="shared" si="326"/>
        <v>#DIV/0!</v>
      </c>
      <c r="O275" s="244" t="e">
        <f t="shared" si="326"/>
        <v>#DIV/0!</v>
      </c>
      <c r="P275" s="244" t="e">
        <f t="shared" si="326"/>
        <v>#DIV/0!</v>
      </c>
      <c r="Q275" s="244" t="e">
        <f t="shared" si="326"/>
        <v>#DIV/0!</v>
      </c>
      <c r="R275" s="1237" t="e">
        <f t="shared" si="326"/>
        <v>#DIV/0!</v>
      </c>
      <c r="S275" s="606" t="e">
        <f t="shared" si="326"/>
        <v>#DIV/0!</v>
      </c>
      <c r="T275" s="244" t="e">
        <f t="shared" si="326"/>
        <v>#DIV/0!</v>
      </c>
      <c r="U275" s="244" t="e">
        <f t="shared" si="326"/>
        <v>#DIV/0!</v>
      </c>
    </row>
    <row r="276" spans="3:21" x14ac:dyDescent="0.35">
      <c r="C276" s="168" t="s">
        <v>602</v>
      </c>
      <c r="D276" s="168"/>
      <c r="E276" s="168"/>
      <c r="F276" s="605" t="e">
        <f>F275/28.317</f>
        <v>#DIV/0!</v>
      </c>
      <c r="G276" s="244" t="e">
        <f t="shared" ref="G276:U276" si="327">G275/28.317</f>
        <v>#DIV/0!</v>
      </c>
      <c r="H276" s="244" t="e">
        <f t="shared" si="327"/>
        <v>#DIV/0!</v>
      </c>
      <c r="I276" s="1237" t="e">
        <f t="shared" si="327"/>
        <v>#DIV/0!</v>
      </c>
      <c r="J276" s="606" t="e">
        <f t="shared" si="327"/>
        <v>#DIV/0!</v>
      </c>
      <c r="K276" s="244" t="e">
        <f t="shared" si="327"/>
        <v>#DIV/0!</v>
      </c>
      <c r="L276" s="244" t="e">
        <f t="shared" si="327"/>
        <v>#DIV/0!</v>
      </c>
      <c r="M276" s="244" t="e">
        <f t="shared" si="327"/>
        <v>#DIV/0!</v>
      </c>
      <c r="N276" s="244" t="e">
        <f t="shared" si="327"/>
        <v>#DIV/0!</v>
      </c>
      <c r="O276" s="244" t="e">
        <f t="shared" si="327"/>
        <v>#DIV/0!</v>
      </c>
      <c r="P276" s="244" t="e">
        <f t="shared" si="327"/>
        <v>#DIV/0!</v>
      </c>
      <c r="Q276" s="244" t="e">
        <f t="shared" si="327"/>
        <v>#DIV/0!</v>
      </c>
      <c r="R276" s="1237" t="e">
        <f t="shared" si="327"/>
        <v>#DIV/0!</v>
      </c>
      <c r="S276" s="606" t="e">
        <f t="shared" si="327"/>
        <v>#DIV/0!</v>
      </c>
      <c r="T276" s="244" t="e">
        <f t="shared" si="327"/>
        <v>#DIV/0!</v>
      </c>
      <c r="U276" s="244" t="e">
        <f t="shared" si="327"/>
        <v>#DIV/0!</v>
      </c>
    </row>
    <row r="277" spans="3:21" x14ac:dyDescent="0.35">
      <c r="C277" s="168" t="s">
        <v>603</v>
      </c>
      <c r="D277" s="168"/>
      <c r="E277" s="168"/>
      <c r="F277" s="605">
        <f>(F59/F62)/158.99/1000</f>
        <v>1.9842616515129132E-3</v>
      </c>
      <c r="G277" s="244">
        <f t="shared" ref="G277:U277" si="328">(G59/G62)/158.99/1000</f>
        <v>1.9536655292236083E-3</v>
      </c>
      <c r="H277" s="244">
        <f t="shared" si="328"/>
        <v>1.9740362301972174E-3</v>
      </c>
      <c r="I277" s="1237">
        <f t="shared" si="328"/>
        <v>1.9510073449229767E-3</v>
      </c>
      <c r="J277" s="606">
        <f t="shared" si="328"/>
        <v>1.1589971080329131E-3</v>
      </c>
      <c r="K277" s="244">
        <f t="shared" si="328"/>
        <v>1.1164985236629269E-3</v>
      </c>
      <c r="L277" s="244">
        <f t="shared" si="328"/>
        <v>1.1172303232662366E-3</v>
      </c>
      <c r="M277" s="244">
        <f t="shared" si="328"/>
        <v>1.0977644538181983E-3</v>
      </c>
      <c r="N277" s="244">
        <f t="shared" si="328"/>
        <v>1.0928826922316751E-3</v>
      </c>
      <c r="O277" s="244">
        <f t="shared" si="328"/>
        <v>1.1313296622900038E-3</v>
      </c>
      <c r="P277" s="244">
        <f t="shared" si="328"/>
        <v>1.1216977724687978E-3</v>
      </c>
      <c r="Q277" s="244">
        <f t="shared" si="328"/>
        <v>1.107006418371665E-3</v>
      </c>
      <c r="R277" s="1237">
        <f t="shared" si="328"/>
        <v>1.1059754461543224E-3</v>
      </c>
      <c r="S277" s="606">
        <f t="shared" si="328"/>
        <v>0</v>
      </c>
      <c r="T277" s="244">
        <f t="shared" si="328"/>
        <v>0</v>
      </c>
      <c r="U277" s="244">
        <f t="shared" si="328"/>
        <v>0</v>
      </c>
    </row>
    <row r="278" spans="3:21" x14ac:dyDescent="0.35">
      <c r="C278" s="168" t="s">
        <v>604</v>
      </c>
      <c r="D278" s="168"/>
      <c r="E278" s="168"/>
      <c r="F278" s="605" t="e">
        <f>F276/F277</f>
        <v>#DIV/0!</v>
      </c>
      <c r="G278" s="244" t="e">
        <f t="shared" ref="G278:U278" si="329">G276/G277</f>
        <v>#DIV/0!</v>
      </c>
      <c r="H278" s="244" t="e">
        <f t="shared" si="329"/>
        <v>#DIV/0!</v>
      </c>
      <c r="I278" s="1237" t="e">
        <f t="shared" si="329"/>
        <v>#DIV/0!</v>
      </c>
      <c r="J278" s="606" t="e">
        <f t="shared" si="329"/>
        <v>#DIV/0!</v>
      </c>
      <c r="K278" s="244" t="e">
        <f t="shared" si="329"/>
        <v>#DIV/0!</v>
      </c>
      <c r="L278" s="244" t="e">
        <f t="shared" si="329"/>
        <v>#DIV/0!</v>
      </c>
      <c r="M278" s="244" t="e">
        <f t="shared" si="329"/>
        <v>#DIV/0!</v>
      </c>
      <c r="N278" s="244" t="e">
        <f t="shared" si="329"/>
        <v>#DIV/0!</v>
      </c>
      <c r="O278" s="244" t="e">
        <f t="shared" si="329"/>
        <v>#DIV/0!</v>
      </c>
      <c r="P278" s="244" t="e">
        <f t="shared" si="329"/>
        <v>#DIV/0!</v>
      </c>
      <c r="Q278" s="244" t="e">
        <f t="shared" si="329"/>
        <v>#DIV/0!</v>
      </c>
      <c r="R278" s="1237" t="e">
        <f t="shared" si="329"/>
        <v>#DIV/0!</v>
      </c>
      <c r="S278" s="606" t="e">
        <f t="shared" si="329"/>
        <v>#DIV/0!</v>
      </c>
      <c r="T278" s="244" t="e">
        <f t="shared" si="329"/>
        <v>#DIV/0!</v>
      </c>
      <c r="U278" s="244" t="e">
        <f t="shared" si="329"/>
        <v>#DIV/0!</v>
      </c>
    </row>
    <row r="279" spans="3:21" x14ac:dyDescent="0.35">
      <c r="C279" s="168" t="s">
        <v>605</v>
      </c>
      <c r="D279" s="168"/>
      <c r="E279" s="168"/>
      <c r="F279" s="605"/>
      <c r="G279" s="244" t="e">
        <f>AVERAGE(F278:I278)</f>
        <v>#DIV/0!</v>
      </c>
      <c r="H279" s="244"/>
      <c r="I279" s="1237"/>
      <c r="J279" s="606"/>
      <c r="K279" s="244" t="e">
        <f>AVERAGE(K278:O278)</f>
        <v>#DIV/0!</v>
      </c>
      <c r="L279" s="244"/>
      <c r="M279" s="244"/>
      <c r="N279" s="244"/>
      <c r="O279" s="244"/>
      <c r="P279" s="244"/>
      <c r="Q279" s="244"/>
      <c r="R279" s="1237" t="e">
        <f>AVERAGE(P278:T278)</f>
        <v>#DIV/0!</v>
      </c>
      <c r="S279" s="606"/>
      <c r="T279" s="244"/>
      <c r="U279" s="244"/>
    </row>
    <row r="280" spans="3:21" x14ac:dyDescent="0.35">
      <c r="C280" s="168" t="s">
        <v>834</v>
      </c>
      <c r="D280" s="168"/>
      <c r="E280" s="168"/>
      <c r="F280" s="605"/>
      <c r="G280" s="244">
        <v>1041</v>
      </c>
      <c r="H280" s="244"/>
      <c r="I280" s="1237"/>
      <c r="J280" s="606"/>
      <c r="K280" s="244">
        <v>1605</v>
      </c>
      <c r="L280" s="244"/>
      <c r="M280" s="244"/>
      <c r="N280" s="244"/>
      <c r="O280" s="244"/>
      <c r="P280" s="244"/>
      <c r="Q280" s="244"/>
      <c r="R280" s="1237">
        <v>1334</v>
      </c>
      <c r="S280" s="606"/>
      <c r="T280" s="244"/>
      <c r="U280" s="244"/>
    </row>
    <row r="281" spans="3:21" x14ac:dyDescent="0.35">
      <c r="C281" s="168"/>
      <c r="D281" s="168"/>
      <c r="E281" s="168"/>
      <c r="F281" s="605"/>
      <c r="G281" s="244"/>
      <c r="H281" s="244"/>
      <c r="I281" s="1237"/>
      <c r="J281" s="606"/>
      <c r="K281" s="607"/>
      <c r="L281" s="244"/>
      <c r="M281" s="244"/>
      <c r="N281" s="244"/>
      <c r="O281" s="244"/>
      <c r="P281" s="244"/>
      <c r="Q281" s="244"/>
      <c r="R281" s="1419"/>
      <c r="S281" s="606"/>
      <c r="T281" s="244"/>
      <c r="U281" s="244"/>
    </row>
    <row r="282" spans="3:21" x14ac:dyDescent="0.35">
      <c r="C282" s="168"/>
      <c r="D282" s="168"/>
      <c r="E282" s="168"/>
      <c r="F282" s="605"/>
      <c r="G282" s="244"/>
      <c r="H282" s="244"/>
      <c r="I282" s="1237"/>
      <c r="J282" s="606"/>
      <c r="K282" s="244"/>
      <c r="L282" s="244"/>
      <c r="M282" s="244"/>
      <c r="N282" s="244"/>
      <c r="O282" s="244"/>
      <c r="P282" s="244"/>
      <c r="Q282" s="244"/>
      <c r="R282" s="1237"/>
      <c r="S282" s="606"/>
      <c r="T282" s="244"/>
      <c r="U282" s="244"/>
    </row>
    <row r="283" spans="3:21" x14ac:dyDescent="0.35">
      <c r="C283" s="168"/>
      <c r="D283" s="168"/>
      <c r="E283" s="168"/>
      <c r="F283" s="605"/>
      <c r="G283" s="244"/>
      <c r="H283" s="244"/>
      <c r="I283" s="1237"/>
      <c r="J283" s="606"/>
      <c r="K283" s="497"/>
      <c r="L283" s="244"/>
      <c r="M283" s="244"/>
      <c r="N283" s="244"/>
      <c r="O283" s="244"/>
      <c r="P283" s="244"/>
      <c r="Q283" s="244"/>
      <c r="R283" s="1237"/>
      <c r="S283" s="606"/>
      <c r="T283" s="249"/>
      <c r="U283" s="244"/>
    </row>
    <row r="284" spans="3:21" x14ac:dyDescent="0.35">
      <c r="F284" s="605"/>
      <c r="G284" s="244"/>
      <c r="H284" s="244"/>
      <c r="I284" s="1237"/>
      <c r="J284" s="606"/>
      <c r="K284" s="497"/>
      <c r="L284" s="244"/>
      <c r="M284" s="244"/>
      <c r="N284" s="244"/>
      <c r="O284" s="244"/>
      <c r="P284" s="244"/>
      <c r="Q284" s="244"/>
      <c r="R284" s="1237"/>
      <c r="S284" s="606"/>
      <c r="T284" s="244"/>
      <c r="U284" s="244"/>
    </row>
    <row r="285" spans="3:21" x14ac:dyDescent="0.35">
      <c r="C285" s="168"/>
      <c r="D285" s="168"/>
      <c r="E285" s="168"/>
      <c r="G285" s="267"/>
      <c r="H285" s="267"/>
      <c r="I285" s="1285"/>
      <c r="J285" s="645"/>
      <c r="K285" s="267"/>
      <c r="L285" s="267"/>
      <c r="M285" s="267"/>
      <c r="N285" s="267"/>
      <c r="O285" s="267"/>
      <c r="P285" s="267"/>
      <c r="Q285" s="267"/>
      <c r="R285" s="1285"/>
      <c r="S285" s="645"/>
      <c r="T285" s="267"/>
      <c r="U285" s="267"/>
    </row>
    <row r="286" spans="3:21" x14ac:dyDescent="0.35">
      <c r="D286"/>
      <c r="E286"/>
      <c r="G286" s="268"/>
      <c r="H286" s="268"/>
      <c r="I286" s="1287"/>
      <c r="J286" s="1227"/>
      <c r="T286" s="268"/>
      <c r="U286" s="268"/>
    </row>
    <row r="287" spans="3:21" x14ac:dyDescent="0.35">
      <c r="C287"/>
      <c r="D287"/>
      <c r="E287"/>
      <c r="G287" s="268"/>
      <c r="H287" s="268"/>
      <c r="I287" s="1287"/>
      <c r="J287" s="1227"/>
      <c r="K287" s="268"/>
      <c r="L287" s="268"/>
      <c r="M287" s="268"/>
      <c r="N287" s="268"/>
      <c r="O287" s="268"/>
      <c r="P287" s="268"/>
      <c r="Q287" s="268"/>
      <c r="R287" s="1287"/>
      <c r="S287" s="1227"/>
      <c r="T287" s="268"/>
      <c r="U287" s="268"/>
    </row>
    <row r="288" spans="3:21" x14ac:dyDescent="0.35">
      <c r="C288"/>
      <c r="D288"/>
      <c r="E288"/>
      <c r="G288" s="268"/>
      <c r="H288" s="268"/>
      <c r="I288" s="1287"/>
      <c r="J288" s="1227"/>
      <c r="L288" s="268"/>
      <c r="M288" s="268"/>
      <c r="N288" s="268"/>
      <c r="O288" s="268"/>
      <c r="P288" s="268"/>
      <c r="Q288" s="268"/>
      <c r="S288" s="1227"/>
      <c r="T288" s="268"/>
      <c r="U288" s="268"/>
    </row>
    <row r="289" spans="3:21" x14ac:dyDescent="0.35">
      <c r="C289"/>
      <c r="D289"/>
      <c r="E289"/>
      <c r="G289" s="267"/>
      <c r="H289" s="267"/>
      <c r="I289" s="1285"/>
      <c r="J289" s="645"/>
      <c r="K289" s="267"/>
      <c r="L289" s="267"/>
      <c r="M289" s="267"/>
      <c r="N289" s="267"/>
      <c r="O289" s="267"/>
      <c r="P289" s="267"/>
      <c r="Q289" s="267"/>
      <c r="R289" s="1285"/>
      <c r="S289" s="645"/>
      <c r="T289" s="267"/>
      <c r="U289" s="267"/>
    </row>
    <row r="290" spans="3:21" x14ac:dyDescent="0.35">
      <c r="C290"/>
      <c r="D290"/>
      <c r="E290"/>
      <c r="G290" s="267"/>
      <c r="H290" s="267"/>
      <c r="I290" s="1285"/>
      <c r="J290" s="645"/>
      <c r="K290" s="267"/>
      <c r="L290" s="267"/>
      <c r="M290" s="267"/>
      <c r="N290" s="267"/>
      <c r="O290" s="267"/>
      <c r="P290" s="267"/>
      <c r="Q290" s="267"/>
      <c r="R290" s="1285"/>
      <c r="S290" s="645"/>
      <c r="T290" s="267"/>
      <c r="U290" s="267"/>
    </row>
    <row r="291" spans="3:21" x14ac:dyDescent="0.35">
      <c r="C291"/>
      <c r="D291"/>
      <c r="E291"/>
      <c r="G291" s="267"/>
      <c r="H291" s="267"/>
      <c r="I291" s="1285"/>
      <c r="J291" s="645"/>
      <c r="K291" s="267"/>
      <c r="L291" s="267"/>
      <c r="M291" s="267"/>
      <c r="N291" s="267"/>
      <c r="O291" s="267"/>
      <c r="P291" s="267"/>
      <c r="Q291" s="267"/>
      <c r="R291" s="1285"/>
      <c r="S291" s="645"/>
      <c r="T291" s="267"/>
      <c r="U291" s="267"/>
    </row>
    <row r="292" spans="3:21" x14ac:dyDescent="0.35">
      <c r="C292"/>
      <c r="D292"/>
      <c r="E292"/>
      <c r="G292" s="267"/>
      <c r="H292" s="267"/>
      <c r="I292" s="1285"/>
      <c r="J292" s="645"/>
      <c r="K292" s="267"/>
      <c r="L292" s="267"/>
      <c r="M292" s="267"/>
      <c r="N292" s="267"/>
      <c r="O292" s="267"/>
      <c r="P292" s="267"/>
      <c r="Q292" s="267"/>
      <c r="R292" s="1285"/>
      <c r="S292" s="645"/>
      <c r="T292" s="267"/>
      <c r="U292" s="267"/>
    </row>
    <row r="295" spans="3:21" x14ac:dyDescent="0.35">
      <c r="H295" s="267"/>
      <c r="K295" s="267"/>
    </row>
  </sheetData>
  <mergeCells count="70">
    <mergeCell ref="EZ2:FA2"/>
    <mergeCell ref="FB2:FE2"/>
    <mergeCell ref="FF2:FH2"/>
    <mergeCell ref="CY2:DA2"/>
    <mergeCell ref="DS2:DT2"/>
    <mergeCell ref="DW2:DX2"/>
    <mergeCell ref="DY2:EB2"/>
    <mergeCell ref="EC2:EE2"/>
    <mergeCell ref="EV2:EW2"/>
    <mergeCell ref="BL2:BM2"/>
    <mergeCell ref="BR2:BU2"/>
    <mergeCell ref="BV2:BX2"/>
    <mergeCell ref="CU2:CX2"/>
    <mergeCell ref="CS2:CT2"/>
    <mergeCell ref="DS115:DV115"/>
    <mergeCell ref="DW115:EB115"/>
    <mergeCell ref="EC115:EH115"/>
    <mergeCell ref="EV115:EY115"/>
    <mergeCell ref="EZ115:FE115"/>
    <mergeCell ref="FF115:FJ115"/>
    <mergeCell ref="DW53:EB53"/>
    <mergeCell ref="EC53:EH53"/>
    <mergeCell ref="EV53:EY53"/>
    <mergeCell ref="EZ53:FE53"/>
    <mergeCell ref="FF53:FK53"/>
    <mergeCell ref="EV105:FE105"/>
    <mergeCell ref="DS53:DV53"/>
    <mergeCell ref="EV44:EY44"/>
    <mergeCell ref="EZ44:FD44"/>
    <mergeCell ref="FF44:FK44"/>
    <mergeCell ref="F53:I53"/>
    <mergeCell ref="J53:O53"/>
    <mergeCell ref="P53:U53"/>
    <mergeCell ref="AI53:AL53"/>
    <mergeCell ref="AM53:AR53"/>
    <mergeCell ref="AS53:AX53"/>
    <mergeCell ref="BL53:BO53"/>
    <mergeCell ref="BP53:BU53"/>
    <mergeCell ref="BV53:CA53"/>
    <mergeCell ref="CO53:CR53"/>
    <mergeCell ref="CS53:CX53"/>
    <mergeCell ref="CY53:DD53"/>
    <mergeCell ref="FF7:FK7"/>
    <mergeCell ref="BL7:BO7"/>
    <mergeCell ref="BP7:BU7"/>
    <mergeCell ref="BV7:CA7"/>
    <mergeCell ref="CO7:CR7"/>
    <mergeCell ref="CS7:CX7"/>
    <mergeCell ref="CY7:DD7"/>
    <mergeCell ref="DS7:DV7"/>
    <mergeCell ref="DW7:EA7"/>
    <mergeCell ref="EC7:EI7"/>
    <mergeCell ref="EV7:EY7"/>
    <mergeCell ref="EZ7:FE7"/>
    <mergeCell ref="AS7:AW7"/>
    <mergeCell ref="F2:G2"/>
    <mergeCell ref="J2:K2"/>
    <mergeCell ref="BP2:BQ2"/>
    <mergeCell ref="CO2:CP2"/>
    <mergeCell ref="F7:I7"/>
    <mergeCell ref="J7:O7"/>
    <mergeCell ref="P7:U7"/>
    <mergeCell ref="AI7:AL7"/>
    <mergeCell ref="AM7:AR7"/>
    <mergeCell ref="L2:O2"/>
    <mergeCell ref="P2:R2"/>
    <mergeCell ref="AI2:AJ2"/>
    <mergeCell ref="AM2:AN2"/>
    <mergeCell ref="AO2:AR2"/>
    <mergeCell ref="AS2:AU2"/>
  </mergeCells>
  <phoneticPr fontId="29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1CB4F-7632-4BC2-AB29-103C1224F573}">
  <sheetPr codeName="Sheet29">
    <tabColor theme="4" tint="0.59999389629810485"/>
  </sheetPr>
  <dimension ref="A1:FX295"/>
  <sheetViews>
    <sheetView zoomScale="88" zoomScaleNormal="60" workbookViewId="0">
      <pane xSplit="5" ySplit="6" topLeftCell="F7" activePane="bottomRight" state="frozen"/>
      <selection activeCell="F9" sqref="F9"/>
      <selection pane="topRight" activeCell="F9" sqref="F9"/>
      <selection pane="bottomLeft" activeCell="F9" sqref="F9"/>
      <selection pane="bottomRight" activeCell="F9" sqref="F9"/>
    </sheetView>
  </sheetViews>
  <sheetFormatPr defaultRowHeight="14.5" x14ac:dyDescent="0.35"/>
  <cols>
    <col min="1" max="2" width="1.7265625" customWidth="1"/>
    <col min="3" max="3" width="42.1796875" style="1" customWidth="1"/>
    <col min="4" max="5" width="5.7265625" style="1" customWidth="1"/>
    <col min="6" max="6" width="8.7265625" style="1029" customWidth="1"/>
    <col min="7" max="7" width="9.54296875" style="232" bestFit="1" customWidth="1"/>
    <col min="8" max="8" width="6.453125" style="232" customWidth="1"/>
    <col min="9" max="9" width="6.453125" style="1236" customWidth="1"/>
    <col min="10" max="10" width="7.1796875" style="643" customWidth="1"/>
    <col min="11" max="11" width="6.453125" style="232" customWidth="1"/>
    <col min="12" max="12" width="8.1796875" style="232" customWidth="1"/>
    <col min="13" max="13" width="6.81640625" style="232" customWidth="1"/>
    <col min="14" max="14" width="6.453125" style="232" customWidth="1"/>
    <col min="15" max="15" width="7" style="232" customWidth="1"/>
    <col min="16" max="16" width="7.7265625" style="232" customWidth="1"/>
    <col min="17" max="17" width="6.453125" style="232" customWidth="1"/>
    <col min="18" max="18" width="6.7265625" style="1236" customWidth="1"/>
    <col min="19" max="19" width="7.81640625" style="643" customWidth="1"/>
    <col min="20" max="20" width="6.453125" style="232" customWidth="1"/>
    <col min="21" max="22" width="8" style="232" customWidth="1"/>
    <col min="23" max="23" width="8.26953125" style="232" customWidth="1"/>
    <col min="24" max="24" width="8" style="1236" customWidth="1"/>
    <col min="25" max="25" width="8" style="643" customWidth="1"/>
    <col min="26" max="33" width="8" style="232" customWidth="1"/>
    <col min="34" max="34" width="1.7265625" style="323" customWidth="1"/>
    <col min="35" max="35" width="7.7265625" style="232" customWidth="1"/>
    <col min="36" max="36" width="7.1796875" style="232" customWidth="1"/>
    <col min="37" max="37" width="8.81640625" style="232" customWidth="1"/>
    <col min="38" max="38" width="6.453125" style="1236" customWidth="1"/>
    <col min="39" max="39" width="6.453125" style="643" customWidth="1"/>
    <col min="40" max="41" width="6.453125" style="232" customWidth="1"/>
    <col min="42" max="42" width="6.7265625" style="232" customWidth="1"/>
    <col min="43" max="44" width="8.453125" style="232" bestFit="1" customWidth="1"/>
    <col min="45" max="46" width="6.453125" style="232" customWidth="1"/>
    <col min="47" max="47" width="6.453125" style="1236" customWidth="1"/>
    <col min="48" max="48" width="6.453125" style="643" customWidth="1"/>
    <col min="49" max="52" width="6.453125" style="232" customWidth="1"/>
    <col min="53" max="53" width="6.453125" style="1236" customWidth="1"/>
    <col min="54" max="54" width="6.453125" style="643" customWidth="1"/>
    <col min="55" max="62" width="6.453125" style="232" customWidth="1"/>
    <col min="63" max="63" width="1.7265625" style="323" customWidth="1"/>
    <col min="64" max="66" width="6.7265625" style="232" customWidth="1"/>
    <col min="67" max="67" width="6.7265625" style="1236" customWidth="1"/>
    <col min="68" max="68" width="6.7265625" style="643" customWidth="1"/>
    <col min="69" max="71" width="9.54296875" style="232" bestFit="1" customWidth="1"/>
    <col min="72" max="75" width="6.7265625" style="232" customWidth="1"/>
    <col min="76" max="76" width="9.54296875" style="1236" bestFit="1" customWidth="1"/>
    <col min="77" max="77" width="6.7265625" style="643" customWidth="1"/>
    <col min="78" max="79" width="6.7265625" style="232" customWidth="1"/>
    <col min="80" max="81" width="6.453125" style="232" customWidth="1"/>
    <col min="82" max="82" width="6.453125" style="1236" customWidth="1"/>
    <col min="83" max="83" width="6.453125" style="643" customWidth="1"/>
    <col min="84" max="91" width="6.453125" style="232" customWidth="1"/>
    <col min="92" max="92" width="1.7265625" style="323" customWidth="1"/>
    <col min="93" max="95" width="6.453125" style="232" customWidth="1"/>
    <col min="96" max="96" width="6.453125" style="1236" customWidth="1"/>
    <col min="97" max="97" width="6.453125" style="643" customWidth="1"/>
    <col min="98" max="104" width="6.453125" style="232" customWidth="1"/>
    <col min="105" max="105" width="6.453125" style="1236" customWidth="1"/>
    <col min="106" max="106" width="6.453125" style="643" customWidth="1"/>
    <col min="107" max="110" width="6.453125" style="232" customWidth="1"/>
    <col min="111" max="111" width="6.453125" style="1236" customWidth="1"/>
    <col min="112" max="112" width="6.453125" style="643" customWidth="1"/>
    <col min="113" max="120" width="6.453125" style="232" customWidth="1"/>
    <col min="121" max="121" width="2.7265625" style="323" customWidth="1"/>
    <col min="122" max="122" width="15.26953125" style="238" customWidth="1"/>
    <col min="123" max="125" width="6.453125" style="232" customWidth="1"/>
    <col min="126" max="126" width="6.453125" style="1236" customWidth="1"/>
    <col min="127" max="127" width="6.453125" style="643" customWidth="1"/>
    <col min="128" max="134" width="6.453125" style="232" customWidth="1"/>
    <col min="135" max="135" width="6.453125" style="1236" customWidth="1"/>
    <col min="136" max="136" width="6.453125" style="643" customWidth="1"/>
    <col min="137" max="138" width="6.453125" style="232" customWidth="1"/>
    <col min="139" max="140" width="6.81640625" style="232" customWidth="1"/>
    <col min="141" max="141" width="6.81640625" style="1236" customWidth="1"/>
    <col min="142" max="142" width="6.81640625" style="643" customWidth="1"/>
    <col min="143" max="150" width="6.81640625" style="232" customWidth="1"/>
    <col min="151" max="151" width="4.54296875" style="323" customWidth="1"/>
    <col min="152" max="152" width="9.7265625" style="232" customWidth="1"/>
    <col min="153" max="154" width="7.453125" style="232" customWidth="1"/>
    <col min="155" max="155" width="7.453125" style="1236" customWidth="1"/>
    <col min="156" max="156" width="7.453125" style="643" customWidth="1"/>
    <col min="157" max="161" width="7.453125" style="232" customWidth="1"/>
    <col min="162" max="163" width="6.453125" style="232" customWidth="1"/>
    <col min="164" max="164" width="8.7265625" style="1236" customWidth="1"/>
    <col min="165" max="165" width="8" style="643" customWidth="1"/>
    <col min="166" max="169" width="9.1796875" style="232"/>
    <col min="170" max="170" width="9.1796875" style="1236"/>
    <col min="171" max="171" width="9.1796875" style="643"/>
    <col min="172" max="179" width="9.1796875" style="232"/>
  </cols>
  <sheetData>
    <row r="1" spans="1:180" x14ac:dyDescent="0.35">
      <c r="AI1" s="1029"/>
      <c r="BL1" s="1029"/>
      <c r="CO1" s="1029"/>
      <c r="DR1" s="1388"/>
      <c r="DS1" s="1029"/>
      <c r="EV1" s="1390"/>
      <c r="EW1" s="1391"/>
      <c r="EX1" s="1391"/>
      <c r="EY1" s="1392"/>
      <c r="EZ1" s="1393"/>
      <c r="FA1" s="1391"/>
      <c r="FB1" s="1391"/>
      <c r="FC1" s="1391"/>
      <c r="FD1" s="1391"/>
      <c r="FE1" s="1391"/>
      <c r="FF1" s="1391"/>
      <c r="FG1" s="1391"/>
      <c r="FH1" s="1392"/>
      <c r="FI1" s="1393"/>
      <c r="FJ1" s="1391"/>
      <c r="FK1" s="1391"/>
      <c r="FL1" s="1391"/>
      <c r="FM1" s="1391"/>
      <c r="FN1" s="1392"/>
      <c r="FO1" s="1393"/>
      <c r="FP1" s="1391"/>
      <c r="FQ1" s="1391"/>
      <c r="FR1" s="1391"/>
      <c r="FS1" s="1391"/>
      <c r="FT1" s="1391"/>
      <c r="FU1" s="1391"/>
      <c r="FV1" s="1391"/>
      <c r="FW1" s="1391"/>
    </row>
    <row r="2" spans="1:180" x14ac:dyDescent="0.35">
      <c r="F2" s="2722" t="s">
        <v>206</v>
      </c>
      <c r="G2" s="2723"/>
      <c r="H2" s="317"/>
      <c r="I2" s="1228"/>
      <c r="J2" s="2724" t="s">
        <v>206</v>
      </c>
      <c r="K2" s="2724"/>
      <c r="L2" s="2728"/>
      <c r="M2" s="2729"/>
      <c r="N2" s="2729"/>
      <c r="O2" s="2730"/>
      <c r="P2" s="2731"/>
      <c r="Q2" s="2732"/>
      <c r="R2" s="2732"/>
      <c r="S2" s="1406"/>
      <c r="T2" s="317"/>
      <c r="U2" s="317"/>
      <c r="Y2" s="1422"/>
      <c r="AI2" s="2722" t="s">
        <v>391</v>
      </c>
      <c r="AJ2" s="2723"/>
      <c r="AK2" s="317"/>
      <c r="AL2" s="1228"/>
      <c r="AM2" s="2724" t="s">
        <v>392</v>
      </c>
      <c r="AN2" s="2724"/>
      <c r="AO2" s="2728"/>
      <c r="AP2" s="2729"/>
      <c r="AQ2" s="2729"/>
      <c r="AR2" s="2730"/>
      <c r="AS2" s="2731" t="s">
        <v>393</v>
      </c>
      <c r="AT2" s="2732"/>
      <c r="AU2" s="2732"/>
      <c r="AV2" s="1406"/>
      <c r="AW2" s="317"/>
      <c r="AX2" s="317"/>
      <c r="BB2" s="1422"/>
      <c r="BL2" s="2722" t="s">
        <v>352</v>
      </c>
      <c r="BM2" s="2723"/>
      <c r="BN2" s="317"/>
      <c r="BO2" s="1228"/>
      <c r="BP2" s="2724" t="s">
        <v>15</v>
      </c>
      <c r="BQ2" s="2724"/>
      <c r="BR2" s="2728"/>
      <c r="BS2" s="2729"/>
      <c r="BT2" s="2729"/>
      <c r="BU2" s="2730"/>
      <c r="BV2" s="2731" t="s">
        <v>15</v>
      </c>
      <c r="BW2" s="2732"/>
      <c r="BX2" s="2732"/>
      <c r="BY2" s="1406"/>
      <c r="BZ2" s="317"/>
      <c r="CA2" s="317"/>
      <c r="CE2" s="1422"/>
      <c r="CO2" s="2734" t="s">
        <v>0</v>
      </c>
      <c r="CP2" s="2735"/>
      <c r="CQ2" s="1516"/>
      <c r="CR2" s="1517"/>
      <c r="CS2" s="2736" t="s">
        <v>0</v>
      </c>
      <c r="CT2" s="2736"/>
      <c r="CU2" s="2739"/>
      <c r="CV2" s="2740"/>
      <c r="CW2" s="2740"/>
      <c r="CX2" s="2741"/>
      <c r="CY2" s="2739" t="s">
        <v>0</v>
      </c>
      <c r="CZ2" s="2740"/>
      <c r="DA2" s="2740"/>
      <c r="DB2" s="1518"/>
      <c r="DC2" s="1516"/>
      <c r="DD2" s="1516"/>
      <c r="DE2" s="1516"/>
      <c r="DF2" s="1516"/>
      <c r="DG2" s="1517"/>
      <c r="DH2" s="1518"/>
      <c r="DI2" s="1516"/>
      <c r="DR2" s="1515"/>
      <c r="DS2" s="2745" t="s">
        <v>1</v>
      </c>
      <c r="DT2" s="2746"/>
      <c r="DU2" s="322"/>
      <c r="DV2" s="1380"/>
      <c r="DW2" s="2747" t="s">
        <v>1</v>
      </c>
      <c r="DX2" s="2747"/>
      <c r="DY2" s="2748"/>
      <c r="DZ2" s="2749"/>
      <c r="EA2" s="2749"/>
      <c r="EB2" s="2750"/>
      <c r="EC2" s="2748" t="s">
        <v>1</v>
      </c>
      <c r="ED2" s="2749"/>
      <c r="EE2" s="2749"/>
      <c r="EF2" s="1389"/>
      <c r="EG2" s="322"/>
      <c r="EH2" s="322"/>
      <c r="EI2" s="322"/>
      <c r="EJ2" s="322"/>
      <c r="EK2" s="1380"/>
      <c r="EL2" s="1389"/>
      <c r="EM2" s="322"/>
      <c r="EN2" s="322"/>
      <c r="EO2" s="322"/>
      <c r="EP2" s="322"/>
      <c r="EQ2" s="322"/>
      <c r="ER2" s="322"/>
      <c r="ES2" s="322"/>
      <c r="ET2" s="322"/>
      <c r="EV2" s="2737" t="s">
        <v>2</v>
      </c>
      <c r="EW2" s="2738"/>
      <c r="EX2" s="1391"/>
      <c r="EY2" s="1392"/>
      <c r="EZ2" s="2733" t="s">
        <v>2</v>
      </c>
      <c r="FA2" s="2733"/>
      <c r="FB2" s="2742"/>
      <c r="FC2" s="2743"/>
      <c r="FD2" s="2743"/>
      <c r="FE2" s="2744"/>
      <c r="FF2" s="2742" t="s">
        <v>2</v>
      </c>
      <c r="FG2" s="2743"/>
      <c r="FH2" s="2743"/>
      <c r="FI2" s="1393"/>
      <c r="FJ2" s="1391"/>
      <c r="FK2" s="1391"/>
      <c r="FL2" s="1391"/>
      <c r="FM2" s="1391"/>
      <c r="FN2" s="1392"/>
      <c r="FO2" s="1393"/>
      <c r="FP2" s="1391"/>
      <c r="FQ2" s="1391"/>
      <c r="FR2" s="1391"/>
      <c r="FS2" s="1391"/>
      <c r="FT2" s="1391"/>
      <c r="FU2" s="1391"/>
      <c r="FV2" s="1391"/>
      <c r="FW2" s="1391"/>
    </row>
    <row r="3" spans="1:180" ht="15" thickBot="1" x14ac:dyDescent="0.4">
      <c r="F3" s="1288" t="s">
        <v>396</v>
      </c>
      <c r="G3" s="1289"/>
      <c r="H3" s="1290"/>
      <c r="I3" s="1291"/>
      <c r="J3" s="1420" t="s">
        <v>400</v>
      </c>
      <c r="K3" s="1421"/>
      <c r="L3" s="1379"/>
      <c r="M3" s="1379"/>
      <c r="N3" s="1379"/>
      <c r="O3" s="1379"/>
      <c r="P3" s="1377"/>
      <c r="Q3" s="1378"/>
      <c r="R3" s="1412"/>
      <c r="S3" s="1407"/>
      <c r="T3" s="1290"/>
      <c r="U3" s="1290"/>
      <c r="V3" s="225"/>
      <c r="W3" s="225"/>
      <c r="X3" s="1269"/>
      <c r="Y3" s="1423"/>
      <c r="Z3" s="225"/>
      <c r="AA3" s="225"/>
      <c r="AB3" s="225"/>
      <c r="AC3" s="225"/>
      <c r="AD3" s="225"/>
      <c r="AE3" s="225"/>
      <c r="AF3" s="225"/>
      <c r="AG3" s="225"/>
      <c r="AH3" s="344"/>
      <c r="AI3" s="1288" t="s">
        <v>397</v>
      </c>
      <c r="AJ3" s="1289"/>
      <c r="AK3" s="1290"/>
      <c r="AL3" s="1291"/>
      <c r="AM3" s="1292" t="s">
        <v>400</v>
      </c>
      <c r="AN3" s="1290"/>
      <c r="AO3" s="1379"/>
      <c r="AP3" s="1379"/>
      <c r="AQ3" s="1379"/>
      <c r="AR3" s="1379"/>
      <c r="AS3" s="1377" t="s">
        <v>402</v>
      </c>
      <c r="AT3" s="1378"/>
      <c r="AU3" s="1412"/>
      <c r="AV3" s="1407"/>
      <c r="AW3" s="1290"/>
      <c r="AX3" s="1290"/>
      <c r="AY3" s="225"/>
      <c r="AZ3" s="225"/>
      <c r="BA3" s="1269"/>
      <c r="BB3" s="1423"/>
      <c r="BC3" s="225"/>
      <c r="BD3" s="225"/>
      <c r="BE3" s="225"/>
      <c r="BF3" s="225"/>
      <c r="BG3" s="225"/>
      <c r="BH3" s="225"/>
      <c r="BI3" s="225"/>
      <c r="BJ3" s="225"/>
      <c r="BK3" s="344"/>
      <c r="BL3" s="1288" t="s">
        <v>398</v>
      </c>
      <c r="BM3" s="1289"/>
      <c r="BN3" s="1290"/>
      <c r="BO3" s="1291"/>
      <c r="BP3" s="1292" t="s">
        <v>400</v>
      </c>
      <c r="BQ3" s="1290"/>
      <c r="BR3" s="1379"/>
      <c r="BS3" s="1379"/>
      <c r="BT3" s="1379"/>
      <c r="BU3" s="1379"/>
      <c r="BV3" s="1377" t="s">
        <v>402</v>
      </c>
      <c r="BW3" s="1378"/>
      <c r="BX3" s="1412"/>
      <c r="BY3" s="1407"/>
      <c r="BZ3" s="1290"/>
      <c r="CA3" s="1290"/>
      <c r="CB3" s="225"/>
      <c r="CC3" s="225"/>
      <c r="CD3" s="1269"/>
      <c r="CE3" s="1423"/>
      <c r="CF3" s="225"/>
      <c r="CG3" s="225"/>
      <c r="CH3" s="225"/>
      <c r="CI3" s="225"/>
      <c r="CJ3" s="225"/>
      <c r="CK3" s="225"/>
      <c r="CL3" s="225"/>
      <c r="CM3" s="225"/>
      <c r="CN3" s="344"/>
      <c r="CO3" s="1519" t="s">
        <v>399</v>
      </c>
      <c r="CP3" s="1520"/>
      <c r="CQ3" s="1521"/>
      <c r="CR3" s="1522"/>
      <c r="CS3" s="1523" t="s">
        <v>400</v>
      </c>
      <c r="CT3" s="1521"/>
      <c r="CU3" s="1524"/>
      <c r="CV3" s="1524"/>
      <c r="CW3" s="1524"/>
      <c r="CX3" s="1524"/>
      <c r="CY3" s="1525" t="s">
        <v>402</v>
      </c>
      <c r="CZ3" s="1526"/>
      <c r="DA3" s="1527"/>
      <c r="DB3" s="1528"/>
      <c r="DC3" s="1521"/>
      <c r="DD3" s="1521"/>
      <c r="DE3" s="1521"/>
      <c r="DF3" s="1521"/>
      <c r="DG3" s="1522"/>
      <c r="DH3" s="1528"/>
      <c r="DI3" s="1521"/>
      <c r="DJ3" s="225"/>
      <c r="DK3" s="225"/>
      <c r="DL3" s="225"/>
      <c r="DM3" s="225"/>
      <c r="DN3" s="225"/>
      <c r="DO3" s="225"/>
      <c r="DP3" s="225"/>
      <c r="DQ3" s="344"/>
      <c r="DR3" s="1381"/>
      <c r="DS3" s="1381" t="s">
        <v>397</v>
      </c>
      <c r="DT3" s="1382"/>
      <c r="DU3" s="1293"/>
      <c r="DV3" s="1383"/>
      <c r="DW3" s="1384" t="s">
        <v>400</v>
      </c>
      <c r="DX3" s="1293"/>
      <c r="DY3" s="1385"/>
      <c r="DZ3" s="1385"/>
      <c r="EA3" s="1385"/>
      <c r="EB3" s="1385"/>
      <c r="EC3" s="1386" t="s">
        <v>402</v>
      </c>
      <c r="ED3" s="1387"/>
      <c r="EE3" s="1529"/>
      <c r="EF3" s="1530"/>
      <c r="EG3" s="1293"/>
      <c r="EH3" s="1293"/>
      <c r="EI3" s="1293"/>
      <c r="EJ3" s="1293"/>
      <c r="EK3" s="1383"/>
      <c r="EL3" s="1530"/>
      <c r="EM3" s="1293"/>
      <c r="EN3" s="1293"/>
      <c r="EO3" s="1293"/>
      <c r="EP3" s="1293"/>
      <c r="EQ3" s="1293"/>
      <c r="ER3" s="1293"/>
      <c r="ES3" s="1293"/>
      <c r="ET3" s="1293"/>
      <c r="EU3" s="344"/>
      <c r="EV3" s="1394" t="s">
        <v>398</v>
      </c>
      <c r="EW3" s="1395"/>
      <c r="EX3" s="1396"/>
      <c r="EY3" s="1397"/>
      <c r="EZ3" s="1398" t="s">
        <v>400</v>
      </c>
      <c r="FA3" s="1396"/>
      <c r="FB3" s="1399"/>
      <c r="FC3" s="1399"/>
      <c r="FD3" s="1399"/>
      <c r="FE3" s="1399"/>
      <c r="FF3" s="1400" t="s">
        <v>402</v>
      </c>
      <c r="FG3" s="1400"/>
      <c r="FH3" s="1568"/>
      <c r="FI3" s="1564"/>
      <c r="FJ3" s="1396"/>
      <c r="FK3" s="1396"/>
      <c r="FL3" s="1396"/>
      <c r="FM3" s="1396"/>
      <c r="FN3" s="1397"/>
      <c r="FO3" s="1564"/>
      <c r="FP3" s="1396"/>
      <c r="FQ3" s="1396"/>
      <c r="FR3" s="1396"/>
      <c r="FS3" s="1396"/>
      <c r="FT3" s="1396"/>
      <c r="FU3" s="1396"/>
      <c r="FV3" s="1396"/>
      <c r="FW3" s="1396"/>
    </row>
    <row r="4" spans="1:180" ht="15" thickTop="1" x14ac:dyDescent="0.35">
      <c r="C4" s="163" t="s">
        <v>293</v>
      </c>
      <c r="D4" s="163"/>
      <c r="E4" s="163"/>
      <c r="F4" s="1304">
        <v>45855</v>
      </c>
      <c r="G4" s="1305">
        <v>45856</v>
      </c>
      <c r="H4" s="1305">
        <v>45857</v>
      </c>
      <c r="I4" s="1306">
        <v>45858</v>
      </c>
      <c r="J4" s="1307">
        <v>45859</v>
      </c>
      <c r="K4" s="1305">
        <v>45860</v>
      </c>
      <c r="L4" s="1305">
        <v>45861</v>
      </c>
      <c r="M4" s="1305">
        <v>45862</v>
      </c>
      <c r="N4" s="1305">
        <v>45863</v>
      </c>
      <c r="O4" s="1305">
        <v>45864</v>
      </c>
      <c r="P4" s="1305">
        <v>45865</v>
      </c>
      <c r="Q4" s="1305">
        <v>45866</v>
      </c>
      <c r="R4" s="1306">
        <v>45867</v>
      </c>
      <c r="S4" s="1307">
        <v>45868</v>
      </c>
      <c r="T4" s="1305">
        <v>45869</v>
      </c>
      <c r="U4" s="1305">
        <v>45870</v>
      </c>
      <c r="V4" s="1308"/>
      <c r="W4" s="1308"/>
      <c r="X4" s="1442"/>
      <c r="Y4" s="1424"/>
      <c r="Z4" s="1308"/>
      <c r="AA4" s="1308"/>
      <c r="AB4" s="1308"/>
      <c r="AC4" s="1308"/>
      <c r="AD4" s="1308"/>
      <c r="AE4" s="1308"/>
      <c r="AF4" s="1308"/>
      <c r="AG4" s="1308"/>
      <c r="AH4" s="1309"/>
      <c r="AI4" s="1308"/>
      <c r="AJ4" s="1308"/>
      <c r="AK4" s="1308"/>
      <c r="AL4" s="1442"/>
      <c r="AM4" s="1424"/>
      <c r="AN4" s="1308"/>
      <c r="AO4" s="1308"/>
      <c r="AP4" s="1308"/>
      <c r="AQ4" s="1308"/>
      <c r="AR4" s="1308"/>
      <c r="AS4" s="1308"/>
      <c r="AT4" s="1308"/>
      <c r="AU4" s="1442"/>
      <c r="AV4" s="1424"/>
      <c r="AW4" s="1308"/>
      <c r="AX4" s="1308"/>
      <c r="AY4" s="1308"/>
      <c r="AZ4" s="1308"/>
      <c r="BA4" s="1442"/>
      <c r="BB4" s="1424"/>
      <c r="BC4" s="1308"/>
      <c r="BD4" s="1308"/>
      <c r="BE4" s="1308"/>
      <c r="BF4" s="1308"/>
      <c r="BG4" s="1308"/>
      <c r="BH4" s="1308"/>
      <c r="BI4" s="1308"/>
      <c r="BJ4" s="1308"/>
      <c r="BK4" s="1309"/>
      <c r="BL4" s="1305"/>
      <c r="BM4" s="1305"/>
      <c r="BN4" s="1305"/>
      <c r="BO4" s="1306"/>
      <c r="BP4" s="1307"/>
      <c r="BQ4" s="1305"/>
      <c r="BR4" s="1305"/>
      <c r="BS4" s="1305"/>
      <c r="BT4" s="1305"/>
      <c r="BU4" s="1305"/>
      <c r="BV4" s="1305"/>
      <c r="BW4" s="1305"/>
      <c r="BX4" s="1306"/>
      <c r="BY4" s="1307"/>
      <c r="BZ4" s="1305"/>
      <c r="CA4" s="1305"/>
      <c r="CB4" s="1305"/>
      <c r="CC4" s="1305"/>
      <c r="CD4" s="1306"/>
      <c r="CE4" s="1307"/>
      <c r="CF4" s="1305"/>
      <c r="CG4" s="1305"/>
      <c r="CH4" s="1305"/>
      <c r="CI4" s="1305"/>
      <c r="CJ4" s="1305"/>
      <c r="CK4" s="1305"/>
      <c r="CL4" s="1305"/>
      <c r="CM4" s="1305"/>
      <c r="CN4" s="1309"/>
      <c r="CO4" s="1305"/>
      <c r="CP4" s="1305"/>
      <c r="CQ4" s="1305"/>
      <c r="CR4" s="1306"/>
      <c r="CS4" s="1307"/>
      <c r="CT4" s="1305"/>
      <c r="CU4" s="1305"/>
      <c r="CV4" s="1305"/>
      <c r="CW4" s="1305"/>
      <c r="CX4" s="1305"/>
      <c r="CY4" s="1305"/>
      <c r="CZ4" s="1305"/>
      <c r="DA4" s="1306"/>
      <c r="DB4" s="1307"/>
      <c r="DC4" s="1305"/>
      <c r="DD4" s="1305"/>
      <c r="DE4" s="1308"/>
      <c r="DF4" s="1308"/>
      <c r="DG4" s="1442"/>
      <c r="DH4" s="1424"/>
      <c r="DI4" s="1308"/>
      <c r="DJ4" s="1308"/>
      <c r="DK4" s="1308"/>
      <c r="DL4" s="1308"/>
      <c r="DM4" s="1308"/>
      <c r="DN4" s="1308"/>
      <c r="DO4" s="1308"/>
      <c r="DP4" s="1308"/>
      <c r="DQ4" s="1309"/>
      <c r="DR4" s="1310"/>
      <c r="DS4" s="1305"/>
      <c r="DT4" s="1305"/>
      <c r="DU4" s="1305"/>
      <c r="DV4" s="1306"/>
      <c r="DW4" s="1307"/>
      <c r="DX4" s="1305"/>
      <c r="DY4" s="1305"/>
      <c r="DZ4" s="1305"/>
      <c r="EA4" s="1305"/>
      <c r="EB4" s="1305"/>
      <c r="EC4" s="1305"/>
      <c r="ED4" s="1305"/>
      <c r="EE4" s="1306"/>
      <c r="EF4" s="1307"/>
      <c r="EG4" s="1305"/>
      <c r="EH4" s="1305"/>
      <c r="EI4" s="1305"/>
      <c r="EJ4" s="1305"/>
      <c r="EK4" s="1306"/>
      <c r="EL4" s="1307"/>
      <c r="EM4" s="1305"/>
      <c r="EN4" s="1305"/>
      <c r="EO4" s="1305"/>
      <c r="EP4" s="1305"/>
      <c r="EQ4" s="1305"/>
      <c r="ER4" s="1305"/>
      <c r="ES4" s="1305"/>
      <c r="ET4" s="1305"/>
      <c r="EU4" s="1309"/>
      <c r="EV4" s="1305"/>
      <c r="EW4" s="1305"/>
      <c r="EX4" s="1305"/>
      <c r="EY4" s="1306"/>
      <c r="EZ4" s="1307"/>
      <c r="FA4" s="1305"/>
      <c r="FB4" s="1305"/>
      <c r="FC4" s="1305"/>
      <c r="FD4" s="1305"/>
      <c r="FE4" s="1305"/>
      <c r="FF4" s="1305"/>
      <c r="FG4" s="1305"/>
      <c r="FH4" s="1306"/>
      <c r="FI4" s="1424"/>
      <c r="FJ4" s="1308"/>
      <c r="FK4" s="1308"/>
      <c r="FL4" s="1308"/>
      <c r="FM4" s="1308"/>
      <c r="FN4" s="1442"/>
      <c r="FO4" s="1424"/>
      <c r="FP4" s="1308"/>
      <c r="FQ4" s="1308"/>
      <c r="FR4" s="1308"/>
      <c r="FS4" s="1308"/>
      <c r="FT4" s="1308"/>
      <c r="FU4" s="1308"/>
      <c r="FV4" s="1308"/>
      <c r="FW4" s="1308"/>
    </row>
    <row r="5" spans="1:180" ht="15" thickBot="1" x14ac:dyDescent="0.4">
      <c r="C5" s="163" t="s">
        <v>215</v>
      </c>
      <c r="D5" s="163"/>
      <c r="E5" s="163"/>
      <c r="F5" s="1311">
        <v>45856</v>
      </c>
      <c r="G5" s="1312">
        <v>45857</v>
      </c>
      <c r="H5" s="1312">
        <v>45858</v>
      </c>
      <c r="I5" s="1313">
        <v>45859</v>
      </c>
      <c r="J5" s="1314">
        <v>45860</v>
      </c>
      <c r="K5" s="1312">
        <v>45861</v>
      </c>
      <c r="L5" s="1312"/>
      <c r="M5" s="1312"/>
      <c r="N5" s="1312"/>
      <c r="O5" s="1312"/>
      <c r="P5" s="1312"/>
      <c r="Q5" s="1312"/>
      <c r="R5" s="1313"/>
      <c r="S5" s="1314"/>
      <c r="T5" s="1312"/>
      <c r="U5" s="1312"/>
      <c r="V5" s="1312"/>
      <c r="W5" s="1312"/>
      <c r="X5" s="1313"/>
      <c r="Y5" s="1314"/>
      <c r="Z5" s="1312"/>
      <c r="AA5" s="1312"/>
      <c r="AB5" s="1312"/>
      <c r="AC5" s="1312"/>
      <c r="AD5" s="1312"/>
      <c r="AE5" s="1312"/>
      <c r="AF5" s="1312"/>
      <c r="AG5" s="1312"/>
      <c r="AH5" s="1315"/>
      <c r="AI5" s="1312"/>
      <c r="AJ5" s="1312"/>
      <c r="AK5" s="1312"/>
      <c r="AL5" s="1313"/>
      <c r="AM5" s="1314"/>
      <c r="AN5" s="1312"/>
      <c r="AO5" s="1312"/>
      <c r="AP5" s="1312"/>
      <c r="AQ5" s="1312"/>
      <c r="AR5" s="1312"/>
      <c r="AS5" s="1312"/>
      <c r="AT5" s="1312"/>
      <c r="AU5" s="1313"/>
      <c r="AV5" s="1314"/>
      <c r="AW5" s="1312"/>
      <c r="AX5" s="1312"/>
      <c r="AY5" s="1312"/>
      <c r="AZ5" s="1312"/>
      <c r="BA5" s="1313"/>
      <c r="BB5" s="1314"/>
      <c r="BC5" s="1312"/>
      <c r="BD5" s="1312"/>
      <c r="BE5" s="1312"/>
      <c r="BF5" s="1312"/>
      <c r="BG5" s="1312"/>
      <c r="BH5" s="1312"/>
      <c r="BI5" s="1312"/>
      <c r="BJ5" s="1312"/>
      <c r="BK5" s="1315"/>
      <c r="BL5" s="1312"/>
      <c r="BM5" s="1312"/>
      <c r="BN5" s="1312"/>
      <c r="BO5" s="1313"/>
      <c r="BP5" s="1314"/>
      <c r="BQ5" s="1312"/>
      <c r="BR5" s="1312"/>
      <c r="BS5" s="1312"/>
      <c r="BT5" s="1312"/>
      <c r="BU5" s="1312"/>
      <c r="BV5" s="1312"/>
      <c r="BW5" s="1312"/>
      <c r="BX5" s="1313"/>
      <c r="BY5" s="1314"/>
      <c r="BZ5" s="1312"/>
      <c r="CA5" s="1312"/>
      <c r="CB5" s="1312"/>
      <c r="CC5" s="1312"/>
      <c r="CD5" s="1313"/>
      <c r="CE5" s="1314"/>
      <c r="CF5" s="1312"/>
      <c r="CG5" s="1312"/>
      <c r="CH5" s="1312"/>
      <c r="CI5" s="1312"/>
      <c r="CJ5" s="1312"/>
      <c r="CK5" s="1312"/>
      <c r="CL5" s="1312"/>
      <c r="CM5" s="1312"/>
      <c r="CN5" s="1316"/>
      <c r="CO5" s="1312"/>
      <c r="CP5" s="1312"/>
      <c r="CQ5" s="1312"/>
      <c r="CR5" s="1313"/>
      <c r="CS5" s="1314"/>
      <c r="CT5" s="1312"/>
      <c r="CU5" s="1312"/>
      <c r="CV5" s="1312"/>
      <c r="CW5" s="1312"/>
      <c r="CX5" s="1312"/>
      <c r="CY5" s="1312"/>
      <c r="CZ5" s="1312"/>
      <c r="DA5" s="1313"/>
      <c r="DB5" s="1314"/>
      <c r="DC5" s="1312"/>
      <c r="DD5" s="1312"/>
      <c r="DE5" s="1317"/>
      <c r="DF5" s="1317"/>
      <c r="DG5" s="1509"/>
      <c r="DH5" s="1503"/>
      <c r="DI5" s="1317"/>
      <c r="DJ5" s="1317"/>
      <c r="DK5" s="1317"/>
      <c r="DL5" s="1317"/>
      <c r="DM5" s="1317"/>
      <c r="DN5" s="1317"/>
      <c r="DO5" s="1317"/>
      <c r="DP5" s="1317"/>
      <c r="DQ5" s="1316"/>
      <c r="DR5" s="1318"/>
      <c r="DS5" s="1312"/>
      <c r="DT5" s="1312"/>
      <c r="DU5" s="1312"/>
      <c r="DV5" s="1313"/>
      <c r="DW5" s="1314"/>
      <c r="DX5" s="1312"/>
      <c r="DY5" s="1312"/>
      <c r="DZ5" s="1312"/>
      <c r="EA5" s="1312"/>
      <c r="EB5" s="1312"/>
      <c r="EC5" s="1312"/>
      <c r="ED5" s="1312"/>
      <c r="EE5" s="1313"/>
      <c r="EF5" s="1314"/>
      <c r="EG5" s="1312"/>
      <c r="EH5" s="1312"/>
      <c r="EI5" s="1312"/>
      <c r="EJ5" s="1312"/>
      <c r="EK5" s="1313"/>
      <c r="EL5" s="1314"/>
      <c r="EM5" s="1312"/>
      <c r="EN5" s="1312"/>
      <c r="EO5" s="1312"/>
      <c r="EP5" s="1312"/>
      <c r="EQ5" s="1312"/>
      <c r="ER5" s="1312"/>
      <c r="ES5" s="1312"/>
      <c r="ET5" s="1312"/>
      <c r="EU5" s="1316"/>
      <c r="EV5" s="1312"/>
      <c r="EW5" s="1312"/>
      <c r="EX5" s="1312"/>
      <c r="EY5" s="1313"/>
      <c r="EZ5" s="1314"/>
      <c r="FA5" s="1312"/>
      <c r="FB5" s="1312"/>
      <c r="FC5" s="1312"/>
      <c r="FD5" s="1312"/>
      <c r="FE5" s="1312"/>
      <c r="FF5" s="1312"/>
      <c r="FG5" s="1312"/>
      <c r="FH5" s="1313"/>
      <c r="FI5" s="1503"/>
      <c r="FJ5" s="1317"/>
      <c r="FK5" s="1317"/>
      <c r="FL5" s="1317"/>
      <c r="FM5" s="1317"/>
      <c r="FN5" s="1509"/>
      <c r="FO5" s="1503"/>
      <c r="FP5" s="1317"/>
      <c r="FQ5" s="1317"/>
      <c r="FR5" s="1317"/>
      <c r="FS5" s="1317"/>
      <c r="FT5" s="1317"/>
      <c r="FU5" s="1317"/>
      <c r="FV5" s="1317"/>
      <c r="FW5" s="1317"/>
    </row>
    <row r="6" spans="1:180" s="299" customFormat="1" ht="15.5" thickTop="1" thickBot="1" x14ac:dyDescent="0.4">
      <c r="A6" s="664"/>
      <c r="B6" s="477"/>
      <c r="C6" s="1067" t="s">
        <v>292</v>
      </c>
      <c r="D6" s="1067"/>
      <c r="E6" s="1067"/>
      <c r="F6" s="1294">
        <v>1</v>
      </c>
      <c r="G6" s="1295">
        <v>2</v>
      </c>
      <c r="H6" s="1295">
        <v>3</v>
      </c>
      <c r="I6" s="1296">
        <v>4</v>
      </c>
      <c r="J6" s="1297">
        <v>5</v>
      </c>
      <c r="K6" s="1295">
        <v>6</v>
      </c>
      <c r="L6" s="1295">
        <v>7</v>
      </c>
      <c r="M6" s="1295">
        <v>8</v>
      </c>
      <c r="N6" s="1295">
        <v>9</v>
      </c>
      <c r="O6" s="1295">
        <v>10</v>
      </c>
      <c r="P6" s="1295">
        <v>11</v>
      </c>
      <c r="Q6" s="1295">
        <v>12</v>
      </c>
      <c r="R6" s="1296">
        <v>13</v>
      </c>
      <c r="S6" s="1297">
        <v>14</v>
      </c>
      <c r="T6" s="1295">
        <v>15</v>
      </c>
      <c r="U6" s="1295">
        <v>16</v>
      </c>
      <c r="V6" s="1298">
        <v>17</v>
      </c>
      <c r="W6" s="1298">
        <v>18</v>
      </c>
      <c r="X6" s="1443">
        <v>19</v>
      </c>
      <c r="Y6" s="1425">
        <v>20</v>
      </c>
      <c r="Z6" s="1298">
        <v>21</v>
      </c>
      <c r="AA6" s="1298">
        <v>22</v>
      </c>
      <c r="AB6" s="1298">
        <v>23</v>
      </c>
      <c r="AC6" s="1298">
        <v>24</v>
      </c>
      <c r="AD6" s="1298">
        <v>25</v>
      </c>
      <c r="AE6" s="1298">
        <v>26</v>
      </c>
      <c r="AF6" s="1298">
        <v>27</v>
      </c>
      <c r="AG6" s="1298">
        <v>28</v>
      </c>
      <c r="AH6" s="1299"/>
      <c r="AI6" s="1295">
        <v>1</v>
      </c>
      <c r="AJ6" s="1295">
        <v>2</v>
      </c>
      <c r="AK6" s="1295">
        <v>3</v>
      </c>
      <c r="AL6" s="1296">
        <v>4</v>
      </c>
      <c r="AM6" s="1297">
        <v>5</v>
      </c>
      <c r="AN6" s="1295">
        <v>6</v>
      </c>
      <c r="AO6" s="1295">
        <v>7</v>
      </c>
      <c r="AP6" s="1295">
        <v>8</v>
      </c>
      <c r="AQ6" s="1295">
        <v>9</v>
      </c>
      <c r="AR6" s="1295">
        <v>10</v>
      </c>
      <c r="AS6" s="1295">
        <v>11</v>
      </c>
      <c r="AT6" s="1295">
        <v>12</v>
      </c>
      <c r="AU6" s="1296">
        <v>13</v>
      </c>
      <c r="AV6" s="1297">
        <v>14</v>
      </c>
      <c r="AW6" s="1295">
        <v>15</v>
      </c>
      <c r="AX6" s="1295">
        <v>16</v>
      </c>
      <c r="AY6" s="1295">
        <v>17</v>
      </c>
      <c r="AZ6" s="1295">
        <v>18</v>
      </c>
      <c r="BA6" s="1296">
        <v>19</v>
      </c>
      <c r="BB6" s="1297">
        <v>20</v>
      </c>
      <c r="BC6" s="1295">
        <v>21</v>
      </c>
      <c r="BD6" s="1295">
        <v>22</v>
      </c>
      <c r="BE6" s="1295">
        <v>23</v>
      </c>
      <c r="BF6" s="1295">
        <v>24</v>
      </c>
      <c r="BG6" s="1295">
        <v>25</v>
      </c>
      <c r="BH6" s="1295">
        <v>26</v>
      </c>
      <c r="BI6" s="1295">
        <v>27</v>
      </c>
      <c r="BJ6" s="1295">
        <v>28</v>
      </c>
      <c r="BK6" s="1299"/>
      <c r="BL6" s="1295">
        <v>1</v>
      </c>
      <c r="BM6" s="1295">
        <v>2</v>
      </c>
      <c r="BN6" s="1295">
        <v>3</v>
      </c>
      <c r="BO6" s="1296">
        <v>4</v>
      </c>
      <c r="BP6" s="1297">
        <v>5</v>
      </c>
      <c r="BQ6" s="1295">
        <v>6</v>
      </c>
      <c r="BR6" s="1295">
        <v>7</v>
      </c>
      <c r="BS6" s="1295">
        <v>8</v>
      </c>
      <c r="BT6" s="1295">
        <v>9</v>
      </c>
      <c r="BU6" s="1295">
        <v>10</v>
      </c>
      <c r="BV6" s="1295">
        <v>11</v>
      </c>
      <c r="BW6" s="1295">
        <v>12</v>
      </c>
      <c r="BX6" s="1296">
        <v>13</v>
      </c>
      <c r="BY6" s="1297">
        <v>14</v>
      </c>
      <c r="BZ6" s="1295">
        <v>15</v>
      </c>
      <c r="CA6" s="1295">
        <v>16</v>
      </c>
      <c r="CB6" s="1295">
        <v>17</v>
      </c>
      <c r="CC6" s="1295">
        <v>18</v>
      </c>
      <c r="CD6" s="1296">
        <v>19</v>
      </c>
      <c r="CE6" s="1297">
        <v>20</v>
      </c>
      <c r="CF6" s="1295">
        <v>21</v>
      </c>
      <c r="CG6" s="1295">
        <v>22</v>
      </c>
      <c r="CH6" s="1295">
        <v>23</v>
      </c>
      <c r="CI6" s="1295">
        <v>24</v>
      </c>
      <c r="CJ6" s="1295">
        <v>25</v>
      </c>
      <c r="CK6" s="1295">
        <v>26</v>
      </c>
      <c r="CL6" s="1295">
        <v>27</v>
      </c>
      <c r="CM6" s="1295">
        <v>28</v>
      </c>
      <c r="CN6" s="1300"/>
      <c r="CO6" s="1295">
        <v>1</v>
      </c>
      <c r="CP6" s="1295">
        <v>2</v>
      </c>
      <c r="CQ6" s="1295">
        <v>3</v>
      </c>
      <c r="CR6" s="1296">
        <v>4</v>
      </c>
      <c r="CS6" s="1297">
        <v>5</v>
      </c>
      <c r="CT6" s="1295">
        <v>6</v>
      </c>
      <c r="CU6" s="1295">
        <v>7</v>
      </c>
      <c r="CV6" s="1301">
        <v>8</v>
      </c>
      <c r="CW6" s="1295">
        <v>9</v>
      </c>
      <c r="CX6" s="1295">
        <v>10</v>
      </c>
      <c r="CY6" s="1295">
        <v>11</v>
      </c>
      <c r="CZ6" s="1295">
        <v>12</v>
      </c>
      <c r="DA6" s="1296">
        <v>13</v>
      </c>
      <c r="DB6" s="1297">
        <v>14</v>
      </c>
      <c r="DC6" s="1295">
        <v>15</v>
      </c>
      <c r="DD6" s="1295">
        <v>16</v>
      </c>
      <c r="DE6" s="1295">
        <v>17</v>
      </c>
      <c r="DF6" s="1295">
        <v>18</v>
      </c>
      <c r="DG6" s="1296">
        <v>19</v>
      </c>
      <c r="DH6" s="1297">
        <v>20</v>
      </c>
      <c r="DI6" s="1295">
        <v>21</v>
      </c>
      <c r="DJ6" s="1295">
        <v>22</v>
      </c>
      <c r="DK6" s="1295">
        <v>23</v>
      </c>
      <c r="DL6" s="1295">
        <v>24</v>
      </c>
      <c r="DM6" s="1295">
        <v>25</v>
      </c>
      <c r="DN6" s="1295">
        <v>26</v>
      </c>
      <c r="DO6" s="1295">
        <v>27</v>
      </c>
      <c r="DP6" s="1295">
        <v>28</v>
      </c>
      <c r="DQ6" s="1299"/>
      <c r="DR6" s="1302"/>
      <c r="DS6" s="1295">
        <v>1</v>
      </c>
      <c r="DT6" s="1295">
        <v>2</v>
      </c>
      <c r="DU6" s="1295">
        <v>3</v>
      </c>
      <c r="DV6" s="1296">
        <v>4</v>
      </c>
      <c r="DW6" s="1297">
        <v>5</v>
      </c>
      <c r="DX6" s="1295">
        <v>6</v>
      </c>
      <c r="DY6" s="1295">
        <v>7</v>
      </c>
      <c r="DZ6" s="1295">
        <v>8</v>
      </c>
      <c r="EA6" s="1301">
        <v>9</v>
      </c>
      <c r="EB6" s="1301">
        <v>10</v>
      </c>
      <c r="EC6" s="1301">
        <v>11</v>
      </c>
      <c r="ED6" s="1301">
        <v>12</v>
      </c>
      <c r="EE6" s="1569">
        <v>13</v>
      </c>
      <c r="EF6" s="1565">
        <v>14</v>
      </c>
      <c r="EG6" s="1301">
        <v>15</v>
      </c>
      <c r="EH6" s="1295">
        <v>16</v>
      </c>
      <c r="EI6" s="1301">
        <v>17</v>
      </c>
      <c r="EJ6" s="1295">
        <v>18</v>
      </c>
      <c r="EK6" s="1569">
        <v>19</v>
      </c>
      <c r="EL6" s="1297">
        <v>20</v>
      </c>
      <c r="EM6" s="1301">
        <v>21</v>
      </c>
      <c r="EN6" s="1295">
        <v>22</v>
      </c>
      <c r="EO6" s="1301">
        <v>23</v>
      </c>
      <c r="EP6" s="1295">
        <v>24</v>
      </c>
      <c r="EQ6" s="1301">
        <v>25</v>
      </c>
      <c r="ER6" s="1295">
        <v>26</v>
      </c>
      <c r="ES6" s="1301">
        <v>27</v>
      </c>
      <c r="ET6" s="1295">
        <v>28</v>
      </c>
      <c r="EU6" s="1299"/>
      <c r="EV6" s="1295">
        <v>1</v>
      </c>
      <c r="EW6" s="1295">
        <v>2</v>
      </c>
      <c r="EX6" s="1295">
        <v>3</v>
      </c>
      <c r="EY6" s="1296">
        <v>4</v>
      </c>
      <c r="EZ6" s="1297">
        <v>5</v>
      </c>
      <c r="FA6" s="1295">
        <v>6</v>
      </c>
      <c r="FB6" s="1295">
        <v>7</v>
      </c>
      <c r="FC6" s="1295">
        <v>8</v>
      </c>
      <c r="FD6" s="1301">
        <v>9</v>
      </c>
      <c r="FE6" s="1301">
        <v>10</v>
      </c>
      <c r="FF6" s="1301">
        <v>11</v>
      </c>
      <c r="FG6" s="1301">
        <v>12</v>
      </c>
      <c r="FH6" s="1569">
        <v>13</v>
      </c>
      <c r="FI6" s="1565">
        <v>14</v>
      </c>
      <c r="FJ6" s="1301">
        <v>15</v>
      </c>
      <c r="FK6" s="1295">
        <v>16</v>
      </c>
      <c r="FL6" s="1301">
        <v>17</v>
      </c>
      <c r="FM6" s="1295">
        <v>18</v>
      </c>
      <c r="FN6" s="1569">
        <v>19</v>
      </c>
      <c r="FO6" s="1297">
        <v>20</v>
      </c>
      <c r="FP6" s="1301">
        <v>21</v>
      </c>
      <c r="FQ6" s="1295">
        <v>22</v>
      </c>
      <c r="FR6" s="1301">
        <v>23</v>
      </c>
      <c r="FS6" s="1295">
        <v>24</v>
      </c>
      <c r="FT6" s="1301">
        <v>25</v>
      </c>
      <c r="FU6" s="1295">
        <v>26</v>
      </c>
      <c r="FV6" s="1301">
        <v>27</v>
      </c>
      <c r="FW6" s="1303">
        <v>28</v>
      </c>
    </row>
    <row r="7" spans="1:180" s="299" customFormat="1" ht="15.5" thickTop="1" thickBot="1" x14ac:dyDescent="0.4">
      <c r="A7" s="368"/>
      <c r="B7" s="368"/>
      <c r="C7" s="1065"/>
      <c r="D7" s="1065"/>
      <c r="E7" s="1065"/>
      <c r="F7" s="2725" t="s">
        <v>36</v>
      </c>
      <c r="G7" s="2720"/>
      <c r="H7" s="2720"/>
      <c r="I7" s="2726"/>
      <c r="J7" s="2720" t="s">
        <v>36</v>
      </c>
      <c r="K7" s="2720"/>
      <c r="L7" s="2720"/>
      <c r="M7" s="2720"/>
      <c r="N7" s="2720"/>
      <c r="O7" s="2720"/>
      <c r="P7" s="2720" t="s">
        <v>36</v>
      </c>
      <c r="Q7" s="2720"/>
      <c r="R7" s="2720"/>
      <c r="S7" s="2720"/>
      <c r="T7" s="2720"/>
      <c r="U7" s="2720"/>
      <c r="V7" s="1169"/>
      <c r="W7" s="1169"/>
      <c r="X7" s="1444"/>
      <c r="Y7" s="1426"/>
      <c r="Z7" s="1169"/>
      <c r="AA7" s="1169"/>
      <c r="AB7" s="1169"/>
      <c r="AC7" s="1169"/>
      <c r="AD7" s="1169"/>
      <c r="AE7" s="1169"/>
      <c r="AF7" s="1169"/>
      <c r="AG7" s="1169"/>
      <c r="AH7" s="1170"/>
      <c r="AI7" s="2720" t="s">
        <v>36</v>
      </c>
      <c r="AJ7" s="2720"/>
      <c r="AK7" s="2720"/>
      <c r="AL7" s="2720"/>
      <c r="AM7" s="2720" t="s">
        <v>36</v>
      </c>
      <c r="AN7" s="2720"/>
      <c r="AO7" s="2720"/>
      <c r="AP7" s="2720"/>
      <c r="AQ7" s="2720"/>
      <c r="AR7" s="2720"/>
      <c r="AS7" s="2720" t="s">
        <v>36</v>
      </c>
      <c r="AT7" s="2720"/>
      <c r="AU7" s="2720"/>
      <c r="AV7" s="2720"/>
      <c r="AW7" s="2720"/>
      <c r="AX7" s="1171"/>
      <c r="AY7" s="1171"/>
      <c r="AZ7" s="1171"/>
      <c r="BA7" s="1510"/>
      <c r="BB7" s="1504"/>
      <c r="BC7" s="1171"/>
      <c r="BD7" s="1171"/>
      <c r="BE7" s="1171"/>
      <c r="BF7" s="1171"/>
      <c r="BG7" s="1171"/>
      <c r="BH7" s="1171"/>
      <c r="BI7" s="1171"/>
      <c r="BJ7" s="1171"/>
      <c r="BK7" s="1172"/>
      <c r="BL7" s="2720" t="s">
        <v>36</v>
      </c>
      <c r="BM7" s="2720"/>
      <c r="BN7" s="2720"/>
      <c r="BO7" s="2720"/>
      <c r="BP7" s="2720" t="s">
        <v>36</v>
      </c>
      <c r="BQ7" s="2720"/>
      <c r="BR7" s="2720"/>
      <c r="BS7" s="2720"/>
      <c r="BT7" s="2720"/>
      <c r="BU7" s="2720"/>
      <c r="BV7" s="2720" t="s">
        <v>36</v>
      </c>
      <c r="BW7" s="2720"/>
      <c r="BX7" s="2720"/>
      <c r="BY7" s="2720"/>
      <c r="BZ7" s="2720"/>
      <c r="CA7" s="2720"/>
      <c r="CB7" s="1169"/>
      <c r="CC7" s="1169"/>
      <c r="CD7" s="1444"/>
      <c r="CE7" s="1426"/>
      <c r="CF7" s="1169"/>
      <c r="CG7" s="1169"/>
      <c r="CH7" s="1169"/>
      <c r="CI7" s="1169"/>
      <c r="CJ7" s="1169"/>
      <c r="CK7" s="1169"/>
      <c r="CL7" s="1169"/>
      <c r="CM7" s="1169"/>
      <c r="CN7" s="1173"/>
      <c r="CO7" s="2720" t="s">
        <v>36</v>
      </c>
      <c r="CP7" s="2720"/>
      <c r="CQ7" s="2720"/>
      <c r="CR7" s="2720"/>
      <c r="CS7" s="2720" t="s">
        <v>36</v>
      </c>
      <c r="CT7" s="2720"/>
      <c r="CU7" s="2720"/>
      <c r="CV7" s="2720"/>
      <c r="CW7" s="2720"/>
      <c r="CX7" s="2720"/>
      <c r="CY7" s="2720" t="s">
        <v>36</v>
      </c>
      <c r="CZ7" s="2720"/>
      <c r="DA7" s="2720"/>
      <c r="DB7" s="2720"/>
      <c r="DC7" s="2720"/>
      <c r="DD7" s="2720"/>
      <c r="DE7" s="1171"/>
      <c r="DF7" s="1171"/>
      <c r="DG7" s="1510"/>
      <c r="DH7" s="1504"/>
      <c r="DI7" s="1171"/>
      <c r="DJ7" s="1171"/>
      <c r="DK7" s="1171"/>
      <c r="DL7" s="1171"/>
      <c r="DM7" s="1171"/>
      <c r="DN7" s="1171"/>
      <c r="DO7" s="1171"/>
      <c r="DP7" s="1171"/>
      <c r="DQ7" s="1172"/>
      <c r="DR7" s="1174"/>
      <c r="DS7" s="2720" t="s">
        <v>36</v>
      </c>
      <c r="DT7" s="2720"/>
      <c r="DU7" s="2720"/>
      <c r="DV7" s="2720"/>
      <c r="DW7" s="2720" t="s">
        <v>36</v>
      </c>
      <c r="DX7" s="2720"/>
      <c r="DY7" s="2720"/>
      <c r="DZ7" s="2720"/>
      <c r="EA7" s="2720"/>
      <c r="EB7" s="1175"/>
      <c r="EC7" s="2721" t="s">
        <v>36</v>
      </c>
      <c r="ED7" s="2721"/>
      <c r="EE7" s="2721"/>
      <c r="EF7" s="2721"/>
      <c r="EG7" s="2721"/>
      <c r="EH7" s="2721"/>
      <c r="EI7" s="2721"/>
      <c r="EJ7" s="1176"/>
      <c r="EK7" s="1580"/>
      <c r="EL7" s="1578"/>
      <c r="EM7" s="1176"/>
      <c r="EN7" s="1176"/>
      <c r="EO7" s="1176"/>
      <c r="EP7" s="1176"/>
      <c r="EQ7" s="1176"/>
      <c r="ER7" s="1176"/>
      <c r="ES7" s="1176"/>
      <c r="ET7" s="1176"/>
      <c r="EU7" s="1172"/>
      <c r="EV7" s="2720" t="s">
        <v>375</v>
      </c>
      <c r="EW7" s="2720"/>
      <c r="EX7" s="2720"/>
      <c r="EY7" s="2720"/>
      <c r="EZ7" s="2720" t="s">
        <v>375</v>
      </c>
      <c r="FA7" s="2720"/>
      <c r="FB7" s="2720"/>
      <c r="FC7" s="2720"/>
      <c r="FD7" s="2720"/>
      <c r="FE7" s="2720"/>
      <c r="FF7" s="2721" t="s">
        <v>375</v>
      </c>
      <c r="FG7" s="2721"/>
      <c r="FH7" s="2721"/>
      <c r="FI7" s="2721"/>
      <c r="FJ7" s="2721"/>
      <c r="FK7" s="2721"/>
      <c r="FL7" s="1169"/>
      <c r="FM7" s="1169"/>
      <c r="FN7" s="1444"/>
      <c r="FO7" s="1426"/>
      <c r="FP7" s="1169"/>
      <c r="FQ7" s="1169"/>
      <c r="FR7" s="1169"/>
      <c r="FS7" s="1169"/>
      <c r="FT7" s="1169"/>
      <c r="FU7" s="1169"/>
      <c r="FV7" s="1169"/>
      <c r="FW7" s="1169"/>
    </row>
    <row r="8" spans="1:180" ht="15" thickTop="1" x14ac:dyDescent="0.35">
      <c r="C8" s="1" t="s">
        <v>101</v>
      </c>
      <c r="F8" s="1023" t="e" cm="1" vm="1">
        <f t="array" aca="1" ref="F8" ca="1">'Master Template'!F8:BJ58</f>
        <v>#VALUE!</v>
      </c>
      <c r="G8" s="301"/>
      <c r="H8" s="301"/>
      <c r="I8" s="1229"/>
      <c r="J8" s="1177"/>
      <c r="K8" s="1177"/>
      <c r="L8" s="1177"/>
      <c r="M8" s="1177"/>
      <c r="N8" s="1177"/>
      <c r="O8" s="1177"/>
      <c r="P8" s="1177"/>
      <c r="Q8" s="1177"/>
      <c r="R8" s="1625"/>
      <c r="S8" s="1177"/>
      <c r="T8" s="301"/>
      <c r="U8" s="301"/>
      <c r="V8" s="301"/>
      <c r="W8" s="301"/>
      <c r="X8" s="1229"/>
      <c r="Y8" s="1177"/>
      <c r="Z8" s="1177"/>
      <c r="AA8" s="1177"/>
      <c r="AB8" s="1177"/>
      <c r="AC8" s="1177"/>
      <c r="AD8" s="1177"/>
      <c r="AE8" s="1177"/>
      <c r="AF8" s="1177"/>
      <c r="AG8" s="1177"/>
      <c r="AH8" s="1096"/>
      <c r="AI8" s="301"/>
      <c r="AJ8" s="301"/>
      <c r="AK8" s="301"/>
      <c r="AL8" s="1229"/>
      <c r="AM8" s="1177"/>
      <c r="AN8" s="301"/>
      <c r="AO8" s="301"/>
      <c r="AP8" s="301"/>
      <c r="AQ8" s="482"/>
      <c r="AR8" s="482"/>
      <c r="AS8" s="482"/>
      <c r="AT8" s="482"/>
      <c r="AU8" s="1339"/>
      <c r="AV8" s="1340"/>
      <c r="AW8" s="482"/>
      <c r="AX8" s="482"/>
      <c r="AY8" s="482"/>
      <c r="AZ8" s="482"/>
      <c r="BA8" s="1339"/>
      <c r="BB8" s="1340"/>
      <c r="BC8" s="482"/>
      <c r="BD8" s="482"/>
      <c r="BE8" s="482"/>
      <c r="BF8" s="482"/>
      <c r="BG8" s="482"/>
      <c r="BH8" s="482"/>
      <c r="BI8" s="482"/>
      <c r="BJ8" s="482"/>
      <c r="BK8" s="356"/>
      <c r="BL8" s="362" cm="1">
        <f t="array" ref="BL8:BL15">'HPS DAILY (repro+)'!J$66:J$73</f>
        <v>1.8559999999999999</v>
      </c>
      <c r="BM8" s="362" cm="1">
        <f t="array" ref="BM8:BM15">'HPS DAILY (repro+)'!K$66:K$73</f>
        <v>1.8860000000000001</v>
      </c>
      <c r="BN8" s="362" cm="1">
        <f t="array" ref="BN8:BN15">'HPS DAILY (repro+)'!L$66:L$73</f>
        <v>1.8136666666666668</v>
      </c>
      <c r="BO8" s="1590" cm="1">
        <f t="array" ref="BO8:BO15">'HPS DAILY (repro+)'!M$66:M$73</f>
        <v>1.7909999999999999</v>
      </c>
      <c r="BP8" s="1584" cm="1">
        <f t="array" ref="BP8:BP15">'HPS DAILY (repro+)'!N$66:N$73</f>
        <v>1.774</v>
      </c>
      <c r="BQ8" s="362" cm="1">
        <f t="array" ref="BQ8:BQ15">'HPS DAILY (repro+)'!O$66:O$73</f>
        <v>1.784</v>
      </c>
      <c r="BR8" s="362" cm="1">
        <f t="array" ref="BR8:BR15">'HPS DAILY (repro+)'!P$66:P$73</f>
        <v>1.788</v>
      </c>
      <c r="BS8" s="362" cm="1">
        <f t="array" ref="BS8:BS15">'HPS DAILY (repro+)'!Q$66:Q$73</f>
        <v>1.7709999999999999</v>
      </c>
      <c r="BT8" s="362" cm="1">
        <f t="array" ref="BT8:BT15">'HPS DAILY (repro+)'!R$66:R$73</f>
        <v>1.762</v>
      </c>
      <c r="BU8" s="362" cm="1">
        <f t="array" ref="BU8:BU15">'HPS DAILY (repro+)'!S$66:S$73</f>
        <v>1.7709999999999999</v>
      </c>
      <c r="BV8" s="362" cm="1">
        <f t="array" ref="BV8:BV15">'HPS DAILY (repro+)'!T$66:T$73</f>
        <v>1.792</v>
      </c>
      <c r="BW8" s="362" cm="1">
        <f t="array" ref="BW8:BW15">'HPS DAILY (repro+)'!U$66:U$73</f>
        <v>1.77</v>
      </c>
      <c r="BX8" s="1590" cm="1">
        <f t="array" ref="BX8:BX15">'HPS DAILY (repro+)'!V$66:V$73</f>
        <v>1.8180000000000001</v>
      </c>
      <c r="BY8" s="1584" cm="1">
        <f t="array" ref="BY8:BY15">'HPS DAILY (repro+)'!W$66:W$73</f>
        <v>1.74</v>
      </c>
      <c r="BZ8" s="362" cm="1">
        <f t="array" ref="BZ8:BZ15">'HPS DAILY (repro+)'!X$66:X$73</f>
        <v>1.74</v>
      </c>
      <c r="CA8" s="362" cm="1">
        <f t="array" ref="CA8:CA15">'HPS DAILY (repro+)'!Y$66:Y$73</f>
        <v>1.74</v>
      </c>
      <c r="CB8" s="362" cm="1">
        <f t="array" ref="CB8:CB15">'HPS DAILY (repro+)'!Z$66:Z$73</f>
        <v>1.74</v>
      </c>
      <c r="CC8" s="362" cm="1">
        <f t="array" ref="CC8:CC15">'HPS DAILY (repro+)'!AA$66:AA$73</f>
        <v>1.74</v>
      </c>
      <c r="CD8" s="1590" cm="1">
        <f t="array" ref="CD8:CD15">'HPS DAILY (repro+)'!AB$66:AB$73</f>
        <v>1.74</v>
      </c>
      <c r="CE8" s="1584" cm="1">
        <f t="array" ref="CE8:CE15">'HPS DAILY (repro+)'!AC$66:AC$73</f>
        <v>1.74</v>
      </c>
      <c r="CF8" s="362" cm="1">
        <f t="array" ref="CF8:CF15">'HPS DAILY (repro+)'!AD$66:AD$73</f>
        <v>1.74</v>
      </c>
      <c r="CG8" s="362" cm="1">
        <f t="array" ref="CG8:CG15">'HPS DAILY (repro+)'!AE$66:AE$73</f>
        <v>1.74</v>
      </c>
      <c r="CH8" s="362" cm="1">
        <f t="array" ref="CH8:CH15">'HPS DAILY (repro+)'!AF$66:AF$73</f>
        <v>1.74</v>
      </c>
      <c r="CI8" s="362" cm="1">
        <f t="array" ref="CI8:CI15">'HPS DAILY (repro+)'!AG$66:AG$73</f>
        <v>1.74</v>
      </c>
      <c r="CJ8" s="362" cm="1">
        <f t="array" ref="CJ8:CJ15">'HPS DAILY (repro+)'!AH$66:AH$73</f>
        <v>1.74</v>
      </c>
      <c r="CK8" s="362" cm="1">
        <f t="array" ref="CK8:CK15">'HPS DAILY (repro+)'!AI$66:AI$73</f>
        <v>1.74</v>
      </c>
      <c r="CL8" s="362" cm="1">
        <f t="array" ref="CL8:CL15">'HPS DAILY (repro+)'!AJ$66:AJ$73</f>
        <v>1.74</v>
      </c>
      <c r="CM8" s="362" cm="1">
        <f t="array" ref="CM8:CM15">'HPS DAILY (repro+)'!AK$66:AK$73</f>
        <v>1.74</v>
      </c>
      <c r="CN8" s="357"/>
      <c r="CO8" s="296" cm="1">
        <f t="array" ref="CO8:CO15">'LTO DAILY'!H$55:H$62</f>
        <v>0</v>
      </c>
      <c r="CP8" s="296" cm="1">
        <f t="array" ref="CP8:CP15">'LTO DAILY'!I$55:I$62</f>
        <v>1.2</v>
      </c>
      <c r="CQ8" s="296" cm="1">
        <f t="array" ref="CQ8:CQ15">'LTO DAILY'!J$55:J$62</f>
        <v>4.3</v>
      </c>
      <c r="CR8" s="1235" cm="1">
        <f t="array" ref="CR8:CR15">'LTO DAILY'!K$55:K$62</f>
        <v>4.0999999999999996</v>
      </c>
      <c r="CS8" s="1187" cm="1">
        <f t="array" ref="CS8:CS15">'LTO DAILY'!L$55:L$62</f>
        <v>1.5</v>
      </c>
      <c r="CT8" s="296" cm="1">
        <f t="array" ref="CT8:CT15">'LTO DAILY'!M$55:M$62</f>
        <v>4.2</v>
      </c>
      <c r="CU8" s="296" cm="1">
        <f t="array" ref="CU8:CU15">'LTO DAILY'!N$55:N$62</f>
        <v>1.1000000000000001</v>
      </c>
      <c r="CV8" s="296" cm="1">
        <f t="array" ref="CV8:CV15">'LTO DAILY'!O$55:O$62</f>
        <v>2.2000000000000002</v>
      </c>
      <c r="CW8" s="296" cm="1">
        <f t="array" ref="CW8:CW15">'LTO DAILY'!P$55:P$62</f>
        <v>1.1000000000000001</v>
      </c>
      <c r="CX8" s="296" cm="1">
        <f t="array" ref="CX8:CX15">'LTO DAILY'!Q$55:Q$62</f>
        <v>2.1</v>
      </c>
      <c r="CY8" s="296" cm="1">
        <f t="array" ref="CY8:CY15">'LTO DAILY'!R$55:R$62</f>
        <v>1</v>
      </c>
      <c r="CZ8" s="296" cm="1">
        <f t="array" ref="CZ8:CZ15">'LTO DAILY'!S$55:S$62</f>
        <v>1.9</v>
      </c>
      <c r="DA8" s="1235" cm="1">
        <f t="array" ref="DA8:DA15">'LTO DAILY'!T$55:T$62</f>
        <v>1.6</v>
      </c>
      <c r="DB8" s="1187" cm="1">
        <f t="array" ref="DB8:DB15">'LTO DAILY'!U$55:U$62</f>
        <v>0</v>
      </c>
      <c r="DC8" s="296" cm="1">
        <f t="array" ref="DC8:DC15">'LTO DAILY'!V$55:V$62</f>
        <v>0</v>
      </c>
      <c r="DD8" s="296" cm="1">
        <f t="array" ref="DD8:DD15">'LTO DAILY'!W$55:W$62</f>
        <v>0</v>
      </c>
      <c r="DE8" s="296" cm="1">
        <f t="array" ref="DE8:DE15">'LTO DAILY'!X$55:X$62</f>
        <v>0</v>
      </c>
      <c r="DF8" s="296" cm="1">
        <f t="array" ref="DF8:DF15">'LTO DAILY'!Y$55:Y$62</f>
        <v>0</v>
      </c>
      <c r="DG8" s="1235" cm="1">
        <f t="array" ref="DG8:DG15">'LTO DAILY'!Z$55:Z$62</f>
        <v>0</v>
      </c>
      <c r="DH8" s="1187" cm="1">
        <f t="array" ref="DH8:DH15">'LTO DAILY'!AA$55:AA$62</f>
        <v>0</v>
      </c>
      <c r="DI8" s="296" cm="1">
        <f t="array" ref="DI8:DI15">'LTO DAILY'!AB$55:AB$62</f>
        <v>0</v>
      </c>
      <c r="DJ8" s="296" cm="1">
        <f t="array" ref="DJ8:DJ15">'LTO DAILY'!AC$55:AC$62</f>
        <v>0</v>
      </c>
      <c r="DK8" s="296" cm="1">
        <f t="array" ref="DK8:DK15">'LTO DAILY'!AD$55:AD$62</f>
        <v>0</v>
      </c>
      <c r="DL8" s="296" cm="1">
        <f t="array" ref="DL8:DL15">'LTO DAILY'!AE$55:AE$62</f>
        <v>0</v>
      </c>
      <c r="DM8" s="296" cm="1">
        <f t="array" ref="DM8:DM15">'LTO DAILY'!AF$55:AF$62</f>
        <v>0</v>
      </c>
      <c r="DN8" s="296" cm="1">
        <f t="array" ref="DN8:DN15">'LTO DAILY'!AG$55:AG$62</f>
        <v>0</v>
      </c>
      <c r="DO8" s="296" cm="1">
        <f t="array" ref="DO8:DO15">'LTO DAILY'!AH$55:AH$62</f>
        <v>0</v>
      </c>
      <c r="DP8" s="296" cm="1">
        <f t="array" ref="DP8:DP15">'LTO DAILY'!AI$55:AI$62</f>
        <v>0</v>
      </c>
      <c r="DQ8" s="356"/>
      <c r="DR8" s="349" t="s">
        <v>191</v>
      </c>
      <c r="DS8" s="296" cm="1">
        <f t="array" ref="DS8:DS14">'HPS DAILY'!K106:K112</f>
        <v>59.08</v>
      </c>
      <c r="DT8" s="296" cm="1">
        <f t="array" ref="DT8:DT14">'HPS DAILY'!L106:L112</f>
        <v>73.825000000000003</v>
      </c>
      <c r="DU8" s="296" cm="1">
        <f t="array" ref="DU8:DU14">'HPS DAILY'!M106:M112</f>
        <v>72.11</v>
      </c>
      <c r="DV8" s="1235" cm="1">
        <f t="array" ref="DV8:DV14">'HPS DAILY'!N106:N112</f>
        <v>73.02</v>
      </c>
      <c r="DW8" s="1187" cm="1">
        <f t="array" ref="DW8:DW14">'HPS DAILY'!O106:O112</f>
        <v>49.76</v>
      </c>
      <c r="DX8" s="296" cm="1">
        <f t="array" ref="DX8:DX14">'HPS DAILY'!P106:P112</f>
        <v>79.959999999999994</v>
      </c>
      <c r="DY8" s="296" cm="1">
        <f t="array" ref="DY8:DY14">'HPS DAILY'!Q106:Q112</f>
        <v>51.72</v>
      </c>
      <c r="DZ8" s="296" cm="1">
        <f t="array" ref="DZ8:DZ14">'HPS DAILY'!R106:R112</f>
        <v>51.87</v>
      </c>
      <c r="EA8" s="296" cm="1">
        <f t="array" ref="EA8:EA14">'HPS DAILY'!S106:S112</f>
        <v>51.87</v>
      </c>
      <c r="EB8" s="296" cm="1">
        <f t="array" ref="EB8:EB14">'HPS DAILY'!T106:T112</f>
        <v>49.75</v>
      </c>
      <c r="EC8" s="296" cm="1">
        <f t="array" ref="EC8:EC14">'HPS DAILY'!U106:U112</f>
        <v>50.24</v>
      </c>
      <c r="ED8" s="296" cm="1">
        <f t="array" ref="ED8:ED14">'HPS DAILY'!V106:V112</f>
        <v>50.47</v>
      </c>
      <c r="EE8" s="1235" cm="1">
        <f t="array" ref="EE8:EE14">'HPS DAILY'!W106:W112</f>
        <v>50.87</v>
      </c>
      <c r="EF8" s="1187" cm="1">
        <f t="array" ref="EF8:EF14">'HPS DAILY'!X106:X112</f>
        <v>0</v>
      </c>
      <c r="EG8" s="296" cm="1">
        <f t="array" ref="EG8:EG14">'HPS DAILY'!Y106:Y112</f>
        <v>0</v>
      </c>
      <c r="EH8" s="296" cm="1">
        <f t="array" ref="EH8:EH14">'HPS DAILY'!Z106:Z112</f>
        <v>0</v>
      </c>
      <c r="EI8" s="296" cm="1">
        <f t="array" ref="EI8:EI14">'HPS DAILY'!AA106:AA112</f>
        <v>0</v>
      </c>
      <c r="EJ8" s="296" cm="1">
        <f t="array" ref="EJ8:EJ14">'HPS DAILY'!AB106:AB112</f>
        <v>0</v>
      </c>
      <c r="EK8" s="1235" cm="1">
        <f t="array" ref="EK8:EK14">'HPS DAILY'!AC106:AC112</f>
        <v>0</v>
      </c>
      <c r="EL8" s="1187" cm="1">
        <f t="array" ref="EL8:EL14">'HPS DAILY'!AD106:AD112</f>
        <v>0</v>
      </c>
      <c r="EM8" s="296" cm="1">
        <f t="array" ref="EM8:EM14">'HPS DAILY'!AE106:AE112</f>
        <v>0</v>
      </c>
      <c r="EN8" s="296" cm="1">
        <f t="array" ref="EN8:EN14">'HPS DAILY'!AF106:AF112</f>
        <v>0</v>
      </c>
      <c r="EO8" s="296" cm="1">
        <f t="array" ref="EO8:EO14">'HPS DAILY'!AG106:AG112</f>
        <v>0</v>
      </c>
      <c r="EP8" s="296" cm="1">
        <f t="array" ref="EP8:EP14">'HPS DAILY'!AH106:AH112</f>
        <v>0</v>
      </c>
      <c r="EQ8" s="296" cm="1">
        <f t="array" ref="EQ8:EQ14">'HPS DAILY'!AI106:AI112</f>
        <v>0</v>
      </c>
      <c r="ER8" s="296" cm="1">
        <f t="array" ref="ER8:ER14">'HPS DAILY'!AJ106:AJ112</f>
        <v>0</v>
      </c>
      <c r="ES8" s="296" cm="1">
        <f t="array" ref="ES8:ES14">'HPS DAILY'!AK106:AK112</f>
        <v>0</v>
      </c>
      <c r="ET8" s="296" cm="1">
        <f t="array" ref="ET8:ET14">'HPS DAILY'!AL106:AL112</f>
        <v>0</v>
      </c>
      <c r="EU8" s="356"/>
      <c r="EV8" s="296" cm="1">
        <f t="array" ref="EV8:EV14">'HPS DAILY'!K$93:K$99</f>
        <v>18.73</v>
      </c>
      <c r="EW8" s="296">
        <f t="shared" ref="EW8:EW14" si="0">EX8</f>
        <v>2.5099999999999998</v>
      </c>
      <c r="EX8" s="296" cm="1">
        <f t="array" ref="EX8:EX14">'HPS DAILY'!M$93:M$99</f>
        <v>2.5099999999999998</v>
      </c>
      <c r="EY8" s="1235" cm="1">
        <f t="array" ref="EY8:EY14">'HPS DAILY'!N$93:N$99</f>
        <v>1.03</v>
      </c>
      <c r="EZ8" s="1187" cm="1">
        <f t="array" ref="EZ8:EZ14">'HPS DAILY'!O$93:O$99</f>
        <v>1.29</v>
      </c>
      <c r="FA8" s="296" cm="1">
        <f t="array" ref="FA8:FA14">'HPS DAILY'!P$93:P$99</f>
        <v>1.42</v>
      </c>
      <c r="FB8" s="296" cm="1">
        <f t="array" ref="FB8:FB14">'HPS DAILY'!Q$93:Q$99</f>
        <v>1.61</v>
      </c>
      <c r="FC8" s="296" cm="1">
        <f t="array" ref="FC8:FC14">'HPS DAILY'!R$93:R$99</f>
        <v>0.96</v>
      </c>
      <c r="FD8" s="296" cm="1">
        <f t="array" ref="FD8:FD14">'HPS DAILY'!S$93:S$99</f>
        <v>1.66</v>
      </c>
      <c r="FE8" s="296" cm="1">
        <f t="array" ref="FE8:FE14">'HPS DAILY'!T$93:T$99</f>
        <v>1.29</v>
      </c>
      <c r="FF8" s="296" cm="1">
        <f t="array" ref="FF8:FF14">'HPS DAILY'!U$93:U$99</f>
        <v>0</v>
      </c>
      <c r="FG8" s="296" cm="1">
        <f t="array" ref="FG8:FG14">'HPS DAILY'!V$93:V$99</f>
        <v>0</v>
      </c>
      <c r="FH8" s="1235" cm="1">
        <f t="array" ref="FH8:FH14">'HPS DAILY'!W$93:W$99</f>
        <v>1.1000000000000001</v>
      </c>
      <c r="FI8" s="1187" cm="1">
        <f t="array" ref="FI8:FI14">'HPS DAILY'!X$93:X$99</f>
        <v>0</v>
      </c>
      <c r="FJ8" s="296" cm="1">
        <f t="array" ref="FJ8:FJ14">'HPS DAILY'!Y$93:Y$99</f>
        <v>0</v>
      </c>
      <c r="FK8" s="296" cm="1">
        <f t="array" ref="FK8:FK14">'HPS DAILY'!Z$93:Z$99</f>
        <v>0</v>
      </c>
      <c r="FL8" s="296" cm="1">
        <f t="array" ref="FL8:FL14">'HPS DAILY'!AA$93:AA$99</f>
        <v>0</v>
      </c>
      <c r="FM8" s="296" cm="1">
        <f t="array" ref="FM8:FM14">'HPS DAILY'!AB$93:AB$99</f>
        <v>0</v>
      </c>
      <c r="FN8" s="1235" cm="1">
        <f t="array" ref="FN8:FN14">'HPS DAILY'!AC$93:AC$99</f>
        <v>0</v>
      </c>
      <c r="FO8" s="1187" cm="1">
        <f t="array" ref="FO8:FO14">'HPS DAILY'!AD$93:AD$99</f>
        <v>0</v>
      </c>
      <c r="FP8" s="296" cm="1">
        <f t="array" ref="FP8:FP14">'HPS DAILY'!AE$93:AE$99</f>
        <v>0</v>
      </c>
      <c r="FQ8" s="296" cm="1">
        <f t="array" ref="FQ8:FQ14">'HPS DAILY'!AF$93:AF$99</f>
        <v>0</v>
      </c>
      <c r="FR8" s="296" cm="1">
        <f t="array" ref="FR8:FR14">'HPS DAILY'!AG$93:AG$99</f>
        <v>0</v>
      </c>
      <c r="FS8" s="296" cm="1">
        <f t="array" ref="FS8:FS14">'HPS DAILY'!AH$93:AH$99</f>
        <v>0</v>
      </c>
      <c r="FT8" s="296" cm="1">
        <f t="array" ref="FT8:FT14">'HPS DAILY'!AI$93:AI$99</f>
        <v>0</v>
      </c>
      <c r="FU8" s="296" cm="1">
        <f t="array" ref="FU8:FU14">'HPS DAILY'!AJ$93:AJ$99</f>
        <v>0</v>
      </c>
      <c r="FV8" s="296" cm="1">
        <f t="array" ref="FV8:FV14">'HPS DAILY'!AK$93:AK$99</f>
        <v>0</v>
      </c>
      <c r="FW8" s="296" cm="1">
        <f t="array" ref="FW8:FW14">'HPS DAILY'!AL$93:AL$99</f>
        <v>0</v>
      </c>
      <c r="FX8" s="1" t="s">
        <v>191</v>
      </c>
    </row>
    <row r="9" spans="1:180" x14ac:dyDescent="0.35">
      <c r="C9" s="1" t="s">
        <v>102</v>
      </c>
      <c r="F9" s="1024"/>
      <c r="G9" s="302"/>
      <c r="H9" s="302"/>
      <c r="I9" s="1230"/>
      <c r="J9" s="1178"/>
      <c r="K9" s="302"/>
      <c r="L9" s="1178"/>
      <c r="M9" s="302"/>
      <c r="N9" s="1178"/>
      <c r="O9" s="1178"/>
      <c r="P9" s="1178"/>
      <c r="Q9" s="302"/>
      <c r="R9" s="1626"/>
      <c r="S9" s="1178"/>
      <c r="T9" s="302"/>
      <c r="U9" s="302"/>
      <c r="V9" s="302"/>
      <c r="W9" s="302"/>
      <c r="X9" s="1230"/>
      <c r="Y9" s="1178"/>
      <c r="Z9" s="302"/>
      <c r="AA9" s="302"/>
      <c r="AB9" s="302"/>
      <c r="AC9" s="302"/>
      <c r="AD9" s="302"/>
      <c r="AE9" s="302"/>
      <c r="AF9" s="302"/>
      <c r="AG9" s="302"/>
      <c r="AH9" s="324"/>
      <c r="AI9" s="302"/>
      <c r="AJ9" s="302"/>
      <c r="AK9" s="302"/>
      <c r="AL9" s="1230"/>
      <c r="AM9" s="1178"/>
      <c r="AN9" s="302"/>
      <c r="AO9" s="302"/>
      <c r="AP9" s="302"/>
      <c r="AQ9" s="1622"/>
      <c r="AR9" s="1622"/>
      <c r="AS9" s="1622"/>
      <c r="AT9" s="1622"/>
      <c r="AU9" s="1623"/>
      <c r="AV9" s="1624"/>
      <c r="AW9" s="1622"/>
      <c r="AX9" s="1622"/>
      <c r="AY9" s="1622"/>
      <c r="AZ9" s="1622"/>
      <c r="BA9" s="1623"/>
      <c r="BB9" s="1624"/>
      <c r="BC9" s="1622"/>
      <c r="BD9" s="1622"/>
      <c r="BE9" s="1622"/>
      <c r="BF9" s="1622"/>
      <c r="BG9" s="1622"/>
      <c r="BH9" s="1622"/>
      <c r="BI9" s="1622"/>
      <c r="BJ9" s="1622"/>
      <c r="BL9" s="243">
        <v>2.2480000000000002</v>
      </c>
      <c r="BM9" s="243">
        <v>2.23</v>
      </c>
      <c r="BN9" s="243">
        <v>2.202</v>
      </c>
      <c r="BO9" s="1282">
        <v>2.2359999999999998</v>
      </c>
      <c r="BP9" s="1225">
        <v>3.16</v>
      </c>
      <c r="BQ9" s="243">
        <v>3.1859999999999999</v>
      </c>
      <c r="BR9" s="243">
        <v>3.194</v>
      </c>
      <c r="BS9" s="243">
        <v>3.1509999999999998</v>
      </c>
      <c r="BT9" s="243">
        <v>2.7424999999999997</v>
      </c>
      <c r="BU9" s="243">
        <v>2.952</v>
      </c>
      <c r="BV9" s="243">
        <v>2.8520000000000003</v>
      </c>
      <c r="BW9" s="243">
        <v>2.8289999999999997</v>
      </c>
      <c r="BX9" s="1282">
        <v>2.835</v>
      </c>
      <c r="BY9" s="1225">
        <v>1.74</v>
      </c>
      <c r="BZ9" s="243">
        <v>1.74</v>
      </c>
      <c r="CA9" s="243">
        <v>1.74</v>
      </c>
      <c r="CB9" s="243">
        <v>1.74</v>
      </c>
      <c r="CC9" s="243">
        <v>1.74</v>
      </c>
      <c r="CD9" s="1282">
        <v>1.74</v>
      </c>
      <c r="CE9" s="1225">
        <v>1.74</v>
      </c>
      <c r="CF9" s="243">
        <v>1.74</v>
      </c>
      <c r="CG9" s="243">
        <v>1.74</v>
      </c>
      <c r="CH9" s="243">
        <v>1.74</v>
      </c>
      <c r="CI9" s="243">
        <v>1.74</v>
      </c>
      <c r="CJ9" s="243">
        <v>1.74</v>
      </c>
      <c r="CK9" s="243">
        <v>1.74</v>
      </c>
      <c r="CL9" s="243">
        <v>1.74</v>
      </c>
      <c r="CM9" s="243">
        <v>1.74</v>
      </c>
      <c r="CN9" s="325"/>
      <c r="CO9" s="244">
        <v>0</v>
      </c>
      <c r="CP9" s="244">
        <v>19.2</v>
      </c>
      <c r="CQ9" s="244">
        <v>18.7</v>
      </c>
      <c r="CR9" s="1237">
        <v>20.100000000000001</v>
      </c>
      <c r="CS9" s="606">
        <v>17</v>
      </c>
      <c r="CT9" s="244">
        <v>19.8</v>
      </c>
      <c r="CU9" s="244">
        <v>14.5</v>
      </c>
      <c r="CV9" s="244">
        <v>16.600000000000001</v>
      </c>
      <c r="CW9" s="244">
        <v>15.124999999999998</v>
      </c>
      <c r="CX9" s="244">
        <v>16.399999999999999</v>
      </c>
      <c r="CY9" s="244">
        <v>14.7</v>
      </c>
      <c r="CZ9" s="244">
        <v>16.7</v>
      </c>
      <c r="DA9" s="1237">
        <v>16.399999999999999</v>
      </c>
      <c r="DB9" s="606">
        <v>0</v>
      </c>
      <c r="DC9" s="244">
        <v>0</v>
      </c>
      <c r="DD9" s="244">
        <v>0</v>
      </c>
      <c r="DE9" s="244">
        <v>0</v>
      </c>
      <c r="DF9" s="244">
        <v>0</v>
      </c>
      <c r="DG9" s="1237">
        <v>0</v>
      </c>
      <c r="DH9" s="606">
        <v>0</v>
      </c>
      <c r="DI9" s="244">
        <v>0</v>
      </c>
      <c r="DJ9" s="244">
        <v>0</v>
      </c>
      <c r="DK9" s="244">
        <v>0</v>
      </c>
      <c r="DL9" s="244">
        <v>0</v>
      </c>
      <c r="DM9" s="244">
        <v>0</v>
      </c>
      <c r="DN9" s="244">
        <v>0</v>
      </c>
      <c r="DO9" s="244">
        <v>0</v>
      </c>
      <c r="DP9" s="244">
        <v>0</v>
      </c>
      <c r="DR9" s="241" t="s">
        <v>199</v>
      </c>
      <c r="DS9" s="244">
        <v>5.22</v>
      </c>
      <c r="DT9" s="244">
        <v>5.7949999999999999</v>
      </c>
      <c r="DU9" s="244">
        <v>6.47</v>
      </c>
      <c r="DV9" s="1237">
        <v>6.75</v>
      </c>
      <c r="DW9" s="606">
        <v>14.86</v>
      </c>
      <c r="DX9" s="244">
        <v>14.57</v>
      </c>
      <c r="DY9" s="244">
        <v>13.73</v>
      </c>
      <c r="DZ9" s="244">
        <v>13.88</v>
      </c>
      <c r="EA9" s="244">
        <v>13.88</v>
      </c>
      <c r="EB9" s="244">
        <v>13.33</v>
      </c>
      <c r="EC9" s="244">
        <v>13.77</v>
      </c>
      <c r="ED9" s="244">
        <v>13.56</v>
      </c>
      <c r="EE9" s="1237">
        <v>13.7</v>
      </c>
      <c r="EF9" s="606">
        <v>0</v>
      </c>
      <c r="EG9" s="244">
        <v>0</v>
      </c>
      <c r="EH9" s="244">
        <v>0</v>
      </c>
      <c r="EI9" s="244">
        <v>0</v>
      </c>
      <c r="EJ9" s="244">
        <v>0</v>
      </c>
      <c r="EK9" s="1237">
        <v>0</v>
      </c>
      <c r="EL9" s="606">
        <v>0</v>
      </c>
      <c r="EM9" s="244">
        <v>0</v>
      </c>
      <c r="EN9" s="244">
        <v>0</v>
      </c>
      <c r="EO9" s="244">
        <v>0</v>
      </c>
      <c r="EP9" s="244">
        <v>0</v>
      </c>
      <c r="EQ9" s="244">
        <v>0</v>
      </c>
      <c r="ER9" s="244">
        <v>0</v>
      </c>
      <c r="ES9" s="244">
        <v>0</v>
      </c>
      <c r="ET9" s="244">
        <v>0</v>
      </c>
      <c r="EV9" s="244">
        <v>0.74</v>
      </c>
      <c r="EW9" s="244">
        <f t="shared" si="0"/>
        <v>0.06</v>
      </c>
      <c r="EX9" s="244">
        <v>0.06</v>
      </c>
      <c r="EY9" s="1237">
        <v>0.03</v>
      </c>
      <c r="EZ9" s="606">
        <v>0.08</v>
      </c>
      <c r="FA9" s="244">
        <v>0.17</v>
      </c>
      <c r="FB9" s="244">
        <v>0.18</v>
      </c>
      <c r="FC9" s="244">
        <v>0.05</v>
      </c>
      <c r="FD9" s="244">
        <v>0.14000000000000001</v>
      </c>
      <c r="FE9" s="244">
        <v>0.08</v>
      </c>
      <c r="FF9" s="244">
        <v>0.03</v>
      </c>
      <c r="FG9" s="244">
        <v>0.04</v>
      </c>
      <c r="FH9" s="1237">
        <v>0.14000000000000001</v>
      </c>
      <c r="FI9" s="606">
        <v>0</v>
      </c>
      <c r="FJ9" s="244">
        <v>0</v>
      </c>
      <c r="FK9" s="244">
        <v>0</v>
      </c>
      <c r="FL9" s="244">
        <v>0</v>
      </c>
      <c r="FM9" s="244">
        <v>0</v>
      </c>
      <c r="FN9" s="1237">
        <v>0</v>
      </c>
      <c r="FO9" s="606">
        <v>0</v>
      </c>
      <c r="FP9" s="244">
        <v>0</v>
      </c>
      <c r="FQ9" s="244">
        <v>0</v>
      </c>
      <c r="FR9" s="244">
        <v>0</v>
      </c>
      <c r="FS9" s="244">
        <v>0</v>
      </c>
      <c r="FT9" s="244">
        <v>0</v>
      </c>
      <c r="FU9" s="244">
        <v>0</v>
      </c>
      <c r="FV9" s="244">
        <v>0</v>
      </c>
      <c r="FW9" s="244">
        <v>0</v>
      </c>
      <c r="FX9" s="1" t="s">
        <v>199</v>
      </c>
    </row>
    <row r="10" spans="1:180" x14ac:dyDescent="0.35">
      <c r="C10" s="1" t="s">
        <v>103</v>
      </c>
      <c r="F10" s="1024"/>
      <c r="G10" s="302"/>
      <c r="H10" s="302"/>
      <c r="I10" s="1230"/>
      <c r="J10" s="1178"/>
      <c r="K10" s="302"/>
      <c r="L10" s="1178"/>
      <c r="M10" s="302"/>
      <c r="N10" s="1178"/>
      <c r="O10" s="1178"/>
      <c r="P10" s="1178"/>
      <c r="Q10" s="302"/>
      <c r="R10" s="1626"/>
      <c r="S10" s="1178"/>
      <c r="T10" s="302"/>
      <c r="U10" s="302"/>
      <c r="V10" s="302"/>
      <c r="W10" s="302"/>
      <c r="X10" s="1230"/>
      <c r="Y10" s="1178"/>
      <c r="Z10" s="302"/>
      <c r="AA10" s="302"/>
      <c r="AB10" s="302"/>
      <c r="AC10" s="302"/>
      <c r="AD10" s="302"/>
      <c r="AE10" s="302"/>
      <c r="AF10" s="302"/>
      <c r="AG10" s="302"/>
      <c r="AH10" s="324"/>
      <c r="AI10" s="302"/>
      <c r="AJ10" s="302"/>
      <c r="AK10" s="302"/>
      <c r="AL10" s="1230"/>
      <c r="AM10" s="1178"/>
      <c r="AN10" s="302"/>
      <c r="AO10" s="302"/>
      <c r="AP10" s="302"/>
      <c r="AQ10" s="1622"/>
      <c r="AR10" s="1622"/>
      <c r="AS10" s="1622"/>
      <c r="AT10" s="1622"/>
      <c r="AU10" s="1623"/>
      <c r="AV10" s="1624"/>
      <c r="AW10" s="1622"/>
      <c r="AX10" s="1622"/>
      <c r="AY10" s="1622"/>
      <c r="AZ10" s="1622"/>
      <c r="BA10" s="1623"/>
      <c r="BB10" s="1624"/>
      <c r="BC10" s="1622"/>
      <c r="BD10" s="1622"/>
      <c r="BE10" s="1622"/>
      <c r="BF10" s="1622"/>
      <c r="BG10" s="1622"/>
      <c r="BH10" s="1622"/>
      <c r="BI10" s="1622"/>
      <c r="BJ10" s="1622"/>
      <c r="BL10" s="243">
        <v>4.4504999999999999</v>
      </c>
      <c r="BM10" s="243">
        <v>4.3520000000000003</v>
      </c>
      <c r="BN10" s="243">
        <v>4.3940000000000001</v>
      </c>
      <c r="BO10" s="1282">
        <v>4.7829999999999995</v>
      </c>
      <c r="BP10" s="1225">
        <v>10.367999999999999</v>
      </c>
      <c r="BQ10" s="243">
        <v>10.632000000000001</v>
      </c>
      <c r="BR10" s="243">
        <v>10.382000000000001</v>
      </c>
      <c r="BS10" s="243">
        <v>10.067</v>
      </c>
      <c r="BT10" s="243">
        <v>9.4914999999999985</v>
      </c>
      <c r="BU10" s="243">
        <v>9.6789999999999985</v>
      </c>
      <c r="BV10" s="243">
        <v>9.6950000000000003</v>
      </c>
      <c r="BW10" s="243">
        <v>9.5869999999999997</v>
      </c>
      <c r="BX10" s="1282">
        <v>9.6499999999999986</v>
      </c>
      <c r="BY10" s="1225">
        <v>2.0499999999999998</v>
      </c>
      <c r="BZ10" s="243">
        <v>2.0499999999999998</v>
      </c>
      <c r="CA10" s="243">
        <v>2.0499999999999998</v>
      </c>
      <c r="CB10" s="243">
        <v>2.0499999999999998</v>
      </c>
      <c r="CC10" s="243">
        <v>2.0499999999999998</v>
      </c>
      <c r="CD10" s="1282">
        <v>2.0499999999999998</v>
      </c>
      <c r="CE10" s="1225">
        <v>2.0499999999999998</v>
      </c>
      <c r="CF10" s="243">
        <v>2.0499999999999998</v>
      </c>
      <c r="CG10" s="243">
        <v>2.0499999999999998</v>
      </c>
      <c r="CH10" s="243">
        <v>2.0499999999999998</v>
      </c>
      <c r="CI10" s="243">
        <v>2.0499999999999998</v>
      </c>
      <c r="CJ10" s="243">
        <v>2.0499999999999998</v>
      </c>
      <c r="CK10" s="243">
        <v>2.0499999999999998</v>
      </c>
      <c r="CL10" s="243">
        <v>2.0499999999999998</v>
      </c>
      <c r="CM10" s="243">
        <v>2.0499999999999998</v>
      </c>
      <c r="CN10" s="325"/>
      <c r="CO10" s="244">
        <v>0</v>
      </c>
      <c r="CP10" s="244">
        <v>35.5</v>
      </c>
      <c r="CQ10" s="244">
        <v>36.6</v>
      </c>
      <c r="CR10" s="1237">
        <v>37.9</v>
      </c>
      <c r="CS10" s="606">
        <v>42.1</v>
      </c>
      <c r="CT10" s="244">
        <v>41.1</v>
      </c>
      <c r="CU10" s="244">
        <v>45.3</v>
      </c>
      <c r="CV10" s="244">
        <v>43.9</v>
      </c>
      <c r="CW10" s="244">
        <v>40.549999999999997</v>
      </c>
      <c r="CX10" s="244">
        <v>42.8</v>
      </c>
      <c r="CY10" s="244">
        <v>45.3</v>
      </c>
      <c r="CZ10" s="244">
        <v>44.3</v>
      </c>
      <c r="DA10" s="1237">
        <v>44.6</v>
      </c>
      <c r="DB10" s="606">
        <v>0</v>
      </c>
      <c r="DC10" s="244">
        <v>0</v>
      </c>
      <c r="DD10" s="244">
        <v>0</v>
      </c>
      <c r="DE10" s="244">
        <v>0</v>
      </c>
      <c r="DF10" s="244">
        <v>0</v>
      </c>
      <c r="DG10" s="1237">
        <v>0</v>
      </c>
      <c r="DH10" s="606">
        <v>0</v>
      </c>
      <c r="DI10" s="244">
        <v>0</v>
      </c>
      <c r="DJ10" s="244">
        <v>0</v>
      </c>
      <c r="DK10" s="244">
        <v>0</v>
      </c>
      <c r="DL10" s="244">
        <v>0</v>
      </c>
      <c r="DM10" s="244">
        <v>0</v>
      </c>
      <c r="DN10" s="244">
        <v>0</v>
      </c>
      <c r="DO10" s="244">
        <v>0</v>
      </c>
      <c r="DP10" s="244">
        <v>0</v>
      </c>
      <c r="DR10" s="241" t="s">
        <v>200</v>
      </c>
      <c r="DS10" s="244">
        <v>4.28</v>
      </c>
      <c r="DT10" s="244">
        <v>4.46</v>
      </c>
      <c r="DU10" s="244">
        <v>5.32</v>
      </c>
      <c r="DV10" s="1237">
        <v>5.57</v>
      </c>
      <c r="DW10" s="606">
        <v>11.82</v>
      </c>
      <c r="DX10" s="244">
        <v>11.6</v>
      </c>
      <c r="DY10" s="244">
        <v>10.77</v>
      </c>
      <c r="DZ10" s="244">
        <v>11.05</v>
      </c>
      <c r="EA10" s="244">
        <v>11.05</v>
      </c>
      <c r="EB10" s="244">
        <v>10.86</v>
      </c>
      <c r="EC10" s="244">
        <v>10.98</v>
      </c>
      <c r="ED10" s="244">
        <v>10.78</v>
      </c>
      <c r="EE10" s="1237">
        <v>10.76</v>
      </c>
      <c r="EF10" s="606">
        <v>0</v>
      </c>
      <c r="EG10" s="244">
        <v>0</v>
      </c>
      <c r="EH10" s="244">
        <v>0</v>
      </c>
      <c r="EI10" s="244">
        <v>0</v>
      </c>
      <c r="EJ10" s="244">
        <v>0</v>
      </c>
      <c r="EK10" s="1237">
        <v>0</v>
      </c>
      <c r="EL10" s="606">
        <v>0</v>
      </c>
      <c r="EM10" s="244">
        <v>0</v>
      </c>
      <c r="EN10" s="244">
        <v>0</v>
      </c>
      <c r="EO10" s="244">
        <v>0</v>
      </c>
      <c r="EP10" s="244">
        <v>0</v>
      </c>
      <c r="EQ10" s="244">
        <v>0</v>
      </c>
      <c r="ER10" s="244">
        <v>0</v>
      </c>
      <c r="ES10" s="244">
        <v>0</v>
      </c>
      <c r="ET10" s="244">
        <v>0</v>
      </c>
      <c r="EV10" s="244">
        <v>0.54</v>
      </c>
      <c r="EW10" s="244">
        <f t="shared" si="0"/>
        <v>0.11</v>
      </c>
      <c r="EX10" s="244">
        <v>0.11</v>
      </c>
      <c r="EY10" s="1237">
        <v>0.05</v>
      </c>
      <c r="EZ10" s="606">
        <v>0.14000000000000001</v>
      </c>
      <c r="FA10" s="244">
        <v>0.27</v>
      </c>
      <c r="FB10" s="244">
        <v>0.3</v>
      </c>
      <c r="FC10" s="244">
        <v>0.1</v>
      </c>
      <c r="FD10" s="244">
        <v>0.22499999999999998</v>
      </c>
      <c r="FE10" s="244">
        <v>0.14000000000000001</v>
      </c>
      <c r="FF10" s="244">
        <v>0.05</v>
      </c>
      <c r="FG10" s="244">
        <v>0.06</v>
      </c>
      <c r="FH10" s="1237">
        <v>0.26</v>
      </c>
      <c r="FI10" s="606">
        <v>0</v>
      </c>
      <c r="FJ10" s="244">
        <v>0</v>
      </c>
      <c r="FK10" s="244">
        <v>0</v>
      </c>
      <c r="FL10" s="244">
        <v>0</v>
      </c>
      <c r="FM10" s="244">
        <v>0</v>
      </c>
      <c r="FN10" s="1237">
        <v>0</v>
      </c>
      <c r="FO10" s="606">
        <v>0</v>
      </c>
      <c r="FP10" s="244">
        <v>0</v>
      </c>
      <c r="FQ10" s="244">
        <v>0</v>
      </c>
      <c r="FR10" s="244">
        <v>0</v>
      </c>
      <c r="FS10" s="244">
        <v>0</v>
      </c>
      <c r="FT10" s="244">
        <v>0</v>
      </c>
      <c r="FU10" s="244">
        <v>0</v>
      </c>
      <c r="FV10" s="244">
        <v>0</v>
      </c>
      <c r="FW10" s="244">
        <v>0</v>
      </c>
      <c r="FX10" s="1" t="s">
        <v>200</v>
      </c>
    </row>
    <row r="11" spans="1:180" x14ac:dyDescent="0.35">
      <c r="C11" s="1" t="s">
        <v>104</v>
      </c>
      <c r="F11" s="1024"/>
      <c r="G11" s="302"/>
      <c r="H11" s="302"/>
      <c r="I11" s="1230"/>
      <c r="J11" s="1178"/>
      <c r="K11" s="302"/>
      <c r="L11" s="1178"/>
      <c r="M11" s="302"/>
      <c r="N11" s="1178"/>
      <c r="O11" s="1178"/>
      <c r="P11" s="1178"/>
      <c r="Q11" s="302"/>
      <c r="R11" s="1626"/>
      <c r="S11" s="1178"/>
      <c r="T11" s="302"/>
      <c r="U11" s="302"/>
      <c r="V11" s="302"/>
      <c r="W11" s="302"/>
      <c r="X11" s="1230"/>
      <c r="Y11" s="1178"/>
      <c r="Z11" s="302"/>
      <c r="AA11" s="302"/>
      <c r="AB11" s="302"/>
      <c r="AC11" s="302"/>
      <c r="AD11" s="302"/>
      <c r="AE11" s="302"/>
      <c r="AF11" s="302"/>
      <c r="AG11" s="302"/>
      <c r="AH11" s="324"/>
      <c r="AI11" s="302"/>
      <c r="AJ11" s="302"/>
      <c r="AK11" s="302"/>
      <c r="AL11" s="1230"/>
      <c r="AM11" s="1178"/>
      <c r="AN11" s="302"/>
      <c r="AO11" s="302"/>
      <c r="AP11" s="302"/>
      <c r="AQ11" s="1622"/>
      <c r="AR11" s="1622"/>
      <c r="AS11" s="1622"/>
      <c r="AT11" s="1622"/>
      <c r="AU11" s="1623"/>
      <c r="AV11" s="1624"/>
      <c r="AW11" s="1622"/>
      <c r="AX11" s="1622"/>
      <c r="AY11" s="1622"/>
      <c r="AZ11" s="1622"/>
      <c r="BA11" s="1623"/>
      <c r="BB11" s="1624"/>
      <c r="BC11" s="1622"/>
      <c r="BD11" s="1622"/>
      <c r="BE11" s="1622"/>
      <c r="BF11" s="1622"/>
      <c r="BG11" s="1622"/>
      <c r="BH11" s="1622"/>
      <c r="BI11" s="1622"/>
      <c r="BJ11" s="1622"/>
      <c r="BL11" s="243">
        <v>9.4974999999999987</v>
      </c>
      <c r="BM11" s="243">
        <v>9.0015000000000001</v>
      </c>
      <c r="BN11" s="243">
        <v>9.1743333333333332</v>
      </c>
      <c r="BO11" s="1282">
        <v>9.7210000000000001</v>
      </c>
      <c r="BP11" s="1225">
        <v>20.46</v>
      </c>
      <c r="BQ11" s="243">
        <v>21.419</v>
      </c>
      <c r="BR11" s="243">
        <v>20.82</v>
      </c>
      <c r="BS11" s="243">
        <v>20.275000000000002</v>
      </c>
      <c r="BT11" s="243">
        <v>20.015500000000003</v>
      </c>
      <c r="BU11" s="243">
        <v>20.179000000000002</v>
      </c>
      <c r="BV11" s="243">
        <v>20.028000000000002</v>
      </c>
      <c r="BW11" s="243">
        <v>20.170999999999999</v>
      </c>
      <c r="BX11" s="1282">
        <v>20.403000000000002</v>
      </c>
      <c r="BY11" s="1225">
        <v>2.2799999999999998</v>
      </c>
      <c r="BZ11" s="243">
        <v>2.2799999999999998</v>
      </c>
      <c r="CA11" s="243">
        <v>2.2799999999999998</v>
      </c>
      <c r="CB11" s="243">
        <v>2.2799999999999998</v>
      </c>
      <c r="CC11" s="243">
        <v>2.2799999999999998</v>
      </c>
      <c r="CD11" s="1282">
        <v>2.2799999999999998</v>
      </c>
      <c r="CE11" s="1225">
        <v>2.2799999999999998</v>
      </c>
      <c r="CF11" s="243">
        <v>2.2799999999999998</v>
      </c>
      <c r="CG11" s="243">
        <v>2.2799999999999998</v>
      </c>
      <c r="CH11" s="243">
        <v>2.2799999999999998</v>
      </c>
      <c r="CI11" s="243">
        <v>2.2799999999999998</v>
      </c>
      <c r="CJ11" s="243">
        <v>2.2799999999999998</v>
      </c>
      <c r="CK11" s="243">
        <v>2.2799999999999998</v>
      </c>
      <c r="CL11" s="243">
        <v>2.2799999999999998</v>
      </c>
      <c r="CM11" s="243">
        <v>2.2799999999999998</v>
      </c>
      <c r="CN11" s="325"/>
      <c r="CO11" s="244">
        <v>0</v>
      </c>
      <c r="CP11" s="244">
        <v>30.2</v>
      </c>
      <c r="CQ11" s="244">
        <v>29.7</v>
      </c>
      <c r="CR11" s="1237">
        <v>28.8</v>
      </c>
      <c r="CS11" s="606">
        <v>30.7</v>
      </c>
      <c r="CT11" s="244">
        <v>28.3</v>
      </c>
      <c r="CU11" s="244">
        <v>31.8</v>
      </c>
      <c r="CV11" s="244">
        <v>30.4</v>
      </c>
      <c r="CW11" s="244">
        <v>31.25</v>
      </c>
      <c r="CX11" s="244">
        <v>30.2</v>
      </c>
      <c r="CY11" s="244">
        <v>31.6</v>
      </c>
      <c r="CZ11" s="244">
        <v>30.2</v>
      </c>
      <c r="DA11" s="1237">
        <v>30.5</v>
      </c>
      <c r="DB11" s="606">
        <v>0</v>
      </c>
      <c r="DC11" s="244">
        <v>0</v>
      </c>
      <c r="DD11" s="244">
        <v>0</v>
      </c>
      <c r="DE11" s="244">
        <v>0</v>
      </c>
      <c r="DF11" s="244">
        <v>0</v>
      </c>
      <c r="DG11" s="1237">
        <v>0</v>
      </c>
      <c r="DH11" s="606">
        <v>0</v>
      </c>
      <c r="DI11" s="244">
        <v>0</v>
      </c>
      <c r="DJ11" s="244">
        <v>0</v>
      </c>
      <c r="DK11" s="244">
        <v>0</v>
      </c>
      <c r="DL11" s="244">
        <v>0</v>
      </c>
      <c r="DM11" s="244">
        <v>0</v>
      </c>
      <c r="DN11" s="244">
        <v>0</v>
      </c>
      <c r="DO11" s="244">
        <v>0</v>
      </c>
      <c r="DP11" s="244">
        <v>0</v>
      </c>
      <c r="DR11" s="241" t="s">
        <v>201</v>
      </c>
      <c r="DS11" s="244">
        <v>4.8499999999999996</v>
      </c>
      <c r="DT11" s="244">
        <v>4.7350000000000003</v>
      </c>
      <c r="DU11" s="244">
        <v>5.39</v>
      </c>
      <c r="DV11" s="1237">
        <v>5.62</v>
      </c>
      <c r="DW11" s="606">
        <v>11.25</v>
      </c>
      <c r="DX11" s="244">
        <v>11.14</v>
      </c>
      <c r="DY11" s="244">
        <v>10.78</v>
      </c>
      <c r="DZ11" s="244">
        <v>10.92</v>
      </c>
      <c r="EA11" s="244">
        <v>10.92</v>
      </c>
      <c r="EB11" s="244">
        <v>11.39</v>
      </c>
      <c r="EC11" s="244">
        <v>10.93</v>
      </c>
      <c r="ED11" s="244">
        <v>10.78</v>
      </c>
      <c r="EE11" s="1237">
        <v>10.74</v>
      </c>
      <c r="EF11" s="606">
        <v>0</v>
      </c>
      <c r="EG11" s="244">
        <v>0</v>
      </c>
      <c r="EH11" s="244">
        <v>0</v>
      </c>
      <c r="EI11" s="244">
        <v>0</v>
      </c>
      <c r="EJ11" s="244">
        <v>0</v>
      </c>
      <c r="EK11" s="1237">
        <v>0</v>
      </c>
      <c r="EL11" s="606">
        <v>0</v>
      </c>
      <c r="EM11" s="244">
        <v>0</v>
      </c>
      <c r="EN11" s="244">
        <v>0</v>
      </c>
      <c r="EO11" s="244">
        <v>0</v>
      </c>
      <c r="EP11" s="244">
        <v>0</v>
      </c>
      <c r="EQ11" s="244">
        <v>0</v>
      </c>
      <c r="ER11" s="244">
        <v>0</v>
      </c>
      <c r="ES11" s="244">
        <v>0</v>
      </c>
      <c r="ET11" s="244">
        <v>0</v>
      </c>
      <c r="EV11" s="244">
        <v>1.18</v>
      </c>
      <c r="EW11" s="244">
        <f t="shared" si="0"/>
        <v>0.16</v>
      </c>
      <c r="EX11" s="244">
        <v>0.16</v>
      </c>
      <c r="EY11" s="1237">
        <v>0.08</v>
      </c>
      <c r="EZ11" s="606">
        <v>0.24</v>
      </c>
      <c r="FA11" s="244">
        <v>0.41</v>
      </c>
      <c r="FB11" s="244">
        <v>0.45</v>
      </c>
      <c r="FC11" s="244">
        <v>0.24</v>
      </c>
      <c r="FD11" s="244">
        <v>0.38</v>
      </c>
      <c r="FE11" s="244">
        <v>0.28000000000000003</v>
      </c>
      <c r="FF11" s="244">
        <v>0.09</v>
      </c>
      <c r="FG11" s="244">
        <v>0.15</v>
      </c>
      <c r="FH11" s="1237">
        <v>0.47</v>
      </c>
      <c r="FI11" s="606">
        <v>0</v>
      </c>
      <c r="FJ11" s="244">
        <v>0</v>
      </c>
      <c r="FK11" s="244">
        <v>0</v>
      </c>
      <c r="FL11" s="244">
        <v>0</v>
      </c>
      <c r="FM11" s="244">
        <v>0</v>
      </c>
      <c r="FN11" s="1237">
        <v>0</v>
      </c>
      <c r="FO11" s="606">
        <v>0</v>
      </c>
      <c r="FP11" s="244">
        <v>0</v>
      </c>
      <c r="FQ11" s="244">
        <v>0</v>
      </c>
      <c r="FR11" s="244">
        <v>0</v>
      </c>
      <c r="FS11" s="244">
        <v>0</v>
      </c>
      <c r="FT11" s="244">
        <v>0</v>
      </c>
      <c r="FU11" s="244">
        <v>0</v>
      </c>
      <c r="FV11" s="244">
        <v>0</v>
      </c>
      <c r="FW11" s="244">
        <v>0</v>
      </c>
      <c r="FX11" s="1" t="s">
        <v>201</v>
      </c>
    </row>
    <row r="12" spans="1:180" x14ac:dyDescent="0.35">
      <c r="C12" s="1" t="s">
        <v>105</v>
      </c>
      <c r="F12" s="1024"/>
      <c r="G12" s="302"/>
      <c r="H12" s="302"/>
      <c r="I12" s="1230"/>
      <c r="J12" s="1178"/>
      <c r="K12" s="302"/>
      <c r="L12" s="1178"/>
      <c r="M12" s="302"/>
      <c r="N12" s="1178"/>
      <c r="O12" s="1178"/>
      <c r="P12" s="1178"/>
      <c r="Q12" s="302"/>
      <c r="R12" s="1626"/>
      <c r="S12" s="1178"/>
      <c r="T12" s="302"/>
      <c r="U12" s="302"/>
      <c r="V12" s="302"/>
      <c r="W12" s="302"/>
      <c r="X12" s="1230"/>
      <c r="Y12" s="1178"/>
      <c r="Z12" s="302"/>
      <c r="AA12" s="302"/>
      <c r="AB12" s="302"/>
      <c r="AC12" s="302"/>
      <c r="AD12" s="302"/>
      <c r="AE12" s="302"/>
      <c r="AF12" s="302"/>
      <c r="AG12" s="302"/>
      <c r="AH12" s="324"/>
      <c r="AI12" s="302"/>
      <c r="AJ12" s="302"/>
      <c r="AK12" s="302"/>
      <c r="AL12" s="1230"/>
      <c r="AM12" s="1178"/>
      <c r="AN12" s="302"/>
      <c r="AO12" s="302"/>
      <c r="AP12" s="302"/>
      <c r="AQ12" s="1622"/>
      <c r="AR12" s="1622"/>
      <c r="AS12" s="1622"/>
      <c r="AT12" s="1622"/>
      <c r="AU12" s="1623"/>
      <c r="AV12" s="1624"/>
      <c r="AW12" s="1622"/>
      <c r="AX12" s="1622"/>
      <c r="AY12" s="1622"/>
      <c r="AZ12" s="1622"/>
      <c r="BA12" s="1623"/>
      <c r="BB12" s="1624"/>
      <c r="BC12" s="1622"/>
      <c r="BD12" s="1622"/>
      <c r="BE12" s="1622"/>
      <c r="BF12" s="1622"/>
      <c r="BG12" s="1622"/>
      <c r="BH12" s="1622"/>
      <c r="BI12" s="1622"/>
      <c r="BJ12" s="1622"/>
      <c r="BL12" s="243">
        <v>25.186</v>
      </c>
      <c r="BM12" s="243">
        <v>22.835499999999996</v>
      </c>
      <c r="BN12" s="243">
        <v>21.667666666666669</v>
      </c>
      <c r="BO12" s="1282">
        <v>21.984000000000002</v>
      </c>
      <c r="BP12" s="1225">
        <v>32.805</v>
      </c>
      <c r="BQ12" s="243">
        <v>34.418999999999997</v>
      </c>
      <c r="BR12" s="243">
        <v>33.997999999999998</v>
      </c>
      <c r="BS12" s="243">
        <v>33.481000000000002</v>
      </c>
      <c r="BT12" s="243">
        <v>33.0105</v>
      </c>
      <c r="BU12" s="243">
        <v>32.939</v>
      </c>
      <c r="BV12" s="243">
        <v>33.456000000000003</v>
      </c>
      <c r="BW12" s="243">
        <v>33.414999999999999</v>
      </c>
      <c r="BX12" s="1282">
        <v>33.862000000000002</v>
      </c>
      <c r="BY12" s="1225">
        <v>2.58</v>
      </c>
      <c r="BZ12" s="243">
        <v>2.58</v>
      </c>
      <c r="CA12" s="243">
        <v>2.58</v>
      </c>
      <c r="CB12" s="243">
        <v>2.58</v>
      </c>
      <c r="CC12" s="243">
        <v>2.58</v>
      </c>
      <c r="CD12" s="1282">
        <v>2.58</v>
      </c>
      <c r="CE12" s="1225">
        <v>2.58</v>
      </c>
      <c r="CF12" s="243">
        <v>2.58</v>
      </c>
      <c r="CG12" s="243">
        <v>2.58</v>
      </c>
      <c r="CH12" s="243">
        <v>2.58</v>
      </c>
      <c r="CI12" s="243">
        <v>2.58</v>
      </c>
      <c r="CJ12" s="243">
        <v>2.58</v>
      </c>
      <c r="CK12" s="243">
        <v>2.58</v>
      </c>
      <c r="CL12" s="243">
        <v>2.58</v>
      </c>
      <c r="CM12" s="243">
        <v>2.58</v>
      </c>
      <c r="CN12" s="325"/>
      <c r="CO12" s="244">
        <v>0</v>
      </c>
      <c r="CP12" s="244">
        <v>13.8</v>
      </c>
      <c r="CQ12" s="244">
        <v>10.7</v>
      </c>
      <c r="CR12" s="1237">
        <v>9.1</v>
      </c>
      <c r="CS12" s="606">
        <v>8.6999999999999993</v>
      </c>
      <c r="CT12" s="244">
        <v>6.6</v>
      </c>
      <c r="CU12" s="244">
        <v>7.3</v>
      </c>
      <c r="CV12" s="244">
        <v>6.9</v>
      </c>
      <c r="CW12" s="244">
        <v>11.975</v>
      </c>
      <c r="CX12" s="244">
        <v>8.5</v>
      </c>
      <c r="CY12" s="244">
        <v>7.4</v>
      </c>
      <c r="CZ12" s="244">
        <v>6.9</v>
      </c>
      <c r="DA12" s="1237">
        <v>6.9</v>
      </c>
      <c r="DB12" s="606">
        <v>0</v>
      </c>
      <c r="DC12" s="244">
        <v>0</v>
      </c>
      <c r="DD12" s="244">
        <v>0</v>
      </c>
      <c r="DE12" s="244">
        <v>0</v>
      </c>
      <c r="DF12" s="244">
        <v>0</v>
      </c>
      <c r="DG12" s="1237">
        <v>0</v>
      </c>
      <c r="DH12" s="606">
        <v>0</v>
      </c>
      <c r="DI12" s="244">
        <v>0</v>
      </c>
      <c r="DJ12" s="244">
        <v>0</v>
      </c>
      <c r="DK12" s="244">
        <v>0</v>
      </c>
      <c r="DL12" s="244">
        <v>0</v>
      </c>
      <c r="DM12" s="244">
        <v>0</v>
      </c>
      <c r="DN12" s="244">
        <v>0</v>
      </c>
      <c r="DO12" s="244">
        <v>0</v>
      </c>
      <c r="DP12" s="244">
        <v>0</v>
      </c>
      <c r="DR12" s="241" t="s">
        <v>376</v>
      </c>
      <c r="DS12" s="244">
        <v>5.85</v>
      </c>
      <c r="DT12" s="244">
        <v>5.2149999999999999</v>
      </c>
      <c r="DU12" s="244">
        <v>4.2699999999999996</v>
      </c>
      <c r="DV12" s="1237">
        <v>4.41</v>
      </c>
      <c r="DW12" s="606">
        <v>7.12</v>
      </c>
      <c r="DX12" s="244">
        <v>7.35</v>
      </c>
      <c r="DY12" s="244">
        <v>7.37</v>
      </c>
      <c r="DZ12" s="244">
        <v>7.21</v>
      </c>
      <c r="EA12" s="244">
        <v>7.21</v>
      </c>
      <c r="EB12" s="244">
        <v>7.95</v>
      </c>
      <c r="EC12" s="244">
        <v>7.26</v>
      </c>
      <c r="ED12" s="244">
        <v>7.24</v>
      </c>
      <c r="EE12" s="1237">
        <v>7.15</v>
      </c>
      <c r="EF12" s="606">
        <v>0</v>
      </c>
      <c r="EG12" s="244">
        <v>0</v>
      </c>
      <c r="EH12" s="244">
        <v>0</v>
      </c>
      <c r="EI12" s="244">
        <v>0</v>
      </c>
      <c r="EJ12" s="244">
        <v>0</v>
      </c>
      <c r="EK12" s="1237">
        <v>0</v>
      </c>
      <c r="EL12" s="606">
        <v>0</v>
      </c>
      <c r="EM12" s="244">
        <v>0</v>
      </c>
      <c r="EN12" s="244">
        <v>0</v>
      </c>
      <c r="EO12" s="244">
        <v>0</v>
      </c>
      <c r="EP12" s="244">
        <v>0</v>
      </c>
      <c r="EQ12" s="244">
        <v>0</v>
      </c>
      <c r="ER12" s="244">
        <v>0</v>
      </c>
      <c r="ES12" s="244">
        <v>0</v>
      </c>
      <c r="ET12" s="244">
        <v>0</v>
      </c>
      <c r="EV12" s="244">
        <v>1.47</v>
      </c>
      <c r="EW12" s="244">
        <f t="shared" si="0"/>
        <v>0.17</v>
      </c>
      <c r="EX12" s="244">
        <v>0.17</v>
      </c>
      <c r="EY12" s="1237">
        <v>0.11</v>
      </c>
      <c r="EZ12" s="606">
        <v>0.41</v>
      </c>
      <c r="FA12" s="244">
        <v>0.46</v>
      </c>
      <c r="FB12" s="244">
        <v>0.5</v>
      </c>
      <c r="FC12" s="244">
        <v>0.51</v>
      </c>
      <c r="FD12" s="244">
        <v>0.54499999999999993</v>
      </c>
      <c r="FE12" s="244">
        <v>0.48</v>
      </c>
      <c r="FF12" s="244">
        <v>0.2</v>
      </c>
      <c r="FG12" s="244">
        <v>0.31</v>
      </c>
      <c r="FH12" s="1237">
        <v>0.68</v>
      </c>
      <c r="FI12" s="606">
        <v>0</v>
      </c>
      <c r="FJ12" s="244">
        <v>0</v>
      </c>
      <c r="FK12" s="244">
        <v>0</v>
      </c>
      <c r="FL12" s="244">
        <v>0</v>
      </c>
      <c r="FM12" s="244">
        <v>0</v>
      </c>
      <c r="FN12" s="1237">
        <v>0</v>
      </c>
      <c r="FO12" s="606">
        <v>0</v>
      </c>
      <c r="FP12" s="244">
        <v>0</v>
      </c>
      <c r="FQ12" s="244">
        <v>0</v>
      </c>
      <c r="FR12" s="244">
        <v>0</v>
      </c>
      <c r="FS12" s="244">
        <v>0</v>
      </c>
      <c r="FT12" s="244">
        <v>0</v>
      </c>
      <c r="FU12" s="244">
        <v>0</v>
      </c>
      <c r="FV12" s="244">
        <v>0</v>
      </c>
      <c r="FW12" s="244">
        <v>0</v>
      </c>
      <c r="FX12" s="1" t="s">
        <v>376</v>
      </c>
    </row>
    <row r="13" spans="1:180" x14ac:dyDescent="0.35">
      <c r="C13" s="1" t="s">
        <v>100</v>
      </c>
      <c r="F13" s="1024"/>
      <c r="G13" s="302"/>
      <c r="H13" s="302"/>
      <c r="I13" s="1230"/>
      <c r="J13" s="1178"/>
      <c r="K13" s="302"/>
      <c r="L13" s="1178"/>
      <c r="M13" s="302"/>
      <c r="N13" s="1178"/>
      <c r="O13" s="1178"/>
      <c r="P13" s="1178"/>
      <c r="Q13" s="302"/>
      <c r="R13" s="1626"/>
      <c r="S13" s="1178"/>
      <c r="T13" s="302"/>
      <c r="U13" s="302"/>
      <c r="V13" s="302"/>
      <c r="W13" s="302"/>
      <c r="X13" s="1230"/>
      <c r="Y13" s="1178"/>
      <c r="Z13" s="302"/>
      <c r="AA13" s="302"/>
      <c r="AB13" s="302"/>
      <c r="AC13" s="302"/>
      <c r="AD13" s="302"/>
      <c r="AE13" s="302"/>
      <c r="AF13" s="302"/>
      <c r="AG13" s="302"/>
      <c r="AH13" s="324"/>
      <c r="AI13" s="302"/>
      <c r="AJ13" s="302"/>
      <c r="AK13" s="302"/>
      <c r="AL13" s="1230"/>
      <c r="AM13" s="1178"/>
      <c r="AN13" s="302"/>
      <c r="AO13" s="302"/>
      <c r="AP13" s="302"/>
      <c r="AQ13" s="1622"/>
      <c r="AR13" s="1622"/>
      <c r="AS13" s="1622"/>
      <c r="AT13" s="1622"/>
      <c r="AU13" s="1623"/>
      <c r="AV13" s="1624"/>
      <c r="AW13" s="1622"/>
      <c r="AX13" s="1622"/>
      <c r="AY13" s="1622"/>
      <c r="AZ13" s="1622"/>
      <c r="BA13" s="1623"/>
      <c r="BB13" s="1624"/>
      <c r="BC13" s="1622"/>
      <c r="BD13" s="1622"/>
      <c r="BE13" s="1622"/>
      <c r="BF13" s="1622"/>
      <c r="BG13" s="1622"/>
      <c r="BH13" s="1622"/>
      <c r="BI13" s="1622"/>
      <c r="BJ13" s="1622"/>
      <c r="BL13" s="243">
        <v>16.476500000000001</v>
      </c>
      <c r="BM13" s="243">
        <v>16.148499999999999</v>
      </c>
      <c r="BN13" s="243">
        <v>16.658666666666669</v>
      </c>
      <c r="BO13" s="1282">
        <v>17.530999999999999</v>
      </c>
      <c r="BP13" s="1225">
        <v>16.044</v>
      </c>
      <c r="BQ13" s="243">
        <v>16.627299999999998</v>
      </c>
      <c r="BR13" s="243">
        <v>16.7</v>
      </c>
      <c r="BS13" s="243">
        <v>16.561</v>
      </c>
      <c r="BT13" s="243">
        <v>16.393000000000001</v>
      </c>
      <c r="BU13" s="243">
        <v>16.334</v>
      </c>
      <c r="BV13" s="243">
        <v>16.682000000000002</v>
      </c>
      <c r="BW13" s="243">
        <v>16.533000000000001</v>
      </c>
      <c r="BX13" s="1282">
        <v>16.521000000000001</v>
      </c>
      <c r="BY13" s="1225">
        <v>2.58</v>
      </c>
      <c r="BZ13" s="243">
        <v>2.58</v>
      </c>
      <c r="CA13" s="243">
        <v>2.58</v>
      </c>
      <c r="CB13" s="243">
        <v>2.58</v>
      </c>
      <c r="CC13" s="243">
        <v>2.58</v>
      </c>
      <c r="CD13" s="1282">
        <v>2.58</v>
      </c>
      <c r="CE13" s="1225">
        <v>2.58</v>
      </c>
      <c r="CF13" s="243">
        <v>2.58</v>
      </c>
      <c r="CG13" s="243">
        <v>2.58</v>
      </c>
      <c r="CH13" s="243">
        <v>2.58</v>
      </c>
      <c r="CI13" s="243">
        <v>2.58</v>
      </c>
      <c r="CJ13" s="243">
        <v>2.58</v>
      </c>
      <c r="CK13" s="243">
        <v>2.58</v>
      </c>
      <c r="CL13" s="243">
        <v>2.58</v>
      </c>
      <c r="CM13" s="243">
        <v>2.58</v>
      </c>
      <c r="CN13" s="325"/>
      <c r="CO13" s="244">
        <v>0</v>
      </c>
      <c r="CP13" s="244">
        <v>0.1</v>
      </c>
      <c r="CQ13" s="244">
        <v>0</v>
      </c>
      <c r="CR13" s="1237">
        <v>0</v>
      </c>
      <c r="CS13" s="606">
        <v>0</v>
      </c>
      <c r="CT13" s="244">
        <v>0</v>
      </c>
      <c r="CU13" s="244">
        <v>0</v>
      </c>
      <c r="CV13" s="244">
        <v>0</v>
      </c>
      <c r="CW13" s="244">
        <v>0</v>
      </c>
      <c r="CX13" s="244">
        <v>0</v>
      </c>
      <c r="CY13" s="244">
        <v>0</v>
      </c>
      <c r="CZ13" s="244">
        <v>0</v>
      </c>
      <c r="DA13" s="1237">
        <v>0</v>
      </c>
      <c r="DB13" s="606">
        <v>0</v>
      </c>
      <c r="DC13" s="244">
        <v>0</v>
      </c>
      <c r="DD13" s="244">
        <v>0</v>
      </c>
      <c r="DE13" s="244">
        <v>0</v>
      </c>
      <c r="DF13" s="244">
        <v>0</v>
      </c>
      <c r="DG13" s="1237">
        <v>0</v>
      </c>
      <c r="DH13" s="606">
        <v>0</v>
      </c>
      <c r="DI13" s="244">
        <v>0</v>
      </c>
      <c r="DJ13" s="244">
        <v>0</v>
      </c>
      <c r="DK13" s="244">
        <v>0</v>
      </c>
      <c r="DL13" s="244">
        <v>0</v>
      </c>
      <c r="DM13" s="244">
        <v>0</v>
      </c>
      <c r="DN13" s="244">
        <v>0</v>
      </c>
      <c r="DO13" s="244">
        <v>0</v>
      </c>
      <c r="DP13" s="244">
        <v>0</v>
      </c>
      <c r="DR13" s="241" t="s">
        <v>203</v>
      </c>
      <c r="DS13" s="244">
        <v>3.11</v>
      </c>
      <c r="DT13" s="244">
        <v>2.1850000000000001</v>
      </c>
      <c r="DU13" s="244">
        <v>3.06</v>
      </c>
      <c r="DV13" s="1237">
        <v>3.07</v>
      </c>
      <c r="DW13" s="606">
        <v>3.05</v>
      </c>
      <c r="DX13" s="244">
        <v>3.53</v>
      </c>
      <c r="DY13" s="244">
        <v>3.65</v>
      </c>
      <c r="DZ13" s="244">
        <v>3.58</v>
      </c>
      <c r="EA13" s="244">
        <v>3.58</v>
      </c>
      <c r="EB13" s="244">
        <v>3.79</v>
      </c>
      <c r="EC13" s="244">
        <v>3.79</v>
      </c>
      <c r="ED13" s="244">
        <v>3.79</v>
      </c>
      <c r="EE13" s="1237">
        <v>3.71</v>
      </c>
      <c r="EF13" s="606">
        <v>0</v>
      </c>
      <c r="EG13" s="244">
        <v>0</v>
      </c>
      <c r="EH13" s="244">
        <v>0</v>
      </c>
      <c r="EI13" s="244">
        <v>0</v>
      </c>
      <c r="EJ13" s="244">
        <v>0</v>
      </c>
      <c r="EK13" s="1237">
        <v>0</v>
      </c>
      <c r="EL13" s="606">
        <v>0</v>
      </c>
      <c r="EM13" s="244">
        <v>0</v>
      </c>
      <c r="EN13" s="244">
        <v>0</v>
      </c>
      <c r="EO13" s="244">
        <v>0</v>
      </c>
      <c r="EP13" s="244">
        <v>0</v>
      </c>
      <c r="EQ13" s="244">
        <v>0</v>
      </c>
      <c r="ER13" s="244">
        <v>0</v>
      </c>
      <c r="ES13" s="244">
        <v>0</v>
      </c>
      <c r="ET13" s="244">
        <v>0</v>
      </c>
      <c r="EV13" s="244">
        <v>0.94</v>
      </c>
      <c r="EW13" s="244">
        <f t="shared" si="0"/>
        <v>0.11</v>
      </c>
      <c r="EX13" s="244">
        <v>0.11</v>
      </c>
      <c r="EY13" s="1237">
        <v>0.12</v>
      </c>
      <c r="EZ13" s="606">
        <v>0.49</v>
      </c>
      <c r="FA13" s="244">
        <v>0.39</v>
      </c>
      <c r="FB13" s="244">
        <v>0.38</v>
      </c>
      <c r="FC13" s="244">
        <v>0.69</v>
      </c>
      <c r="FD13" s="244">
        <v>0.58499999999999996</v>
      </c>
      <c r="FE13" s="244">
        <v>0.5</v>
      </c>
      <c r="FF13" s="244">
        <v>0.4</v>
      </c>
      <c r="FG13" s="244">
        <v>0.48</v>
      </c>
      <c r="FH13" s="1237">
        <v>0.69</v>
      </c>
      <c r="FI13" s="606">
        <v>0</v>
      </c>
      <c r="FJ13" s="244">
        <v>0</v>
      </c>
      <c r="FK13" s="244">
        <v>0</v>
      </c>
      <c r="FL13" s="244">
        <v>0</v>
      </c>
      <c r="FM13" s="244">
        <v>0</v>
      </c>
      <c r="FN13" s="1237">
        <v>0</v>
      </c>
      <c r="FO13" s="606">
        <v>0</v>
      </c>
      <c r="FP13" s="244">
        <v>0</v>
      </c>
      <c r="FQ13" s="244">
        <v>0</v>
      </c>
      <c r="FR13" s="244">
        <v>0</v>
      </c>
      <c r="FS13" s="244">
        <v>0</v>
      </c>
      <c r="FT13" s="244">
        <v>0</v>
      </c>
      <c r="FU13" s="244">
        <v>0</v>
      </c>
      <c r="FV13" s="244">
        <v>0</v>
      </c>
      <c r="FW13" s="244">
        <v>0</v>
      </c>
      <c r="FX13" s="1" t="s">
        <v>203</v>
      </c>
    </row>
    <row r="14" spans="1:180" ht="15" thickBot="1" x14ac:dyDescent="0.4">
      <c r="C14" s="1" t="s">
        <v>404</v>
      </c>
      <c r="F14" s="1025"/>
      <c r="G14" s="303"/>
      <c r="H14" s="303"/>
      <c r="I14" s="1231"/>
      <c r="J14" s="1179"/>
      <c r="K14" s="303"/>
      <c r="L14" s="1179"/>
      <c r="M14" s="303"/>
      <c r="N14" s="1179"/>
      <c r="O14" s="1179"/>
      <c r="P14" s="1179"/>
      <c r="Q14" s="303"/>
      <c r="R14" s="1627"/>
      <c r="S14" s="1179"/>
      <c r="T14" s="303"/>
      <c r="U14" s="303"/>
      <c r="V14" s="303"/>
      <c r="W14" s="303"/>
      <c r="X14" s="1231"/>
      <c r="Y14" s="1179"/>
      <c r="Z14" s="303"/>
      <c r="AA14" s="303"/>
      <c r="AB14" s="303"/>
      <c r="AC14" s="303"/>
      <c r="AD14" s="303"/>
      <c r="AE14" s="303"/>
      <c r="AF14" s="303"/>
      <c r="AG14" s="303"/>
      <c r="AH14" s="344"/>
      <c r="AI14" s="303"/>
      <c r="AJ14" s="303"/>
      <c r="AK14" s="303"/>
      <c r="AL14" s="1231"/>
      <c r="AM14" s="1179"/>
      <c r="AN14" s="303"/>
      <c r="AO14" s="303"/>
      <c r="AP14" s="303"/>
      <c r="AQ14" s="303"/>
      <c r="AR14" s="303"/>
      <c r="AS14" s="303"/>
      <c r="AT14" s="303"/>
      <c r="AU14" s="1231"/>
      <c r="AV14" s="1179"/>
      <c r="AW14" s="303"/>
      <c r="AX14" s="303"/>
      <c r="AY14" s="303"/>
      <c r="AZ14" s="303"/>
      <c r="BA14" s="1231"/>
      <c r="BB14" s="1179"/>
      <c r="BC14" s="303"/>
      <c r="BD14" s="303"/>
      <c r="BE14" s="303"/>
      <c r="BF14" s="303"/>
      <c r="BG14" s="303"/>
      <c r="BH14" s="303"/>
      <c r="BI14" s="303"/>
      <c r="BJ14" s="303"/>
      <c r="BK14" s="344"/>
      <c r="BL14" s="485">
        <v>56.285499999999999</v>
      </c>
      <c r="BM14" s="485">
        <v>59.546500000000002</v>
      </c>
      <c r="BN14" s="485">
        <v>60.089666666666666</v>
      </c>
      <c r="BO14" s="1591">
        <v>57.954000000000001</v>
      </c>
      <c r="BP14" s="1585">
        <v>31.388999999999996</v>
      </c>
      <c r="BQ14" s="483">
        <v>27.932700000000011</v>
      </c>
      <c r="BR14" s="483">
        <v>29.117999999999995</v>
      </c>
      <c r="BS14" s="483">
        <v>30.694000000000003</v>
      </c>
      <c r="BT14" s="483">
        <v>32.585000000000001</v>
      </c>
      <c r="BU14" s="483">
        <v>32.146000000000001</v>
      </c>
      <c r="BV14" s="484">
        <v>31.49499999999999</v>
      </c>
      <c r="BW14" s="484">
        <v>31.695000000000007</v>
      </c>
      <c r="BX14" s="1602">
        <v>30.911000000000001</v>
      </c>
      <c r="BY14" s="1598">
        <v>103.03</v>
      </c>
      <c r="BZ14" s="484">
        <v>103.03</v>
      </c>
      <c r="CA14" s="484">
        <v>103.03</v>
      </c>
      <c r="CB14" s="484">
        <v>103.03</v>
      </c>
      <c r="CC14" s="484">
        <v>103.03</v>
      </c>
      <c r="CD14" s="1602">
        <v>103.03</v>
      </c>
      <c r="CE14" s="1598">
        <v>103.03</v>
      </c>
      <c r="CF14" s="484">
        <v>103.03</v>
      </c>
      <c r="CG14" s="484">
        <v>103.03</v>
      </c>
      <c r="CH14" s="484">
        <v>103.03</v>
      </c>
      <c r="CI14" s="484">
        <v>103.03</v>
      </c>
      <c r="CJ14" s="484">
        <v>103.03</v>
      </c>
      <c r="CK14" s="484">
        <v>103.03</v>
      </c>
      <c r="CL14" s="484">
        <v>103.03</v>
      </c>
      <c r="CM14" s="484">
        <v>103.03</v>
      </c>
      <c r="CN14" s="350"/>
      <c r="CO14" s="304">
        <v>0</v>
      </c>
      <c r="CP14" s="304">
        <v>0</v>
      </c>
      <c r="CQ14" s="304">
        <v>0</v>
      </c>
      <c r="CR14" s="1238">
        <v>0</v>
      </c>
      <c r="CS14" s="1188">
        <v>0</v>
      </c>
      <c r="CT14" s="304">
        <v>0</v>
      </c>
      <c r="CU14" s="304">
        <v>0</v>
      </c>
      <c r="CV14" s="304">
        <v>0</v>
      </c>
      <c r="CW14" s="304">
        <v>0</v>
      </c>
      <c r="CX14" s="304">
        <v>0</v>
      </c>
      <c r="CY14" s="304">
        <v>0</v>
      </c>
      <c r="CZ14" s="304">
        <v>0</v>
      </c>
      <c r="DA14" s="1238">
        <v>0</v>
      </c>
      <c r="DB14" s="1188">
        <v>0</v>
      </c>
      <c r="DC14" s="304">
        <v>0</v>
      </c>
      <c r="DD14" s="304">
        <v>0</v>
      </c>
      <c r="DE14" s="304">
        <v>0</v>
      </c>
      <c r="DF14" s="304">
        <v>0</v>
      </c>
      <c r="DG14" s="1238">
        <v>0</v>
      </c>
      <c r="DH14" s="1188">
        <v>0</v>
      </c>
      <c r="DI14" s="304">
        <v>0</v>
      </c>
      <c r="DJ14" s="304">
        <v>0</v>
      </c>
      <c r="DK14" s="304">
        <v>0</v>
      </c>
      <c r="DL14" s="304">
        <v>0</v>
      </c>
      <c r="DM14" s="304">
        <v>0</v>
      </c>
      <c r="DN14" s="304">
        <v>0</v>
      </c>
      <c r="DO14" s="304">
        <v>0</v>
      </c>
      <c r="DP14" s="304">
        <v>0</v>
      </c>
      <c r="DR14" s="241" t="s">
        <v>403</v>
      </c>
      <c r="DS14" s="244">
        <v>2.37</v>
      </c>
      <c r="DT14" s="244">
        <v>4.2050000000000001</v>
      </c>
      <c r="DU14" s="244">
        <v>2.98</v>
      </c>
      <c r="DV14" s="1237">
        <v>1.42</v>
      </c>
      <c r="DW14" s="606">
        <v>1.97</v>
      </c>
      <c r="DX14" s="244">
        <v>1.71</v>
      </c>
      <c r="DY14" s="244">
        <v>1.76</v>
      </c>
      <c r="DZ14" s="244">
        <v>1.1399999999999999</v>
      </c>
      <c r="EA14" s="244">
        <v>1.1399999999999999</v>
      </c>
      <c r="EB14" s="244">
        <v>2.8</v>
      </c>
      <c r="EC14" s="244">
        <v>2.91</v>
      </c>
      <c r="ED14" s="244">
        <v>3.26</v>
      </c>
      <c r="EE14" s="1237">
        <v>2.94</v>
      </c>
      <c r="EF14" s="606">
        <v>0</v>
      </c>
      <c r="EG14" s="244">
        <v>0</v>
      </c>
      <c r="EH14" s="244">
        <v>0</v>
      </c>
      <c r="EI14" s="244">
        <v>0</v>
      </c>
      <c r="EJ14" s="244">
        <v>0</v>
      </c>
      <c r="EK14" s="1237">
        <v>0</v>
      </c>
      <c r="EL14" s="606">
        <v>0</v>
      </c>
      <c r="EM14" s="244">
        <v>0</v>
      </c>
      <c r="EN14" s="244">
        <v>0</v>
      </c>
      <c r="EO14" s="244">
        <v>0</v>
      </c>
      <c r="EP14" s="244">
        <v>0</v>
      </c>
      <c r="EQ14" s="244">
        <v>0</v>
      </c>
      <c r="ER14" s="244">
        <v>0</v>
      </c>
      <c r="ES14" s="244">
        <v>0</v>
      </c>
      <c r="ET14" s="244">
        <v>0</v>
      </c>
      <c r="EV14" s="244">
        <v>0.42</v>
      </c>
      <c r="EW14" s="244">
        <f t="shared" si="0"/>
        <v>0.12</v>
      </c>
      <c r="EX14" s="244">
        <v>0.12</v>
      </c>
      <c r="EY14" s="1237">
        <v>0.42</v>
      </c>
      <c r="EZ14" s="606">
        <v>0.92</v>
      </c>
      <c r="FA14" s="244">
        <v>0.7</v>
      </c>
      <c r="FB14" s="244">
        <v>0.63</v>
      </c>
      <c r="FC14" s="244">
        <v>0.45</v>
      </c>
      <c r="FD14" s="244">
        <v>0.52500000000000002</v>
      </c>
      <c r="FE14" s="244">
        <v>0.53</v>
      </c>
      <c r="FF14" s="244">
        <v>0.48</v>
      </c>
      <c r="FG14" s="244">
        <v>0.82</v>
      </c>
      <c r="FH14" s="1237">
        <v>0.93</v>
      </c>
      <c r="FI14" s="606">
        <v>0</v>
      </c>
      <c r="FJ14" s="244">
        <v>0</v>
      </c>
      <c r="FK14" s="244">
        <v>0</v>
      </c>
      <c r="FL14" s="244">
        <v>0</v>
      </c>
      <c r="FM14" s="244">
        <v>0</v>
      </c>
      <c r="FN14" s="1237">
        <v>0</v>
      </c>
      <c r="FO14" s="606">
        <v>0</v>
      </c>
      <c r="FP14" s="244">
        <v>0</v>
      </c>
      <c r="FQ14" s="244">
        <v>0</v>
      </c>
      <c r="FR14" s="244">
        <v>0</v>
      </c>
      <c r="FS14" s="244">
        <v>0</v>
      </c>
      <c r="FT14" s="244">
        <v>0</v>
      </c>
      <c r="FU14" s="244">
        <v>0</v>
      </c>
      <c r="FV14" s="244">
        <v>0</v>
      </c>
      <c r="FW14" s="244">
        <v>0</v>
      </c>
      <c r="FX14" s="1" t="s">
        <v>403</v>
      </c>
    </row>
    <row r="15" spans="1:180" s="299" customFormat="1" ht="15.5" thickTop="1" thickBot="1" x14ac:dyDescent="0.4">
      <c r="C15" s="305" t="s">
        <v>166</v>
      </c>
      <c r="D15" s="305"/>
      <c r="E15" s="305"/>
      <c r="F15" s="1026"/>
      <c r="G15" s="306"/>
      <c r="H15" s="306"/>
      <c r="I15" s="1232"/>
      <c r="J15" s="1180"/>
      <c r="K15" s="306"/>
      <c r="L15" s="306"/>
      <c r="M15" s="306"/>
      <c r="N15" s="306"/>
      <c r="O15" s="306"/>
      <c r="P15" s="306"/>
      <c r="Q15" s="306"/>
      <c r="R15" s="1232"/>
      <c r="S15" s="1180"/>
      <c r="T15" s="306"/>
      <c r="U15" s="306"/>
      <c r="V15" s="306"/>
      <c r="W15" s="306"/>
      <c r="X15" s="1232"/>
      <c r="Y15" s="1180"/>
      <c r="Z15" s="306"/>
      <c r="AA15" s="306"/>
      <c r="AB15" s="306"/>
      <c r="AC15" s="306"/>
      <c r="AD15" s="306"/>
      <c r="AE15" s="306"/>
      <c r="AF15" s="306"/>
      <c r="AG15" s="306"/>
      <c r="AH15" s="359"/>
      <c r="AI15" s="308"/>
      <c r="AJ15" s="308"/>
      <c r="AK15" s="308"/>
      <c r="AL15" s="1472"/>
      <c r="AM15" s="1460"/>
      <c r="AN15" s="308"/>
      <c r="AO15" s="308"/>
      <c r="AP15" s="308"/>
      <c r="AQ15" s="308"/>
      <c r="AR15" s="308"/>
      <c r="AS15" s="308"/>
      <c r="AT15" s="308"/>
      <c r="AU15" s="1472"/>
      <c r="AV15" s="1460"/>
      <c r="AW15" s="308"/>
      <c r="AX15" s="308"/>
      <c r="AY15" s="308"/>
      <c r="AZ15" s="308"/>
      <c r="BA15" s="1472"/>
      <c r="BB15" s="1460"/>
      <c r="BC15" s="308"/>
      <c r="BD15" s="308"/>
      <c r="BE15" s="308"/>
      <c r="BF15" s="308"/>
      <c r="BG15" s="308"/>
      <c r="BH15" s="308"/>
      <c r="BI15" s="308"/>
      <c r="BJ15" s="308"/>
      <c r="BK15" s="359"/>
      <c r="BL15" s="308">
        <v>116</v>
      </c>
      <c r="BM15" s="308">
        <v>116</v>
      </c>
      <c r="BN15" s="308">
        <v>116</v>
      </c>
      <c r="BO15" s="1472">
        <v>116</v>
      </c>
      <c r="BP15" s="1460">
        <v>116</v>
      </c>
      <c r="BQ15" s="308">
        <v>116</v>
      </c>
      <c r="BR15" s="308">
        <v>115.99999999999999</v>
      </c>
      <c r="BS15" s="308">
        <v>116.00000000000001</v>
      </c>
      <c r="BT15" s="308">
        <v>116</v>
      </c>
      <c r="BU15" s="308">
        <v>116.00000000000001</v>
      </c>
      <c r="BV15" s="308">
        <v>116</v>
      </c>
      <c r="BW15" s="308">
        <v>116</v>
      </c>
      <c r="BX15" s="1472">
        <v>116.00000000000001</v>
      </c>
      <c r="BY15" s="1460">
        <v>116</v>
      </c>
      <c r="BZ15" s="308">
        <v>116</v>
      </c>
      <c r="CA15" s="308">
        <v>116</v>
      </c>
      <c r="CB15" s="308">
        <v>116</v>
      </c>
      <c r="CC15" s="308">
        <v>116</v>
      </c>
      <c r="CD15" s="1472">
        <v>116</v>
      </c>
      <c r="CE15" s="1460">
        <v>116</v>
      </c>
      <c r="CF15" s="308">
        <v>116</v>
      </c>
      <c r="CG15" s="308">
        <v>116</v>
      </c>
      <c r="CH15" s="308">
        <v>116</v>
      </c>
      <c r="CI15" s="308">
        <v>116</v>
      </c>
      <c r="CJ15" s="308">
        <v>116</v>
      </c>
      <c r="CK15" s="308">
        <v>116</v>
      </c>
      <c r="CL15" s="308">
        <v>116</v>
      </c>
      <c r="CM15" s="308">
        <v>116</v>
      </c>
      <c r="CN15" s="360"/>
      <c r="CO15" s="308">
        <v>0</v>
      </c>
      <c r="CP15" s="308">
        <v>99.999999999999986</v>
      </c>
      <c r="CQ15" s="308">
        <v>100</v>
      </c>
      <c r="CR15" s="1472">
        <v>100</v>
      </c>
      <c r="CS15" s="1460">
        <v>100</v>
      </c>
      <c r="CT15" s="308">
        <v>99.999999999999986</v>
      </c>
      <c r="CU15" s="308">
        <v>100</v>
      </c>
      <c r="CV15" s="308">
        <v>100</v>
      </c>
      <c r="CW15" s="308">
        <v>99.999999999999986</v>
      </c>
      <c r="CX15" s="308">
        <v>100</v>
      </c>
      <c r="CY15" s="308">
        <v>100</v>
      </c>
      <c r="CZ15" s="308">
        <v>100</v>
      </c>
      <c r="DA15" s="1472">
        <v>100</v>
      </c>
      <c r="DB15" s="1460">
        <v>0</v>
      </c>
      <c r="DC15" s="308">
        <v>0</v>
      </c>
      <c r="DD15" s="308">
        <v>0</v>
      </c>
      <c r="DE15" s="308">
        <v>0</v>
      </c>
      <c r="DF15" s="308">
        <v>0</v>
      </c>
      <c r="DG15" s="1472">
        <v>0</v>
      </c>
      <c r="DH15" s="1460">
        <v>0</v>
      </c>
      <c r="DI15" s="308">
        <v>0</v>
      </c>
      <c r="DJ15" s="308">
        <v>0</v>
      </c>
      <c r="DK15" s="308">
        <v>0</v>
      </c>
      <c r="DL15" s="308">
        <v>0</v>
      </c>
      <c r="DM15" s="308">
        <v>0</v>
      </c>
      <c r="DN15" s="308">
        <v>0</v>
      </c>
      <c r="DO15" s="308">
        <v>0</v>
      </c>
      <c r="DP15" s="308">
        <v>0</v>
      </c>
      <c r="DQ15" s="344"/>
      <c r="DR15" s="345"/>
      <c r="DS15" s="225"/>
      <c r="DT15" s="225"/>
      <c r="DU15" s="225"/>
      <c r="DV15" s="1269"/>
      <c r="DW15" s="1214"/>
      <c r="DX15" s="225"/>
      <c r="DY15" s="225"/>
      <c r="DZ15" s="225"/>
      <c r="EA15" s="225"/>
      <c r="EB15" s="225"/>
      <c r="EC15" s="225"/>
      <c r="ED15" s="225"/>
      <c r="EE15" s="1269"/>
      <c r="EF15" s="1214"/>
      <c r="EG15" s="225"/>
      <c r="EH15" s="225"/>
      <c r="EI15" s="225"/>
      <c r="EJ15" s="225"/>
      <c r="EK15" s="1269"/>
      <c r="EL15" s="1214"/>
      <c r="EM15" s="225"/>
      <c r="EN15" s="225"/>
      <c r="EO15" s="225"/>
      <c r="EP15" s="225"/>
      <c r="EQ15" s="225"/>
      <c r="ER15" s="225"/>
      <c r="ES15" s="225"/>
      <c r="ET15" s="225"/>
      <c r="EU15" s="344"/>
      <c r="EV15" s="225"/>
      <c r="EW15" s="225"/>
      <c r="EX15" s="225"/>
      <c r="EY15" s="1269"/>
      <c r="EZ15" s="1214"/>
      <c r="FA15" s="225"/>
      <c r="FB15" s="225"/>
      <c r="FC15" s="225"/>
      <c r="FD15" s="225"/>
      <c r="FE15" s="225"/>
      <c r="FF15" s="225"/>
      <c r="FG15" s="225"/>
      <c r="FH15" s="1269"/>
      <c r="FI15" s="1214"/>
      <c r="FJ15" s="225"/>
      <c r="FK15" s="225"/>
      <c r="FL15" s="225"/>
      <c r="FM15" s="225"/>
      <c r="FN15" s="1269"/>
      <c r="FO15" s="1214"/>
      <c r="FP15" s="225"/>
      <c r="FQ15" s="225"/>
      <c r="FR15" s="225"/>
      <c r="FS15" s="225"/>
      <c r="FT15" s="225"/>
      <c r="FU15" s="225"/>
      <c r="FV15" s="225"/>
      <c r="FW15" s="225"/>
    </row>
    <row r="16" spans="1:180" ht="16.149999999999999" customHeight="1" thickTop="1" x14ac:dyDescent="0.35">
      <c r="A16" s="377"/>
      <c r="B16" s="377"/>
      <c r="C16" s="375"/>
      <c r="D16" s="375"/>
      <c r="E16" s="375"/>
      <c r="F16" s="1070"/>
      <c r="G16" s="888"/>
      <c r="H16" s="888"/>
      <c r="I16" s="1233"/>
      <c r="J16" s="1181"/>
      <c r="K16" s="888"/>
      <c r="L16" s="888"/>
      <c r="M16" s="888"/>
      <c r="N16" s="888"/>
      <c r="O16" s="888"/>
      <c r="P16" s="888"/>
      <c r="Q16" s="888"/>
      <c r="R16" s="1233"/>
      <c r="S16" s="1181"/>
      <c r="T16" s="888"/>
      <c r="U16" s="888"/>
      <c r="V16" s="347"/>
      <c r="W16" s="347"/>
      <c r="X16" s="1278"/>
      <c r="Y16" s="1222"/>
      <c r="Z16" s="347"/>
      <c r="AA16" s="347"/>
      <c r="AB16" s="347"/>
      <c r="AC16" s="347"/>
      <c r="AD16" s="347"/>
      <c r="AE16" s="347"/>
      <c r="AF16" s="347"/>
      <c r="AG16" s="347"/>
      <c r="AH16" s="352"/>
      <c r="AI16" s="347"/>
      <c r="AJ16" s="347"/>
      <c r="AK16" s="347"/>
      <c r="AL16" s="1278"/>
      <c r="AM16" s="1222"/>
      <c r="AN16" s="347"/>
      <c r="AO16" s="347"/>
      <c r="AP16" s="347"/>
      <c r="AQ16" s="347"/>
      <c r="AR16" s="347"/>
      <c r="AS16" s="347"/>
      <c r="AT16" s="347"/>
      <c r="AU16" s="1278"/>
      <c r="AV16" s="1222"/>
      <c r="AW16" s="347"/>
      <c r="AX16" s="347"/>
      <c r="AY16" s="347"/>
      <c r="AZ16" s="347"/>
      <c r="BA16" s="1278"/>
      <c r="BB16" s="1222"/>
      <c r="BC16" s="347"/>
      <c r="BD16" s="347"/>
      <c r="BE16" s="347"/>
      <c r="BF16" s="347"/>
      <c r="BG16" s="347"/>
      <c r="BH16" s="347"/>
      <c r="BI16" s="347"/>
      <c r="BJ16" s="347"/>
      <c r="BK16" s="352"/>
      <c r="BL16" s="353"/>
      <c r="BM16" s="353"/>
      <c r="BN16" s="353"/>
      <c r="BO16" s="1473"/>
      <c r="BP16" s="1461"/>
      <c r="BQ16" s="353"/>
      <c r="BR16" s="353"/>
      <c r="BS16" s="353"/>
      <c r="BT16" s="353"/>
      <c r="BU16" s="353"/>
      <c r="BV16" s="353"/>
      <c r="BW16" s="353"/>
      <c r="BX16" s="1473"/>
      <c r="BY16" s="1461"/>
      <c r="BZ16" s="353"/>
      <c r="CA16" s="353"/>
      <c r="CB16" s="353"/>
      <c r="CC16" s="353"/>
      <c r="CD16" s="1473"/>
      <c r="CE16" s="1461"/>
      <c r="CF16" s="353"/>
      <c r="CG16" s="353"/>
      <c r="CH16" s="353"/>
      <c r="CI16" s="353"/>
      <c r="CJ16" s="353"/>
      <c r="CK16" s="353"/>
      <c r="CL16" s="353"/>
      <c r="CM16" s="353"/>
      <c r="CN16" s="354"/>
      <c r="CO16" s="353"/>
      <c r="CP16" s="353"/>
      <c r="CQ16" s="353"/>
      <c r="CR16" s="1473"/>
      <c r="CS16" s="1461"/>
      <c r="CT16" s="353"/>
      <c r="CU16" s="353"/>
      <c r="CV16" s="353"/>
      <c r="CW16" s="353"/>
      <c r="CX16" s="353"/>
      <c r="CY16" s="353"/>
      <c r="CZ16" s="353"/>
      <c r="DA16" s="1473"/>
      <c r="DB16" s="1461"/>
      <c r="DC16" s="353"/>
      <c r="DD16" s="353"/>
      <c r="DE16" s="347"/>
      <c r="DF16" s="347"/>
      <c r="DG16" s="1278"/>
      <c r="DH16" s="1222"/>
      <c r="DI16" s="347"/>
      <c r="DJ16" s="347"/>
      <c r="DK16" s="347"/>
      <c r="DL16" s="347"/>
      <c r="DM16" s="347"/>
      <c r="DN16" s="347"/>
      <c r="DO16" s="347"/>
      <c r="DP16" s="347"/>
      <c r="DQ16" s="352"/>
      <c r="DR16" s="348" t="s">
        <v>46</v>
      </c>
      <c r="DS16" s="371" cm="1">
        <f t="array" ref="DS16:EQ16">'HPS DAILY'!K117:AI117</f>
        <v>0.14000000000000001</v>
      </c>
      <c r="DT16" s="370">
        <v>0.19</v>
      </c>
      <c r="DU16" s="370">
        <v>0.4</v>
      </c>
      <c r="DV16" s="1272">
        <v>0.15</v>
      </c>
      <c r="DW16" s="1217">
        <v>0.17</v>
      </c>
      <c r="DX16" s="370">
        <v>0.15</v>
      </c>
      <c r="DY16" s="370">
        <v>0.22</v>
      </c>
      <c r="DZ16" s="370">
        <v>0.34</v>
      </c>
      <c r="EA16" s="370">
        <v>0.34</v>
      </c>
      <c r="EB16" s="370">
        <v>0.12</v>
      </c>
      <c r="EC16" s="370">
        <v>0.13</v>
      </c>
      <c r="ED16" s="370">
        <v>0.13</v>
      </c>
      <c r="EE16" s="1272">
        <v>0.15</v>
      </c>
      <c r="EF16" s="1217">
        <v>0</v>
      </c>
      <c r="EG16" s="370">
        <v>0</v>
      </c>
      <c r="EH16" s="370">
        <v>0</v>
      </c>
      <c r="EI16" s="347">
        <v>0</v>
      </c>
      <c r="EJ16" s="347">
        <v>0</v>
      </c>
      <c r="EK16" s="1278">
        <v>0</v>
      </c>
      <c r="EL16" s="1222">
        <v>0</v>
      </c>
      <c r="EM16" s="347">
        <v>0</v>
      </c>
      <c r="EN16" s="347">
        <v>0</v>
      </c>
      <c r="EO16" s="347">
        <v>0</v>
      </c>
      <c r="EP16" s="347">
        <v>0</v>
      </c>
      <c r="EQ16" s="347">
        <v>0</v>
      </c>
      <c r="ER16" s="347"/>
      <c r="ES16" s="347"/>
      <c r="ET16" s="347"/>
      <c r="EU16" s="352"/>
      <c r="EV16" s="371" cm="1">
        <f t="array" ref="EV16:FW16">'HPS DAILY'!K104:AL104</f>
        <v>75.95</v>
      </c>
      <c r="EW16" s="370">
        <v>93.3</v>
      </c>
      <c r="EX16" s="370">
        <v>96.76</v>
      </c>
      <c r="EY16" s="1272">
        <v>98.17</v>
      </c>
      <c r="EZ16" s="1217">
        <v>96.44</v>
      </c>
      <c r="FA16" s="370">
        <v>96.17</v>
      </c>
      <c r="FB16" s="370">
        <v>95.96</v>
      </c>
      <c r="FC16" s="370">
        <v>97</v>
      </c>
      <c r="FD16" s="370">
        <v>95.94</v>
      </c>
      <c r="FE16" s="370">
        <v>96.7</v>
      </c>
      <c r="FF16" s="370">
        <v>98.74</v>
      </c>
      <c r="FG16" s="370">
        <v>98.14</v>
      </c>
      <c r="FH16" s="1272">
        <v>95.73</v>
      </c>
      <c r="FI16" s="1217">
        <v>0</v>
      </c>
      <c r="FJ16" s="370">
        <v>0</v>
      </c>
      <c r="FK16" s="370">
        <v>0</v>
      </c>
      <c r="FL16" s="370">
        <v>0</v>
      </c>
      <c r="FM16" s="370">
        <v>0</v>
      </c>
      <c r="FN16" s="1272">
        <v>0</v>
      </c>
      <c r="FO16" s="1217">
        <v>0</v>
      </c>
      <c r="FP16" s="370">
        <v>0</v>
      </c>
      <c r="FQ16" s="370">
        <v>0</v>
      </c>
      <c r="FR16" s="370">
        <v>0</v>
      </c>
      <c r="FS16" s="370">
        <v>0</v>
      </c>
      <c r="FT16" s="370">
        <v>0</v>
      </c>
      <c r="FU16" s="370">
        <v>0</v>
      </c>
      <c r="FV16" s="370">
        <v>0</v>
      </c>
      <c r="FW16" s="370">
        <v>0</v>
      </c>
      <c r="FX16" s="1" t="s">
        <v>46</v>
      </c>
    </row>
    <row r="17" spans="3:179" s="368" customFormat="1" ht="7.5" customHeight="1" thickBot="1" x14ac:dyDescent="0.4">
      <c r="C17" s="364"/>
      <c r="D17" s="364"/>
      <c r="E17" s="364"/>
      <c r="F17" s="1027"/>
      <c r="G17" s="365"/>
      <c r="H17" s="365"/>
      <c r="I17" s="1234"/>
      <c r="J17" s="1182"/>
      <c r="K17" s="365"/>
      <c r="L17" s="365"/>
      <c r="M17" s="365"/>
      <c r="N17" s="365"/>
      <c r="O17" s="365"/>
      <c r="P17" s="365"/>
      <c r="Q17" s="365"/>
      <c r="R17" s="1234"/>
      <c r="S17" s="1182"/>
      <c r="T17" s="365"/>
      <c r="U17" s="365"/>
      <c r="V17" s="365"/>
      <c r="W17" s="365"/>
      <c r="X17" s="1234"/>
      <c r="Y17" s="1182"/>
      <c r="Z17" s="365"/>
      <c r="AA17" s="365"/>
      <c r="AB17" s="365"/>
      <c r="AC17" s="365"/>
      <c r="AD17" s="365"/>
      <c r="AE17" s="365"/>
      <c r="AF17" s="365"/>
      <c r="AG17" s="365"/>
      <c r="AH17" s="366"/>
      <c r="AI17" s="365"/>
      <c r="AJ17" s="365"/>
      <c r="AK17" s="365"/>
      <c r="AL17" s="1234"/>
      <c r="AM17" s="1182"/>
      <c r="AN17" s="365"/>
      <c r="AO17" s="365"/>
      <c r="AP17" s="365"/>
      <c r="AQ17" s="365"/>
      <c r="AR17" s="365"/>
      <c r="AS17" s="365"/>
      <c r="AT17" s="365"/>
      <c r="AU17" s="1234"/>
      <c r="AV17" s="1182"/>
      <c r="AW17" s="365"/>
      <c r="AX17" s="365"/>
      <c r="AY17" s="365"/>
      <c r="AZ17" s="365"/>
      <c r="BA17" s="1234"/>
      <c r="BB17" s="1182"/>
      <c r="BC17" s="365"/>
      <c r="BD17" s="365"/>
      <c r="BE17" s="365"/>
      <c r="BF17" s="365"/>
      <c r="BG17" s="365"/>
      <c r="BH17" s="365"/>
      <c r="BI17" s="365"/>
      <c r="BJ17" s="365"/>
      <c r="BK17" s="366"/>
      <c r="BL17" s="365"/>
      <c r="BM17" s="365"/>
      <c r="BN17" s="365"/>
      <c r="BO17" s="1234"/>
      <c r="BP17" s="1182"/>
      <c r="BQ17" s="365"/>
      <c r="BR17" s="365"/>
      <c r="BS17" s="365"/>
      <c r="BT17" s="365"/>
      <c r="BU17" s="365"/>
      <c r="BV17" s="365"/>
      <c r="BW17" s="365"/>
      <c r="BX17" s="1234"/>
      <c r="BY17" s="1182"/>
      <c r="BZ17" s="365"/>
      <c r="CA17" s="365"/>
      <c r="CB17" s="365"/>
      <c r="CC17" s="365"/>
      <c r="CD17" s="1234"/>
      <c r="CE17" s="1182"/>
      <c r="CF17" s="365"/>
      <c r="CG17" s="365"/>
      <c r="CH17" s="365"/>
      <c r="CI17" s="365"/>
      <c r="CJ17" s="365"/>
      <c r="CK17" s="365"/>
      <c r="CL17" s="365"/>
      <c r="CM17" s="365"/>
      <c r="CN17" s="366"/>
      <c r="CO17" s="365"/>
      <c r="CP17" s="365"/>
      <c r="CQ17" s="365"/>
      <c r="CR17" s="1234"/>
      <c r="CS17" s="1182"/>
      <c r="CT17" s="365"/>
      <c r="CU17" s="365"/>
      <c r="CV17" s="365"/>
      <c r="CW17" s="365"/>
      <c r="CX17" s="365"/>
      <c r="CY17" s="365"/>
      <c r="CZ17" s="365"/>
      <c r="DA17" s="1234"/>
      <c r="DB17" s="1182"/>
      <c r="DC17" s="365"/>
      <c r="DD17" s="365"/>
      <c r="DE17" s="365"/>
      <c r="DF17" s="365"/>
      <c r="DG17" s="1234"/>
      <c r="DH17" s="1182"/>
      <c r="DI17" s="365"/>
      <c r="DJ17" s="365"/>
      <c r="DK17" s="365"/>
      <c r="DL17" s="365"/>
      <c r="DM17" s="365"/>
      <c r="DN17" s="365"/>
      <c r="DO17" s="365"/>
      <c r="DP17" s="365"/>
      <c r="DQ17" s="366"/>
      <c r="DR17" s="367"/>
      <c r="DS17" s="365"/>
      <c r="DT17" s="365"/>
      <c r="DU17" s="365"/>
      <c r="DV17" s="1234"/>
      <c r="DW17" s="1182"/>
      <c r="DX17" s="365"/>
      <c r="DY17" s="365"/>
      <c r="DZ17" s="365"/>
      <c r="EA17" s="365"/>
      <c r="EB17" s="365"/>
      <c r="EC17" s="365"/>
      <c r="ED17" s="365"/>
      <c r="EE17" s="1234"/>
      <c r="EF17" s="1182"/>
      <c r="EG17" s="365"/>
      <c r="EH17" s="365"/>
      <c r="EI17" s="365"/>
      <c r="EJ17" s="365"/>
      <c r="EK17" s="1234"/>
      <c r="EL17" s="1182"/>
      <c r="EM17" s="365"/>
      <c r="EN17" s="365"/>
      <c r="EO17" s="365"/>
      <c r="EP17" s="365"/>
      <c r="EQ17" s="365"/>
      <c r="ER17" s="365"/>
      <c r="ES17" s="365"/>
      <c r="ET17" s="365"/>
      <c r="EU17" s="366"/>
      <c r="EV17" s="365"/>
      <c r="EW17" s="365"/>
      <c r="EX17" s="365"/>
      <c r="EY17" s="1234"/>
      <c r="EZ17" s="1182"/>
      <c r="FA17" s="365"/>
      <c r="FB17" s="365"/>
      <c r="FC17" s="365"/>
      <c r="FD17" s="365"/>
      <c r="FE17" s="365"/>
      <c r="FF17" s="365"/>
      <c r="FG17" s="365"/>
      <c r="FH17" s="1234"/>
      <c r="FI17" s="1182"/>
      <c r="FJ17" s="365"/>
      <c r="FK17" s="365"/>
      <c r="FL17" s="365"/>
      <c r="FM17" s="365"/>
      <c r="FN17" s="1234"/>
      <c r="FO17" s="1182"/>
      <c r="FP17" s="365"/>
      <c r="FQ17" s="365"/>
      <c r="FR17" s="365"/>
      <c r="FS17" s="365"/>
      <c r="FT17" s="365"/>
      <c r="FU17" s="365"/>
      <c r="FV17" s="365"/>
      <c r="FW17" s="365"/>
    </row>
    <row r="18" spans="3:179" ht="15" thickTop="1" x14ac:dyDescent="0.35">
      <c r="C18" s="1" t="s">
        <v>96</v>
      </c>
      <c r="F18" s="1028"/>
      <c r="G18" s="296"/>
      <c r="H18" s="296"/>
      <c r="I18" s="1235"/>
      <c r="J18" s="1183"/>
      <c r="K18" s="363"/>
      <c r="L18" s="363"/>
      <c r="M18" s="363"/>
      <c r="N18" s="363"/>
      <c r="O18" s="363"/>
      <c r="P18" s="363"/>
      <c r="Q18" s="363"/>
      <c r="R18" s="1628"/>
      <c r="S18" s="1187"/>
      <c r="T18" s="296"/>
      <c r="U18" s="296"/>
      <c r="V18" s="296"/>
      <c r="W18" s="296"/>
      <c r="X18" s="1235"/>
      <c r="Y18" s="1187"/>
      <c r="Z18" s="1187"/>
      <c r="AA18" s="1187"/>
      <c r="AB18" s="1187"/>
      <c r="AC18" s="1187"/>
      <c r="AD18" s="1187"/>
      <c r="AE18" s="1187"/>
      <c r="AF18" s="1187"/>
      <c r="AG18" s="1187"/>
      <c r="AH18" s="357"/>
      <c r="AI18" s="296"/>
      <c r="AJ18" s="296"/>
      <c r="AK18" s="296"/>
      <c r="AL18" s="1235"/>
      <c r="AM18" s="1187"/>
      <c r="AN18" s="296"/>
      <c r="AO18" s="296"/>
      <c r="AP18" s="296"/>
      <c r="AQ18" s="296"/>
      <c r="AR18" s="296"/>
      <c r="AS18" s="296"/>
      <c r="AT18" s="296"/>
      <c r="AU18" s="1235"/>
      <c r="AV18" s="1187"/>
      <c r="AW18" s="296"/>
      <c r="AX18" s="296"/>
      <c r="AY18" s="296"/>
      <c r="AZ18" s="296"/>
      <c r="BA18" s="1235"/>
      <c r="BB18" s="1187"/>
      <c r="BC18" s="296"/>
      <c r="BD18" s="296"/>
      <c r="BE18" s="296"/>
      <c r="BF18" s="296"/>
      <c r="BG18" s="296"/>
      <c r="BH18" s="296"/>
      <c r="BI18" s="296"/>
      <c r="BJ18" s="296"/>
      <c r="BK18" s="357"/>
      <c r="BL18" s="309" cm="1">
        <f t="array" ref="BL18:CM18">'HPS DAILY (repro+)'!J42:AK42</f>
        <v>20.006459816887084</v>
      </c>
      <c r="BM18" s="309">
        <v>21.139471007121056</v>
      </c>
      <c r="BN18" s="309">
        <v>22.767650050864699</v>
      </c>
      <c r="BO18" s="422">
        <v>21.794099694811802</v>
      </c>
      <c r="BP18" s="421" t="e">
        <v>#REF!</v>
      </c>
      <c r="BQ18" s="309">
        <v>4.7838250254323498</v>
      </c>
      <c r="BR18" s="309">
        <v>6.042726347914547</v>
      </c>
      <c r="BS18" s="309">
        <v>6.858494404883011</v>
      </c>
      <c r="BT18" s="309">
        <v>7.7095116988809771</v>
      </c>
      <c r="BU18" s="309">
        <v>8.3691759918616491</v>
      </c>
      <c r="BV18" s="309">
        <v>9.3762970498474072</v>
      </c>
      <c r="BW18" s="309">
        <v>9.2755849440488305</v>
      </c>
      <c r="BX18" s="422">
        <v>9.6683621566632745</v>
      </c>
      <c r="BY18" s="421">
        <v>0</v>
      </c>
      <c r="BZ18" s="309">
        <v>0</v>
      </c>
      <c r="CA18" s="309">
        <v>42.98</v>
      </c>
      <c r="CB18" s="296">
        <v>48.83</v>
      </c>
      <c r="CC18" s="296">
        <v>48.83</v>
      </c>
      <c r="CD18" s="1235">
        <v>48.83</v>
      </c>
      <c r="CE18" s="1187">
        <v>48.83</v>
      </c>
      <c r="CF18" s="296">
        <v>48.83</v>
      </c>
      <c r="CG18" s="296">
        <v>48.83</v>
      </c>
      <c r="CH18" s="296">
        <v>48.83</v>
      </c>
      <c r="CI18" s="296">
        <v>48.83</v>
      </c>
      <c r="CJ18" s="296">
        <v>48.83</v>
      </c>
      <c r="CK18" s="296">
        <v>48.83</v>
      </c>
      <c r="CL18" s="296">
        <v>48.83</v>
      </c>
      <c r="CM18" s="296">
        <v>48.83</v>
      </c>
      <c r="CN18" s="357"/>
      <c r="CO18" s="296"/>
      <c r="CP18" s="296"/>
      <c r="CQ18" s="296"/>
      <c r="CR18" s="1235"/>
      <c r="CS18" s="1187"/>
      <c r="CT18" s="296"/>
      <c r="CU18" s="296"/>
      <c r="CV18" s="296"/>
      <c r="CW18" s="296"/>
      <c r="CX18" s="296"/>
      <c r="CY18" s="296"/>
      <c r="CZ18" s="296"/>
      <c r="DA18" s="1235"/>
      <c r="DB18" s="1187"/>
      <c r="DC18" s="296"/>
      <c r="DD18" s="296"/>
      <c r="DE18" s="229"/>
      <c r="DF18" s="229"/>
      <c r="DG18" s="1245"/>
      <c r="DH18" s="538"/>
      <c r="DI18" s="229"/>
      <c r="DJ18" s="229"/>
      <c r="DK18" s="229"/>
      <c r="DL18" s="229"/>
      <c r="DM18" s="229"/>
      <c r="DN18" s="229"/>
      <c r="DO18" s="229"/>
      <c r="DP18" s="229"/>
      <c r="DQ18" s="356"/>
      <c r="DR18" s="358"/>
      <c r="DS18" s="229"/>
      <c r="DT18" s="229"/>
      <c r="DU18" s="229"/>
      <c r="DV18" s="1245"/>
      <c r="DW18" s="538"/>
      <c r="DX18" s="229"/>
      <c r="DY18" s="229"/>
      <c r="DZ18" s="229"/>
      <c r="EA18" s="229"/>
      <c r="EB18" s="229"/>
      <c r="EC18" s="229"/>
      <c r="ED18" s="229"/>
      <c r="EE18" s="1245"/>
      <c r="EF18" s="538"/>
      <c r="EG18" s="229"/>
      <c r="EH18" s="229"/>
      <c r="EI18" s="229"/>
      <c r="EJ18" s="229"/>
      <c r="EK18" s="1245"/>
      <c r="EL18" s="538"/>
      <c r="EM18" s="229"/>
      <c r="EN18" s="229"/>
      <c r="EO18" s="229"/>
      <c r="EP18" s="229"/>
      <c r="EQ18" s="229"/>
      <c r="ER18" s="229"/>
      <c r="ES18" s="229"/>
      <c r="ET18" s="229"/>
      <c r="EU18" s="356"/>
      <c r="EV18" s="229"/>
      <c r="EW18" s="229"/>
      <c r="EX18" s="229"/>
      <c r="EY18" s="1245"/>
      <c r="EZ18" s="538"/>
      <c r="FA18" s="229"/>
      <c r="FB18" s="229"/>
      <c r="FC18" s="229"/>
      <c r="FD18" s="229"/>
      <c r="FE18" s="229"/>
      <c r="FF18" s="229"/>
      <c r="FG18" s="229"/>
      <c r="FH18" s="1245"/>
      <c r="FI18" s="538"/>
      <c r="FJ18" s="229"/>
      <c r="FK18" s="229"/>
      <c r="FL18" s="229"/>
      <c r="FM18" s="229"/>
      <c r="FN18" s="1245"/>
      <c r="FO18" s="538"/>
      <c r="FP18" s="229"/>
      <c r="FQ18" s="229"/>
      <c r="FR18" s="229"/>
      <c r="FS18" s="229"/>
      <c r="FT18" s="229"/>
      <c r="FU18" s="229"/>
      <c r="FV18" s="229"/>
      <c r="FW18" s="229"/>
    </row>
    <row r="19" spans="3:179" x14ac:dyDescent="0.35">
      <c r="C19" s="444" t="s">
        <v>317</v>
      </c>
      <c r="P19" s="643"/>
      <c r="S19" s="606"/>
      <c r="T19" s="244"/>
      <c r="U19" s="244"/>
      <c r="V19" s="244"/>
      <c r="W19" s="244"/>
      <c r="X19" s="1237"/>
      <c r="Y19" s="606"/>
      <c r="Z19" s="244"/>
      <c r="AA19" s="244"/>
      <c r="AB19" s="244"/>
      <c r="AC19" s="244"/>
      <c r="AD19" s="244"/>
      <c r="AE19" s="244"/>
      <c r="AF19" s="244"/>
      <c r="AG19" s="244"/>
      <c r="AH19" s="325"/>
      <c r="AI19" s="244"/>
      <c r="AJ19" s="244"/>
      <c r="AK19" s="244"/>
      <c r="AL19" s="1237"/>
      <c r="AM19" s="606"/>
      <c r="AN19" s="244"/>
      <c r="AO19" s="244"/>
      <c r="AP19" s="244"/>
      <c r="AQ19" s="244"/>
      <c r="AR19" s="244"/>
      <c r="AS19" s="244"/>
      <c r="AT19" s="244"/>
      <c r="AU19" s="1237"/>
      <c r="AV19" s="606"/>
      <c r="AW19" s="244"/>
      <c r="AX19" s="244"/>
      <c r="AY19" s="244"/>
      <c r="AZ19" s="244"/>
      <c r="BA19" s="1237"/>
      <c r="BB19" s="606"/>
      <c r="BC19" s="244"/>
      <c r="BD19" s="244"/>
      <c r="BE19" s="244"/>
      <c r="BF19" s="244"/>
      <c r="BG19" s="244"/>
      <c r="BH19" s="244"/>
      <c r="BI19" s="244"/>
      <c r="BJ19" s="244"/>
      <c r="BK19" s="325"/>
      <c r="BL19" s="446">
        <v>19</v>
      </c>
      <c r="BM19" s="446">
        <v>20.5</v>
      </c>
      <c r="BN19" s="446">
        <v>21.5</v>
      </c>
      <c r="BO19" s="1592">
        <v>21.9</v>
      </c>
      <c r="BP19" s="493">
        <v>8</v>
      </c>
      <c r="BQ19" s="446">
        <v>12</v>
      </c>
      <c r="BR19" s="446">
        <v>13</v>
      </c>
      <c r="BS19" s="446">
        <v>14.1</v>
      </c>
      <c r="BT19" s="446">
        <v>15.2</v>
      </c>
      <c r="BU19" s="446">
        <v>16.2</v>
      </c>
      <c r="BV19" s="446">
        <v>20.5</v>
      </c>
      <c r="BW19" s="446">
        <v>30</v>
      </c>
      <c r="BX19" s="1592">
        <v>30.8</v>
      </c>
      <c r="BY19" s="493">
        <v>28</v>
      </c>
      <c r="BZ19" s="446">
        <v>30</v>
      </c>
      <c r="CA19" s="446">
        <v>30.7</v>
      </c>
      <c r="CB19" s="244"/>
      <c r="CC19" s="244"/>
      <c r="CD19" s="1237"/>
      <c r="CE19" s="606"/>
      <c r="CF19" s="244"/>
      <c r="CG19" s="244"/>
      <c r="CH19" s="244"/>
      <c r="CI19" s="244"/>
      <c r="CJ19" s="244"/>
      <c r="CK19" s="244"/>
      <c r="CL19" s="244"/>
      <c r="CM19" s="244"/>
      <c r="CN19" s="325"/>
      <c r="CO19" s="244"/>
      <c r="CP19" s="244"/>
      <c r="CQ19" s="244"/>
      <c r="CR19" s="1237"/>
      <c r="CS19" s="606"/>
      <c r="CT19" s="244"/>
      <c r="CU19" s="244"/>
      <c r="CV19" s="244"/>
      <c r="CW19" s="244"/>
      <c r="CX19" s="244"/>
      <c r="CY19" s="244"/>
      <c r="CZ19" s="244"/>
      <c r="DA19" s="1237"/>
      <c r="DB19" s="606"/>
      <c r="DC19" s="244"/>
      <c r="DD19" s="244"/>
    </row>
    <row r="20" spans="3:179" x14ac:dyDescent="0.35">
      <c r="C20" s="1" t="s">
        <v>97</v>
      </c>
      <c r="S20" s="606"/>
      <c r="T20" s="244"/>
      <c r="U20" s="244"/>
      <c r="V20" s="244"/>
      <c r="W20" s="244"/>
      <c r="X20" s="1237"/>
      <c r="Y20" s="606"/>
      <c r="Z20" s="606"/>
      <c r="AA20" s="606"/>
      <c r="AB20" s="606"/>
      <c r="AC20" s="606"/>
      <c r="AD20" s="606"/>
      <c r="AE20" s="606"/>
      <c r="AF20" s="606"/>
      <c r="AG20" s="606"/>
      <c r="AH20" s="325"/>
      <c r="AI20" s="244"/>
      <c r="AJ20" s="244"/>
      <c r="AK20" s="244"/>
      <c r="AL20" s="1237"/>
      <c r="AM20" s="606"/>
      <c r="AN20" s="244"/>
      <c r="AO20" s="244"/>
      <c r="AP20" s="244"/>
      <c r="AQ20" s="244"/>
      <c r="AR20" s="244"/>
      <c r="AS20" s="244"/>
      <c r="AT20" s="244"/>
      <c r="AU20" s="1237"/>
      <c r="AV20" s="606"/>
      <c r="AW20" s="244"/>
      <c r="AX20" s="244"/>
      <c r="AY20" s="244"/>
      <c r="AZ20" s="244"/>
      <c r="BA20" s="1237"/>
      <c r="BB20" s="606"/>
      <c r="BC20" s="244"/>
      <c r="BD20" s="244"/>
      <c r="BE20" s="244"/>
      <c r="BF20" s="244"/>
      <c r="BG20" s="244"/>
      <c r="BH20" s="244"/>
      <c r="BI20" s="244"/>
      <c r="BJ20" s="244"/>
      <c r="BK20" s="325"/>
      <c r="BL20" s="249" cm="1">
        <f t="array" ref="BL20:CM20">'HPS DAILY (repro+)'!J43:AK43</f>
        <v>25.570513595166162</v>
      </c>
      <c r="BM20" s="249">
        <v>30.250151057401812</v>
      </c>
      <c r="BN20" s="249">
        <v>36.51335347432024</v>
      </c>
      <c r="BO20" s="1242">
        <v>36.27987915407855</v>
      </c>
      <c r="BP20" s="419" t="e">
        <v>#REF!</v>
      </c>
      <c r="BQ20" s="249">
        <v>0.83238670694864048</v>
      </c>
      <c r="BR20" s="249">
        <v>1.2282779456193353</v>
      </c>
      <c r="BS20" s="249">
        <v>1.7256797583081571</v>
      </c>
      <c r="BT20" s="249">
        <v>2.6951057401812686</v>
      </c>
      <c r="BU20" s="249">
        <v>2.8016918429003019</v>
      </c>
      <c r="BV20" s="249">
        <v>3.4513595166163142</v>
      </c>
      <c r="BW20" s="249">
        <v>3.4107552870090632</v>
      </c>
      <c r="BX20" s="1242">
        <v>3.7964954682779459</v>
      </c>
      <c r="BY20" s="419">
        <v>0</v>
      </c>
      <c r="BZ20" s="249">
        <v>0</v>
      </c>
      <c r="CA20" s="249">
        <v>55.81</v>
      </c>
      <c r="CB20" s="244">
        <v>73.86</v>
      </c>
      <c r="CC20" s="244">
        <v>73.86</v>
      </c>
      <c r="CD20" s="1237">
        <v>73.86</v>
      </c>
      <c r="CE20" s="606">
        <v>73.86</v>
      </c>
      <c r="CF20" s="244">
        <v>73.86</v>
      </c>
      <c r="CG20" s="244">
        <v>73.86</v>
      </c>
      <c r="CH20" s="244">
        <v>73.86</v>
      </c>
      <c r="CI20" s="244">
        <v>73.86</v>
      </c>
      <c r="CJ20" s="244">
        <v>73.86</v>
      </c>
      <c r="CK20" s="244">
        <v>73.86</v>
      </c>
      <c r="CL20" s="244">
        <v>73.86</v>
      </c>
      <c r="CM20" s="244">
        <v>73.86</v>
      </c>
      <c r="CN20" s="325"/>
      <c r="CO20" s="244"/>
      <c r="CP20" s="244"/>
      <c r="CQ20" s="244"/>
      <c r="CR20" s="1237"/>
      <c r="CS20" s="606"/>
      <c r="CT20" s="244"/>
      <c r="CU20" s="244"/>
      <c r="CV20" s="244"/>
      <c r="CW20" s="244"/>
      <c r="CX20" s="244"/>
      <c r="CY20" s="244"/>
      <c r="CZ20" s="244"/>
      <c r="DA20" s="1237"/>
      <c r="DB20" s="606"/>
      <c r="DC20" s="244"/>
      <c r="DD20" s="244"/>
    </row>
    <row r="21" spans="3:179" x14ac:dyDescent="0.35">
      <c r="C21" s="444" t="s">
        <v>316</v>
      </c>
      <c r="F21" s="605"/>
      <c r="G21" s="244"/>
      <c r="H21" s="244"/>
      <c r="I21" s="1237"/>
      <c r="J21" s="1184"/>
      <c r="K21" s="248"/>
      <c r="L21" s="248"/>
      <c r="M21" s="248"/>
      <c r="N21" s="248"/>
      <c r="O21" s="248"/>
      <c r="P21" s="248"/>
      <c r="Q21" s="248"/>
      <c r="R21" s="1629"/>
      <c r="S21" s="606"/>
      <c r="T21" s="244"/>
      <c r="U21" s="244"/>
      <c r="V21" s="244"/>
      <c r="W21" s="244"/>
      <c r="X21" s="1237"/>
      <c r="Y21" s="606"/>
      <c r="Z21" s="244"/>
      <c r="AA21" s="244"/>
      <c r="AB21" s="244"/>
      <c r="AC21" s="244"/>
      <c r="AD21" s="244"/>
      <c r="AE21" s="244"/>
      <c r="AF21" s="244"/>
      <c r="AG21" s="244"/>
      <c r="AH21" s="325"/>
      <c r="AI21" s="244"/>
      <c r="AJ21" s="244"/>
      <c r="AK21" s="244"/>
      <c r="AL21" s="1237"/>
      <c r="AM21" s="606"/>
      <c r="AN21" s="244"/>
      <c r="AO21" s="244"/>
      <c r="AP21" s="244"/>
      <c r="AQ21" s="244"/>
      <c r="AR21" s="244"/>
      <c r="AS21" s="244"/>
      <c r="AT21" s="244"/>
      <c r="AU21" s="1237"/>
      <c r="AV21" s="606"/>
      <c r="AW21" s="244"/>
      <c r="AX21" s="244"/>
      <c r="AY21" s="244"/>
      <c r="AZ21" s="244"/>
      <c r="BA21" s="1237"/>
      <c r="BB21" s="606"/>
      <c r="BC21" s="244"/>
      <c r="BD21" s="244"/>
      <c r="BE21" s="244"/>
      <c r="BF21" s="244"/>
      <c r="BG21" s="244"/>
      <c r="BH21" s="244"/>
      <c r="BI21" s="244"/>
      <c r="BJ21" s="244"/>
      <c r="BK21" s="325"/>
      <c r="BL21" s="446">
        <v>24.5</v>
      </c>
      <c r="BM21" s="446">
        <v>29</v>
      </c>
      <c r="BN21" s="446">
        <v>32.5</v>
      </c>
      <c r="BO21" s="1592">
        <v>34.1</v>
      </c>
      <c r="BP21" s="493">
        <v>4</v>
      </c>
      <c r="BQ21" s="446">
        <v>5</v>
      </c>
      <c r="BR21" s="446">
        <v>6</v>
      </c>
      <c r="BS21" s="446">
        <v>6.5</v>
      </c>
      <c r="BT21" s="446">
        <v>7.5</v>
      </c>
      <c r="BU21" s="446">
        <v>8.8000000000000007</v>
      </c>
      <c r="BV21" s="446">
        <v>13</v>
      </c>
      <c r="BW21" s="446">
        <v>25</v>
      </c>
      <c r="BX21" s="1592">
        <v>27</v>
      </c>
      <c r="BY21" s="493">
        <v>23</v>
      </c>
      <c r="BZ21" s="446">
        <v>24</v>
      </c>
      <c r="CA21" s="446">
        <v>27.4</v>
      </c>
      <c r="CB21" s="244"/>
      <c r="CC21" s="244"/>
      <c r="CD21" s="1237"/>
      <c r="CE21" s="606"/>
      <c r="CF21" s="244"/>
      <c r="CG21" s="244"/>
      <c r="CH21" s="244"/>
      <c r="CI21" s="244"/>
      <c r="CJ21" s="244"/>
      <c r="CK21" s="244"/>
      <c r="CL21" s="244"/>
      <c r="CM21" s="244"/>
      <c r="CN21" s="325"/>
      <c r="CO21" s="244"/>
      <c r="CP21" s="244"/>
      <c r="CQ21" s="244"/>
      <c r="CR21" s="1237"/>
      <c r="CS21" s="606"/>
      <c r="CT21" s="244"/>
      <c r="CU21" s="244"/>
      <c r="CV21" s="244"/>
      <c r="CW21" s="244"/>
      <c r="CX21" s="244"/>
      <c r="CY21" s="244"/>
      <c r="CZ21" s="244"/>
      <c r="DA21" s="1237"/>
      <c r="DB21" s="606"/>
      <c r="DC21" s="244"/>
      <c r="DD21" s="244"/>
    </row>
    <row r="22" spans="3:179" ht="15" thickBot="1" x14ac:dyDescent="0.4">
      <c r="C22" s="1" t="s">
        <v>98</v>
      </c>
      <c r="F22" s="1030"/>
      <c r="G22" s="304"/>
      <c r="H22" s="304"/>
      <c r="I22" s="1238"/>
      <c r="J22" s="1185"/>
      <c r="K22" s="310"/>
      <c r="L22" s="310"/>
      <c r="M22" s="310"/>
      <c r="N22" s="310"/>
      <c r="O22" s="310"/>
      <c r="P22" s="310"/>
      <c r="Q22" s="310"/>
      <c r="R22" s="1630"/>
      <c r="S22" s="1188"/>
      <c r="T22" s="304"/>
      <c r="U22" s="304"/>
      <c r="V22" s="304"/>
      <c r="W22" s="304"/>
      <c r="X22" s="1238"/>
      <c r="Y22" s="1188"/>
      <c r="Z22" s="1188"/>
      <c r="AA22" s="1188"/>
      <c r="AB22" s="1188"/>
      <c r="AC22" s="1188"/>
      <c r="AD22" s="1188"/>
      <c r="AE22" s="1188"/>
      <c r="AF22" s="1188"/>
      <c r="AG22" s="1188"/>
      <c r="AH22" s="350"/>
      <c r="AI22" s="304"/>
      <c r="AJ22" s="304"/>
      <c r="AK22" s="304"/>
      <c r="AL22" s="1238"/>
      <c r="AM22" s="1188"/>
      <c r="AN22" s="304"/>
      <c r="AO22" s="304"/>
      <c r="AP22" s="304"/>
      <c r="AQ22" s="304"/>
      <c r="AR22" s="304"/>
      <c r="AS22" s="304"/>
      <c r="AT22" s="304"/>
      <c r="AU22" s="1238"/>
      <c r="AV22" s="1188"/>
      <c r="AW22" s="304"/>
      <c r="AX22" s="304"/>
      <c r="AY22" s="304"/>
      <c r="AZ22" s="304"/>
      <c r="BA22" s="1238"/>
      <c r="BB22" s="1188"/>
      <c r="BC22" s="304"/>
      <c r="BD22" s="304"/>
      <c r="BE22" s="304"/>
      <c r="BF22" s="304"/>
      <c r="BG22" s="304"/>
      <c r="BH22" s="304"/>
      <c r="BI22" s="304"/>
      <c r="BJ22" s="304"/>
      <c r="BK22" s="350"/>
      <c r="BL22" s="311" cm="1">
        <f t="array" ref="BL22:CM22">'HPS DAILY'!J46:AK46</f>
        <v>20.13</v>
      </c>
      <c r="BM22" s="311">
        <v>21.759999999999998</v>
      </c>
      <c r="BN22" s="311">
        <v>14.34</v>
      </c>
      <c r="BO22" s="1241">
        <v>14.229999999999999</v>
      </c>
      <c r="BP22" s="654">
        <v>6.38</v>
      </c>
      <c r="BQ22" s="311">
        <v>1.6</v>
      </c>
      <c r="BR22" s="311">
        <v>1.42</v>
      </c>
      <c r="BS22" s="311">
        <v>1.21</v>
      </c>
      <c r="BT22" s="311">
        <v>1.88</v>
      </c>
      <c r="BU22" s="311">
        <v>1.58</v>
      </c>
      <c r="BV22" s="311">
        <v>1.3</v>
      </c>
      <c r="BW22" s="311">
        <v>1.19</v>
      </c>
      <c r="BX22" s="1241">
        <v>1.32</v>
      </c>
      <c r="BY22" s="654">
        <v>1.62</v>
      </c>
      <c r="BZ22" s="311">
        <v>0</v>
      </c>
      <c r="CA22" s="311">
        <v>0</v>
      </c>
      <c r="CB22" s="304">
        <v>0</v>
      </c>
      <c r="CC22" s="304">
        <v>0</v>
      </c>
      <c r="CD22" s="1238">
        <v>0</v>
      </c>
      <c r="CE22" s="1188">
        <v>0</v>
      </c>
      <c r="CF22" s="304">
        <v>0</v>
      </c>
      <c r="CG22" s="304">
        <v>0</v>
      </c>
      <c r="CH22" s="304">
        <v>0</v>
      </c>
      <c r="CI22" s="304">
        <v>0</v>
      </c>
      <c r="CJ22" s="304">
        <v>0</v>
      </c>
      <c r="CK22" s="304">
        <v>0</v>
      </c>
      <c r="CL22" s="304">
        <v>0</v>
      </c>
      <c r="CM22" s="304">
        <v>0</v>
      </c>
      <c r="CN22" s="350"/>
      <c r="CO22" s="304"/>
      <c r="CP22" s="304"/>
      <c r="CQ22" s="304"/>
      <c r="CR22" s="1238"/>
      <c r="CS22" s="1188"/>
      <c r="CT22" s="304"/>
      <c r="CU22" s="304"/>
      <c r="CV22" s="304"/>
      <c r="CW22" s="304"/>
      <c r="CX22" s="304"/>
      <c r="CY22" s="304"/>
      <c r="CZ22" s="304"/>
      <c r="DA22" s="1238"/>
      <c r="DB22" s="1188"/>
      <c r="DC22" s="304"/>
      <c r="DD22" s="304"/>
      <c r="DE22" s="225"/>
      <c r="DF22" s="225"/>
      <c r="DG22" s="1269"/>
      <c r="DH22" s="1214"/>
      <c r="DI22" s="225"/>
      <c r="DJ22" s="225"/>
      <c r="DK22" s="225"/>
      <c r="DL22" s="225"/>
      <c r="DM22" s="225"/>
      <c r="DN22" s="225"/>
      <c r="DO22" s="225"/>
      <c r="DP22" s="225"/>
      <c r="DQ22" s="344"/>
      <c r="DR22" s="345"/>
      <c r="DS22" s="225"/>
      <c r="DT22" s="225"/>
      <c r="DU22" s="225"/>
      <c r="DV22" s="1269"/>
      <c r="DW22" s="1214"/>
      <c r="DX22" s="225"/>
      <c r="DY22" s="225"/>
      <c r="DZ22" s="225"/>
      <c r="EA22" s="225"/>
      <c r="EB22" s="225"/>
      <c r="EC22" s="225"/>
      <c r="ED22" s="225"/>
      <c r="EE22" s="1269"/>
      <c r="EF22" s="1214"/>
      <c r="EG22" s="225"/>
      <c r="EH22" s="225"/>
      <c r="EI22" s="225"/>
      <c r="EJ22" s="225"/>
      <c r="EK22" s="1269"/>
      <c r="EL22" s="1214"/>
      <c r="EM22" s="225"/>
      <c r="EN22" s="225"/>
      <c r="EO22" s="225"/>
      <c r="EP22" s="225"/>
      <c r="EQ22" s="225"/>
      <c r="ER22" s="225"/>
      <c r="ES22" s="225"/>
      <c r="ET22" s="225"/>
      <c r="EU22" s="344"/>
      <c r="EV22" s="225"/>
      <c r="EW22" s="225"/>
      <c r="EX22" s="225"/>
      <c r="EY22" s="1269"/>
      <c r="EZ22" s="1214"/>
      <c r="FA22" s="225"/>
      <c r="FB22" s="225"/>
      <c r="FC22" s="225"/>
      <c r="FD22" s="225"/>
      <c r="FE22" s="225"/>
      <c r="FF22" s="225"/>
      <c r="FG22" s="225"/>
      <c r="FH22" s="1269"/>
      <c r="FI22" s="1214"/>
      <c r="FJ22" s="225"/>
      <c r="FK22" s="225"/>
      <c r="FL22" s="225"/>
      <c r="FM22" s="225"/>
      <c r="FN22" s="1269"/>
      <c r="FO22" s="1214"/>
      <c r="FP22" s="225"/>
      <c r="FQ22" s="225"/>
      <c r="FR22" s="225"/>
      <c r="FS22" s="225"/>
      <c r="FT22" s="225"/>
      <c r="FU22" s="225"/>
      <c r="FV22" s="225"/>
      <c r="FW22" s="225"/>
    </row>
    <row r="23" spans="3:179" s="299" customFormat="1" ht="15.5" thickTop="1" thickBot="1" x14ac:dyDescent="0.4">
      <c r="C23" s="305"/>
      <c r="D23" s="305"/>
      <c r="E23" s="305"/>
      <c r="F23" s="1031"/>
      <c r="G23" s="307"/>
      <c r="H23" s="307"/>
      <c r="I23" s="1239"/>
      <c r="J23" s="1186"/>
      <c r="K23" s="307"/>
      <c r="L23" s="307"/>
      <c r="M23" s="307"/>
      <c r="N23" s="307"/>
      <c r="O23" s="307"/>
      <c r="P23" s="307"/>
      <c r="Q23" s="307"/>
      <c r="R23" s="1239"/>
      <c r="S23" s="1186"/>
      <c r="T23" s="307"/>
      <c r="U23" s="307"/>
      <c r="V23" s="307"/>
      <c r="W23" s="307"/>
      <c r="X23" s="1239"/>
      <c r="Y23" s="1186"/>
      <c r="Z23" s="307"/>
      <c r="AA23" s="307"/>
      <c r="AB23" s="307"/>
      <c r="AC23" s="307"/>
      <c r="AD23" s="307"/>
      <c r="AE23" s="307"/>
      <c r="AF23" s="307"/>
      <c r="AG23" s="307"/>
      <c r="AH23" s="359"/>
      <c r="AI23" s="307"/>
      <c r="AJ23" s="307"/>
      <c r="AK23" s="307"/>
      <c r="AL23" s="1239"/>
      <c r="AM23" s="1186"/>
      <c r="AN23" s="307"/>
      <c r="AO23" s="307"/>
      <c r="AP23" s="307"/>
      <c r="AQ23" s="307"/>
      <c r="AR23" s="307"/>
      <c r="AS23" s="307"/>
      <c r="AT23" s="307"/>
      <c r="AU23" s="1239"/>
      <c r="AV23" s="1186"/>
      <c r="AW23" s="307"/>
      <c r="AX23" s="307"/>
      <c r="AY23" s="307"/>
      <c r="AZ23" s="307"/>
      <c r="BA23" s="1239"/>
      <c r="BB23" s="1186"/>
      <c r="BC23" s="307"/>
      <c r="BD23" s="307"/>
      <c r="BE23" s="307"/>
      <c r="BF23" s="307"/>
      <c r="BG23" s="307"/>
      <c r="BH23" s="307"/>
      <c r="BI23" s="307"/>
      <c r="BJ23" s="307"/>
      <c r="BK23" s="359"/>
      <c r="BL23" s="312"/>
      <c r="BM23" s="312"/>
      <c r="BN23" s="312"/>
      <c r="BO23" s="1240"/>
      <c r="BP23" s="1586" t="s">
        <v>412</v>
      </c>
      <c r="BQ23" s="312"/>
      <c r="BR23" s="312"/>
      <c r="BS23" s="312"/>
      <c r="BT23" s="312"/>
      <c r="BU23" s="312"/>
      <c r="BV23" s="1071" t="s">
        <v>411</v>
      </c>
      <c r="BW23" s="312"/>
      <c r="BX23" s="1240"/>
      <c r="BY23" s="1189"/>
      <c r="BZ23" s="312"/>
      <c r="CA23" s="312"/>
      <c r="CB23" s="312"/>
      <c r="CC23" s="312"/>
      <c r="CD23" s="1240"/>
      <c r="CE23" s="1189"/>
      <c r="CF23" s="312"/>
      <c r="CG23" s="312"/>
      <c r="CH23" s="312"/>
      <c r="CI23" s="312"/>
      <c r="CJ23" s="312"/>
      <c r="CK23" s="312"/>
      <c r="CL23" s="312"/>
      <c r="CM23" s="312"/>
      <c r="CN23" s="360"/>
      <c r="CO23" s="312"/>
      <c r="CP23" s="312"/>
      <c r="CQ23" s="312"/>
      <c r="CR23" s="1240"/>
      <c r="CS23" s="1189"/>
      <c r="CT23" s="312"/>
      <c r="CU23" s="312"/>
      <c r="CV23" s="312"/>
      <c r="CW23" s="312"/>
      <c r="CX23" s="312"/>
      <c r="CY23" s="312"/>
      <c r="CZ23" s="312"/>
      <c r="DA23" s="1240"/>
      <c r="DB23" s="1189"/>
      <c r="DC23" s="312"/>
      <c r="DD23" s="312"/>
      <c r="DE23" s="307"/>
      <c r="DF23" s="307"/>
      <c r="DG23" s="1239"/>
      <c r="DH23" s="1186"/>
      <c r="DI23" s="307"/>
      <c r="DJ23" s="307"/>
      <c r="DK23" s="307"/>
      <c r="DL23" s="307"/>
      <c r="DM23" s="307"/>
      <c r="DN23" s="307"/>
      <c r="DO23" s="307"/>
      <c r="DP23" s="307"/>
      <c r="DQ23" s="359"/>
      <c r="DR23" s="361"/>
      <c r="DS23" s="307"/>
      <c r="DT23" s="307"/>
      <c r="DU23" s="307"/>
      <c r="DV23" s="1239"/>
      <c r="DW23" s="1186"/>
      <c r="DX23" s="307"/>
      <c r="DY23" s="307"/>
      <c r="DZ23" s="307"/>
      <c r="EA23" s="307"/>
      <c r="EB23" s="307"/>
      <c r="EC23" s="307"/>
      <c r="ED23" s="307"/>
      <c r="EE23" s="1239"/>
      <c r="EF23" s="1186"/>
      <c r="EG23" s="307"/>
      <c r="EH23" s="307"/>
      <c r="EI23" s="307"/>
      <c r="EJ23" s="307"/>
      <c r="EK23" s="1239"/>
      <c r="EL23" s="1186"/>
      <c r="EM23" s="307"/>
      <c r="EN23" s="307"/>
      <c r="EO23" s="307"/>
      <c r="EP23" s="307"/>
      <c r="EQ23" s="307"/>
      <c r="ER23" s="307"/>
      <c r="ES23" s="307"/>
      <c r="ET23" s="307"/>
      <c r="EU23" s="359"/>
      <c r="EV23" s="307"/>
      <c r="EW23" s="307"/>
      <c r="EX23" s="307"/>
      <c r="EY23" s="1239"/>
      <c r="EZ23" s="1186"/>
      <c r="FA23" s="307"/>
      <c r="FB23" s="307"/>
      <c r="FC23" s="307"/>
      <c r="FD23" s="307"/>
      <c r="FE23" s="307"/>
      <c r="FF23" s="307"/>
      <c r="FG23" s="307"/>
      <c r="FH23" s="1239"/>
      <c r="FI23" s="1186"/>
      <c r="FJ23" s="307"/>
      <c r="FK23" s="307"/>
      <c r="FL23" s="307"/>
      <c r="FM23" s="307"/>
      <c r="FN23" s="1239"/>
      <c r="FO23" s="1186"/>
      <c r="FP23" s="307"/>
      <c r="FQ23" s="307"/>
      <c r="FR23" s="307"/>
      <c r="FS23" s="307"/>
      <c r="FT23" s="307"/>
      <c r="FU23" s="307"/>
      <c r="FV23" s="307"/>
      <c r="FW23" s="307"/>
    </row>
    <row r="24" spans="3:179" ht="15" thickTop="1" x14ac:dyDescent="0.35">
      <c r="C24" s="1" t="s">
        <v>172</v>
      </c>
      <c r="F24" s="1045"/>
      <c r="G24" s="393"/>
      <c r="H24" s="393"/>
      <c r="I24" s="1266"/>
      <c r="J24" s="1211"/>
      <c r="K24" s="393"/>
      <c r="L24" s="393"/>
      <c r="M24" s="393"/>
      <c r="N24" s="393"/>
      <c r="O24" s="393"/>
      <c r="P24" s="393"/>
      <c r="Q24" s="393"/>
      <c r="R24" s="393"/>
      <c r="S24" s="1211"/>
      <c r="T24" s="1211"/>
      <c r="U24" s="1211"/>
      <c r="V24" s="1211"/>
      <c r="W24" s="1211"/>
      <c r="X24" s="1211"/>
      <c r="Y24" s="1211"/>
      <c r="Z24" s="1211"/>
      <c r="AA24" s="1211"/>
      <c r="AB24" s="1211"/>
      <c r="AC24" s="1211"/>
      <c r="AD24" s="1211"/>
      <c r="AE24" s="1211"/>
      <c r="AF24" s="1211"/>
      <c r="AG24" s="1211"/>
      <c r="AH24" s="1320"/>
      <c r="AI24" s="393"/>
      <c r="AJ24" s="1319"/>
      <c r="AK24" s="1319"/>
      <c r="AL24" s="1445"/>
      <c r="AM24" s="1427"/>
      <c r="AN24" s="1319"/>
      <c r="AO24" s="1319"/>
      <c r="AP24" s="1319"/>
      <c r="AQ24" s="1319"/>
      <c r="AR24" s="1319"/>
      <c r="AS24" s="1319"/>
      <c r="AT24" s="1319"/>
      <c r="AU24" s="1445"/>
      <c r="AV24" s="1427"/>
      <c r="AW24" s="1319"/>
      <c r="AX24" s="1319"/>
      <c r="AY24" s="1319"/>
      <c r="AZ24" s="1319"/>
      <c r="BA24" s="1445"/>
      <c r="BB24" s="1427"/>
      <c r="BC24" s="1319"/>
      <c r="BD24" s="1319"/>
      <c r="BE24" s="1319"/>
      <c r="BF24" s="1319"/>
      <c r="BG24" s="1319"/>
      <c r="BH24" s="1319"/>
      <c r="BI24" s="1319"/>
      <c r="BJ24" s="1319"/>
      <c r="BK24" s="1320"/>
      <c r="BL24" s="393" cm="1">
        <f t="array" ref="BL24:CM24">'HPS DAILY (repro+)'!J25:AK25</f>
        <v>0.30620790000000003</v>
      </c>
      <c r="BM24" s="393">
        <v>0.3201209565</v>
      </c>
      <c r="BN24" s="393">
        <v>0.33670694599999995</v>
      </c>
      <c r="BO24" s="1266">
        <v>0.32807290499999997</v>
      </c>
      <c r="BP24" s="1211">
        <v>0.26272790000000001</v>
      </c>
      <c r="BQ24" s="393">
        <v>0.27802416399999996</v>
      </c>
      <c r="BR24" s="393">
        <v>0.289636585</v>
      </c>
      <c r="BS24" s="393">
        <v>0.2784894</v>
      </c>
      <c r="BT24" s="393">
        <v>0.28376243700000003</v>
      </c>
      <c r="BU24" s="393">
        <v>0.27642410000000001</v>
      </c>
      <c r="BV24" s="393">
        <v>0.30173869950000004</v>
      </c>
      <c r="BW24" s="393">
        <v>0.28187649199999998</v>
      </c>
      <c r="BX24" s="1266">
        <v>0.29018008500000003</v>
      </c>
      <c r="BY24" s="1211">
        <v>0</v>
      </c>
      <c r="BZ24" s="393">
        <v>0</v>
      </c>
      <c r="CA24" s="393">
        <v>0</v>
      </c>
      <c r="CB24" s="393">
        <v>0</v>
      </c>
      <c r="CC24" s="393">
        <v>0</v>
      </c>
      <c r="CD24" s="1266">
        <v>0</v>
      </c>
      <c r="CE24" s="1211">
        <v>0</v>
      </c>
      <c r="CF24" s="393">
        <v>0</v>
      </c>
      <c r="CG24" s="393">
        <v>0</v>
      </c>
      <c r="CH24" s="393">
        <v>0</v>
      </c>
      <c r="CI24" s="393">
        <v>0</v>
      </c>
      <c r="CJ24" s="393">
        <v>0</v>
      </c>
      <c r="CK24" s="393">
        <v>0</v>
      </c>
      <c r="CL24" s="393">
        <v>0</v>
      </c>
      <c r="CM24" s="393">
        <v>0</v>
      </c>
      <c r="CN24" s="396"/>
      <c r="CO24" s="393" cm="1">
        <f t="array" ref="CO24:DP24">'LTO DAILY (repro+)'!H23:AI23</f>
        <v>0</v>
      </c>
      <c r="CP24" s="393">
        <v>4.9813948999999996E-2</v>
      </c>
      <c r="CQ24" s="393">
        <v>5.3480399999999997E-2</v>
      </c>
      <c r="CR24" s="1266">
        <v>5.9095841999999996E-2</v>
      </c>
      <c r="CS24" s="1211">
        <v>6.0711123999999998E-2</v>
      </c>
      <c r="CT24" s="393">
        <v>5.159445499999999E-2</v>
      </c>
      <c r="CU24" s="393">
        <v>5.9654559999999995E-2</v>
      </c>
      <c r="CV24" s="393">
        <v>5.9545859999999992E-2</v>
      </c>
      <c r="CW24" s="393">
        <v>6.0694927699999991E-2</v>
      </c>
      <c r="CX24" s="393">
        <v>6.2278578000000001E-2</v>
      </c>
      <c r="CY24" s="393">
        <v>6.6523313000000001E-2</v>
      </c>
      <c r="CZ24" s="393">
        <v>6.5642842999999992E-2</v>
      </c>
      <c r="DA24" s="1266">
        <v>6.7074421999999995E-2</v>
      </c>
      <c r="DB24" s="1211">
        <v>0</v>
      </c>
      <c r="DC24" s="393">
        <v>0</v>
      </c>
      <c r="DD24" s="393">
        <v>0</v>
      </c>
      <c r="DE24" s="1319">
        <v>0</v>
      </c>
      <c r="DF24" s="1319">
        <v>0</v>
      </c>
      <c r="DG24" s="1445">
        <v>0</v>
      </c>
      <c r="DH24" s="1427">
        <v>0</v>
      </c>
      <c r="DI24" s="1319">
        <v>0</v>
      </c>
      <c r="DJ24" s="1319">
        <v>0</v>
      </c>
      <c r="DK24" s="1319">
        <v>0</v>
      </c>
      <c r="DL24" s="1319">
        <v>0</v>
      </c>
      <c r="DM24" s="1319">
        <v>0</v>
      </c>
      <c r="DN24" s="1319">
        <v>0</v>
      </c>
      <c r="DO24" s="1319">
        <v>0</v>
      </c>
      <c r="DP24" s="1319">
        <v>0</v>
      </c>
      <c r="DQ24" s="1320"/>
      <c r="DR24" s="1319"/>
      <c r="DS24" s="1319"/>
      <c r="DT24" s="1319"/>
      <c r="DU24" s="1319"/>
      <c r="DV24" s="1445"/>
      <c r="DW24" s="1427"/>
      <c r="DX24" s="1319"/>
      <c r="DY24" s="1319"/>
      <c r="DZ24" s="1319"/>
      <c r="EA24" s="1319"/>
      <c r="EB24" s="1319"/>
      <c r="EC24" s="1319"/>
      <c r="ED24" s="1319"/>
      <c r="EE24" s="1445"/>
      <c r="EF24" s="1427"/>
      <c r="EG24" s="1319"/>
      <c r="EH24" s="1319"/>
      <c r="EI24" s="1319"/>
      <c r="EJ24" s="1319"/>
      <c r="EK24" s="1445"/>
      <c r="EL24" s="1427"/>
      <c r="EM24" s="1319"/>
      <c r="EN24" s="1319"/>
      <c r="EO24" s="1319"/>
      <c r="EP24" s="1319"/>
      <c r="EQ24" s="1319"/>
      <c r="ER24" s="1319"/>
      <c r="ES24" s="1319"/>
      <c r="ET24" s="1319"/>
      <c r="EU24" s="1320"/>
      <c r="EV24" s="1319"/>
      <c r="EW24" s="1319"/>
      <c r="EX24" s="1319"/>
      <c r="EY24" s="1445"/>
      <c r="EZ24" s="1427"/>
      <c r="FA24" s="1319"/>
      <c r="FB24" s="1319"/>
      <c r="FC24" s="1319"/>
      <c r="FD24" s="1319"/>
      <c r="FE24" s="1319"/>
      <c r="FF24" s="1319"/>
      <c r="FG24" s="1319"/>
      <c r="FH24" s="1445"/>
      <c r="FI24" s="1427"/>
      <c r="FJ24" s="1319"/>
      <c r="FK24" s="1319"/>
      <c r="FL24" s="1319"/>
      <c r="FM24" s="1319"/>
      <c r="FN24" s="1245"/>
      <c r="FO24" s="538"/>
      <c r="FP24" s="229"/>
      <c r="FQ24" s="229"/>
      <c r="FR24" s="229"/>
      <c r="FS24" s="229"/>
      <c r="FT24" s="229"/>
      <c r="FU24" s="229"/>
      <c r="FV24" s="229"/>
      <c r="FW24" s="229"/>
    </row>
    <row r="25" spans="3:179" x14ac:dyDescent="0.35">
      <c r="C25" s="444" t="s">
        <v>314</v>
      </c>
      <c r="F25" s="604"/>
      <c r="G25" s="251"/>
      <c r="H25" s="251"/>
      <c r="I25" s="1267"/>
      <c r="J25" s="1212"/>
      <c r="K25" s="251"/>
      <c r="L25" s="251"/>
      <c r="M25" s="251"/>
      <c r="N25" s="251"/>
      <c r="O25" s="251"/>
      <c r="P25" s="1212"/>
      <c r="Q25" s="251"/>
      <c r="R25" s="1267"/>
      <c r="S25" s="1212"/>
      <c r="T25" s="251"/>
      <c r="U25" s="251"/>
      <c r="V25" s="273"/>
      <c r="W25" s="273"/>
      <c r="X25" s="1323"/>
      <c r="Y25" s="1324"/>
      <c r="Z25" s="273"/>
      <c r="AA25" s="273"/>
      <c r="AB25" s="273"/>
      <c r="AC25" s="273"/>
      <c r="AD25" s="273"/>
      <c r="AE25" s="273"/>
      <c r="AF25" s="273"/>
      <c r="AG25" s="273"/>
      <c r="AH25" s="1321"/>
      <c r="AI25" s="251"/>
      <c r="AJ25" s="273"/>
      <c r="AK25" s="273"/>
      <c r="AL25" s="1323"/>
      <c r="AM25" s="1324"/>
      <c r="AN25" s="273"/>
      <c r="AO25" s="273"/>
      <c r="AP25" s="273"/>
      <c r="AQ25" s="273"/>
      <c r="AR25" s="273"/>
      <c r="AS25" s="273"/>
      <c r="AT25" s="273"/>
      <c r="AU25" s="1323"/>
      <c r="AV25" s="1324"/>
      <c r="AW25" s="273"/>
      <c r="AX25" s="273"/>
      <c r="AY25" s="273"/>
      <c r="AZ25" s="273"/>
      <c r="BA25" s="1323"/>
      <c r="BB25" s="1324"/>
      <c r="BC25" s="273"/>
      <c r="BD25" s="273"/>
      <c r="BE25" s="273"/>
      <c r="BF25" s="273"/>
      <c r="BG25" s="273"/>
      <c r="BH25" s="273"/>
      <c r="BI25" s="273"/>
      <c r="BJ25" s="273"/>
      <c r="BK25" s="1321"/>
      <c r="BL25" s="474">
        <v>0.34</v>
      </c>
      <c r="BM25" s="474">
        <v>0.35</v>
      </c>
      <c r="BN25" s="474">
        <v>0.36499999999999999</v>
      </c>
      <c r="BO25" s="1474">
        <v>0.35599999999999998</v>
      </c>
      <c r="BP25" s="1462">
        <v>0.32600000000000001</v>
      </c>
      <c r="BQ25" s="474">
        <v>0.42</v>
      </c>
      <c r="BR25" s="474">
        <v>0.435</v>
      </c>
      <c r="BS25" s="474">
        <v>0.45</v>
      </c>
      <c r="BT25" s="474">
        <v>0.45100000000000001</v>
      </c>
      <c r="BU25" s="474">
        <v>0.4521</v>
      </c>
      <c r="BV25" s="474">
        <v>0.48499999999999999</v>
      </c>
      <c r="BW25" s="474">
        <v>0.51800000000000002</v>
      </c>
      <c r="BX25" s="1474">
        <v>0.52</v>
      </c>
      <c r="BY25" s="1462">
        <v>0.51249999999999996</v>
      </c>
      <c r="BZ25" s="474">
        <v>0.52400000000000002</v>
      </c>
      <c r="CA25" s="474">
        <v>0.52480000000000004</v>
      </c>
      <c r="CB25" s="251"/>
      <c r="CC25" s="251"/>
      <c r="CD25" s="1267"/>
      <c r="CE25" s="1212"/>
      <c r="CF25" s="251"/>
      <c r="CG25" s="251"/>
      <c r="CH25" s="251"/>
      <c r="CI25" s="251"/>
      <c r="CJ25" s="251"/>
      <c r="CK25" s="251"/>
      <c r="CL25" s="251"/>
      <c r="CM25" s="251"/>
      <c r="CN25" s="338"/>
      <c r="CO25" s="474">
        <v>4.4999999999999998E-2</v>
      </c>
      <c r="CP25" s="474">
        <v>0.05</v>
      </c>
      <c r="CQ25" s="474">
        <v>5.5E-2</v>
      </c>
      <c r="CR25" s="1474">
        <v>0.06</v>
      </c>
      <c r="CS25" s="1462">
        <v>5.5E-2</v>
      </c>
      <c r="CT25" s="474">
        <v>6.2E-2</v>
      </c>
      <c r="CU25" s="474">
        <v>7.1999999999999995E-2</v>
      </c>
      <c r="CV25" s="474">
        <v>7.4999999999999997E-2</v>
      </c>
      <c r="CW25" s="474">
        <v>7.8E-2</v>
      </c>
      <c r="CX25" s="474">
        <v>7.7700000000000005E-2</v>
      </c>
      <c r="CY25" s="474">
        <v>7.7700000000000005E-2</v>
      </c>
      <c r="CZ25" s="474">
        <v>8.7999999999999995E-2</v>
      </c>
      <c r="DA25" s="1474">
        <v>8.8999999999999996E-2</v>
      </c>
      <c r="DB25" s="1462">
        <v>8.8999999999999996E-2</v>
      </c>
      <c r="DC25" s="474">
        <v>8.8999999999999996E-2</v>
      </c>
      <c r="DD25" s="474">
        <v>8.8499999999999995E-2</v>
      </c>
      <c r="DE25" s="273"/>
      <c r="DF25" s="273"/>
      <c r="DG25" s="1323"/>
      <c r="DH25" s="1324"/>
      <c r="DI25" s="273"/>
      <c r="DJ25" s="273"/>
      <c r="DK25" s="273"/>
      <c r="DL25" s="273"/>
      <c r="DM25" s="273"/>
      <c r="DN25" s="273"/>
      <c r="DO25" s="273"/>
      <c r="DP25" s="273"/>
      <c r="DQ25" s="1321"/>
      <c r="DR25" s="273"/>
      <c r="DS25" s="273"/>
      <c r="DT25" s="273"/>
      <c r="DU25" s="273"/>
      <c r="DV25" s="1323"/>
      <c r="DW25" s="1324"/>
      <c r="DX25" s="273"/>
      <c r="DY25" s="273"/>
      <c r="DZ25" s="273"/>
      <c r="EA25" s="273"/>
      <c r="EB25" s="273"/>
      <c r="EC25" s="273"/>
      <c r="ED25" s="273"/>
      <c r="EE25" s="1323"/>
      <c r="EF25" s="1324"/>
      <c r="EG25" s="273"/>
      <c r="EH25" s="273"/>
      <c r="EI25" s="273"/>
      <c r="EJ25" s="273"/>
      <c r="EK25" s="1323"/>
      <c r="EL25" s="1324"/>
      <c r="EM25" s="273"/>
      <c r="EN25" s="273"/>
      <c r="EO25" s="273"/>
      <c r="EP25" s="273"/>
      <c r="EQ25" s="273"/>
      <c r="ER25" s="273"/>
      <c r="ES25" s="273"/>
      <c r="ET25" s="273"/>
      <c r="EU25" s="1321"/>
      <c r="EV25" s="273"/>
      <c r="EW25" s="273"/>
      <c r="EX25" s="273"/>
      <c r="EY25" s="1323"/>
      <c r="EZ25" s="1324"/>
      <c r="FA25" s="273"/>
      <c r="FB25" s="273"/>
      <c r="FC25" s="273"/>
      <c r="FD25" s="273"/>
      <c r="FE25" s="273"/>
      <c r="FF25" s="273"/>
      <c r="FG25" s="273"/>
      <c r="FH25" s="1323"/>
      <c r="FI25" s="1324"/>
      <c r="FJ25" s="273"/>
      <c r="FK25" s="273"/>
      <c r="FL25" s="273"/>
      <c r="FM25" s="273"/>
    </row>
    <row r="26" spans="3:179" x14ac:dyDescent="0.35">
      <c r="C26" s="1" t="s">
        <v>173</v>
      </c>
      <c r="F26" s="604"/>
      <c r="G26" s="251"/>
      <c r="H26" s="251"/>
      <c r="I26" s="1267"/>
      <c r="J26" s="1212"/>
      <c r="K26" s="251"/>
      <c r="L26" s="251"/>
      <c r="M26" s="251"/>
      <c r="N26" s="251"/>
      <c r="O26" s="251"/>
      <c r="P26" s="251"/>
      <c r="Q26" s="251"/>
      <c r="R26" s="251"/>
      <c r="S26" s="1212"/>
      <c r="T26" s="1212"/>
      <c r="U26" s="1212"/>
      <c r="V26" s="1212"/>
      <c r="W26" s="1212"/>
      <c r="X26" s="1212"/>
      <c r="Y26" s="1212"/>
      <c r="Z26" s="1212"/>
      <c r="AA26" s="1212"/>
      <c r="AB26" s="1212"/>
      <c r="AC26" s="1212"/>
      <c r="AD26" s="1212"/>
      <c r="AE26" s="1212"/>
      <c r="AF26" s="1212"/>
      <c r="AG26" s="1212"/>
      <c r="AH26" s="1321"/>
      <c r="AI26" s="251"/>
      <c r="AJ26" s="273"/>
      <c r="AK26" s="273"/>
      <c r="AL26" s="1323"/>
      <c r="AM26" s="1324"/>
      <c r="AN26" s="273"/>
      <c r="AO26" s="273"/>
      <c r="AP26" s="273"/>
      <c r="AQ26" s="273"/>
      <c r="AR26" s="273"/>
      <c r="AS26" s="273"/>
      <c r="AT26" s="273"/>
      <c r="AU26" s="1323"/>
      <c r="AV26" s="1324"/>
      <c r="AW26" s="273"/>
      <c r="AX26" s="273"/>
      <c r="AY26" s="273"/>
      <c r="AZ26" s="273"/>
      <c r="BA26" s="1323"/>
      <c r="BB26" s="1324"/>
      <c r="BC26" s="273"/>
      <c r="BD26" s="273"/>
      <c r="BE26" s="273"/>
      <c r="BF26" s="273"/>
      <c r="BG26" s="273"/>
      <c r="BH26" s="273"/>
      <c r="BI26" s="273"/>
      <c r="BJ26" s="273"/>
      <c r="BK26" s="1321"/>
      <c r="BL26" s="251" cm="1">
        <f t="array" ref="BL26:CM26">'HPS DAILY (repro+)'!J20:AK20</f>
        <v>2.0705644395932277</v>
      </c>
      <c r="BM26" s="251">
        <v>2.2053043971301283</v>
      </c>
      <c r="BN26" s="251">
        <v>2.4036000621221212</v>
      </c>
      <c r="BO26" s="1267">
        <v>2.3673736581905236</v>
      </c>
      <c r="BP26" s="1212">
        <v>0.93327366632973419</v>
      </c>
      <c r="BQ26" s="251">
        <v>1.0108666239264164</v>
      </c>
      <c r="BR26" s="251">
        <v>1.1113814898604129</v>
      </c>
      <c r="BS26" s="251">
        <v>1.1992113287960928</v>
      </c>
      <c r="BT26" s="251">
        <v>1.2503982310097221</v>
      </c>
      <c r="BU26" s="251">
        <v>1.2963343861864287</v>
      </c>
      <c r="BV26" s="251">
        <v>1.3516337711134252</v>
      </c>
      <c r="BW26" s="251">
        <v>1.3766637224545235</v>
      </c>
      <c r="BX26" s="1267">
        <v>1.4016868909083184</v>
      </c>
      <c r="BY26" s="1212">
        <v>0</v>
      </c>
      <c r="BZ26" s="251">
        <v>0</v>
      </c>
      <c r="CA26" s="251">
        <v>0</v>
      </c>
      <c r="CB26" s="251">
        <v>0</v>
      </c>
      <c r="CC26" s="251">
        <v>0</v>
      </c>
      <c r="CD26" s="1267">
        <v>0</v>
      </c>
      <c r="CE26" s="1212">
        <v>0</v>
      </c>
      <c r="CF26" s="251">
        <v>0</v>
      </c>
      <c r="CG26" s="251">
        <v>0</v>
      </c>
      <c r="CH26" s="251">
        <v>0</v>
      </c>
      <c r="CI26" s="251">
        <v>0</v>
      </c>
      <c r="CJ26" s="251">
        <v>0</v>
      </c>
      <c r="CK26" s="251">
        <v>0</v>
      </c>
      <c r="CL26" s="251">
        <v>0</v>
      </c>
      <c r="CM26" s="251">
        <v>0</v>
      </c>
      <c r="CN26" s="338"/>
      <c r="CO26" s="251" cm="1">
        <f t="array" ref="CO26:DP26">'LTO DAILY (repro+)'!H18:AI18</f>
        <v>0</v>
      </c>
      <c r="CP26" s="251">
        <v>0.17838838677739213</v>
      </c>
      <c r="CQ26" s="251">
        <v>0.18694719783684965</v>
      </c>
      <c r="CR26" s="1267">
        <v>0.17089494228361946</v>
      </c>
      <c r="CS26" s="1212">
        <v>0.14492113901498166</v>
      </c>
      <c r="CT26" s="251">
        <v>9.9356112494955073E-2</v>
      </c>
      <c r="CU26" s="251">
        <v>0.1129176049508409</v>
      </c>
      <c r="CV26" s="251">
        <v>0.11830092036279541</v>
      </c>
      <c r="CW26" s="251">
        <v>0.18017013038885474</v>
      </c>
      <c r="CX26" s="251">
        <v>0.15869247720598068</v>
      </c>
      <c r="CY26" s="251">
        <v>0.14913803678491289</v>
      </c>
      <c r="CZ26" s="251">
        <v>0.13600954743876034</v>
      </c>
      <c r="DA26" s="1267">
        <v>0.13446262199757905</v>
      </c>
      <c r="DB26" s="1212">
        <v>0</v>
      </c>
      <c r="DC26" s="251">
        <v>0</v>
      </c>
      <c r="DD26" s="251">
        <v>0</v>
      </c>
      <c r="DE26" s="273">
        <v>0</v>
      </c>
      <c r="DF26" s="273">
        <v>0</v>
      </c>
      <c r="DG26" s="1323">
        <v>0</v>
      </c>
      <c r="DH26" s="1324">
        <v>0</v>
      </c>
      <c r="DI26" s="273">
        <v>0</v>
      </c>
      <c r="DJ26" s="273">
        <v>0</v>
      </c>
      <c r="DK26" s="273">
        <v>0</v>
      </c>
      <c r="DL26" s="273">
        <v>0</v>
      </c>
      <c r="DM26" s="273">
        <v>0</v>
      </c>
      <c r="DN26" s="273">
        <v>0</v>
      </c>
      <c r="DO26" s="273">
        <v>0</v>
      </c>
      <c r="DP26" s="273">
        <v>0</v>
      </c>
      <c r="DQ26" s="1321"/>
      <c r="DR26" s="273"/>
      <c r="DS26" s="273"/>
      <c r="DT26" s="273"/>
      <c r="DU26" s="273"/>
      <c r="DV26" s="1323"/>
      <c r="DW26" s="1324"/>
      <c r="DX26" s="273"/>
      <c r="DY26" s="273"/>
      <c r="DZ26" s="273"/>
      <c r="EA26" s="273"/>
      <c r="EB26" s="273"/>
      <c r="EC26" s="273"/>
      <c r="ED26" s="273"/>
      <c r="EE26" s="1323"/>
      <c r="EF26" s="1324"/>
      <c r="EG26" s="273"/>
      <c r="EH26" s="273"/>
      <c r="EI26" s="273"/>
      <c r="EJ26" s="273"/>
      <c r="EK26" s="1323"/>
      <c r="EL26" s="1324"/>
      <c r="EM26" s="273"/>
      <c r="EN26" s="273"/>
      <c r="EO26" s="273"/>
      <c r="EP26" s="273"/>
      <c r="EQ26" s="273"/>
      <c r="ER26" s="273"/>
      <c r="ES26" s="273"/>
      <c r="ET26" s="273"/>
      <c r="EU26" s="1321"/>
      <c r="EV26" s="273"/>
      <c r="EW26" s="273"/>
      <c r="EX26" s="273"/>
      <c r="EY26" s="1323"/>
      <c r="EZ26" s="1324"/>
      <c r="FA26" s="273"/>
      <c r="FB26" s="273"/>
      <c r="FC26" s="273"/>
      <c r="FD26" s="273"/>
      <c r="FE26" s="273"/>
      <c r="FF26" s="273"/>
      <c r="FG26" s="273"/>
      <c r="FH26" s="1323"/>
      <c r="FI26" s="1324"/>
      <c r="FJ26" s="273"/>
      <c r="FK26" s="273"/>
      <c r="FL26" s="273"/>
      <c r="FM26" s="273"/>
    </row>
    <row r="27" spans="3:179" x14ac:dyDescent="0.35">
      <c r="C27" s="444" t="s">
        <v>315</v>
      </c>
      <c r="F27" s="1322"/>
      <c r="G27" s="273"/>
      <c r="H27" s="273"/>
      <c r="I27" s="1323"/>
      <c r="J27" s="1324"/>
      <c r="K27" s="273"/>
      <c r="L27" s="273"/>
      <c r="M27" s="273"/>
      <c r="N27" s="273"/>
      <c r="O27" s="273"/>
      <c r="P27" s="1324"/>
      <c r="Q27" s="273"/>
      <c r="R27" s="1323"/>
      <c r="S27" s="1324"/>
      <c r="T27" s="273"/>
      <c r="U27" s="273"/>
      <c r="V27" s="273"/>
      <c r="W27" s="273"/>
      <c r="X27" s="1323"/>
      <c r="Y27" s="1324"/>
      <c r="Z27" s="273"/>
      <c r="AA27" s="273"/>
      <c r="AB27" s="273"/>
      <c r="AC27" s="273"/>
      <c r="AD27" s="273"/>
      <c r="AE27" s="273"/>
      <c r="AF27" s="273"/>
      <c r="AG27" s="273"/>
      <c r="AH27" s="1321"/>
      <c r="AI27" s="251"/>
      <c r="AJ27" s="273"/>
      <c r="AK27" s="273"/>
      <c r="AL27" s="1323"/>
      <c r="AM27" s="1324"/>
      <c r="AN27" s="273"/>
      <c r="AO27" s="273"/>
      <c r="AP27" s="273"/>
      <c r="AQ27" s="273"/>
      <c r="AR27" s="273"/>
      <c r="AS27" s="273"/>
      <c r="AT27" s="273"/>
      <c r="AU27" s="1323"/>
      <c r="AV27" s="1324"/>
      <c r="AW27" s="273"/>
      <c r="AX27" s="273"/>
      <c r="AY27" s="273"/>
      <c r="AZ27" s="273"/>
      <c r="BA27" s="1323"/>
      <c r="BB27" s="1324"/>
      <c r="BC27" s="273"/>
      <c r="BD27" s="273"/>
      <c r="BE27" s="273"/>
      <c r="BF27" s="273"/>
      <c r="BG27" s="273"/>
      <c r="BH27" s="273"/>
      <c r="BI27" s="273"/>
      <c r="BJ27" s="273"/>
      <c r="BK27" s="1321"/>
      <c r="BL27" s="460">
        <v>2.15</v>
      </c>
      <c r="BM27" s="460">
        <v>2.2000000000000002</v>
      </c>
      <c r="BN27" s="460">
        <v>2.25</v>
      </c>
      <c r="BO27" s="461">
        <v>2.36</v>
      </c>
      <c r="BP27" s="462">
        <v>1.01</v>
      </c>
      <c r="BQ27" s="460">
        <v>0.99</v>
      </c>
      <c r="BR27" s="460">
        <v>1.0900000000000001</v>
      </c>
      <c r="BS27" s="460">
        <v>1.1000000000000001</v>
      </c>
      <c r="BT27" s="460">
        <v>1.1200000000000001</v>
      </c>
      <c r="BU27" s="460">
        <v>1.1399999999999999</v>
      </c>
      <c r="BV27" s="460">
        <v>1.095</v>
      </c>
      <c r="BW27" s="460">
        <v>1</v>
      </c>
      <c r="BX27" s="461">
        <v>0.99</v>
      </c>
      <c r="BY27" s="462">
        <v>0.95</v>
      </c>
      <c r="BZ27" s="460">
        <v>1</v>
      </c>
      <c r="CA27" s="460">
        <v>1.01</v>
      </c>
      <c r="CB27" s="251"/>
      <c r="CC27" s="251"/>
      <c r="CD27" s="1267"/>
      <c r="CE27" s="1212"/>
      <c r="CF27" s="251"/>
      <c r="CG27" s="251"/>
      <c r="CH27" s="251"/>
      <c r="CI27" s="251"/>
      <c r="CJ27" s="251"/>
      <c r="CK27" s="251"/>
      <c r="CL27" s="251"/>
      <c r="CM27" s="251"/>
      <c r="CN27" s="338"/>
      <c r="CO27" s="474">
        <v>0.12</v>
      </c>
      <c r="CP27" s="474">
        <v>0.14000000000000001</v>
      </c>
      <c r="CQ27" s="474">
        <v>0.155</v>
      </c>
      <c r="CR27" s="1474">
        <v>0.1661</v>
      </c>
      <c r="CS27" s="1462">
        <v>0.11899999999999999</v>
      </c>
      <c r="CT27" s="474">
        <v>8.1000000000000003E-2</v>
      </c>
      <c r="CU27" s="474">
        <v>8.4000000000000005E-2</v>
      </c>
      <c r="CV27" s="474">
        <v>8.3000000000000004E-2</v>
      </c>
      <c r="CW27" s="474">
        <v>8.4000000000000005E-2</v>
      </c>
      <c r="CX27" s="474">
        <v>8.5000000000000006E-2</v>
      </c>
      <c r="CY27" s="474">
        <v>8.5999999999999993E-2</v>
      </c>
      <c r="CZ27" s="474">
        <v>8.5500000000000007E-2</v>
      </c>
      <c r="DA27" s="1474">
        <v>8.5000000000000006E-2</v>
      </c>
      <c r="DB27" s="1462">
        <v>8.6499999999999994E-2</v>
      </c>
      <c r="DC27" s="474">
        <v>8.6999999999999994E-2</v>
      </c>
      <c r="DD27" s="474">
        <v>8.6400000000000005E-2</v>
      </c>
      <c r="DE27" s="273"/>
      <c r="DF27" s="273"/>
      <c r="DG27" s="1323"/>
      <c r="DH27" s="1324"/>
      <c r="DI27" s="273"/>
      <c r="DJ27" s="273"/>
      <c r="DK27" s="273"/>
      <c r="DL27" s="273"/>
      <c r="DM27" s="273"/>
      <c r="DN27" s="273"/>
      <c r="DO27" s="273"/>
      <c r="DP27" s="273"/>
      <c r="DQ27" s="1321"/>
      <c r="DR27" s="273"/>
      <c r="DS27" s="273"/>
      <c r="DT27" s="273"/>
      <c r="DU27" s="273"/>
      <c r="DV27" s="1323"/>
      <c r="DW27" s="1324"/>
      <c r="DX27" s="273"/>
      <c r="DY27" s="273"/>
      <c r="DZ27" s="273"/>
      <c r="EA27" s="273"/>
      <c r="EB27" s="273"/>
      <c r="EC27" s="273"/>
      <c r="ED27" s="273"/>
      <c r="EE27" s="1323"/>
      <c r="EF27" s="1324"/>
      <c r="EG27" s="273"/>
      <c r="EH27" s="273"/>
      <c r="EI27" s="273"/>
      <c r="EJ27" s="273"/>
      <c r="EK27" s="1323"/>
      <c r="EL27" s="1324"/>
      <c r="EM27" s="273"/>
      <c r="EN27" s="273"/>
      <c r="EO27" s="273"/>
      <c r="EP27" s="273"/>
      <c r="EQ27" s="273"/>
      <c r="ER27" s="273"/>
      <c r="ES27" s="273"/>
      <c r="ET27" s="273"/>
      <c r="EU27" s="1321"/>
      <c r="EV27" s="273"/>
      <c r="EW27" s="273"/>
      <c r="EX27" s="273"/>
      <c r="EY27" s="1323"/>
      <c r="EZ27" s="1324"/>
      <c r="FA27" s="273"/>
      <c r="FB27" s="273"/>
      <c r="FC27" s="273"/>
      <c r="FD27" s="273"/>
      <c r="FE27" s="273"/>
      <c r="FF27" s="273"/>
      <c r="FG27" s="273"/>
      <c r="FH27" s="1323"/>
      <c r="FI27" s="1324"/>
      <c r="FJ27" s="273"/>
      <c r="FK27" s="273"/>
      <c r="FL27" s="273"/>
      <c r="FM27" s="273"/>
    </row>
    <row r="28" spans="3:179" x14ac:dyDescent="0.35">
      <c r="C28" s="1" t="s">
        <v>117</v>
      </c>
      <c r="F28" s="501"/>
      <c r="G28" s="249"/>
      <c r="H28" s="249"/>
      <c r="I28" s="1242"/>
      <c r="J28" s="419"/>
      <c r="K28" s="249"/>
      <c r="L28" s="249"/>
      <c r="M28" s="249"/>
      <c r="N28" s="249"/>
      <c r="O28" s="249"/>
      <c r="P28" s="249"/>
      <c r="Q28" s="249"/>
      <c r="R28" s="249"/>
      <c r="S28" s="419"/>
      <c r="T28" s="249"/>
      <c r="U28" s="249"/>
      <c r="V28" s="249"/>
      <c r="W28" s="249"/>
      <c r="X28" s="1242"/>
      <c r="Y28" s="419"/>
      <c r="Z28" s="419"/>
      <c r="AA28" s="419"/>
      <c r="AB28" s="419"/>
      <c r="AC28" s="419"/>
      <c r="AD28" s="419"/>
      <c r="AE28" s="419"/>
      <c r="AF28" s="419"/>
      <c r="AG28" s="419"/>
      <c r="AH28" s="335"/>
      <c r="AI28" s="249"/>
      <c r="AJ28" s="249"/>
      <c r="AK28" s="249"/>
      <c r="AL28" s="1242"/>
      <c r="AM28" s="419"/>
      <c r="AN28" s="249"/>
      <c r="AO28" s="249"/>
      <c r="AP28" s="249"/>
      <c r="AQ28" s="249"/>
      <c r="AR28" s="249"/>
      <c r="AS28" s="249"/>
      <c r="AT28" s="249"/>
      <c r="AU28" s="1242"/>
      <c r="AV28" s="419"/>
      <c r="AW28" s="249"/>
      <c r="AX28" s="249"/>
      <c r="AY28" s="249"/>
      <c r="AZ28" s="249"/>
      <c r="BA28" s="1242"/>
      <c r="BB28" s="419"/>
      <c r="BC28" s="249"/>
      <c r="BD28" s="249"/>
      <c r="BE28" s="249"/>
      <c r="BF28" s="249"/>
      <c r="BG28" s="249"/>
      <c r="BH28" s="249"/>
      <c r="BI28" s="249"/>
      <c r="BJ28" s="249"/>
      <c r="BK28" s="335"/>
      <c r="BL28" s="249" cm="1">
        <f t="array" ref="BL28:CM28">'HPS DAILY'!J87:AK87</f>
        <v>25.960999999999999</v>
      </c>
      <c r="BM28" s="249">
        <v>9.218</v>
      </c>
      <c r="BN28" s="249">
        <v>9.4525000000000006</v>
      </c>
      <c r="BO28" s="1242">
        <v>10.423999999999999</v>
      </c>
      <c r="BP28" s="419">
        <v>10.622</v>
      </c>
      <c r="BQ28" s="249">
        <v>3.91</v>
      </c>
      <c r="BR28" s="249">
        <v>4.22</v>
      </c>
      <c r="BS28" s="249">
        <v>4.9400000000000004</v>
      </c>
      <c r="BT28" s="249">
        <v>5.12</v>
      </c>
      <c r="BU28" s="249">
        <v>5.68</v>
      </c>
      <c r="BV28" s="249">
        <v>5.71</v>
      </c>
      <c r="BW28" s="249">
        <v>5.96</v>
      </c>
      <c r="BX28" s="1242">
        <v>5.83</v>
      </c>
      <c r="BY28" s="419">
        <v>6.07</v>
      </c>
      <c r="BZ28" s="249">
        <v>0</v>
      </c>
      <c r="CA28" s="249">
        <v>0</v>
      </c>
      <c r="CB28" s="249">
        <v>0</v>
      </c>
      <c r="CC28" s="249">
        <v>0</v>
      </c>
      <c r="CD28" s="1242">
        <v>0</v>
      </c>
      <c r="CE28" s="419">
        <v>0</v>
      </c>
      <c r="CF28" s="249">
        <v>0</v>
      </c>
      <c r="CG28" s="249">
        <v>0</v>
      </c>
      <c r="CH28" s="249">
        <v>0</v>
      </c>
      <c r="CI28" s="249">
        <v>0</v>
      </c>
      <c r="CJ28" s="249">
        <v>0</v>
      </c>
      <c r="CK28" s="249">
        <v>0</v>
      </c>
      <c r="CL28" s="249">
        <v>0</v>
      </c>
      <c r="CM28" s="249">
        <v>0</v>
      </c>
      <c r="CN28" s="335"/>
      <c r="CO28" s="249"/>
      <c r="CP28" s="249"/>
      <c r="CQ28" s="249"/>
      <c r="CR28" s="1242"/>
      <c r="CS28" s="419"/>
      <c r="CT28" s="249"/>
      <c r="CU28" s="249"/>
      <c r="CV28" s="249"/>
      <c r="CW28" s="249"/>
      <c r="CX28" s="249"/>
      <c r="CY28" s="249"/>
      <c r="CZ28" s="249"/>
      <c r="DA28" s="1242"/>
      <c r="DB28" s="1212"/>
      <c r="DC28" s="251"/>
      <c r="DD28" s="251"/>
      <c r="DE28" s="273"/>
      <c r="DF28" s="273"/>
      <c r="DG28" s="1323"/>
      <c r="DH28" s="1324"/>
      <c r="DI28" s="273"/>
      <c r="DJ28" s="273"/>
      <c r="DK28" s="273"/>
      <c r="DL28" s="273"/>
      <c r="DM28" s="273"/>
      <c r="DN28" s="273"/>
      <c r="DO28" s="273"/>
      <c r="DP28" s="273"/>
      <c r="DQ28" s="1321"/>
      <c r="DR28" s="273"/>
      <c r="DS28" s="273"/>
      <c r="DT28" s="273"/>
      <c r="DU28" s="273"/>
      <c r="DV28" s="1323"/>
      <c r="DW28" s="1324"/>
      <c r="DX28" s="273"/>
      <c r="DY28" s="273"/>
      <c r="DZ28" s="273"/>
      <c r="EA28" s="273"/>
      <c r="EB28" s="273"/>
      <c r="EC28" s="273"/>
      <c r="ED28" s="273"/>
      <c r="EE28" s="1323"/>
      <c r="EF28" s="1324"/>
      <c r="EG28" s="273"/>
      <c r="EH28" s="273"/>
      <c r="EI28" s="273"/>
      <c r="EJ28" s="273"/>
      <c r="EK28" s="1323"/>
      <c r="EL28" s="1324"/>
      <c r="EM28" s="273"/>
      <c r="EN28" s="273"/>
      <c r="EO28" s="273"/>
      <c r="EP28" s="273"/>
      <c r="EQ28" s="273"/>
      <c r="ER28" s="273"/>
      <c r="ES28" s="273"/>
      <c r="ET28" s="273"/>
      <c r="EU28" s="1321"/>
      <c r="EV28" s="273"/>
      <c r="EW28" s="273"/>
      <c r="EX28" s="273"/>
      <c r="EY28" s="1323"/>
      <c r="EZ28" s="1324"/>
      <c r="FA28" s="273"/>
      <c r="FB28" s="273"/>
      <c r="FC28" s="273"/>
      <c r="FD28" s="273"/>
      <c r="FE28" s="273"/>
      <c r="FF28" s="273"/>
      <c r="FG28" s="273"/>
      <c r="FH28" s="1323"/>
      <c r="FI28" s="1324"/>
      <c r="FJ28" s="273"/>
      <c r="FK28" s="273"/>
      <c r="FL28" s="273"/>
      <c r="FM28" s="273"/>
    </row>
    <row r="29" spans="3:179" x14ac:dyDescent="0.35">
      <c r="C29" s="444" t="s">
        <v>350</v>
      </c>
      <c r="F29" s="501"/>
      <c r="G29" s="249"/>
      <c r="H29" s="249"/>
      <c r="I29" s="1242"/>
      <c r="J29" s="419"/>
      <c r="K29" s="249"/>
      <c r="L29" s="249"/>
      <c r="M29" s="249"/>
      <c r="N29" s="249"/>
      <c r="O29" s="249"/>
      <c r="P29" s="249"/>
      <c r="Q29" s="249"/>
      <c r="R29" s="249"/>
      <c r="S29" s="419"/>
      <c r="T29" s="249"/>
      <c r="U29" s="249"/>
      <c r="V29" s="249"/>
      <c r="W29" s="249"/>
      <c r="X29" s="1242"/>
      <c r="Y29" s="419"/>
      <c r="Z29" s="249"/>
      <c r="AA29" s="249"/>
      <c r="AB29" s="249"/>
      <c r="AC29" s="249"/>
      <c r="AD29" s="249"/>
      <c r="AE29" s="249"/>
      <c r="AF29" s="249"/>
      <c r="AG29" s="249"/>
      <c r="AH29" s="335"/>
      <c r="AI29" s="249"/>
      <c r="AJ29" s="249"/>
      <c r="AK29" s="249"/>
      <c r="AL29" s="1242"/>
      <c r="AM29" s="419"/>
      <c r="AN29" s="249"/>
      <c r="AO29" s="249"/>
      <c r="AP29" s="249"/>
      <c r="AQ29" s="249"/>
      <c r="AR29" s="249"/>
      <c r="AS29" s="249"/>
      <c r="AT29" s="249"/>
      <c r="AU29" s="1242"/>
      <c r="AV29" s="419"/>
      <c r="AW29" s="249"/>
      <c r="AX29" s="249"/>
      <c r="AY29" s="249"/>
      <c r="AZ29" s="249"/>
      <c r="BA29" s="1242"/>
      <c r="BB29" s="419"/>
      <c r="BC29" s="249"/>
      <c r="BD29" s="249"/>
      <c r="BE29" s="249"/>
      <c r="BF29" s="249"/>
      <c r="BG29" s="249"/>
      <c r="BH29" s="249"/>
      <c r="BI29" s="249"/>
      <c r="BJ29" s="249"/>
      <c r="BK29" s="335"/>
      <c r="BL29" s="249"/>
      <c r="BM29" s="249"/>
      <c r="BN29" s="249"/>
      <c r="BO29" s="1242"/>
      <c r="BP29" s="419"/>
      <c r="BQ29" s="249"/>
      <c r="BR29" s="249"/>
      <c r="BS29" s="249"/>
      <c r="BT29" s="249"/>
      <c r="BU29" s="249"/>
      <c r="BV29" s="249"/>
      <c r="BW29" s="249"/>
      <c r="BX29" s="1242"/>
      <c r="BY29" s="419"/>
      <c r="BZ29" s="249"/>
      <c r="CA29" s="249"/>
      <c r="CB29" s="249"/>
      <c r="CC29" s="249"/>
      <c r="CD29" s="1242"/>
      <c r="CE29" s="419"/>
      <c r="CF29" s="249"/>
      <c r="CG29" s="249"/>
      <c r="CH29" s="249"/>
      <c r="CI29" s="249"/>
      <c r="CJ29" s="249"/>
      <c r="CK29" s="249"/>
      <c r="CL29" s="249"/>
      <c r="CM29" s="249"/>
      <c r="CN29" s="335"/>
      <c r="CO29" s="249"/>
      <c r="CP29" s="249"/>
      <c r="CQ29" s="249"/>
      <c r="CR29" s="1242"/>
      <c r="CS29" s="419"/>
      <c r="CT29" s="249"/>
      <c r="CU29" s="249"/>
      <c r="CV29" s="249"/>
      <c r="CW29" s="249"/>
      <c r="CX29" s="249"/>
      <c r="CY29" s="249"/>
      <c r="CZ29" s="249"/>
      <c r="DA29" s="1242"/>
      <c r="DB29" s="1212"/>
      <c r="DC29" s="251"/>
      <c r="DD29" s="251"/>
      <c r="DE29" s="273"/>
      <c r="DF29" s="273"/>
      <c r="DG29" s="1323"/>
      <c r="DH29" s="1324"/>
      <c r="DI29" s="273"/>
      <c r="DJ29" s="273"/>
      <c r="DK29" s="273"/>
      <c r="DL29" s="273"/>
      <c r="DM29" s="273"/>
      <c r="DN29" s="273"/>
      <c r="DO29" s="273"/>
      <c r="DP29" s="273"/>
      <c r="DQ29" s="1321"/>
      <c r="DR29" s="273"/>
      <c r="DS29" s="273"/>
      <c r="DT29" s="273"/>
      <c r="DU29" s="273"/>
      <c r="DV29" s="1323"/>
      <c r="DW29" s="1324"/>
      <c r="DX29" s="273"/>
      <c r="DY29" s="273"/>
      <c r="DZ29" s="273"/>
      <c r="EA29" s="273"/>
      <c r="EB29" s="273"/>
      <c r="EC29" s="273"/>
      <c r="ED29" s="273"/>
      <c r="EE29" s="1323"/>
      <c r="EF29" s="1324"/>
      <c r="EG29" s="273"/>
      <c r="EH29" s="273"/>
      <c r="EI29" s="273"/>
      <c r="EJ29" s="273"/>
      <c r="EK29" s="1323"/>
      <c r="EL29" s="1324"/>
      <c r="EM29" s="273"/>
      <c r="EN29" s="273"/>
      <c r="EO29" s="273"/>
      <c r="EP29" s="273"/>
      <c r="EQ29" s="273"/>
      <c r="ER29" s="273"/>
      <c r="ES29" s="273"/>
      <c r="ET29" s="273"/>
      <c r="EU29" s="1321"/>
      <c r="EV29" s="273"/>
      <c r="EW29" s="273"/>
      <c r="EX29" s="273"/>
      <c r="EY29" s="1323"/>
      <c r="EZ29" s="1324"/>
      <c r="FA29" s="273"/>
      <c r="FB29" s="273"/>
      <c r="FC29" s="273"/>
      <c r="FD29" s="273"/>
      <c r="FE29" s="273"/>
      <c r="FF29" s="273"/>
      <c r="FG29" s="273"/>
      <c r="FH29" s="1323"/>
      <c r="FI29" s="1324"/>
      <c r="FJ29" s="273"/>
      <c r="FK29" s="273"/>
      <c r="FL29" s="273"/>
      <c r="FM29" s="273"/>
    </row>
    <row r="30" spans="3:179" x14ac:dyDescent="0.35">
      <c r="C30" s="1" t="s">
        <v>118</v>
      </c>
      <c r="F30" s="501"/>
      <c r="G30" s="249"/>
      <c r="H30" s="249"/>
      <c r="I30" s="1242"/>
      <c r="J30" s="419"/>
      <c r="K30" s="249"/>
      <c r="L30" s="249"/>
      <c r="M30" s="249"/>
      <c r="N30" s="249"/>
      <c r="O30" s="249"/>
      <c r="P30" s="249"/>
      <c r="Q30" s="249"/>
      <c r="R30" s="249"/>
      <c r="S30" s="419"/>
      <c r="T30" s="249"/>
      <c r="U30" s="249"/>
      <c r="V30" s="249"/>
      <c r="W30" s="249"/>
      <c r="X30" s="1242"/>
      <c r="Y30" s="419"/>
      <c r="Z30" s="419"/>
      <c r="AA30" s="419"/>
      <c r="AB30" s="419"/>
      <c r="AC30" s="419"/>
      <c r="AD30" s="419"/>
      <c r="AE30" s="419"/>
      <c r="AF30" s="419"/>
      <c r="AG30" s="419"/>
      <c r="AH30" s="335"/>
      <c r="AI30" s="249"/>
      <c r="AJ30" s="249"/>
      <c r="AK30" s="249"/>
      <c r="AL30" s="1242"/>
      <c r="AM30" s="419"/>
      <c r="AN30" s="249"/>
      <c r="AO30" s="249"/>
      <c r="AP30" s="249"/>
      <c r="AQ30" s="249"/>
      <c r="AR30" s="249"/>
      <c r="AS30" s="249"/>
      <c r="AT30" s="249"/>
      <c r="AU30" s="1242"/>
      <c r="AV30" s="419"/>
      <c r="AW30" s="249"/>
      <c r="AX30" s="249"/>
      <c r="AY30" s="249"/>
      <c r="AZ30" s="249"/>
      <c r="BA30" s="1242"/>
      <c r="BB30" s="419"/>
      <c r="BC30" s="249"/>
      <c r="BD30" s="249"/>
      <c r="BE30" s="249"/>
      <c r="BF30" s="249"/>
      <c r="BG30" s="249"/>
      <c r="BH30" s="249"/>
      <c r="BI30" s="249"/>
      <c r="BJ30" s="249"/>
      <c r="BK30" s="335"/>
      <c r="BL30" s="249" cm="1">
        <f t="array" ref="BL30:CM30">'HPS DAILY (repro+)'!J88:AK88</f>
        <v>6.5619999999999994</v>
      </c>
      <c r="BM30" s="249">
        <v>6.9439999999999991</v>
      </c>
      <c r="BN30" s="249">
        <v>8.2099999999999991</v>
      </c>
      <c r="BO30" s="1242">
        <v>8.1519999999999992</v>
      </c>
      <c r="BP30" s="419">
        <v>4.1059999999999999</v>
      </c>
      <c r="BQ30" s="249">
        <v>4.24</v>
      </c>
      <c r="BR30" s="249">
        <v>4.24</v>
      </c>
      <c r="BS30" s="249">
        <v>5.1199999999999992</v>
      </c>
      <c r="BT30" s="249">
        <v>5.68</v>
      </c>
      <c r="BU30" s="249">
        <v>5.1899999999999995</v>
      </c>
      <c r="BV30" s="249">
        <v>5.72</v>
      </c>
      <c r="BW30" s="249">
        <v>5.6899999999999995</v>
      </c>
      <c r="BX30" s="1242">
        <v>5.3</v>
      </c>
      <c r="BY30" s="419">
        <v>2.78</v>
      </c>
      <c r="BZ30" s="249">
        <v>2.78</v>
      </c>
      <c r="CA30" s="249">
        <v>2.78</v>
      </c>
      <c r="CB30" s="249">
        <v>2.78</v>
      </c>
      <c r="CC30" s="249">
        <v>2.78</v>
      </c>
      <c r="CD30" s="1242">
        <v>2.78</v>
      </c>
      <c r="CE30" s="419">
        <v>2.78</v>
      </c>
      <c r="CF30" s="249">
        <v>2.78</v>
      </c>
      <c r="CG30" s="249">
        <v>2.78</v>
      </c>
      <c r="CH30" s="249">
        <v>2.78</v>
      </c>
      <c r="CI30" s="249">
        <v>2.78</v>
      </c>
      <c r="CJ30" s="249">
        <v>2.78</v>
      </c>
      <c r="CK30" s="249">
        <v>2.78</v>
      </c>
      <c r="CL30" s="249">
        <v>2.78</v>
      </c>
      <c r="CM30" s="249">
        <v>2.78</v>
      </c>
      <c r="CN30" s="335"/>
      <c r="CO30" s="249"/>
      <c r="CP30" s="249"/>
      <c r="CQ30" s="249"/>
      <c r="CR30" s="1242"/>
      <c r="CS30" s="419"/>
      <c r="CT30" s="249"/>
      <c r="CU30" s="249"/>
      <c r="CV30" s="249"/>
      <c r="CW30" s="249"/>
      <c r="CX30" s="249"/>
      <c r="CY30" s="249"/>
      <c r="CZ30" s="249"/>
      <c r="DA30" s="1242"/>
      <c r="DB30" s="1212"/>
      <c r="DC30" s="251"/>
      <c r="DD30" s="251"/>
      <c r="DE30" s="273"/>
      <c r="DF30" s="273"/>
      <c r="DG30" s="1323"/>
      <c r="DH30" s="1324"/>
      <c r="DI30" s="273"/>
      <c r="DJ30" s="273"/>
      <c r="DK30" s="273"/>
      <c r="DL30" s="273"/>
      <c r="DM30" s="273"/>
      <c r="DN30" s="273"/>
      <c r="DO30" s="273"/>
      <c r="DP30" s="273"/>
      <c r="DQ30" s="1321"/>
      <c r="DR30" s="273"/>
      <c r="DS30" s="273"/>
      <c r="DT30" s="273"/>
      <c r="DU30" s="273"/>
      <c r="DV30" s="1323"/>
      <c r="DW30" s="1324"/>
      <c r="DX30" s="273"/>
      <c r="DY30" s="273"/>
      <c r="DZ30" s="273"/>
      <c r="EA30" s="273"/>
      <c r="EB30" s="273"/>
      <c r="EC30" s="273"/>
      <c r="ED30" s="273"/>
      <c r="EE30" s="1323"/>
      <c r="EF30" s="1324"/>
      <c r="EG30" s="273"/>
      <c r="EH30" s="273"/>
      <c r="EI30" s="273"/>
      <c r="EJ30" s="273"/>
      <c r="EK30" s="1323"/>
      <c r="EL30" s="1324"/>
      <c r="EM30" s="273"/>
      <c r="EN30" s="273"/>
      <c r="EO30" s="273"/>
      <c r="EP30" s="273"/>
      <c r="EQ30" s="273"/>
      <c r="ER30" s="273"/>
      <c r="ES30" s="273"/>
      <c r="ET30" s="273"/>
      <c r="EU30" s="1321"/>
      <c r="EV30" s="273"/>
      <c r="EW30" s="273"/>
      <c r="EX30" s="273"/>
      <c r="EY30" s="1323"/>
      <c r="EZ30" s="1324"/>
      <c r="FA30" s="273"/>
      <c r="FB30" s="273"/>
      <c r="FC30" s="273"/>
      <c r="FD30" s="273"/>
      <c r="FE30" s="273"/>
      <c r="FF30" s="273"/>
      <c r="FG30" s="273"/>
      <c r="FH30" s="1323"/>
      <c r="FI30" s="1324"/>
      <c r="FJ30" s="273"/>
      <c r="FK30" s="273"/>
      <c r="FL30" s="273"/>
      <c r="FM30" s="273"/>
    </row>
    <row r="31" spans="3:179" ht="15" thickBot="1" x14ac:dyDescent="0.4">
      <c r="C31" s="444" t="s">
        <v>319</v>
      </c>
      <c r="F31" s="653"/>
      <c r="G31" s="311"/>
      <c r="H31" s="311"/>
      <c r="I31" s="1241"/>
      <c r="J31" s="654"/>
      <c r="K31" s="311"/>
      <c r="L31" s="311"/>
      <c r="M31" s="311"/>
      <c r="N31" s="311"/>
      <c r="O31" s="311"/>
      <c r="P31" s="311"/>
      <c r="Q31" s="311"/>
      <c r="R31" s="311"/>
      <c r="S31" s="654"/>
      <c r="T31" s="311"/>
      <c r="U31" s="311"/>
      <c r="V31" s="311"/>
      <c r="W31" s="311"/>
      <c r="X31" s="1241"/>
      <c r="Y31" s="654"/>
      <c r="Z31" s="311"/>
      <c r="AA31" s="311"/>
      <c r="AB31" s="311"/>
      <c r="AC31" s="311"/>
      <c r="AD31" s="311"/>
      <c r="AE31" s="311"/>
      <c r="AF31" s="311"/>
      <c r="AG31" s="311"/>
      <c r="AH31" s="1327"/>
      <c r="AI31" s="311"/>
      <c r="AJ31" s="311"/>
      <c r="AK31" s="311"/>
      <c r="AL31" s="1241"/>
      <c r="AM31" s="654"/>
      <c r="AN31" s="311"/>
      <c r="AO31" s="311"/>
      <c r="AP31" s="311"/>
      <c r="AQ31" s="311"/>
      <c r="AR31" s="311"/>
      <c r="AS31" s="311"/>
      <c r="AT31" s="311"/>
      <c r="AU31" s="1241"/>
      <c r="AV31" s="654"/>
      <c r="AW31" s="311"/>
      <c r="AX31" s="311"/>
      <c r="AY31" s="311"/>
      <c r="AZ31" s="311"/>
      <c r="BA31" s="1241"/>
      <c r="BB31" s="654"/>
      <c r="BC31" s="311"/>
      <c r="BD31" s="311"/>
      <c r="BE31" s="311"/>
      <c r="BF31" s="311"/>
      <c r="BG31" s="311"/>
      <c r="BH31" s="311"/>
      <c r="BI31" s="311"/>
      <c r="BJ31" s="311"/>
      <c r="BK31" s="1327"/>
      <c r="BL31" s="463">
        <v>5.0999999999999996</v>
      </c>
      <c r="BM31" s="463">
        <v>5.9</v>
      </c>
      <c r="BN31" s="463"/>
      <c r="BO31" s="1593">
        <v>6.47</v>
      </c>
      <c r="BP31" s="1587"/>
      <c r="BQ31" s="463">
        <v>4.2</v>
      </c>
      <c r="BR31" s="463"/>
      <c r="BS31" s="463">
        <v>4.4000000000000004</v>
      </c>
      <c r="BT31" s="463">
        <v>5</v>
      </c>
      <c r="BU31" s="463">
        <v>5.09</v>
      </c>
      <c r="BV31" s="463">
        <v>5.7</v>
      </c>
      <c r="BW31" s="463"/>
      <c r="BX31" s="1593">
        <v>6.1</v>
      </c>
      <c r="BY31" s="1587"/>
      <c r="BZ31" s="463">
        <v>7.5</v>
      </c>
      <c r="CA31" s="463">
        <v>7.49</v>
      </c>
      <c r="CB31" s="311"/>
      <c r="CC31" s="311"/>
      <c r="CD31" s="1241"/>
      <c r="CE31" s="654"/>
      <c r="CF31" s="311"/>
      <c r="CG31" s="311"/>
      <c r="CH31" s="311"/>
      <c r="CI31" s="311"/>
      <c r="CJ31" s="311"/>
      <c r="CK31" s="311"/>
      <c r="CL31" s="311"/>
      <c r="CM31" s="311"/>
      <c r="CN31" s="1327"/>
      <c r="CO31" s="311"/>
      <c r="CP31" s="311"/>
      <c r="CQ31" s="311"/>
      <c r="CR31" s="1241"/>
      <c r="CS31" s="654"/>
      <c r="CT31" s="311"/>
      <c r="CU31" s="311"/>
      <c r="CV31" s="311"/>
      <c r="CW31" s="311"/>
      <c r="CX31" s="311"/>
      <c r="CY31" s="311"/>
      <c r="CZ31" s="311"/>
      <c r="DA31" s="1241"/>
      <c r="DB31" s="1218"/>
      <c r="DC31" s="392"/>
      <c r="DD31" s="392"/>
      <c r="DE31" s="1325"/>
      <c r="DF31" s="1325"/>
      <c r="DG31" s="1511"/>
      <c r="DH31" s="1505"/>
      <c r="DI31" s="1325"/>
      <c r="DJ31" s="1325"/>
      <c r="DK31" s="1325"/>
      <c r="DL31" s="1325"/>
      <c r="DM31" s="1325"/>
      <c r="DN31" s="1325"/>
      <c r="DO31" s="1325"/>
      <c r="DP31" s="1325"/>
      <c r="DQ31" s="1326"/>
      <c r="DR31" s="1325"/>
      <c r="DS31" s="1325"/>
      <c r="DT31" s="1325"/>
      <c r="DU31" s="1325"/>
      <c r="DV31" s="1511"/>
      <c r="DW31" s="1505"/>
      <c r="DX31" s="1325"/>
      <c r="DY31" s="1325"/>
      <c r="DZ31" s="1325"/>
      <c r="EA31" s="1325"/>
      <c r="EB31" s="1325"/>
      <c r="EC31" s="1325"/>
      <c r="ED31" s="1325"/>
      <c r="EE31" s="1511"/>
      <c r="EF31" s="1505"/>
      <c r="EG31" s="1325"/>
      <c r="EH31" s="1325"/>
      <c r="EI31" s="1325"/>
      <c r="EJ31" s="1325"/>
      <c r="EK31" s="1511"/>
      <c r="EL31" s="1505"/>
      <c r="EM31" s="1325"/>
      <c r="EN31" s="1325"/>
      <c r="EO31" s="1325"/>
      <c r="EP31" s="1325"/>
      <c r="EQ31" s="1325"/>
      <c r="ER31" s="1325"/>
      <c r="ES31" s="1325"/>
      <c r="ET31" s="1325"/>
      <c r="EU31" s="1326"/>
      <c r="EV31" s="1325"/>
      <c r="EW31" s="1325"/>
      <c r="EX31" s="1325"/>
      <c r="EY31" s="1511"/>
      <c r="EZ31" s="1505"/>
      <c r="FA31" s="1325"/>
      <c r="FB31" s="1325"/>
      <c r="FC31" s="1325"/>
      <c r="FD31" s="1325"/>
      <c r="FE31" s="1325"/>
      <c r="FF31" s="1325"/>
      <c r="FG31" s="1325"/>
      <c r="FH31" s="1511"/>
      <c r="FI31" s="1505"/>
      <c r="FJ31" s="1325"/>
      <c r="FK31" s="1325"/>
      <c r="FL31" s="1325"/>
      <c r="FM31" s="1325"/>
      <c r="FN31" s="1269"/>
      <c r="FO31" s="1214"/>
      <c r="FP31" s="225"/>
      <c r="FQ31" s="225"/>
      <c r="FR31" s="225"/>
      <c r="FS31" s="225"/>
      <c r="FT31" s="225"/>
      <c r="FU31" s="225"/>
      <c r="FV31" s="225"/>
      <c r="FW31" s="225"/>
    </row>
    <row r="32" spans="3:179" s="299" customFormat="1" ht="15.5" thickTop="1" thickBot="1" x14ac:dyDescent="0.4">
      <c r="C32" s="305"/>
      <c r="D32" s="305"/>
      <c r="E32" s="305"/>
      <c r="F32" s="1032"/>
      <c r="G32" s="312"/>
      <c r="H32" s="312"/>
      <c r="I32" s="1240"/>
      <c r="J32" s="1189"/>
      <c r="K32" s="312"/>
      <c r="L32" s="312"/>
      <c r="M32" s="312"/>
      <c r="N32" s="312"/>
      <c r="O32" s="312"/>
      <c r="P32" s="312"/>
      <c r="Q32" s="312"/>
      <c r="R32" s="1240"/>
      <c r="S32" s="1189"/>
      <c r="T32" s="312"/>
      <c r="U32" s="312"/>
      <c r="V32" s="312"/>
      <c r="W32" s="312"/>
      <c r="X32" s="1240"/>
      <c r="Y32" s="1189"/>
      <c r="Z32" s="312"/>
      <c r="AA32" s="312"/>
      <c r="AB32" s="312"/>
      <c r="AC32" s="312"/>
      <c r="AD32" s="312"/>
      <c r="AE32" s="312"/>
      <c r="AF32" s="312"/>
      <c r="AG32" s="312"/>
      <c r="AH32" s="360"/>
      <c r="AI32" s="312"/>
      <c r="AJ32" s="312"/>
      <c r="AK32" s="312"/>
      <c r="AL32" s="1240"/>
      <c r="AM32" s="1189"/>
      <c r="AN32" s="312"/>
      <c r="AO32" s="312"/>
      <c r="AP32" s="312"/>
      <c r="AQ32" s="312"/>
      <c r="AR32" s="312"/>
      <c r="AS32" s="312"/>
      <c r="AT32" s="312"/>
      <c r="AU32" s="1240"/>
      <c r="AV32" s="1189"/>
      <c r="AW32" s="312"/>
      <c r="AX32" s="312"/>
      <c r="AY32" s="312"/>
      <c r="AZ32" s="312"/>
      <c r="BA32" s="1240"/>
      <c r="BB32" s="1189"/>
      <c r="BC32" s="312"/>
      <c r="BD32" s="312"/>
      <c r="BE32" s="312"/>
      <c r="BF32" s="312"/>
      <c r="BG32" s="312"/>
      <c r="BH32" s="312"/>
      <c r="BI32" s="312"/>
      <c r="BJ32" s="312"/>
      <c r="BK32" s="360"/>
      <c r="BL32" s="316"/>
      <c r="BM32" s="316"/>
      <c r="BN32" s="316"/>
      <c r="BO32" s="1243"/>
      <c r="BP32" s="1190"/>
      <c r="BQ32" s="316"/>
      <c r="BR32" s="316"/>
      <c r="BS32" s="316"/>
      <c r="BT32" s="316"/>
      <c r="BU32" s="316"/>
      <c r="BV32" s="316"/>
      <c r="BW32" s="316"/>
      <c r="BX32" s="1243"/>
      <c r="BY32" s="1190"/>
      <c r="BZ32" s="316"/>
      <c r="CA32" s="316"/>
      <c r="CB32" s="316"/>
      <c r="CC32" s="316"/>
      <c r="CD32" s="1243"/>
      <c r="CE32" s="1190"/>
      <c r="CF32" s="316"/>
      <c r="CG32" s="316"/>
      <c r="CH32" s="316"/>
      <c r="CI32" s="316"/>
      <c r="CJ32" s="316"/>
      <c r="CK32" s="316"/>
      <c r="CL32" s="316"/>
      <c r="CM32" s="316"/>
      <c r="CN32" s="360"/>
      <c r="CO32" s="312"/>
      <c r="CP32" s="312"/>
      <c r="CQ32" s="312"/>
      <c r="CR32" s="1240"/>
      <c r="CS32" s="1189"/>
      <c r="CT32" s="312"/>
      <c r="CU32" s="312"/>
      <c r="CV32" s="312"/>
      <c r="CW32" s="312"/>
      <c r="CX32" s="312"/>
      <c r="CY32" s="312"/>
      <c r="CZ32" s="312"/>
      <c r="DA32" s="1240"/>
      <c r="DB32" s="1189"/>
      <c r="DC32" s="312"/>
      <c r="DD32" s="312"/>
      <c r="DE32" s="307"/>
      <c r="DF32" s="307"/>
      <c r="DG32" s="1239"/>
      <c r="DH32" s="1186"/>
      <c r="DI32" s="307"/>
      <c r="DJ32" s="307"/>
      <c r="DK32" s="307"/>
      <c r="DL32" s="307"/>
      <c r="DM32" s="307"/>
      <c r="DN32" s="307"/>
      <c r="DO32" s="307"/>
      <c r="DP32" s="307"/>
      <c r="DQ32" s="359"/>
      <c r="DR32" s="361"/>
      <c r="DS32" s="307"/>
      <c r="DT32" s="307"/>
      <c r="DU32" s="307"/>
      <c r="DV32" s="1239"/>
      <c r="DW32" s="1186"/>
      <c r="DX32" s="307"/>
      <c r="DY32" s="307"/>
      <c r="DZ32" s="307"/>
      <c r="EA32" s="307"/>
      <c r="EB32" s="307"/>
      <c r="EC32" s="307"/>
      <c r="ED32" s="307"/>
      <c r="EE32" s="1239"/>
      <c r="EF32" s="1186"/>
      <c r="EG32" s="307"/>
      <c r="EH32" s="307"/>
      <c r="EI32" s="307"/>
      <c r="EJ32" s="307"/>
      <c r="EK32" s="1239"/>
      <c r="EL32" s="1186"/>
      <c r="EM32" s="307"/>
      <c r="EN32" s="307"/>
      <c r="EO32" s="307"/>
      <c r="EP32" s="307"/>
      <c r="EQ32" s="307"/>
      <c r="ER32" s="307"/>
      <c r="ES32" s="307"/>
      <c r="ET32" s="307"/>
      <c r="EU32" s="359"/>
      <c r="EV32" s="307"/>
      <c r="EW32" s="307"/>
      <c r="EX32" s="307"/>
      <c r="EY32" s="1239"/>
      <c r="EZ32" s="1186"/>
      <c r="FA32" s="307"/>
      <c r="FB32" s="307"/>
      <c r="FC32" s="307"/>
      <c r="FD32" s="307"/>
      <c r="FE32" s="307"/>
      <c r="FF32" s="307"/>
      <c r="FG32" s="307"/>
      <c r="FH32" s="1239"/>
      <c r="FI32" s="1186"/>
      <c r="FJ32" s="307"/>
      <c r="FK32" s="307"/>
      <c r="FL32" s="307"/>
      <c r="FM32" s="307"/>
      <c r="FN32" s="1239"/>
      <c r="FO32" s="1186"/>
      <c r="FP32" s="307"/>
      <c r="FQ32" s="307"/>
      <c r="FR32" s="307"/>
      <c r="FS32" s="307"/>
      <c r="FT32" s="307"/>
      <c r="FU32" s="307"/>
      <c r="FV32" s="307"/>
      <c r="FW32" s="307"/>
    </row>
    <row r="33" spans="3:180" ht="15" thickTop="1" x14ac:dyDescent="0.35">
      <c r="C33" s="1" t="s">
        <v>95</v>
      </c>
      <c r="F33" s="1033"/>
      <c r="G33" s="309"/>
      <c r="H33" s="309"/>
      <c r="I33" s="422"/>
      <c r="J33" s="421"/>
      <c r="K33" s="309"/>
      <c r="L33" s="309"/>
      <c r="M33" s="309"/>
      <c r="N33" s="309"/>
      <c r="O33" s="309"/>
      <c r="P33" s="309"/>
      <c r="Q33" s="309"/>
      <c r="R33" s="309"/>
      <c r="S33" s="421"/>
      <c r="T33" s="421"/>
      <c r="U33" s="421"/>
      <c r="V33" s="421"/>
      <c r="W33" s="421"/>
      <c r="X33" s="421"/>
      <c r="Y33" s="421"/>
      <c r="Z33" s="421"/>
      <c r="AA33" s="421"/>
      <c r="AB33" s="421"/>
      <c r="AC33" s="421"/>
      <c r="AD33" s="421"/>
      <c r="AE33" s="421"/>
      <c r="AF33" s="421"/>
      <c r="AG33" s="421"/>
      <c r="AH33" s="357"/>
      <c r="AI33" s="309"/>
      <c r="AJ33" s="309"/>
      <c r="AK33" s="309"/>
      <c r="AL33" s="422"/>
      <c r="AM33" s="421"/>
      <c r="AN33" s="309"/>
      <c r="AO33" s="309"/>
      <c r="AP33" s="309"/>
      <c r="AQ33" s="309"/>
      <c r="AR33" s="309"/>
      <c r="AS33" s="309"/>
      <c r="AT33" s="309"/>
      <c r="AU33" s="422"/>
      <c r="AV33" s="421"/>
      <c r="AW33" s="309"/>
      <c r="AX33" s="309"/>
      <c r="AY33" s="309"/>
      <c r="AZ33" s="309"/>
      <c r="BA33" s="422"/>
      <c r="BB33" s="421"/>
      <c r="BC33" s="309"/>
      <c r="BD33" s="309"/>
      <c r="BE33" s="309"/>
      <c r="BF33" s="309"/>
      <c r="BG33" s="309"/>
      <c r="BH33" s="309"/>
      <c r="BI33" s="309"/>
      <c r="BJ33" s="309"/>
      <c r="BK33" s="357"/>
      <c r="BL33" s="309" cm="1">
        <f t="array" ref="BL33:CM33">'HPS DAILY (repro+)'!J$89:AK$89</f>
        <v>13.335470050000001</v>
      </c>
      <c r="BM33" s="309">
        <v>15.005132</v>
      </c>
      <c r="BN33" s="309">
        <v>15.2668345</v>
      </c>
      <c r="BO33" s="422">
        <v>15.319175</v>
      </c>
      <c r="BP33" s="421">
        <v>7.4366956999999996</v>
      </c>
      <c r="BQ33" s="309">
        <v>7.6774620000000002</v>
      </c>
      <c r="BR33" s="309">
        <v>8.3892927999999998</v>
      </c>
      <c r="BS33" s="309">
        <v>8.8289530000000003</v>
      </c>
      <c r="BT33" s="309">
        <v>9.1953364999999998</v>
      </c>
      <c r="BU33" s="309">
        <v>9.3942303999999996</v>
      </c>
      <c r="BV33" s="309">
        <v>9.6768690999999993</v>
      </c>
      <c r="BW33" s="309">
        <v>10.3782318</v>
      </c>
      <c r="BX33" s="422">
        <v>10.085125</v>
      </c>
      <c r="BY33" s="421">
        <v>0.14043</v>
      </c>
      <c r="BZ33" s="309">
        <v>0.14043</v>
      </c>
      <c r="CA33" s="309">
        <v>0.14043</v>
      </c>
      <c r="CB33" s="309">
        <v>0.14043</v>
      </c>
      <c r="CC33" s="309">
        <v>0.14043</v>
      </c>
      <c r="CD33" s="422">
        <v>0.14043</v>
      </c>
      <c r="CE33" s="421">
        <v>0.14043</v>
      </c>
      <c r="CF33" s="309">
        <v>0.14043</v>
      </c>
      <c r="CG33" s="309">
        <v>0.14043</v>
      </c>
      <c r="CH33" s="309">
        <v>0.14043</v>
      </c>
      <c r="CI33" s="309">
        <v>0.14043</v>
      </c>
      <c r="CJ33" s="309">
        <v>0.14043</v>
      </c>
      <c r="CK33" s="309">
        <v>0.14043</v>
      </c>
      <c r="CL33" s="309">
        <v>0.14043</v>
      </c>
      <c r="CM33" s="309">
        <v>0.14043</v>
      </c>
      <c r="CN33" s="357"/>
      <c r="CO33" s="296"/>
      <c r="CP33" s="296"/>
      <c r="CQ33" s="296"/>
      <c r="CR33" s="1235"/>
      <c r="CS33" s="1187"/>
      <c r="CT33" s="296"/>
      <c r="CU33" s="296"/>
      <c r="CV33" s="296"/>
      <c r="CW33" s="296"/>
      <c r="CX33" s="296"/>
      <c r="CY33" s="296"/>
      <c r="CZ33" s="296"/>
      <c r="DA33" s="1235"/>
      <c r="DB33" s="1187"/>
      <c r="DC33" s="296"/>
      <c r="DD33" s="296"/>
      <c r="DE33" s="229"/>
      <c r="DF33" s="229"/>
      <c r="DG33" s="1245"/>
      <c r="DH33" s="538"/>
      <c r="DI33" s="229"/>
      <c r="DJ33" s="229"/>
      <c r="DK33" s="229"/>
      <c r="DL33" s="229"/>
      <c r="DM33" s="229"/>
      <c r="DN33" s="229"/>
      <c r="DO33" s="229"/>
      <c r="DP33" s="229"/>
      <c r="DQ33" s="356"/>
      <c r="DR33" s="358"/>
      <c r="DS33" s="229"/>
      <c r="DT33" s="229"/>
      <c r="DU33" s="229"/>
      <c r="DV33" s="1245"/>
      <c r="DW33" s="538"/>
      <c r="DX33" s="229"/>
      <c r="DY33" s="229"/>
      <c r="DZ33" s="229"/>
      <c r="EA33" s="229"/>
      <c r="EB33" s="229"/>
      <c r="EC33" s="229"/>
      <c r="ED33" s="229"/>
      <c r="EE33" s="1245"/>
      <c r="EF33" s="538"/>
      <c r="EG33" s="229"/>
      <c r="EH33" s="229"/>
      <c r="EI33" s="229"/>
      <c r="EJ33" s="229"/>
      <c r="EK33" s="1245"/>
      <c r="EL33" s="538"/>
      <c r="EM33" s="229"/>
      <c r="EN33" s="229"/>
      <c r="EO33" s="229"/>
      <c r="EP33" s="229"/>
      <c r="EQ33" s="229"/>
      <c r="ER33" s="229"/>
      <c r="ES33" s="229"/>
      <c r="ET33" s="229"/>
      <c r="EU33" s="356"/>
      <c r="EV33" s="229"/>
      <c r="EW33" s="229"/>
      <c r="EX33" s="229"/>
      <c r="EY33" s="1245"/>
      <c r="EZ33" s="538"/>
      <c r="FA33" s="229"/>
      <c r="FB33" s="229"/>
      <c r="FC33" s="229"/>
      <c r="FD33" s="229"/>
      <c r="FE33" s="229"/>
      <c r="FF33" s="229"/>
      <c r="FG33" s="229"/>
      <c r="FH33" s="1245"/>
      <c r="FI33" s="538"/>
      <c r="FJ33" s="229"/>
      <c r="FK33" s="229"/>
      <c r="FL33" s="229"/>
      <c r="FM33" s="229"/>
      <c r="FN33" s="1245"/>
      <c r="FO33" s="538"/>
      <c r="FP33" s="229"/>
      <c r="FQ33" s="229"/>
      <c r="FR33" s="229"/>
      <c r="FS33" s="229"/>
      <c r="FT33" s="229"/>
      <c r="FU33" s="229"/>
      <c r="FV33" s="229"/>
      <c r="FW33" s="229"/>
    </row>
    <row r="34" spans="3:180" ht="15" thickBot="1" x14ac:dyDescent="0.4">
      <c r="C34" s="444" t="s">
        <v>318</v>
      </c>
      <c r="F34" s="653"/>
      <c r="G34" s="311"/>
      <c r="H34" s="311"/>
      <c r="I34" s="1241"/>
      <c r="J34" s="654"/>
      <c r="K34" s="311"/>
      <c r="L34" s="311"/>
      <c r="M34" s="311"/>
      <c r="N34" s="311"/>
      <c r="O34" s="311"/>
      <c r="P34" s="311"/>
      <c r="Q34" s="311"/>
      <c r="R34" s="311"/>
      <c r="S34" s="654"/>
      <c r="T34" s="311"/>
      <c r="U34" s="311"/>
      <c r="V34" s="304"/>
      <c r="W34" s="304"/>
      <c r="X34" s="1238"/>
      <c r="Y34" s="1188"/>
      <c r="Z34" s="304"/>
      <c r="AA34" s="304"/>
      <c r="AB34" s="304"/>
      <c r="AC34" s="304"/>
      <c r="AD34" s="304"/>
      <c r="AE34" s="304"/>
      <c r="AF34" s="304"/>
      <c r="AG34" s="304"/>
      <c r="AH34" s="350"/>
      <c r="AI34" s="304"/>
      <c r="AJ34" s="304"/>
      <c r="AK34" s="304"/>
      <c r="AL34" s="1238"/>
      <c r="AM34" s="1188"/>
      <c r="AN34" s="304"/>
      <c r="AO34" s="304"/>
      <c r="AP34" s="304"/>
      <c r="AQ34" s="304"/>
      <c r="AR34" s="304"/>
      <c r="AS34" s="304"/>
      <c r="AT34" s="304"/>
      <c r="AU34" s="1238"/>
      <c r="AV34" s="1188"/>
      <c r="AW34" s="304"/>
      <c r="AX34" s="304"/>
      <c r="AY34" s="304"/>
      <c r="AZ34" s="304"/>
      <c r="BA34" s="1238"/>
      <c r="BB34" s="1188"/>
      <c r="BC34" s="304"/>
      <c r="BD34" s="304"/>
      <c r="BE34" s="304"/>
      <c r="BF34" s="304"/>
      <c r="BG34" s="304"/>
      <c r="BH34" s="304"/>
      <c r="BI34" s="304"/>
      <c r="BJ34" s="304"/>
      <c r="BK34" s="350"/>
      <c r="BL34" s="463">
        <v>14.2</v>
      </c>
      <c r="BM34" s="463">
        <v>14.5</v>
      </c>
      <c r="BN34" s="463">
        <v>15</v>
      </c>
      <c r="BO34" s="1593">
        <v>15.23</v>
      </c>
      <c r="BP34" s="1587">
        <v>10</v>
      </c>
      <c r="BQ34" s="463">
        <v>10.5</v>
      </c>
      <c r="BR34" s="463">
        <v>11.6</v>
      </c>
      <c r="BS34" s="463">
        <v>11.6</v>
      </c>
      <c r="BT34" s="463">
        <v>12</v>
      </c>
      <c r="BU34" s="463">
        <v>12.27</v>
      </c>
      <c r="BV34" s="463">
        <v>13.2</v>
      </c>
      <c r="BW34" s="463">
        <v>12.5</v>
      </c>
      <c r="BX34" s="1593">
        <v>12.6</v>
      </c>
      <c r="BY34" s="1587">
        <v>12.8</v>
      </c>
      <c r="BZ34" s="463">
        <v>13</v>
      </c>
      <c r="CA34" s="463">
        <v>12.43</v>
      </c>
      <c r="CB34" s="311"/>
      <c r="CC34" s="311"/>
      <c r="CD34" s="1241"/>
      <c r="CE34" s="654"/>
      <c r="CF34" s="311"/>
      <c r="CG34" s="311"/>
      <c r="CH34" s="311"/>
      <c r="CI34" s="311"/>
      <c r="CJ34" s="311"/>
      <c r="CK34" s="311"/>
      <c r="CL34" s="311"/>
      <c r="CM34" s="311"/>
      <c r="CN34" s="350"/>
      <c r="CO34" s="304"/>
      <c r="CP34" s="304"/>
      <c r="CQ34" s="304"/>
      <c r="CR34" s="1238"/>
      <c r="CS34" s="1188"/>
      <c r="CT34" s="304"/>
      <c r="CU34" s="304"/>
      <c r="CV34" s="304"/>
      <c r="CW34" s="304"/>
      <c r="CX34" s="304"/>
      <c r="CY34" s="304"/>
      <c r="CZ34" s="304"/>
      <c r="DA34" s="1238"/>
      <c r="DB34" s="1188"/>
      <c r="DC34" s="304"/>
      <c r="DD34" s="304"/>
      <c r="DE34" s="225"/>
      <c r="DF34" s="225"/>
      <c r="DG34" s="1269"/>
      <c r="DH34" s="1214"/>
      <c r="DI34" s="225"/>
      <c r="DJ34" s="225"/>
      <c r="DK34" s="225"/>
      <c r="DL34" s="225"/>
      <c r="DM34" s="225"/>
      <c r="DN34" s="225"/>
      <c r="DO34" s="225"/>
      <c r="DP34" s="225"/>
      <c r="DQ34" s="344"/>
      <c r="DR34" s="345"/>
      <c r="DS34" s="225"/>
      <c r="DT34" s="225"/>
      <c r="DU34" s="225"/>
      <c r="DV34" s="1269"/>
      <c r="DW34" s="1214"/>
      <c r="DX34" s="225"/>
      <c r="DY34" s="225"/>
      <c r="DZ34" s="225"/>
      <c r="EA34" s="225"/>
      <c r="EB34" s="225"/>
      <c r="EC34" s="225"/>
      <c r="ED34" s="225"/>
      <c r="EE34" s="1269"/>
      <c r="EF34" s="1214"/>
      <c r="EG34" s="225"/>
      <c r="EH34" s="225"/>
      <c r="EI34" s="225"/>
      <c r="EJ34" s="225"/>
      <c r="EK34" s="1269"/>
      <c r="EL34" s="1214"/>
      <c r="EM34" s="225"/>
      <c r="EN34" s="225"/>
      <c r="EO34" s="225"/>
      <c r="EP34" s="225"/>
      <c r="EQ34" s="225"/>
      <c r="ER34" s="225"/>
      <c r="ES34" s="225"/>
      <c r="ET34" s="225"/>
      <c r="EU34" s="344"/>
      <c r="EV34" s="225"/>
      <c r="EW34" s="225"/>
      <c r="EX34" s="225"/>
      <c r="EY34" s="1269"/>
      <c r="EZ34" s="1214"/>
      <c r="FA34" s="225"/>
      <c r="FB34" s="225"/>
      <c r="FC34" s="225"/>
      <c r="FD34" s="225"/>
      <c r="FE34" s="225"/>
      <c r="FF34" s="225"/>
      <c r="FG34" s="225"/>
      <c r="FH34" s="1269"/>
      <c r="FI34" s="1214"/>
      <c r="FJ34" s="225"/>
      <c r="FK34" s="225"/>
      <c r="FL34" s="225"/>
      <c r="FM34" s="225"/>
      <c r="FN34" s="1269"/>
      <c r="FO34" s="1214"/>
      <c r="FP34" s="225"/>
      <c r="FQ34" s="225"/>
      <c r="FR34" s="225"/>
      <c r="FS34" s="225"/>
      <c r="FT34" s="225"/>
      <c r="FU34" s="225"/>
      <c r="FV34" s="225"/>
      <c r="FW34" s="225"/>
    </row>
    <row r="35" spans="3:180" s="299" customFormat="1" ht="15.5" thickTop="1" thickBot="1" x14ac:dyDescent="0.4">
      <c r="C35" s="305"/>
      <c r="D35" s="305"/>
      <c r="E35" s="305"/>
      <c r="F35" s="1031"/>
      <c r="G35" s="307"/>
      <c r="H35" s="307"/>
      <c r="I35" s="1239"/>
      <c r="J35" s="1186"/>
      <c r="K35" s="307"/>
      <c r="L35" s="307"/>
      <c r="M35" s="307"/>
      <c r="N35" s="307"/>
      <c r="O35" s="307"/>
      <c r="P35" s="307"/>
      <c r="Q35" s="307"/>
      <c r="R35" s="1239"/>
      <c r="S35" s="1186"/>
      <c r="T35" s="307"/>
      <c r="U35" s="307"/>
      <c r="V35" s="307"/>
      <c r="W35" s="307"/>
      <c r="X35" s="1239"/>
      <c r="Y35" s="1186"/>
      <c r="Z35" s="307"/>
      <c r="AA35" s="307"/>
      <c r="AB35" s="307"/>
      <c r="AC35" s="307"/>
      <c r="AD35" s="307"/>
      <c r="AE35" s="307"/>
      <c r="AF35" s="307"/>
      <c r="AG35" s="307"/>
      <c r="AH35" s="359"/>
      <c r="AI35" s="307"/>
      <c r="AJ35" s="307"/>
      <c r="AK35" s="307"/>
      <c r="AL35" s="1239"/>
      <c r="AM35" s="1186"/>
      <c r="AN35" s="307"/>
      <c r="AO35" s="307"/>
      <c r="AP35" s="307"/>
      <c r="AQ35" s="307"/>
      <c r="AR35" s="307"/>
      <c r="AS35" s="307"/>
      <c r="AT35" s="307"/>
      <c r="AU35" s="1239"/>
      <c r="AV35" s="1186"/>
      <c r="AW35" s="307"/>
      <c r="AX35" s="307"/>
      <c r="AY35" s="307"/>
      <c r="AZ35" s="307"/>
      <c r="BA35" s="1239"/>
      <c r="BB35" s="1186"/>
      <c r="BC35" s="307"/>
      <c r="BD35" s="307"/>
      <c r="BE35" s="307"/>
      <c r="BF35" s="307"/>
      <c r="BG35" s="307"/>
      <c r="BH35" s="307"/>
      <c r="BI35" s="307"/>
      <c r="BJ35" s="307"/>
      <c r="BK35" s="359"/>
      <c r="BL35" s="315"/>
      <c r="BM35" s="315"/>
      <c r="BN35" s="315"/>
      <c r="BO35" s="1594"/>
      <c r="BP35" s="1588"/>
      <c r="BQ35" s="315"/>
      <c r="BR35" s="315"/>
      <c r="BS35" s="315"/>
      <c r="BT35" s="315"/>
      <c r="BU35" s="315"/>
      <c r="BV35" s="315"/>
      <c r="BW35" s="315"/>
      <c r="BX35" s="1594"/>
      <c r="BY35" s="1588"/>
      <c r="BZ35" s="315"/>
      <c r="CA35" s="315"/>
      <c r="CB35" s="315"/>
      <c r="CC35" s="315"/>
      <c r="CD35" s="1594"/>
      <c r="CE35" s="1588"/>
      <c r="CF35" s="315"/>
      <c r="CG35" s="315"/>
      <c r="CH35" s="315"/>
      <c r="CI35" s="315"/>
      <c r="CJ35" s="315"/>
      <c r="CK35" s="315"/>
      <c r="CL35" s="315"/>
      <c r="CM35" s="315"/>
      <c r="CN35" s="359"/>
      <c r="CO35" s="307"/>
      <c r="CP35" s="307"/>
      <c r="CQ35" s="307"/>
      <c r="CR35" s="1239"/>
      <c r="CS35" s="1186"/>
      <c r="CT35" s="307"/>
      <c r="CU35" s="307"/>
      <c r="CV35" s="307"/>
      <c r="CW35" s="307"/>
      <c r="CX35" s="307"/>
      <c r="CY35" s="307"/>
      <c r="CZ35" s="307"/>
      <c r="DA35" s="1239"/>
      <c r="DB35" s="1186"/>
      <c r="DC35" s="307"/>
      <c r="DD35" s="307"/>
      <c r="DE35" s="307"/>
      <c r="DF35" s="307"/>
      <c r="DG35" s="1239"/>
      <c r="DH35" s="1186"/>
      <c r="DI35" s="307"/>
      <c r="DJ35" s="307"/>
      <c r="DK35" s="307"/>
      <c r="DL35" s="307"/>
      <c r="DM35" s="307"/>
      <c r="DN35" s="307"/>
      <c r="DO35" s="307"/>
      <c r="DP35" s="307"/>
      <c r="DQ35" s="359"/>
      <c r="DR35" s="361"/>
      <c r="DS35" s="307"/>
      <c r="DT35" s="307"/>
      <c r="DU35" s="307"/>
      <c r="DV35" s="1239"/>
      <c r="DW35" s="1186"/>
      <c r="DX35" s="307"/>
      <c r="DY35" s="307"/>
      <c r="DZ35" s="307"/>
      <c r="EA35" s="307"/>
      <c r="EB35" s="307"/>
      <c r="EC35" s="307"/>
      <c r="ED35" s="307"/>
      <c r="EE35" s="1239"/>
      <c r="EF35" s="1186"/>
      <c r="EG35" s="307"/>
      <c r="EH35" s="307"/>
      <c r="EI35" s="307"/>
      <c r="EJ35" s="307"/>
      <c r="EK35" s="1239"/>
      <c r="EL35" s="1186"/>
      <c r="EM35" s="307"/>
      <c r="EN35" s="307"/>
      <c r="EO35" s="307"/>
      <c r="EP35" s="307"/>
      <c r="EQ35" s="307"/>
      <c r="ER35" s="307"/>
      <c r="ES35" s="307"/>
      <c r="ET35" s="307"/>
      <c r="EU35" s="359"/>
      <c r="EV35" s="307"/>
      <c r="EW35" s="307"/>
      <c r="EX35" s="307"/>
      <c r="EY35" s="1239"/>
      <c r="EZ35" s="1186"/>
      <c r="FA35" s="307"/>
      <c r="FB35" s="307"/>
      <c r="FC35" s="307"/>
      <c r="FD35" s="307"/>
      <c r="FE35" s="307"/>
      <c r="FF35" s="307"/>
      <c r="FG35" s="307"/>
      <c r="FH35" s="1239"/>
      <c r="FI35" s="1186"/>
      <c r="FJ35" s="307"/>
      <c r="FK35" s="307"/>
      <c r="FL35" s="307"/>
      <c r="FM35" s="307"/>
      <c r="FN35" s="1239"/>
      <c r="FO35" s="1186"/>
      <c r="FP35" s="307"/>
      <c r="FQ35" s="307"/>
      <c r="FR35" s="307"/>
      <c r="FS35" s="307"/>
      <c r="FT35" s="307"/>
      <c r="FU35" s="307"/>
      <c r="FV35" s="307"/>
      <c r="FW35" s="307"/>
    </row>
    <row r="36" spans="3:180" ht="15" thickTop="1" x14ac:dyDescent="0.35">
      <c r="C36" s="1" t="s">
        <v>174</v>
      </c>
      <c r="F36" s="1033"/>
      <c r="G36" s="309"/>
      <c r="H36" s="309"/>
      <c r="I36" s="422"/>
      <c r="J36" s="421"/>
      <c r="K36" s="309"/>
      <c r="L36" s="309"/>
      <c r="M36" s="309"/>
      <c r="N36" s="309"/>
      <c r="O36" s="309"/>
      <c r="P36" s="309"/>
      <c r="Q36" s="309"/>
      <c r="R36" s="422"/>
      <c r="S36" s="421"/>
      <c r="T36" s="309"/>
      <c r="U36" s="309"/>
      <c r="V36" s="309"/>
      <c r="W36" s="309"/>
      <c r="X36" s="422"/>
      <c r="Y36" s="421"/>
      <c r="Z36" s="309"/>
      <c r="AA36" s="309"/>
      <c r="AB36" s="309"/>
      <c r="AC36" s="309"/>
      <c r="AD36" s="309"/>
      <c r="AE36" s="309"/>
      <c r="AF36" s="309"/>
      <c r="AG36" s="309"/>
      <c r="AH36" s="356"/>
      <c r="AI36" s="313"/>
      <c r="AJ36" s="313"/>
      <c r="AK36" s="313"/>
      <c r="AL36" s="1614"/>
      <c r="AM36" s="1606"/>
      <c r="AN36" s="313"/>
      <c r="AO36" s="313"/>
      <c r="AP36" s="313"/>
      <c r="AQ36" s="313"/>
      <c r="AR36" s="313"/>
      <c r="AS36" s="313"/>
      <c r="AT36" s="313"/>
      <c r="AU36" s="1614"/>
      <c r="AV36" s="1606"/>
      <c r="AW36" s="313"/>
      <c r="AX36" s="313"/>
      <c r="AY36" s="313"/>
      <c r="AZ36" s="313"/>
      <c r="BA36" s="1614"/>
      <c r="BB36" s="1606"/>
      <c r="BC36" s="313"/>
      <c r="BD36" s="313"/>
      <c r="BE36" s="313"/>
      <c r="BF36" s="313"/>
      <c r="BG36" s="313"/>
      <c r="BH36" s="313"/>
      <c r="BI36" s="313"/>
      <c r="BJ36" s="313"/>
      <c r="BK36" s="356"/>
      <c r="BL36" s="314" cm="1">
        <f t="array" ref="BL36:CM36">'HPS DAILY (repro+)'!J$27:AK27</f>
        <v>87.925088000000002</v>
      </c>
      <c r="BM36" s="314">
        <v>87.133666000000005</v>
      </c>
      <c r="BN36" s="314">
        <v>88.686455999999993</v>
      </c>
      <c r="BO36" s="1330">
        <v>88.335825999999997</v>
      </c>
      <c r="BP36" s="1331">
        <v>88.786636000000001</v>
      </c>
      <c r="BQ36" s="314">
        <v>88.616330000000005</v>
      </c>
      <c r="BR36" s="314">
        <v>89.407752000000002</v>
      </c>
      <c r="BS36" s="314">
        <v>89.838526000000002</v>
      </c>
      <c r="BT36" s="314">
        <v>89.658202000000003</v>
      </c>
      <c r="BU36" s="314">
        <v>89.808472000000009</v>
      </c>
      <c r="BV36" s="314">
        <v>89.367680000000007</v>
      </c>
      <c r="BW36" s="314">
        <v>89.908652000000004</v>
      </c>
      <c r="BX36" s="1330">
        <v>89.027068</v>
      </c>
      <c r="BY36" s="1331">
        <v>8.7263999999999994E-2</v>
      </c>
      <c r="BZ36" s="314">
        <v>8.7263999999999994E-2</v>
      </c>
      <c r="CA36" s="314">
        <v>8.7263999999999994E-2</v>
      </c>
      <c r="CB36" s="314">
        <v>8.7263999999999994E-2</v>
      </c>
      <c r="CC36" s="314">
        <v>8.7263999999999994E-2</v>
      </c>
      <c r="CD36" s="1330">
        <v>8.7263999999999994E-2</v>
      </c>
      <c r="CE36" s="1331">
        <v>8.7263999999999994E-2</v>
      </c>
      <c r="CF36" s="314">
        <v>8.7263999999999994E-2</v>
      </c>
      <c r="CG36" s="314">
        <v>8.7263999999999994E-2</v>
      </c>
      <c r="CH36" s="314">
        <v>8.7263999999999994E-2</v>
      </c>
      <c r="CI36" s="314">
        <v>8.7263999999999994E-2</v>
      </c>
      <c r="CJ36" s="314">
        <v>8.7263999999999994E-2</v>
      </c>
      <c r="CK36" s="314">
        <v>8.7263999999999994E-2</v>
      </c>
      <c r="CL36" s="314">
        <v>8.7263999999999994E-2</v>
      </c>
      <c r="CM36" s="314">
        <v>8.7263999999999994E-2</v>
      </c>
      <c r="CN36" s="356"/>
      <c r="CO36" s="309"/>
      <c r="CP36" s="309"/>
      <c r="CQ36" s="309"/>
      <c r="CR36" s="422"/>
      <c r="CS36" s="421"/>
      <c r="CT36" s="309"/>
      <c r="CU36" s="309"/>
      <c r="CV36" s="309"/>
      <c r="CW36" s="309"/>
      <c r="CX36" s="309"/>
      <c r="CY36" s="309"/>
      <c r="CZ36" s="309"/>
      <c r="DA36" s="422"/>
      <c r="DB36" s="421"/>
      <c r="DC36" s="309"/>
      <c r="DD36" s="309"/>
      <c r="DE36" s="300"/>
      <c r="DF36" s="300"/>
      <c r="DG36" s="1512"/>
      <c r="DH36" s="1506"/>
      <c r="DI36" s="300"/>
      <c r="DJ36" s="300"/>
      <c r="DK36" s="300"/>
      <c r="DL36" s="300"/>
      <c r="DM36" s="300"/>
      <c r="DN36" s="300"/>
      <c r="DO36" s="300"/>
      <c r="DP36" s="300"/>
      <c r="DQ36" s="356"/>
      <c r="DR36" s="358"/>
      <c r="DS36" s="229"/>
      <c r="DT36" s="229"/>
      <c r="DU36" s="229"/>
      <c r="DV36" s="1245"/>
      <c r="DW36" s="538"/>
      <c r="DX36" s="229"/>
      <c r="DY36" s="229"/>
      <c r="DZ36" s="229"/>
      <c r="EA36" s="229"/>
      <c r="EB36" s="229"/>
      <c r="EC36" s="229"/>
      <c r="ED36" s="229"/>
      <c r="EE36" s="1245"/>
      <c r="EF36" s="538"/>
      <c r="EG36" s="229"/>
      <c r="EH36" s="229"/>
      <c r="EI36" s="229"/>
      <c r="EJ36" s="229"/>
      <c r="EK36" s="1245"/>
      <c r="EL36" s="538"/>
      <c r="EM36" s="229"/>
      <c r="EN36" s="229"/>
      <c r="EO36" s="229"/>
      <c r="EP36" s="229"/>
      <c r="EQ36" s="229"/>
      <c r="ER36" s="229"/>
      <c r="ES36" s="229"/>
      <c r="ET36" s="229"/>
      <c r="EU36" s="356"/>
      <c r="EV36" s="229"/>
      <c r="EW36" s="229"/>
      <c r="EX36" s="229"/>
      <c r="EY36" s="1245"/>
      <c r="EZ36" s="538"/>
      <c r="FA36" s="229"/>
      <c r="FB36" s="229"/>
      <c r="FC36" s="229"/>
      <c r="FD36" s="229"/>
      <c r="FE36" s="229"/>
      <c r="FF36" s="229"/>
      <c r="FG36" s="229"/>
      <c r="FH36" s="1245"/>
      <c r="FI36" s="538"/>
      <c r="FJ36" s="229"/>
      <c r="FK36" s="229"/>
      <c r="FL36" s="229"/>
      <c r="FM36" s="229"/>
      <c r="FN36" s="1245"/>
      <c r="FO36" s="538"/>
      <c r="FP36" s="229"/>
      <c r="FQ36" s="229"/>
      <c r="FR36" s="229"/>
      <c r="FS36" s="229"/>
      <c r="FT36" s="229"/>
      <c r="FU36" s="229"/>
      <c r="FV36" s="229"/>
      <c r="FW36" s="229"/>
    </row>
    <row r="37" spans="3:180" x14ac:dyDescent="0.35">
      <c r="C37" s="1" t="s">
        <v>175</v>
      </c>
      <c r="F37" s="501"/>
      <c r="G37" s="249"/>
      <c r="H37" s="249"/>
      <c r="I37" s="1242"/>
      <c r="J37" s="419"/>
      <c r="K37" s="249"/>
      <c r="L37" s="249"/>
      <c r="M37" s="249"/>
      <c r="N37" s="249"/>
      <c r="O37" s="249"/>
      <c r="P37" s="249"/>
      <c r="Q37" s="249"/>
      <c r="R37" s="1242"/>
      <c r="S37" s="419"/>
      <c r="T37" s="249"/>
      <c r="U37" s="249"/>
      <c r="V37" s="249"/>
      <c r="W37" s="249"/>
      <c r="X37" s="1242"/>
      <c r="Y37" s="419"/>
      <c r="Z37" s="249"/>
      <c r="AA37" s="249"/>
      <c r="AB37" s="249"/>
      <c r="AC37" s="249"/>
      <c r="AD37" s="249"/>
      <c r="AE37" s="249"/>
      <c r="AF37" s="249"/>
      <c r="AG37" s="249"/>
      <c r="AI37" s="267"/>
      <c r="AJ37" s="267"/>
      <c r="AK37" s="267"/>
      <c r="AL37" s="1285"/>
      <c r="AM37" s="645"/>
      <c r="AN37" s="267"/>
      <c r="AO37" s="267"/>
      <c r="AP37" s="267"/>
      <c r="AQ37" s="267"/>
      <c r="AR37" s="267"/>
      <c r="AS37" s="267"/>
      <c r="AT37" s="267"/>
      <c r="AU37" s="1285"/>
      <c r="AV37" s="645"/>
      <c r="AW37" s="267"/>
      <c r="AX37" s="267"/>
      <c r="AY37" s="267"/>
      <c r="AZ37" s="267"/>
      <c r="BA37" s="1285"/>
      <c r="BB37" s="645"/>
      <c r="BC37" s="267"/>
      <c r="BD37" s="267"/>
      <c r="BE37" s="267"/>
      <c r="BF37" s="267"/>
      <c r="BG37" s="267"/>
      <c r="BH37" s="267"/>
      <c r="BI37" s="267"/>
      <c r="BJ37" s="267"/>
      <c r="BL37" s="250">
        <f>'HPS DAILY'!K$28</f>
        <v>11.09</v>
      </c>
      <c r="BM37" s="250">
        <f>'HPS DAILY'!L$28</f>
        <v>10.74</v>
      </c>
      <c r="BN37" s="250">
        <f>'HPS DAILY'!M$28</f>
        <v>10.97</v>
      </c>
      <c r="BO37" s="1280">
        <f>'HPS DAILY'!N$28</f>
        <v>10.92</v>
      </c>
      <c r="BP37" s="1223">
        <f>'HPS DAILY'!O$28</f>
        <v>11.46</v>
      </c>
      <c r="BQ37" s="250">
        <f>'HPS DAILY'!P$28</f>
        <v>11.4</v>
      </c>
      <c r="BR37" s="250">
        <f>'HPS DAILY'!Q$28</f>
        <v>11.25</v>
      </c>
      <c r="BS37" s="250">
        <f>'HPS DAILY'!R$28</f>
        <v>11.16</v>
      </c>
      <c r="BT37" s="250">
        <f>'HPS DAILY'!S$28</f>
        <v>11.17</v>
      </c>
      <c r="BU37" s="250">
        <f>'HPS DAILY'!T$28</f>
        <v>11.11</v>
      </c>
      <c r="BV37" s="250">
        <f>'HPS DAILY'!U$28</f>
        <v>11.11</v>
      </c>
      <c r="BW37" s="250">
        <f>'HPS DAILY'!V$28</f>
        <v>11.07</v>
      </c>
      <c r="BX37" s="1280">
        <f>'HPS DAILY'!W$28</f>
        <v>11.19</v>
      </c>
      <c r="BY37" s="1223">
        <f>'HPS DAILY'!X$28</f>
        <v>0</v>
      </c>
      <c r="BZ37" s="250">
        <f>'HPS DAILY'!Y$28</f>
        <v>0</v>
      </c>
      <c r="CA37" s="250">
        <f>'HPS DAILY'!Z$28</f>
        <v>0</v>
      </c>
      <c r="CB37" s="250">
        <f>'HPS DAILY'!AA$28</f>
        <v>0</v>
      </c>
      <c r="CC37" s="250">
        <f>'HPS DAILY'!AB$28</f>
        <v>0</v>
      </c>
      <c r="CD37" s="1280">
        <f>'HPS DAILY'!AC$28</f>
        <v>0</v>
      </c>
      <c r="CE37" s="1223">
        <f>'HPS DAILY'!AD$28</f>
        <v>0</v>
      </c>
      <c r="CF37" s="250">
        <f>'HPS DAILY'!AE$28</f>
        <v>0</v>
      </c>
      <c r="CG37" s="250">
        <f>'HPS DAILY'!AF$28</f>
        <v>0</v>
      </c>
      <c r="CH37" s="250">
        <f>'HPS DAILY'!AG$28</f>
        <v>0</v>
      </c>
      <c r="CI37" s="250">
        <f>'HPS DAILY'!AH$28</f>
        <v>0</v>
      </c>
      <c r="CJ37" s="250">
        <f>'HPS DAILY'!AI$28</f>
        <v>0</v>
      </c>
      <c r="CK37" s="250">
        <f>'HPS DAILY'!AJ$28</f>
        <v>0</v>
      </c>
      <c r="CL37" s="250">
        <f>'HPS DAILY'!AK$28</f>
        <v>0</v>
      </c>
      <c r="CM37" s="250">
        <f>'HPS DAILY'!AL$28</f>
        <v>0</v>
      </c>
      <c r="CO37" s="249"/>
      <c r="CP37" s="249"/>
      <c r="CQ37" s="249"/>
      <c r="CR37" s="1242"/>
      <c r="CS37" s="419"/>
      <c r="CT37" s="249"/>
      <c r="CU37" s="249"/>
      <c r="CV37" s="249"/>
      <c r="CW37" s="249"/>
      <c r="CX37" s="249"/>
      <c r="CY37" s="249"/>
      <c r="CZ37" s="249"/>
      <c r="DA37" s="1242"/>
      <c r="DB37" s="419"/>
      <c r="DC37" s="249"/>
      <c r="DD37" s="249"/>
    </row>
    <row r="38" spans="3:180" x14ac:dyDescent="0.35">
      <c r="C38" s="1" t="s">
        <v>176</v>
      </c>
      <c r="F38" s="501"/>
      <c r="G38" s="249"/>
      <c r="H38" s="249"/>
      <c r="I38" s="1242"/>
      <c r="J38" s="419"/>
      <c r="K38" s="249"/>
      <c r="L38" s="249"/>
      <c r="M38" s="249"/>
      <c r="N38" s="249"/>
      <c r="O38" s="249"/>
      <c r="P38" s="249"/>
      <c r="Q38" s="249"/>
      <c r="R38" s="1242"/>
      <c r="S38" s="419"/>
      <c r="T38" s="249"/>
      <c r="U38" s="249"/>
      <c r="V38" s="249"/>
      <c r="W38" s="249"/>
      <c r="X38" s="1242"/>
      <c r="Y38" s="419"/>
      <c r="Z38" s="249"/>
      <c r="AA38" s="249"/>
      <c r="AB38" s="249"/>
      <c r="AC38" s="249"/>
      <c r="AD38" s="249"/>
      <c r="AE38" s="249"/>
      <c r="AF38" s="249"/>
      <c r="AG38" s="249"/>
      <c r="AI38" s="267"/>
      <c r="AJ38" s="267"/>
      <c r="AK38" s="267"/>
      <c r="AL38" s="1285"/>
      <c r="AM38" s="645"/>
      <c r="AN38" s="267"/>
      <c r="AO38" s="267"/>
      <c r="AP38" s="267"/>
      <c r="AQ38" s="267"/>
      <c r="AR38" s="267"/>
      <c r="AS38" s="267"/>
      <c r="AT38" s="267"/>
      <c r="AU38" s="1285"/>
      <c r="AV38" s="645"/>
      <c r="AW38" s="267"/>
      <c r="AX38" s="267"/>
      <c r="AY38" s="267"/>
      <c r="AZ38" s="267"/>
      <c r="BA38" s="1285"/>
      <c r="BB38" s="645"/>
      <c r="BC38" s="267"/>
      <c r="BD38" s="267"/>
      <c r="BE38" s="267"/>
      <c r="BF38" s="267"/>
      <c r="BG38" s="267"/>
      <c r="BH38" s="267"/>
      <c r="BI38" s="267"/>
      <c r="BJ38" s="267"/>
      <c r="BL38" s="250">
        <f>'HPS DAILY'!K$29</f>
        <v>0.29880000000000001</v>
      </c>
      <c r="BM38" s="250">
        <f>'HPS DAILY'!L$28</f>
        <v>10.74</v>
      </c>
      <c r="BN38" s="250">
        <f>'HPS DAILY'!M$28</f>
        <v>10.97</v>
      </c>
      <c r="BO38" s="1280">
        <f>'HPS DAILY'!N$28</f>
        <v>10.92</v>
      </c>
      <c r="BP38" s="1223">
        <f>'HPS DAILY'!O$28</f>
        <v>11.46</v>
      </c>
      <c r="BQ38" s="250">
        <f>'HPS DAILY'!P$28</f>
        <v>11.4</v>
      </c>
      <c r="BR38" s="250">
        <f>'HPS DAILY'!Q$28</f>
        <v>11.25</v>
      </c>
      <c r="BS38" s="250">
        <f>'HPS DAILY'!R$28</f>
        <v>11.16</v>
      </c>
      <c r="BT38" s="250">
        <f>'HPS DAILY'!S$28</f>
        <v>11.17</v>
      </c>
      <c r="BU38" s="250">
        <f>'HPS DAILY'!T$28</f>
        <v>11.11</v>
      </c>
      <c r="BV38" s="250">
        <f>'HPS DAILY'!U$28</f>
        <v>11.11</v>
      </c>
      <c r="BW38" s="250">
        <f>'HPS DAILY'!V$28</f>
        <v>11.07</v>
      </c>
      <c r="BX38" s="1280">
        <f>'HPS DAILY'!W$28</f>
        <v>11.19</v>
      </c>
      <c r="BY38" s="1223">
        <f>'HPS DAILY'!X$28</f>
        <v>0</v>
      </c>
      <c r="BZ38" s="250">
        <f>'HPS DAILY'!Y$28</f>
        <v>0</v>
      </c>
      <c r="CA38" s="250">
        <f>'HPS DAILY'!Z$28</f>
        <v>0</v>
      </c>
      <c r="CB38" s="250">
        <f>'HPS DAILY'!AA$28</f>
        <v>0</v>
      </c>
      <c r="CC38" s="250">
        <f>'HPS DAILY'!AB$28</f>
        <v>0</v>
      </c>
      <c r="CD38" s="1280">
        <f>'HPS DAILY'!AC$28</f>
        <v>0</v>
      </c>
      <c r="CE38" s="1223">
        <f>'HPS DAILY'!AD$28</f>
        <v>0</v>
      </c>
      <c r="CF38" s="250">
        <f>'HPS DAILY'!AE$28</f>
        <v>0</v>
      </c>
      <c r="CG38" s="250">
        <f>'HPS DAILY'!AF$28</f>
        <v>0</v>
      </c>
      <c r="CH38" s="250">
        <f>'HPS DAILY'!AG$28</f>
        <v>0</v>
      </c>
      <c r="CI38" s="250">
        <f>'HPS DAILY'!AH$28</f>
        <v>0</v>
      </c>
      <c r="CJ38" s="250">
        <f>'HPS DAILY'!AI$28</f>
        <v>0</v>
      </c>
      <c r="CK38" s="250">
        <f>'HPS DAILY'!AJ$28</f>
        <v>0</v>
      </c>
      <c r="CL38" s="250">
        <f>'HPS DAILY'!AK$28</f>
        <v>0</v>
      </c>
      <c r="CM38" s="250">
        <f>'HPS DAILY'!AL$28</f>
        <v>0</v>
      </c>
      <c r="CO38" s="249"/>
      <c r="CP38" s="249"/>
      <c r="CQ38" s="249"/>
      <c r="CR38" s="1242"/>
      <c r="CS38" s="419"/>
      <c r="CT38" s="249"/>
      <c r="CU38" s="249"/>
      <c r="CV38" s="249"/>
      <c r="CW38" s="249"/>
      <c r="CX38" s="249"/>
      <c r="CY38" s="249"/>
      <c r="CZ38" s="249"/>
      <c r="DA38" s="1242"/>
      <c r="DB38" s="419"/>
      <c r="DC38" s="249"/>
      <c r="DD38" s="249"/>
    </row>
    <row r="39" spans="3:180" ht="15" thickBot="1" x14ac:dyDescent="0.4">
      <c r="C39" s="1" t="s">
        <v>177</v>
      </c>
      <c r="F39" s="653"/>
      <c r="G39" s="311"/>
      <c r="H39" s="311"/>
      <c r="I39" s="1241"/>
      <c r="J39" s="654"/>
      <c r="K39" s="311"/>
      <c r="L39" s="311"/>
      <c r="M39" s="311"/>
      <c r="N39" s="311"/>
      <c r="O39" s="311"/>
      <c r="P39" s="311"/>
      <c r="Q39" s="311"/>
      <c r="R39" s="1241"/>
      <c r="S39" s="654"/>
      <c r="T39" s="311"/>
      <c r="U39" s="311"/>
      <c r="V39" s="311"/>
      <c r="W39" s="311"/>
      <c r="X39" s="1241"/>
      <c r="Y39" s="654"/>
      <c r="Z39" s="311"/>
      <c r="AA39" s="311"/>
      <c r="AB39" s="311"/>
      <c r="AC39" s="311"/>
      <c r="AD39" s="311"/>
      <c r="AE39" s="311"/>
      <c r="AF39" s="311"/>
      <c r="AG39" s="311"/>
      <c r="AH39" s="344"/>
      <c r="AI39" s="373"/>
      <c r="AJ39" s="373"/>
      <c r="AK39" s="373"/>
      <c r="AL39" s="1615"/>
      <c r="AM39" s="1607"/>
      <c r="AN39" s="373"/>
      <c r="AO39" s="373"/>
      <c r="AP39" s="373"/>
      <c r="AQ39" s="373"/>
      <c r="AR39" s="373"/>
      <c r="AS39" s="373"/>
      <c r="AT39" s="373"/>
      <c r="AU39" s="1615"/>
      <c r="AV39" s="1607"/>
      <c r="AW39" s="373"/>
      <c r="AX39" s="373"/>
      <c r="AY39" s="373"/>
      <c r="AZ39" s="373"/>
      <c r="BA39" s="1615"/>
      <c r="BB39" s="1607"/>
      <c r="BC39" s="373"/>
      <c r="BD39" s="373"/>
      <c r="BE39" s="373"/>
      <c r="BF39" s="373"/>
      <c r="BG39" s="373"/>
      <c r="BH39" s="373"/>
      <c r="BI39" s="373"/>
      <c r="BJ39" s="373"/>
      <c r="BK39" s="344"/>
      <c r="BL39" s="311">
        <f>'HPS DAILY'!K$20</f>
        <v>1.9584999999999999</v>
      </c>
      <c r="BM39" s="311">
        <f>'HPS DAILY'!L$20</f>
        <v>2.0884999999999998</v>
      </c>
      <c r="BN39" s="311">
        <f>'HPS DAILY'!M$20</f>
        <v>2.2799999999999998</v>
      </c>
      <c r="BO39" s="1241">
        <f>'HPS DAILY'!N$20</f>
        <v>2.2450000000000001</v>
      </c>
      <c r="BP39" s="654">
        <f>'HPS DAILY'!O$20</f>
        <v>0.86699999999999999</v>
      </c>
      <c r="BQ39" s="311">
        <f>'HPS DAILY'!P$20</f>
        <v>0.94099999999999995</v>
      </c>
      <c r="BR39" s="311">
        <f>'HPS DAILY'!Q$20</f>
        <v>1.0369999999999999</v>
      </c>
      <c r="BS39" s="311">
        <f>'HPS DAILY'!R$20</f>
        <v>1.121</v>
      </c>
      <c r="BT39" s="311">
        <f>'HPS DAILY'!S$20</f>
        <v>1.17</v>
      </c>
      <c r="BU39" s="311">
        <f>'HPS DAILY'!T$20</f>
        <v>1.214</v>
      </c>
      <c r="BV39" s="311">
        <f>'HPS DAILY'!U$20</f>
        <v>1.2669999999999999</v>
      </c>
      <c r="BW39" s="311">
        <f>'HPS DAILY'!V$20</f>
        <v>1.2909999999999999</v>
      </c>
      <c r="BX39" s="1241">
        <f>'HPS DAILY'!W$20</f>
        <v>1.3149999999999999</v>
      </c>
      <c r="BY39" s="654">
        <f>'HPS DAILY'!X$20</f>
        <v>0</v>
      </c>
      <c r="BZ39" s="311">
        <f>'HPS DAILY'!Y$20</f>
        <v>0</v>
      </c>
      <c r="CA39" s="311">
        <f>'HPS DAILY'!Z$20</f>
        <v>0</v>
      </c>
      <c r="CB39" s="311">
        <f>'HPS DAILY'!AA$20</f>
        <v>0</v>
      </c>
      <c r="CC39" s="311">
        <f>'HPS DAILY'!AB$20</f>
        <v>0</v>
      </c>
      <c r="CD39" s="1241">
        <f>'HPS DAILY'!AC$20</f>
        <v>0</v>
      </c>
      <c r="CE39" s="654">
        <f>'HPS DAILY'!AD$20</f>
        <v>0</v>
      </c>
      <c r="CF39" s="311">
        <f>'HPS DAILY'!AE$20</f>
        <v>0</v>
      </c>
      <c r="CG39" s="311">
        <f>'HPS DAILY'!AF$20</f>
        <v>0</v>
      </c>
      <c r="CH39" s="311">
        <f>'HPS DAILY'!AG$20</f>
        <v>0</v>
      </c>
      <c r="CI39" s="311">
        <f>'HPS DAILY'!AH$20</f>
        <v>0</v>
      </c>
      <c r="CJ39" s="311">
        <f>'HPS DAILY'!AI$20</f>
        <v>0</v>
      </c>
      <c r="CK39" s="311">
        <f>'HPS DAILY'!AJ$20</f>
        <v>0</v>
      </c>
      <c r="CL39" s="311">
        <f>'HPS DAILY'!AK$20</f>
        <v>0</v>
      </c>
      <c r="CM39" s="311">
        <f>'HPS DAILY'!AL$20</f>
        <v>0</v>
      </c>
      <c r="CN39" s="344"/>
      <c r="CO39" s="311"/>
      <c r="CP39" s="311"/>
      <c r="CQ39" s="311"/>
      <c r="CR39" s="1241"/>
      <c r="CS39" s="654"/>
      <c r="CT39" s="311"/>
      <c r="CU39" s="311"/>
      <c r="CV39" s="311"/>
      <c r="CW39" s="311"/>
      <c r="CX39" s="311"/>
      <c r="CY39" s="311"/>
      <c r="CZ39" s="311"/>
      <c r="DA39" s="1241"/>
      <c r="DB39" s="654"/>
      <c r="DC39" s="311"/>
      <c r="DD39" s="311"/>
      <c r="DE39" s="225"/>
      <c r="DF39" s="225"/>
      <c r="DG39" s="1269"/>
      <c r="DH39" s="1214"/>
      <c r="DI39" s="225"/>
      <c r="DJ39" s="225"/>
      <c r="DK39" s="225"/>
      <c r="DL39" s="225"/>
      <c r="DM39" s="225"/>
      <c r="DN39" s="225"/>
      <c r="DO39" s="225"/>
      <c r="DP39" s="225"/>
      <c r="DQ39" s="344"/>
      <c r="DR39" s="345"/>
      <c r="DS39" s="225"/>
      <c r="DT39" s="225"/>
      <c r="DU39" s="225"/>
      <c r="DV39" s="1269"/>
      <c r="DW39" s="1214"/>
      <c r="DX39" s="225"/>
      <c r="DY39" s="225"/>
      <c r="DZ39" s="225"/>
      <c r="EA39" s="225"/>
      <c r="EB39" s="225"/>
      <c r="EC39" s="225"/>
      <c r="ED39" s="225"/>
      <c r="EE39" s="1269"/>
      <c r="EF39" s="1214"/>
      <c r="EG39" s="225"/>
      <c r="EH39" s="225"/>
      <c r="EI39" s="225"/>
      <c r="EJ39" s="225"/>
      <c r="EK39" s="1269"/>
      <c r="EL39" s="1214"/>
      <c r="EM39" s="225"/>
      <c r="EN39" s="225"/>
      <c r="EO39" s="225"/>
      <c r="EP39" s="225"/>
      <c r="EQ39" s="225"/>
      <c r="ER39" s="225"/>
      <c r="ES39" s="225"/>
      <c r="ET39" s="225"/>
      <c r="EU39" s="344"/>
      <c r="EV39" s="225"/>
      <c r="EW39" s="225"/>
      <c r="EX39" s="225"/>
      <c r="EY39" s="1269"/>
      <c r="EZ39" s="1214"/>
      <c r="FA39" s="225"/>
      <c r="FB39" s="225"/>
      <c r="FC39" s="225"/>
      <c r="FD39" s="225"/>
      <c r="FE39" s="225"/>
      <c r="FF39" s="225"/>
      <c r="FG39" s="225"/>
      <c r="FH39" s="1269"/>
      <c r="FI39" s="1214"/>
      <c r="FJ39" s="225"/>
      <c r="FK39" s="225"/>
      <c r="FL39" s="225"/>
      <c r="FM39" s="225"/>
      <c r="FN39" s="1269"/>
      <c r="FO39" s="1214"/>
      <c r="FP39" s="225"/>
      <c r="FQ39" s="225"/>
      <c r="FR39" s="225"/>
      <c r="FS39" s="225"/>
      <c r="FT39" s="225"/>
      <c r="FU39" s="225"/>
      <c r="FV39" s="225"/>
      <c r="FW39" s="225"/>
    </row>
    <row r="40" spans="3:180" s="299" customFormat="1" ht="15.5" thickTop="1" thickBot="1" x14ac:dyDescent="0.4">
      <c r="C40" s="305"/>
      <c r="D40" s="305"/>
      <c r="E40" s="305"/>
      <c r="F40" s="1034"/>
      <c r="G40" s="316"/>
      <c r="H40" s="316"/>
      <c r="I40" s="1243"/>
      <c r="J40" s="1190"/>
      <c r="K40" s="316"/>
      <c r="L40" s="316"/>
      <c r="M40" s="316"/>
      <c r="N40" s="316"/>
      <c r="O40" s="316"/>
      <c r="P40" s="316"/>
      <c r="Q40" s="316"/>
      <c r="R40" s="1243"/>
      <c r="S40" s="1190"/>
      <c r="T40" s="316"/>
      <c r="U40" s="316"/>
      <c r="V40" s="307"/>
      <c r="W40" s="307"/>
      <c r="X40" s="1239"/>
      <c r="Y40" s="1186"/>
      <c r="Z40" s="307"/>
      <c r="AA40" s="307"/>
      <c r="AB40" s="307"/>
      <c r="AC40" s="307"/>
      <c r="AD40" s="307"/>
      <c r="AE40" s="307"/>
      <c r="AF40" s="307"/>
      <c r="AG40" s="307"/>
      <c r="AH40" s="359"/>
      <c r="AI40" s="307"/>
      <c r="AJ40" s="307"/>
      <c r="AK40" s="307"/>
      <c r="AL40" s="1239"/>
      <c r="AM40" s="1186"/>
      <c r="AN40" s="307"/>
      <c r="AO40" s="307"/>
      <c r="AP40" s="307"/>
      <c r="AQ40" s="307"/>
      <c r="AR40" s="307"/>
      <c r="AS40" s="307"/>
      <c r="AT40" s="307"/>
      <c r="AU40" s="1239"/>
      <c r="AV40" s="1186"/>
      <c r="AW40" s="307"/>
      <c r="AX40" s="307"/>
      <c r="AY40" s="307"/>
      <c r="AZ40" s="307"/>
      <c r="BA40" s="1239"/>
      <c r="BB40" s="1186"/>
      <c r="BC40" s="307"/>
      <c r="BD40" s="307"/>
      <c r="BE40" s="307"/>
      <c r="BF40" s="307"/>
      <c r="BG40" s="307"/>
      <c r="BH40" s="307"/>
      <c r="BI40" s="307"/>
      <c r="BJ40" s="307"/>
      <c r="BK40" s="359"/>
      <c r="BL40" s="307"/>
      <c r="BM40" s="307"/>
      <c r="BN40" s="307"/>
      <c r="BO40" s="1239"/>
      <c r="BP40" s="1186"/>
      <c r="BQ40" s="307"/>
      <c r="BR40" s="307"/>
      <c r="BS40" s="307"/>
      <c r="BT40" s="307"/>
      <c r="BU40" s="307"/>
      <c r="BV40" s="307"/>
      <c r="BW40" s="307"/>
      <c r="BX40" s="1239"/>
      <c r="BY40" s="1186"/>
      <c r="BZ40" s="307"/>
      <c r="CA40" s="307"/>
      <c r="CB40" s="307"/>
      <c r="CC40" s="307"/>
      <c r="CD40" s="1239"/>
      <c r="CE40" s="1186"/>
      <c r="CF40" s="307"/>
      <c r="CG40" s="307"/>
      <c r="CH40" s="307"/>
      <c r="CI40" s="307"/>
      <c r="CJ40" s="307"/>
      <c r="CK40" s="307"/>
      <c r="CL40" s="307"/>
      <c r="CM40" s="307"/>
      <c r="CN40" s="359"/>
      <c r="CO40" s="307"/>
      <c r="CP40" s="307"/>
      <c r="CQ40" s="307"/>
      <c r="CR40" s="1239"/>
      <c r="CS40" s="1186"/>
      <c r="CT40" s="307"/>
      <c r="CU40" s="307"/>
      <c r="CV40" s="307"/>
      <c r="CW40" s="307"/>
      <c r="CX40" s="307"/>
      <c r="CY40" s="307"/>
      <c r="CZ40" s="307"/>
      <c r="DA40" s="1239"/>
      <c r="DB40" s="1186"/>
      <c r="DC40" s="307"/>
      <c r="DD40" s="307"/>
      <c r="DE40" s="307"/>
      <c r="DF40" s="307"/>
      <c r="DG40" s="1239"/>
      <c r="DH40" s="1186"/>
      <c r="DI40" s="307"/>
      <c r="DJ40" s="307"/>
      <c r="DK40" s="307"/>
      <c r="DL40" s="307"/>
      <c r="DM40" s="307"/>
      <c r="DN40" s="307"/>
      <c r="DO40" s="307"/>
      <c r="DP40" s="307"/>
      <c r="DQ40" s="359"/>
      <c r="DR40" s="361"/>
      <c r="DS40" s="307"/>
      <c r="DT40" s="307"/>
      <c r="DU40" s="307"/>
      <c r="DV40" s="1239"/>
      <c r="DW40" s="1186"/>
      <c r="DX40" s="307"/>
      <c r="DY40" s="307"/>
      <c r="DZ40" s="307"/>
      <c r="EA40" s="307"/>
      <c r="EB40" s="307"/>
      <c r="EC40" s="307"/>
      <c r="ED40" s="307"/>
      <c r="EE40" s="1239"/>
      <c r="EF40" s="1186"/>
      <c r="EG40" s="307"/>
      <c r="EH40" s="307"/>
      <c r="EI40" s="307"/>
      <c r="EJ40" s="307"/>
      <c r="EK40" s="1239"/>
      <c r="EL40" s="1186"/>
      <c r="EM40" s="307"/>
      <c r="EN40" s="307"/>
      <c r="EO40" s="307"/>
      <c r="EP40" s="307"/>
      <c r="EQ40" s="307"/>
      <c r="ER40" s="307"/>
      <c r="ES40" s="307"/>
      <c r="ET40" s="307"/>
      <c r="EU40" s="359"/>
      <c r="EV40" s="307"/>
      <c r="EW40" s="307"/>
      <c r="EX40" s="307"/>
      <c r="EY40" s="1239"/>
      <c r="EZ40" s="1186"/>
      <c r="FA40" s="307"/>
      <c r="FB40" s="307"/>
      <c r="FC40" s="307"/>
      <c r="FD40" s="307"/>
      <c r="FE40" s="307"/>
      <c r="FF40" s="307"/>
      <c r="FG40" s="307"/>
      <c r="FH40" s="1239"/>
      <c r="FI40" s="1186"/>
      <c r="FJ40" s="307"/>
      <c r="FK40" s="307"/>
      <c r="FL40" s="307"/>
      <c r="FM40" s="307"/>
      <c r="FN40" s="1239"/>
      <c r="FO40" s="1186"/>
      <c r="FP40" s="307"/>
      <c r="FQ40" s="307"/>
      <c r="FR40" s="307"/>
      <c r="FS40" s="307"/>
      <c r="FT40" s="307"/>
      <c r="FU40" s="307"/>
      <c r="FV40" s="307"/>
      <c r="FW40" s="307"/>
    </row>
    <row r="41" spans="3:180" ht="17" thickTop="1" x14ac:dyDescent="0.45">
      <c r="C41" s="1" t="s">
        <v>144</v>
      </c>
      <c r="F41" s="1033"/>
      <c r="G41" s="309"/>
      <c r="H41" s="309"/>
      <c r="I41" s="422"/>
      <c r="J41" s="421"/>
      <c r="K41" s="309"/>
      <c r="L41" s="309"/>
      <c r="M41" s="309"/>
      <c r="N41" s="309"/>
      <c r="O41" s="309"/>
      <c r="P41" s="309"/>
      <c r="Q41" s="309"/>
      <c r="R41" s="309"/>
      <c r="S41" s="421"/>
      <c r="T41" s="309"/>
      <c r="U41" s="309"/>
      <c r="V41" s="309"/>
      <c r="W41" s="309"/>
      <c r="X41" s="422"/>
      <c r="Y41" s="421"/>
      <c r="Z41" s="421"/>
      <c r="AA41" s="421"/>
      <c r="AB41" s="421"/>
      <c r="AC41" s="421"/>
      <c r="AD41" s="421"/>
      <c r="AE41" s="421"/>
      <c r="AF41" s="421"/>
      <c r="AG41" s="421"/>
      <c r="AH41" s="356"/>
      <c r="AI41" s="313"/>
      <c r="AJ41" s="313"/>
      <c r="AK41" s="313"/>
      <c r="AL41" s="1614"/>
      <c r="AM41" s="1606"/>
      <c r="AN41" s="313"/>
      <c r="AO41" s="313"/>
      <c r="AP41" s="313"/>
      <c r="AQ41" s="313"/>
      <c r="AR41" s="313"/>
      <c r="AS41" s="313"/>
      <c r="AT41" s="313"/>
      <c r="AU41" s="1614"/>
      <c r="AV41" s="1606"/>
      <c r="AW41" s="313"/>
      <c r="AX41" s="313"/>
      <c r="AY41" s="313"/>
      <c r="AZ41" s="313"/>
      <c r="BA41" s="1614"/>
      <c r="BB41" s="1606"/>
      <c r="BC41" s="313"/>
      <c r="BD41" s="313"/>
      <c r="BE41" s="313"/>
      <c r="BF41" s="313"/>
      <c r="BG41" s="313"/>
      <c r="BH41" s="313"/>
      <c r="BI41" s="313"/>
      <c r="BJ41" s="313"/>
      <c r="BK41" s="356"/>
      <c r="BL41" s="309">
        <f>'HPS DAILY (repro+)'!J$31</f>
        <v>85.634390874581882</v>
      </c>
      <c r="BM41" s="309">
        <f>'HPS DAILY (repro+)'!K$31</f>
        <v>85.726289486972348</v>
      </c>
      <c r="BN41" s="309">
        <f>'HPS DAILY (repro+)'!L$31</f>
        <v>85.550192770114535</v>
      </c>
      <c r="BO41" s="422">
        <f>'HPS DAILY (repro+)'!M$31</f>
        <v>85.584526065058441</v>
      </c>
      <c r="BP41" s="421">
        <f>'HPS DAILY (repro+)'!N$31</f>
        <v>86.394745994950526</v>
      </c>
      <c r="BQ41" s="309">
        <f>'HPS DAILY (repro+)'!O$31</f>
        <v>86.350324114217685</v>
      </c>
      <c r="BR41" s="309">
        <f>'HPS DAILY (repro+)'!P$31</f>
        <v>86.500977415232413</v>
      </c>
      <c r="BS41" s="309">
        <f>'HPS DAILY (repro+)'!Q$31</f>
        <v>86.576798175388774</v>
      </c>
      <c r="BT41" s="309">
        <f>'HPS DAILY (repro+)'!R$31</f>
        <v>86.496969850987156</v>
      </c>
      <c r="BU41" s="309">
        <f>'HPS DAILY (repro+)'!S$31</f>
        <v>86.540147057592691</v>
      </c>
      <c r="BV41" s="309">
        <f>'HPS DAILY (repro+)'!T$31</f>
        <v>86.415318387815077</v>
      </c>
      <c r="BW41" s="309">
        <f>'HPS DAILY (repro+)'!U$31</f>
        <v>86.518851018257664</v>
      </c>
      <c r="BX41" s="422">
        <f>'HPS DAILY (repro+)'!V$31</f>
        <v>86.263514541498267</v>
      </c>
      <c r="BY41" s="421">
        <f>'HPS DAILY (repro+)'!W$31</f>
        <v>100</v>
      </c>
      <c r="BZ41" s="309">
        <f>'HPS DAILY (repro+)'!X$31</f>
        <v>100</v>
      </c>
      <c r="CA41" s="309">
        <f>'HPS DAILY (repro+)'!Y$31</f>
        <v>100</v>
      </c>
      <c r="CB41" s="309">
        <f>'HPS DAILY (repro+)'!Z$31</f>
        <v>100</v>
      </c>
      <c r="CC41" s="309">
        <f>'HPS DAILY (repro+)'!AA$31</f>
        <v>100</v>
      </c>
      <c r="CD41" s="422">
        <f>'HPS DAILY (repro+)'!AB$31</f>
        <v>100</v>
      </c>
      <c r="CE41" s="421">
        <f>'HPS DAILY (repro+)'!AC$31</f>
        <v>100</v>
      </c>
      <c r="CF41" s="309">
        <f>'HPS DAILY (repro+)'!AD$31</f>
        <v>100</v>
      </c>
      <c r="CG41" s="309">
        <f>'HPS DAILY (repro+)'!AE$31</f>
        <v>100</v>
      </c>
      <c r="CH41" s="309">
        <f>'HPS DAILY (repro+)'!AF$31</f>
        <v>100</v>
      </c>
      <c r="CI41" s="309">
        <f>'HPS DAILY (repro+)'!AG$31</f>
        <v>100</v>
      </c>
      <c r="CJ41" s="309">
        <f>'HPS DAILY (repro+)'!AH$31</f>
        <v>100</v>
      </c>
      <c r="CK41" s="309">
        <f>'HPS DAILY (repro+)'!AI$31</f>
        <v>100</v>
      </c>
      <c r="CL41" s="309">
        <f>'HPS DAILY (repro+)'!AJ$31</f>
        <v>100</v>
      </c>
      <c r="CM41" s="309">
        <f>'HPS DAILY (repro+)'!AK$31</f>
        <v>100</v>
      </c>
      <c r="CN41" s="356"/>
      <c r="CO41" s="309" t="e" cm="1">
        <f t="array" ref="CO41:DP41">'LTO DAILY'!H29:AI29</f>
        <v>#DIV/0!</v>
      </c>
      <c r="CP41" s="309">
        <v>86.436586121415402</v>
      </c>
      <c r="CQ41" s="309">
        <v>86.317997604866406</v>
      </c>
      <c r="CR41" s="422">
        <v>86.48044995712219</v>
      </c>
      <c r="CS41" s="421">
        <v>86.766042030111635</v>
      </c>
      <c r="CT41" s="309">
        <v>86.440473469888545</v>
      </c>
      <c r="CU41" s="309">
        <v>86.862996423066548</v>
      </c>
      <c r="CV41" s="309">
        <v>86.587574752451786</v>
      </c>
      <c r="CW41" s="309">
        <v>86.846653343598973</v>
      </c>
      <c r="CX41" s="309">
        <v>86.662852497288981</v>
      </c>
      <c r="CY41" s="309">
        <v>86.475795000959778</v>
      </c>
      <c r="CZ41" s="309">
        <v>86.678347502075795</v>
      </c>
      <c r="DA41" s="422">
        <v>86.71261550432223</v>
      </c>
      <c r="DB41" s="421" t="e">
        <v>#DIV/0!</v>
      </c>
      <c r="DC41" s="309" t="e">
        <v>#DIV/0!</v>
      </c>
      <c r="DD41" s="309" t="e">
        <v>#DIV/0!</v>
      </c>
      <c r="DE41" s="229" t="e">
        <v>#DIV/0!</v>
      </c>
      <c r="DF41" s="229" t="e">
        <v>#DIV/0!</v>
      </c>
      <c r="DG41" s="1245" t="e">
        <v>#DIV/0!</v>
      </c>
      <c r="DH41" s="538" t="e">
        <v>#DIV/0!</v>
      </c>
      <c r="DI41" s="229" t="e">
        <v>#DIV/0!</v>
      </c>
      <c r="DJ41" s="229" t="e">
        <v>#DIV/0!</v>
      </c>
      <c r="DK41" s="229" t="e">
        <v>#DIV/0!</v>
      </c>
      <c r="DL41" s="229" t="e">
        <v>#DIV/0!</v>
      </c>
      <c r="DM41" s="229" t="e">
        <v>#DIV/0!</v>
      </c>
      <c r="DN41" s="229" t="e">
        <v>#DIV/0!</v>
      </c>
      <c r="DO41" s="229" t="e">
        <v>#DIV/0!</v>
      </c>
      <c r="DP41" s="229" t="e">
        <v>#DIV/0!</v>
      </c>
      <c r="DQ41" s="356"/>
      <c r="DR41" s="358"/>
      <c r="DS41" s="229"/>
      <c r="DT41" s="229"/>
      <c r="DU41" s="229"/>
      <c r="DV41" s="1245"/>
      <c r="DW41" s="538"/>
      <c r="DX41" s="229"/>
      <c r="DY41" s="229"/>
      <c r="DZ41" s="229"/>
      <c r="EA41" s="229"/>
      <c r="EB41" s="229"/>
      <c r="EC41" s="229"/>
      <c r="ED41" s="229"/>
      <c r="EE41" s="1245"/>
      <c r="EF41" s="538"/>
      <c r="EG41" s="229"/>
      <c r="EH41" s="229"/>
      <c r="EI41" s="229"/>
      <c r="EJ41" s="229"/>
      <c r="EK41" s="1245"/>
      <c r="EL41" s="538"/>
      <c r="EM41" s="229"/>
      <c r="EN41" s="229"/>
      <c r="EO41" s="229"/>
      <c r="EP41" s="229"/>
      <c r="EQ41" s="229"/>
      <c r="ER41" s="229"/>
      <c r="ES41" s="229"/>
      <c r="ET41" s="229"/>
      <c r="EU41" s="356"/>
      <c r="EV41" s="229"/>
      <c r="EW41" s="229"/>
      <c r="EX41" s="229"/>
      <c r="EY41" s="1245"/>
      <c r="EZ41" s="538"/>
      <c r="FA41" s="229"/>
      <c r="FB41" s="229"/>
      <c r="FC41" s="229"/>
      <c r="FD41" s="229"/>
      <c r="FE41" s="229"/>
      <c r="FF41" s="229"/>
      <c r="FG41" s="229"/>
      <c r="FH41" s="1245"/>
      <c r="FI41" s="538"/>
      <c r="FJ41" s="229"/>
      <c r="FK41" s="229"/>
      <c r="FL41" s="229"/>
      <c r="FM41" s="229"/>
      <c r="FN41" s="1245"/>
      <c r="FO41" s="538"/>
      <c r="FP41" s="229"/>
      <c r="FQ41" s="229"/>
      <c r="FR41" s="229"/>
      <c r="FS41" s="229"/>
      <c r="FT41" s="229"/>
      <c r="FU41" s="229"/>
      <c r="FV41" s="229"/>
      <c r="FW41" s="229"/>
    </row>
    <row r="42" spans="3:180" ht="16.5" x14ac:dyDescent="0.45">
      <c r="C42" s="1" t="s">
        <v>145</v>
      </c>
      <c r="F42" s="501"/>
      <c r="G42" s="249"/>
      <c r="H42" s="249"/>
      <c r="I42" s="1242"/>
      <c r="J42" s="419"/>
      <c r="K42" s="249"/>
      <c r="L42" s="249"/>
      <c r="M42" s="249"/>
      <c r="N42" s="249"/>
      <c r="O42" s="249"/>
      <c r="P42" s="249"/>
      <c r="Q42" s="249"/>
      <c r="R42" s="249"/>
      <c r="S42" s="419"/>
      <c r="T42" s="249"/>
      <c r="U42" s="249"/>
      <c r="V42" s="249"/>
      <c r="W42" s="249"/>
      <c r="X42" s="1242"/>
      <c r="Y42" s="419"/>
      <c r="Z42" s="419"/>
      <c r="AA42" s="419"/>
      <c r="AB42" s="419"/>
      <c r="AC42" s="419"/>
      <c r="AD42" s="419"/>
      <c r="AE42" s="419"/>
      <c r="AF42" s="419"/>
      <c r="AG42" s="419"/>
      <c r="AI42" s="267"/>
      <c r="AJ42" s="267"/>
      <c r="AK42" s="267"/>
      <c r="AL42" s="1285"/>
      <c r="AM42" s="645"/>
      <c r="AN42" s="267"/>
      <c r="AO42" s="267"/>
      <c r="AP42" s="267"/>
      <c r="AQ42" s="267"/>
      <c r="AR42" s="267"/>
      <c r="AS42" s="267"/>
      <c r="AT42" s="267"/>
      <c r="AU42" s="1285"/>
      <c r="AV42" s="645"/>
      <c r="AW42" s="267"/>
      <c r="AX42" s="267"/>
      <c r="AY42" s="267"/>
      <c r="AZ42" s="267"/>
      <c r="BA42" s="1285"/>
      <c r="BB42" s="645"/>
      <c r="BC42" s="267"/>
      <c r="BD42" s="267"/>
      <c r="BE42" s="267"/>
      <c r="BF42" s="267"/>
      <c r="BG42" s="267"/>
      <c r="BH42" s="267"/>
      <c r="BI42" s="267"/>
      <c r="BJ42" s="267"/>
      <c r="BL42" s="249">
        <f>'HPS DAILY (repro+)'!J$32</f>
        <v>12.050758424914745</v>
      </c>
      <c r="BM42" s="249">
        <f>'HPS DAILY (repro+)'!K$32</f>
        <v>11.789075642471024</v>
      </c>
      <c r="BN42" s="249">
        <f>'HPS DAILY (repro+)'!L$32</f>
        <v>11.806407060708077</v>
      </c>
      <c r="BO42" s="1242">
        <f>'HPS DAILY (repro+)'!M$32</f>
        <v>11.80397951540273</v>
      </c>
      <c r="BP42" s="419">
        <f>'HPS DAILY (repro+)'!N$32</f>
        <v>12.441472424985781</v>
      </c>
      <c r="BQ42" s="249">
        <f>'HPS DAILY (repro+)'!O$32</f>
        <v>12.393743290906455</v>
      </c>
      <c r="BR42" s="249">
        <f>'HPS DAILY (repro+)'!P$32</f>
        <v>12.143553622167644</v>
      </c>
      <c r="BS42" s="249">
        <f>'HPS DAILY (repro+)'!Q$32</f>
        <v>11.999151325824055</v>
      </c>
      <c r="BT42" s="249">
        <f>'HPS DAILY (repro+)'!R$32</f>
        <v>12.022962000340769</v>
      </c>
      <c r="BU42" s="249">
        <f>'HPS DAILY (repro+)'!S$32</f>
        <v>11.944330546250191</v>
      </c>
      <c r="BV42" s="249">
        <f>'HPS DAILY (repro+)'!T$32</f>
        <v>11.985930156829843</v>
      </c>
      <c r="BW42" s="249">
        <f>'HPS DAILY (repro+)'!U$32</f>
        <v>11.885140249210339</v>
      </c>
      <c r="BX42" s="1242">
        <f>'HPS DAILY (repro+)'!V$32</f>
        <v>12.097136946220628</v>
      </c>
      <c r="BY42" s="419">
        <f>'HPS DAILY (repro+)'!W$32</f>
        <v>0</v>
      </c>
      <c r="BZ42" s="249">
        <f>'HPS DAILY (repro+)'!X$32</f>
        <v>0</v>
      </c>
      <c r="CA42" s="249">
        <f>'HPS DAILY (repro+)'!Y$32</f>
        <v>0</v>
      </c>
      <c r="CB42" s="249">
        <f>'HPS DAILY (repro+)'!Z$32</f>
        <v>0</v>
      </c>
      <c r="CC42" s="249">
        <f>'HPS DAILY (repro+)'!AA$32</f>
        <v>0</v>
      </c>
      <c r="CD42" s="1242">
        <f>'HPS DAILY (repro+)'!AB$32</f>
        <v>0</v>
      </c>
      <c r="CE42" s="419">
        <f>'HPS DAILY (repro+)'!AC$32</f>
        <v>0</v>
      </c>
      <c r="CF42" s="249">
        <f>'HPS DAILY (repro+)'!AD$32</f>
        <v>0</v>
      </c>
      <c r="CG42" s="249">
        <f>'HPS DAILY (repro+)'!AE$32</f>
        <v>0</v>
      </c>
      <c r="CH42" s="249">
        <f>'HPS DAILY (repro+)'!AF$32</f>
        <v>0</v>
      </c>
      <c r="CI42" s="249">
        <f>'HPS DAILY (repro+)'!AG$32</f>
        <v>0</v>
      </c>
      <c r="CJ42" s="249">
        <f>'HPS DAILY (repro+)'!AH$32</f>
        <v>0</v>
      </c>
      <c r="CK42" s="249">
        <f>'HPS DAILY (repro+)'!AI$32</f>
        <v>0</v>
      </c>
      <c r="CL42" s="249">
        <f>'HPS DAILY (repro+)'!AJ$32</f>
        <v>0</v>
      </c>
      <c r="CM42" s="249">
        <f>'HPS DAILY (repro+)'!AK$32</f>
        <v>0</v>
      </c>
      <c r="CO42" s="249" t="e" cm="1">
        <f t="array" ref="CO42:DP42">'LTO DAILY'!H30:AI30</f>
        <v>#DIV/0!</v>
      </c>
      <c r="CP42" s="249">
        <v>13.353376477819126</v>
      </c>
      <c r="CQ42" s="249">
        <v>13.462712845688364</v>
      </c>
      <c r="CR42" s="1242">
        <v>13.308524566248426</v>
      </c>
      <c r="CS42" s="419">
        <v>13.046253136996944</v>
      </c>
      <c r="CT42" s="249">
        <v>13.422433768616235</v>
      </c>
      <c r="CU42" s="249">
        <v>12.980326667584947</v>
      </c>
      <c r="CV42" s="249">
        <v>13.25097363909228</v>
      </c>
      <c r="CW42" s="249">
        <v>12.935131965304912</v>
      </c>
      <c r="CX42" s="249">
        <v>13.136138821605531</v>
      </c>
      <c r="CY42" s="249">
        <v>13.324886651091285</v>
      </c>
      <c r="CZ42" s="249">
        <v>13.138487515746743</v>
      </c>
      <c r="DA42" s="1242">
        <v>13.105081755973588</v>
      </c>
      <c r="DB42" s="419" t="e">
        <v>#DIV/0!</v>
      </c>
      <c r="DC42" s="249" t="e">
        <v>#DIV/0!</v>
      </c>
      <c r="DD42" s="249" t="e">
        <v>#DIV/0!</v>
      </c>
      <c r="DE42" s="232" t="e">
        <v>#DIV/0!</v>
      </c>
      <c r="DF42" s="232" t="e">
        <v>#DIV/0!</v>
      </c>
      <c r="DG42" s="1236" t="e">
        <v>#DIV/0!</v>
      </c>
      <c r="DH42" s="643" t="e">
        <v>#DIV/0!</v>
      </c>
      <c r="DI42" s="232" t="e">
        <v>#DIV/0!</v>
      </c>
      <c r="DJ42" s="232" t="e">
        <v>#DIV/0!</v>
      </c>
      <c r="DK42" s="232" t="e">
        <v>#DIV/0!</v>
      </c>
      <c r="DL42" s="232" t="e">
        <v>#DIV/0!</v>
      </c>
      <c r="DM42" s="232" t="e">
        <v>#DIV/0!</v>
      </c>
      <c r="DN42" s="232" t="e">
        <v>#DIV/0!</v>
      </c>
      <c r="DO42" s="232" t="e">
        <v>#DIV/0!</v>
      </c>
      <c r="DP42" s="232" t="e">
        <v>#DIV/0!</v>
      </c>
    </row>
    <row r="43" spans="3:180" s="368" customFormat="1" ht="17" thickBot="1" x14ac:dyDescent="0.5">
      <c r="C43" s="364" t="s">
        <v>146</v>
      </c>
      <c r="D43" s="364"/>
      <c r="E43" s="364"/>
      <c r="F43" s="1057"/>
      <c r="G43" s="374"/>
      <c r="H43" s="374"/>
      <c r="I43" s="1244"/>
      <c r="J43" s="1191"/>
      <c r="K43" s="374"/>
      <c r="L43" s="374"/>
      <c r="M43" s="374"/>
      <c r="N43" s="374"/>
      <c r="O43" s="374"/>
      <c r="P43" s="374"/>
      <c r="Q43" s="374"/>
      <c r="R43" s="374"/>
      <c r="S43" s="1191"/>
      <c r="T43" s="374"/>
      <c r="U43" s="374"/>
      <c r="V43" s="374"/>
      <c r="W43" s="374"/>
      <c r="X43" s="1244"/>
      <c r="Y43" s="1191"/>
      <c r="Z43" s="1191"/>
      <c r="AA43" s="1191"/>
      <c r="AB43" s="1191"/>
      <c r="AC43" s="1191"/>
      <c r="AD43" s="1191"/>
      <c r="AE43" s="1191"/>
      <c r="AF43" s="1191"/>
      <c r="AG43" s="1191"/>
      <c r="AH43" s="366"/>
      <c r="AI43" s="365"/>
      <c r="AJ43" s="365"/>
      <c r="AK43" s="365"/>
      <c r="AL43" s="1234"/>
      <c r="AM43" s="1182"/>
      <c r="AN43" s="365"/>
      <c r="AO43" s="365"/>
      <c r="AP43" s="365"/>
      <c r="AQ43" s="365"/>
      <c r="AR43" s="365"/>
      <c r="AS43" s="365"/>
      <c r="AT43" s="365"/>
      <c r="AU43" s="1234"/>
      <c r="AV43" s="1182"/>
      <c r="AW43" s="365"/>
      <c r="AX43" s="365"/>
      <c r="AY43" s="365"/>
      <c r="AZ43" s="365"/>
      <c r="BA43" s="1234"/>
      <c r="BB43" s="1182"/>
      <c r="BC43" s="365"/>
      <c r="BD43" s="365"/>
      <c r="BE43" s="365"/>
      <c r="BF43" s="365"/>
      <c r="BG43" s="365"/>
      <c r="BH43" s="365"/>
      <c r="BI43" s="365"/>
      <c r="BJ43" s="365"/>
      <c r="BK43" s="366"/>
      <c r="BL43" s="374"/>
      <c r="BM43" s="374"/>
      <c r="BN43" s="374"/>
      <c r="BO43" s="1244"/>
      <c r="BP43" s="1191"/>
      <c r="BQ43" s="374"/>
      <c r="BR43" s="374"/>
      <c r="BS43" s="374"/>
      <c r="BT43" s="374"/>
      <c r="BU43" s="374"/>
      <c r="BV43" s="374"/>
      <c r="BW43" s="374"/>
      <c r="BX43" s="1244"/>
      <c r="BY43" s="1191"/>
      <c r="BZ43" s="374"/>
      <c r="CA43" s="374"/>
      <c r="CB43" s="374"/>
      <c r="CC43" s="374"/>
      <c r="CD43" s="1244"/>
      <c r="CE43" s="1191"/>
      <c r="CF43" s="374"/>
      <c r="CG43" s="374"/>
      <c r="CH43" s="374"/>
      <c r="CI43" s="374"/>
      <c r="CJ43" s="374"/>
      <c r="CK43" s="374"/>
      <c r="CL43" s="374"/>
      <c r="CM43" s="374"/>
      <c r="CN43" s="366"/>
      <c r="CO43" s="374"/>
      <c r="CP43" s="374"/>
      <c r="CQ43" s="374"/>
      <c r="CR43" s="1244"/>
      <c r="CS43" s="1191"/>
      <c r="CT43" s="374"/>
      <c r="CU43" s="374"/>
      <c r="CV43" s="374"/>
      <c r="CW43" s="374"/>
      <c r="CX43" s="374"/>
      <c r="CY43" s="374"/>
      <c r="CZ43" s="374"/>
      <c r="DA43" s="1244"/>
      <c r="DB43" s="1191"/>
      <c r="DC43" s="374"/>
      <c r="DD43" s="374"/>
      <c r="DE43" s="365"/>
      <c r="DF43" s="365"/>
      <c r="DG43" s="1234"/>
      <c r="DH43" s="1182"/>
      <c r="DI43" s="365"/>
      <c r="DJ43" s="365"/>
      <c r="DK43" s="365"/>
      <c r="DL43" s="365"/>
      <c r="DM43" s="365"/>
      <c r="DN43" s="365"/>
      <c r="DO43" s="365"/>
      <c r="DP43" s="365"/>
      <c r="DQ43" s="366"/>
      <c r="DR43" s="367"/>
      <c r="DS43" s="365"/>
      <c r="DT43" s="365"/>
      <c r="DU43" s="365"/>
      <c r="DV43" s="1234"/>
      <c r="DW43" s="1182"/>
      <c r="DX43" s="365"/>
      <c r="DY43" s="365"/>
      <c r="DZ43" s="365"/>
      <c r="EA43" s="365"/>
      <c r="EB43" s="365"/>
      <c r="EC43" s="365"/>
      <c r="ED43" s="365"/>
      <c r="EE43" s="1234"/>
      <c r="EF43" s="1182"/>
      <c r="EG43" s="365"/>
      <c r="EH43" s="365"/>
      <c r="EI43" s="365"/>
      <c r="EJ43" s="365"/>
      <c r="EK43" s="1234"/>
      <c r="EL43" s="1182"/>
      <c r="EM43" s="365"/>
      <c r="EN43" s="365"/>
      <c r="EO43" s="365"/>
      <c r="EP43" s="365"/>
      <c r="EQ43" s="365"/>
      <c r="ER43" s="365"/>
      <c r="ES43" s="365"/>
      <c r="ET43" s="365"/>
      <c r="EU43" s="366"/>
      <c r="EV43" s="365"/>
      <c r="EW43" s="365"/>
      <c r="EX43" s="365"/>
      <c r="EY43" s="1234"/>
      <c r="EZ43" s="1182"/>
      <c r="FA43" s="365"/>
      <c r="FB43" s="365"/>
      <c r="FC43" s="365"/>
      <c r="FD43" s="365"/>
      <c r="FE43" s="365"/>
      <c r="FF43" s="365"/>
      <c r="FG43" s="365"/>
      <c r="FH43" s="1234"/>
      <c r="FI43" s="1182"/>
      <c r="FJ43" s="365"/>
      <c r="FK43" s="365"/>
      <c r="FL43" s="365"/>
      <c r="FM43" s="365"/>
      <c r="FN43" s="1234"/>
      <c r="FO43" s="1182"/>
      <c r="FP43" s="365"/>
      <c r="FQ43" s="365"/>
      <c r="FR43" s="365"/>
      <c r="FS43" s="365"/>
      <c r="FT43" s="365"/>
      <c r="FU43" s="365"/>
      <c r="FV43" s="365"/>
      <c r="FW43" s="365"/>
    </row>
    <row r="44" spans="3:180" ht="15" thickTop="1" x14ac:dyDescent="0.35">
      <c r="F44" s="1051"/>
      <c r="G44" s="229"/>
      <c r="H44" s="229"/>
      <c r="I44" s="1245"/>
      <c r="J44" s="538"/>
      <c r="K44" s="229"/>
      <c r="L44" s="229"/>
      <c r="M44" s="229"/>
      <c r="N44" s="229"/>
      <c r="O44" s="229"/>
      <c r="P44" s="229"/>
      <c r="Q44" s="229"/>
      <c r="R44" s="1245"/>
      <c r="S44" s="538"/>
      <c r="T44" s="229"/>
      <c r="U44" s="229"/>
      <c r="V44" s="229"/>
      <c r="W44" s="229"/>
      <c r="X44" s="229"/>
      <c r="Y44" s="229"/>
      <c r="Z44" s="229"/>
      <c r="AA44" s="229"/>
      <c r="AB44" s="229"/>
      <c r="AC44" s="229"/>
      <c r="AD44" s="229"/>
      <c r="AE44" s="229"/>
      <c r="AF44" s="229"/>
      <c r="AG44" s="229"/>
      <c r="AH44" s="356"/>
      <c r="AI44" s="229"/>
      <c r="AJ44" s="229"/>
      <c r="AK44" s="229"/>
      <c r="AL44" s="1245"/>
      <c r="AM44" s="538"/>
      <c r="AN44" s="229"/>
      <c r="AO44" s="229"/>
      <c r="AP44" s="229"/>
      <c r="AQ44" s="229"/>
      <c r="AR44" s="229"/>
      <c r="AS44" s="229"/>
      <c r="AT44" s="229"/>
      <c r="AU44" s="1245"/>
      <c r="AV44" s="538"/>
      <c r="AW44" s="229"/>
      <c r="AX44" s="229"/>
      <c r="AY44" s="229"/>
      <c r="AZ44" s="229"/>
      <c r="BA44" s="1245"/>
      <c r="BB44" s="538"/>
      <c r="BC44" s="229"/>
      <c r="BD44" s="229"/>
      <c r="BE44" s="229"/>
      <c r="BF44" s="229"/>
      <c r="BG44" s="229"/>
      <c r="BH44" s="229"/>
      <c r="BI44" s="229"/>
      <c r="BJ44" s="229"/>
      <c r="BK44" s="356"/>
      <c r="BL44" s="229">
        <f>BL42/BL41</f>
        <v>0.1407233507687817</v>
      </c>
      <c r="BM44" s="229">
        <v>0.125</v>
      </c>
      <c r="BN44" s="229">
        <f t="shared" ref="BN44:CA44" si="1">BN42/BN41</f>
        <v>0.13800561609993753</v>
      </c>
      <c r="BO44" s="1245">
        <f t="shared" si="1"/>
        <v>0.13792188913250214</v>
      </c>
      <c r="BP44" s="538">
        <f t="shared" si="1"/>
        <v>0.14400728055515022</v>
      </c>
      <c r="BQ44" s="229">
        <f t="shared" si="1"/>
        <v>0.14352862502881805</v>
      </c>
      <c r="BR44" s="229">
        <f t="shared" si="1"/>
        <v>0.140386316837493</v>
      </c>
      <c r="BS44" s="229">
        <f t="shared" si="1"/>
        <v>0.1385954618177952</v>
      </c>
      <c r="BT44" s="229">
        <f t="shared" si="1"/>
        <v>0.13899864956024879</v>
      </c>
      <c r="BU44" s="229">
        <f t="shared" si="1"/>
        <v>0.13802068695701669</v>
      </c>
      <c r="BV44" s="229">
        <f t="shared" si="1"/>
        <v>0.13870145224761343</v>
      </c>
      <c r="BW44" s="229">
        <f t="shared" si="1"/>
        <v>0.13737052803327537</v>
      </c>
      <c r="BX44" s="1245">
        <f t="shared" si="1"/>
        <v>0.14023468682580897</v>
      </c>
      <c r="BY44" s="538">
        <f t="shared" si="1"/>
        <v>0</v>
      </c>
      <c r="BZ44" s="229">
        <f t="shared" si="1"/>
        <v>0</v>
      </c>
      <c r="CA44" s="229">
        <f t="shared" si="1"/>
        <v>0</v>
      </c>
      <c r="CB44" s="229"/>
      <c r="CC44" s="229"/>
      <c r="CD44" s="1245"/>
      <c r="CE44" s="538"/>
      <c r="CF44" s="229"/>
      <c r="CG44" s="229"/>
      <c r="CH44" s="229"/>
      <c r="CI44" s="229"/>
      <c r="CJ44" s="229"/>
      <c r="CK44" s="229"/>
      <c r="CL44" s="229"/>
      <c r="CM44" s="229"/>
      <c r="CN44" s="356"/>
      <c r="CO44" s="229" t="e">
        <f>CO42/CO41</f>
        <v>#DIV/0!</v>
      </c>
      <c r="CP44" s="229">
        <f t="shared" ref="CP44:DP44" si="2">CP42/CP41</f>
        <v>0.15448755066589462</v>
      </c>
      <c r="CQ44" s="229">
        <f t="shared" si="2"/>
        <v>0.15596646376478696</v>
      </c>
      <c r="CR44" s="1245">
        <f t="shared" si="2"/>
        <v>0.15389055645347494</v>
      </c>
      <c r="CS44" s="538">
        <f t="shared" si="2"/>
        <v>0.15036127996329854</v>
      </c>
      <c r="CT44" s="229">
        <f t="shared" si="2"/>
        <v>0.15527950310559008</v>
      </c>
      <c r="CU44" s="229">
        <f t="shared" si="2"/>
        <v>0.14943447960699188</v>
      </c>
      <c r="CV44" s="229">
        <f t="shared" si="2"/>
        <v>0.15303550973654068</v>
      </c>
      <c r="CW44" s="229">
        <f t="shared" si="2"/>
        <v>0.14894220407237252</v>
      </c>
      <c r="CX44" s="229">
        <f t="shared" si="2"/>
        <v>0.15157750342935528</v>
      </c>
      <c r="CY44" s="229">
        <f t="shared" si="2"/>
        <v>0.1540880503144654</v>
      </c>
      <c r="CZ44" s="229">
        <f t="shared" si="2"/>
        <v>0.15157750342935528</v>
      </c>
      <c r="DA44" s="1245">
        <f t="shared" si="2"/>
        <v>0.15113235461477181</v>
      </c>
      <c r="DB44" s="538" t="e">
        <f t="shared" si="2"/>
        <v>#DIV/0!</v>
      </c>
      <c r="DC44" s="229" t="e">
        <f t="shared" si="2"/>
        <v>#DIV/0!</v>
      </c>
      <c r="DD44" s="229" t="e">
        <f t="shared" si="2"/>
        <v>#DIV/0!</v>
      </c>
      <c r="DE44" s="229" t="e">
        <f t="shared" si="2"/>
        <v>#DIV/0!</v>
      </c>
      <c r="DF44" s="229" t="e">
        <f t="shared" si="2"/>
        <v>#DIV/0!</v>
      </c>
      <c r="DG44" s="1245" t="e">
        <f t="shared" si="2"/>
        <v>#DIV/0!</v>
      </c>
      <c r="DH44" s="538" t="e">
        <f t="shared" si="2"/>
        <v>#DIV/0!</v>
      </c>
      <c r="DI44" s="229" t="e">
        <f t="shared" si="2"/>
        <v>#DIV/0!</v>
      </c>
      <c r="DJ44" s="229" t="e">
        <f t="shared" si="2"/>
        <v>#DIV/0!</v>
      </c>
      <c r="DK44" s="229" t="e">
        <f t="shared" si="2"/>
        <v>#DIV/0!</v>
      </c>
      <c r="DL44" s="229" t="e">
        <f t="shared" si="2"/>
        <v>#DIV/0!</v>
      </c>
      <c r="DM44" s="229" t="e">
        <f t="shared" si="2"/>
        <v>#DIV/0!</v>
      </c>
      <c r="DN44" s="229" t="e">
        <f t="shared" si="2"/>
        <v>#DIV/0!</v>
      </c>
      <c r="DO44" s="229" t="e">
        <f t="shared" si="2"/>
        <v>#DIV/0!</v>
      </c>
      <c r="DP44" s="229" t="e">
        <f t="shared" si="2"/>
        <v>#DIV/0!</v>
      </c>
      <c r="DQ44" s="356"/>
      <c r="DR44" s="358"/>
      <c r="DS44" s="298"/>
      <c r="DT44" s="298"/>
      <c r="DU44" s="298"/>
      <c r="DV44" s="1583"/>
      <c r="DW44" s="1547"/>
      <c r="DX44" s="298"/>
      <c r="DY44" s="298"/>
      <c r="DZ44" s="298"/>
      <c r="EA44" s="298"/>
      <c r="EB44" s="298"/>
      <c r="EC44" s="297"/>
      <c r="ED44" s="297"/>
      <c r="EE44" s="1475"/>
      <c r="EF44" s="1463"/>
      <c r="EG44" s="297"/>
      <c r="EH44" s="297"/>
      <c r="EI44" s="297"/>
      <c r="EJ44" s="297"/>
      <c r="EK44" s="1475"/>
      <c r="EL44" s="1463"/>
      <c r="EM44" s="297"/>
      <c r="EN44" s="297"/>
      <c r="EO44" s="297"/>
      <c r="EP44" s="297"/>
      <c r="EQ44" s="297"/>
      <c r="ER44" s="297"/>
      <c r="ES44" s="297"/>
      <c r="ET44" s="297"/>
      <c r="EU44" s="356"/>
      <c r="EV44" s="2714" t="s">
        <v>212</v>
      </c>
      <c r="EW44" s="2714"/>
      <c r="EX44" s="2714"/>
      <c r="EY44" s="2714"/>
      <c r="EZ44" s="2714" t="s">
        <v>212</v>
      </c>
      <c r="FA44" s="2714"/>
      <c r="FB44" s="2714"/>
      <c r="FC44" s="2714"/>
      <c r="FD44" s="2714"/>
      <c r="FE44" s="298"/>
      <c r="FF44" s="2714" t="s">
        <v>212</v>
      </c>
      <c r="FG44" s="2714"/>
      <c r="FH44" s="2714"/>
      <c r="FI44" s="2714"/>
      <c r="FJ44" s="2714"/>
      <c r="FK44" s="2714"/>
      <c r="FL44" s="229"/>
      <c r="FM44" s="229"/>
      <c r="FN44" s="1245"/>
      <c r="FO44" s="538"/>
      <c r="FP44" s="229"/>
      <c r="FQ44" s="229"/>
      <c r="FR44" s="229"/>
      <c r="FS44" s="229"/>
      <c r="FT44" s="229"/>
      <c r="FU44" s="229"/>
      <c r="FV44" s="229"/>
      <c r="FW44" s="229"/>
    </row>
    <row r="45" spans="3:180" x14ac:dyDescent="0.35">
      <c r="F45" s="605"/>
      <c r="G45" s="244"/>
      <c r="H45" s="244"/>
      <c r="I45" s="1237"/>
      <c r="J45" s="606"/>
      <c r="K45" s="244"/>
      <c r="L45" s="244"/>
      <c r="M45" s="244"/>
      <c r="N45" s="244"/>
      <c r="O45" s="244"/>
      <c r="P45" s="244"/>
      <c r="Q45" s="244"/>
      <c r="R45" s="1237"/>
      <c r="S45" s="606"/>
      <c r="T45" s="244"/>
      <c r="U45" s="244"/>
      <c r="BL45" s="244"/>
      <c r="BM45" s="244"/>
      <c r="BN45" s="244"/>
      <c r="BO45" s="1237"/>
      <c r="BP45" s="606"/>
      <c r="BQ45" s="244"/>
      <c r="BR45" s="244"/>
      <c r="BS45" s="244"/>
      <c r="BT45" s="244"/>
      <c r="BU45" s="244"/>
      <c r="BV45" s="244"/>
      <c r="BW45" s="244"/>
      <c r="BX45" s="1237"/>
      <c r="BY45" s="606"/>
      <c r="BZ45" s="244"/>
      <c r="CA45" s="244"/>
      <c r="CB45" s="244"/>
      <c r="CC45" s="244"/>
      <c r="CD45" s="1237"/>
      <c r="CE45" s="606"/>
      <c r="CF45" s="244"/>
      <c r="CG45" s="244"/>
      <c r="CH45" s="244"/>
      <c r="CI45" s="244"/>
      <c r="CJ45" s="244"/>
      <c r="CK45" s="244"/>
      <c r="CL45" s="244"/>
      <c r="CM45" s="244"/>
      <c r="CO45" s="243"/>
      <c r="CP45" s="243"/>
      <c r="CQ45" s="243"/>
      <c r="CR45" s="1282"/>
      <c r="CS45" s="1225"/>
      <c r="CT45" s="243"/>
      <c r="CU45" s="243"/>
      <c r="CV45" s="243"/>
      <c r="CW45" s="243"/>
      <c r="CX45" s="243"/>
      <c r="CY45" s="243"/>
      <c r="CZ45" s="243"/>
      <c r="DA45" s="1282"/>
      <c r="DB45" s="1225"/>
      <c r="DC45" s="243"/>
      <c r="DD45" s="243"/>
      <c r="DR45" s="241" t="s">
        <v>191</v>
      </c>
      <c r="FX45" s="1" t="s">
        <v>191</v>
      </c>
    </row>
    <row r="46" spans="3:180" x14ac:dyDescent="0.35">
      <c r="F46" s="605"/>
      <c r="G46" s="244"/>
      <c r="H46" s="244"/>
      <c r="I46" s="1237"/>
      <c r="J46" s="606"/>
      <c r="K46" s="244"/>
      <c r="L46" s="244"/>
      <c r="M46" s="244"/>
      <c r="N46" s="244"/>
      <c r="O46" s="244"/>
      <c r="P46" s="244"/>
      <c r="Q46" s="244"/>
      <c r="R46" s="1237"/>
      <c r="S46" s="606"/>
      <c r="T46" s="244"/>
      <c r="U46" s="244"/>
      <c r="V46" s="244"/>
      <c r="W46" s="244"/>
      <c r="X46" s="1237"/>
      <c r="Y46" s="606"/>
      <c r="Z46" s="244"/>
      <c r="AA46" s="244"/>
      <c r="AB46" s="244"/>
      <c r="AC46" s="244"/>
      <c r="AD46" s="244"/>
      <c r="AE46" s="244"/>
      <c r="AF46" s="244"/>
      <c r="AG46" s="244"/>
      <c r="AH46" s="325"/>
      <c r="AI46" s="244"/>
      <c r="AJ46" s="244"/>
      <c r="AK46" s="244"/>
      <c r="AL46" s="1237"/>
      <c r="AM46" s="606"/>
      <c r="AN46" s="244"/>
      <c r="AO46" s="244"/>
      <c r="AP46" s="244"/>
      <c r="AQ46" s="244"/>
      <c r="AR46" s="244"/>
      <c r="AS46" s="244"/>
      <c r="AT46" s="244"/>
      <c r="AU46" s="1237"/>
      <c r="AV46" s="606"/>
      <c r="AW46" s="244"/>
      <c r="AX46" s="244"/>
      <c r="AY46" s="244"/>
      <c r="AZ46" s="244"/>
      <c r="BA46" s="1237"/>
      <c r="BB46" s="606"/>
      <c r="BC46" s="244"/>
      <c r="BD46" s="244"/>
      <c r="BE46" s="244"/>
      <c r="BF46" s="244"/>
      <c r="BG46" s="244"/>
      <c r="BH46" s="244"/>
      <c r="BI46" s="244"/>
      <c r="BJ46" s="244"/>
      <c r="BK46" s="325"/>
      <c r="BL46" s="244"/>
      <c r="BM46" s="244"/>
      <c r="BN46" s="244"/>
      <c r="BO46" s="1237"/>
      <c r="BP46" s="606"/>
      <c r="BQ46" s="244"/>
      <c r="BR46" s="244"/>
      <c r="BS46" s="244"/>
      <c r="BT46" s="244"/>
      <c r="BU46" s="244"/>
      <c r="BV46" s="244"/>
      <c r="BW46" s="244"/>
      <c r="BX46" s="1237"/>
      <c r="BY46" s="606"/>
      <c r="BZ46" s="244"/>
      <c r="CA46" s="244"/>
      <c r="CB46" s="244"/>
      <c r="CC46" s="244"/>
      <c r="CD46" s="1237"/>
      <c r="CE46" s="606"/>
      <c r="CF46" s="244"/>
      <c r="CG46" s="244"/>
      <c r="CH46" s="244"/>
      <c r="CI46" s="244"/>
      <c r="CJ46" s="244"/>
      <c r="CK46" s="244"/>
      <c r="CL46" s="244"/>
      <c r="CM46" s="244"/>
      <c r="CN46" s="325"/>
      <c r="CO46" s="243"/>
      <c r="CP46" s="243"/>
      <c r="CQ46" s="243"/>
      <c r="CR46" s="1282"/>
      <c r="CS46" s="1225"/>
      <c r="CT46" s="243"/>
      <c r="CU46" s="243"/>
      <c r="CV46" s="243"/>
      <c r="CW46" s="243"/>
      <c r="CX46" s="243"/>
      <c r="CY46" s="243"/>
      <c r="CZ46" s="243"/>
      <c r="DA46" s="1282"/>
      <c r="DB46" s="1225"/>
      <c r="DC46" s="243"/>
      <c r="DD46" s="243"/>
      <c r="DR46" s="241" t="s">
        <v>199</v>
      </c>
      <c r="EV46" s="251">
        <f t="shared" ref="EV46:FK46" si="3">EV$59*EV$9/100</f>
        <v>8.1030000000000019E-2</v>
      </c>
      <c r="EW46" s="251">
        <f t="shared" si="3"/>
        <v>3.2164999999999992E-2</v>
      </c>
      <c r="EX46" s="251">
        <f t="shared" si="3"/>
        <v>5.7500000000000008E-3</v>
      </c>
      <c r="EY46" s="1267">
        <f t="shared" si="3"/>
        <v>2.7812500000000003E-3</v>
      </c>
      <c r="EZ46" s="1212">
        <f t="shared" si="3"/>
        <v>6.4233043478260865E-2</v>
      </c>
      <c r="FA46" s="251">
        <f t="shared" si="3"/>
        <v>0.18239583333333337</v>
      </c>
      <c r="FB46" s="251">
        <f t="shared" si="3"/>
        <v>0.19129764705882352</v>
      </c>
      <c r="FC46" s="251">
        <f t="shared" si="3"/>
        <v>5.8643750000000008E-2</v>
      </c>
      <c r="FD46" s="251">
        <f t="shared" si="3"/>
        <v>0.11516166666666669</v>
      </c>
      <c r="FE46" s="251">
        <f t="shared" si="3"/>
        <v>9.0476666666666677E-2</v>
      </c>
      <c r="FF46" s="251">
        <f t="shared" si="3"/>
        <v>2.9874999999999999E-2</v>
      </c>
      <c r="FG46" s="251">
        <f t="shared" si="3"/>
        <v>4.2563333333333342E-2</v>
      </c>
      <c r="FH46" s="1267">
        <f t="shared" si="3"/>
        <v>0.12062750000000003</v>
      </c>
      <c r="FI46" s="1212">
        <f t="shared" si="3"/>
        <v>0</v>
      </c>
      <c r="FJ46" s="251">
        <f t="shared" si="3"/>
        <v>0</v>
      </c>
      <c r="FK46" s="251">
        <f t="shared" si="3"/>
        <v>0</v>
      </c>
      <c r="FX46" s="1" t="s">
        <v>199</v>
      </c>
    </row>
    <row r="47" spans="3:180" x14ac:dyDescent="0.35">
      <c r="F47" s="605"/>
      <c r="G47" s="244"/>
      <c r="H47" s="244"/>
      <c r="I47" s="1237"/>
      <c r="J47" s="606"/>
      <c r="K47" s="244"/>
      <c r="L47" s="244"/>
      <c r="M47" s="244"/>
      <c r="N47" s="244"/>
      <c r="O47" s="244"/>
      <c r="P47" s="244"/>
      <c r="Q47" s="244"/>
      <c r="R47" s="1237"/>
      <c r="S47" s="606"/>
      <c r="T47" s="244"/>
      <c r="U47" s="244"/>
      <c r="V47" s="244"/>
      <c r="W47" s="244"/>
      <c r="X47" s="1237"/>
      <c r="Y47" s="606"/>
      <c r="Z47" s="244"/>
      <c r="AA47" s="244"/>
      <c r="AB47" s="244"/>
      <c r="AC47" s="244"/>
      <c r="AD47" s="244"/>
      <c r="AE47" s="244"/>
      <c r="AF47" s="244"/>
      <c r="AG47" s="244"/>
      <c r="AH47" s="325"/>
      <c r="AI47" s="244"/>
      <c r="AJ47" s="244"/>
      <c r="AK47" s="244"/>
      <c r="AL47" s="1237"/>
      <c r="AM47" s="606"/>
      <c r="AN47" s="244"/>
      <c r="AO47" s="244"/>
      <c r="AP47" s="244"/>
      <c r="AQ47" s="244"/>
      <c r="AR47" s="244"/>
      <c r="AS47" s="244"/>
      <c r="AT47" s="244"/>
      <c r="AU47" s="1237"/>
      <c r="AV47" s="606"/>
      <c r="AW47" s="244"/>
      <c r="AX47" s="244"/>
      <c r="AY47" s="244"/>
      <c r="AZ47" s="244"/>
      <c r="BA47" s="1237"/>
      <c r="BB47" s="606"/>
      <c r="BC47" s="244"/>
      <c r="BD47" s="244"/>
      <c r="BE47" s="244"/>
      <c r="BF47" s="244"/>
      <c r="BG47" s="244"/>
      <c r="BH47" s="244"/>
      <c r="BI47" s="244"/>
      <c r="BJ47" s="244"/>
      <c r="BK47" s="325"/>
      <c r="BL47" s="244"/>
      <c r="BM47" s="244"/>
      <c r="BN47" s="244"/>
      <c r="BO47" s="1237"/>
      <c r="BP47" s="606"/>
      <c r="BQ47" s="244"/>
      <c r="BR47" s="244"/>
      <c r="BS47" s="244"/>
      <c r="BT47" s="244"/>
      <c r="BU47" s="244"/>
      <c r="BV47" s="244"/>
      <c r="BW47" s="244"/>
      <c r="BX47" s="1237"/>
      <c r="BY47" s="606"/>
      <c r="BZ47" s="244"/>
      <c r="CA47" s="244"/>
      <c r="CB47" s="244"/>
      <c r="CC47" s="244"/>
      <c r="CD47" s="1237"/>
      <c r="CE47" s="606"/>
      <c r="CF47" s="244"/>
      <c r="CG47" s="244"/>
      <c r="CH47" s="244"/>
      <c r="CI47" s="244"/>
      <c r="CJ47" s="244"/>
      <c r="CK47" s="244"/>
      <c r="CL47" s="244"/>
      <c r="CM47" s="244"/>
      <c r="CN47" s="325"/>
      <c r="CO47" s="243"/>
      <c r="CP47" s="243"/>
      <c r="CQ47" s="243"/>
      <c r="CR47" s="1282"/>
      <c r="CS47" s="1225"/>
      <c r="CT47" s="243"/>
      <c r="CU47" s="243"/>
      <c r="CV47" s="243"/>
      <c r="CW47" s="243"/>
      <c r="CX47" s="243"/>
      <c r="CY47" s="243"/>
      <c r="CZ47" s="243"/>
      <c r="DA47" s="1282"/>
      <c r="DB47" s="1225"/>
      <c r="DC47" s="243"/>
      <c r="DD47" s="243"/>
      <c r="DR47" s="241" t="s">
        <v>200</v>
      </c>
      <c r="EV47" s="251">
        <f t="shared" ref="EV47:FK47" si="4">EV$59*EV$10/100</f>
        <v>5.9130000000000009E-2</v>
      </c>
      <c r="EW47" s="251">
        <f t="shared" si="4"/>
        <v>5.8969166666666656E-2</v>
      </c>
      <c r="EX47" s="251">
        <f t="shared" si="4"/>
        <v>1.0541666666666666E-2</v>
      </c>
      <c r="EY47" s="1267">
        <f t="shared" si="4"/>
        <v>4.635416666666667E-3</v>
      </c>
      <c r="EZ47" s="1212">
        <f t="shared" si="4"/>
        <v>0.11240782608695653</v>
      </c>
      <c r="FA47" s="251">
        <f t="shared" si="4"/>
        <v>0.28968750000000004</v>
      </c>
      <c r="FB47" s="251">
        <f t="shared" si="4"/>
        <v>0.31882941176470586</v>
      </c>
      <c r="FC47" s="251">
        <f t="shared" si="4"/>
        <v>0.11728750000000002</v>
      </c>
      <c r="FD47" s="251">
        <f t="shared" si="4"/>
        <v>0.18508125</v>
      </c>
      <c r="FE47" s="251">
        <f t="shared" si="4"/>
        <v>0.15833416666666669</v>
      </c>
      <c r="FF47" s="251">
        <f t="shared" si="4"/>
        <v>4.9791666666666672E-2</v>
      </c>
      <c r="FG47" s="251">
        <f t="shared" si="4"/>
        <v>6.3844999999999999E-2</v>
      </c>
      <c r="FH47" s="1267">
        <f t="shared" si="4"/>
        <v>0.22402250000000001</v>
      </c>
      <c r="FI47" s="1212">
        <f t="shared" si="4"/>
        <v>0</v>
      </c>
      <c r="FJ47" s="251">
        <f t="shared" si="4"/>
        <v>0</v>
      </c>
      <c r="FK47" s="251">
        <f t="shared" si="4"/>
        <v>0</v>
      </c>
      <c r="FX47" s="1" t="s">
        <v>200</v>
      </c>
    </row>
    <row r="48" spans="3:180" x14ac:dyDescent="0.35">
      <c r="F48" s="605"/>
      <c r="G48" s="244"/>
      <c r="H48" s="244"/>
      <c r="I48" s="1237"/>
      <c r="J48" s="606"/>
      <c r="K48" s="244"/>
      <c r="L48" s="244"/>
      <c r="M48" s="244"/>
      <c r="N48" s="244"/>
      <c r="O48" s="244"/>
      <c r="P48" s="244"/>
      <c r="Q48" s="244"/>
      <c r="R48" s="1237"/>
      <c r="S48" s="606"/>
      <c r="T48" s="244"/>
      <c r="U48" s="244"/>
      <c r="V48" s="244"/>
      <c r="W48" s="244"/>
      <c r="X48" s="1237"/>
      <c r="Y48" s="606"/>
      <c r="Z48" s="244"/>
      <c r="AA48" s="244"/>
      <c r="AB48" s="244"/>
      <c r="AC48" s="244"/>
      <c r="AD48" s="244"/>
      <c r="AE48" s="244"/>
      <c r="AF48" s="244"/>
      <c r="AG48" s="244"/>
      <c r="AH48" s="325"/>
      <c r="AI48" s="244"/>
      <c r="AJ48" s="244"/>
      <c r="AK48" s="244"/>
      <c r="AL48" s="1237"/>
      <c r="AM48" s="606"/>
      <c r="AN48" s="244"/>
      <c r="AO48" s="244"/>
      <c r="AP48" s="244"/>
      <c r="AQ48" s="244"/>
      <c r="AR48" s="244"/>
      <c r="AS48" s="244"/>
      <c r="AT48" s="244"/>
      <c r="AU48" s="1237"/>
      <c r="AV48" s="606"/>
      <c r="AW48" s="244"/>
      <c r="AX48" s="244"/>
      <c r="AY48" s="244"/>
      <c r="AZ48" s="244"/>
      <c r="BA48" s="1237"/>
      <c r="BB48" s="606"/>
      <c r="BC48" s="244"/>
      <c r="BD48" s="244"/>
      <c r="BE48" s="244"/>
      <c r="BF48" s="244"/>
      <c r="BG48" s="244"/>
      <c r="BH48" s="244"/>
      <c r="BI48" s="244"/>
      <c r="BJ48" s="244"/>
      <c r="BK48" s="325"/>
      <c r="BL48" s="244"/>
      <c r="BM48" s="244"/>
      <c r="BN48" s="244"/>
      <c r="BO48" s="1237"/>
      <c r="BP48" s="606"/>
      <c r="BQ48" s="244"/>
      <c r="BR48" s="244"/>
      <c r="BS48" s="244"/>
      <c r="BT48" s="244"/>
      <c r="BU48" s="244"/>
      <c r="BV48" s="244"/>
      <c r="BW48" s="244"/>
      <c r="BX48" s="1237"/>
      <c r="BY48" s="606"/>
      <c r="BZ48" s="244"/>
      <c r="CA48" s="244"/>
      <c r="CB48" s="244"/>
      <c r="CC48" s="244"/>
      <c r="CD48" s="1237"/>
      <c r="CE48" s="606"/>
      <c r="CF48" s="244"/>
      <c r="CG48" s="244"/>
      <c r="CH48" s="244"/>
      <c r="CI48" s="244"/>
      <c r="CJ48" s="244"/>
      <c r="CK48" s="244"/>
      <c r="CL48" s="244"/>
      <c r="CM48" s="244"/>
      <c r="CN48" s="325"/>
      <c r="CO48" s="243"/>
      <c r="CP48" s="243"/>
      <c r="CQ48" s="243"/>
      <c r="CR48" s="1282"/>
      <c r="CS48" s="1225"/>
      <c r="CT48" s="243"/>
      <c r="CU48" s="243"/>
      <c r="CV48" s="243"/>
      <c r="CW48" s="243"/>
      <c r="CX48" s="243"/>
      <c r="CY48" s="243"/>
      <c r="CZ48" s="243"/>
      <c r="DA48" s="1282"/>
      <c r="DB48" s="1225"/>
      <c r="DC48" s="243"/>
      <c r="DD48" s="243"/>
      <c r="DR48" s="241" t="s">
        <v>201</v>
      </c>
      <c r="EV48" s="251">
        <f t="shared" ref="EV48:FK48" si="5">EV$59*EV$11/100</f>
        <v>0.12921000000000002</v>
      </c>
      <c r="EW48" s="251">
        <f t="shared" si="5"/>
        <v>8.5773333333333313E-2</v>
      </c>
      <c r="EX48" s="251">
        <f t="shared" si="5"/>
        <v>1.5333333333333334E-2</v>
      </c>
      <c r="EY48" s="1267">
        <f t="shared" si="5"/>
        <v>7.4166666666666669E-3</v>
      </c>
      <c r="EZ48" s="1212">
        <f t="shared" si="5"/>
        <v>0.1926991304347826</v>
      </c>
      <c r="FA48" s="251">
        <f t="shared" si="5"/>
        <v>0.43989583333333337</v>
      </c>
      <c r="FB48" s="251">
        <f t="shared" si="5"/>
        <v>0.47824411764705888</v>
      </c>
      <c r="FC48" s="251">
        <f t="shared" si="5"/>
        <v>0.28149000000000002</v>
      </c>
      <c r="FD48" s="251">
        <f t="shared" si="5"/>
        <v>0.3125816666666667</v>
      </c>
      <c r="FE48" s="251">
        <f t="shared" si="5"/>
        <v>0.31666833333333338</v>
      </c>
      <c r="FF48" s="251">
        <f t="shared" si="5"/>
        <v>8.9624999999999982E-2</v>
      </c>
      <c r="FG48" s="251">
        <f t="shared" si="5"/>
        <v>0.15961250000000002</v>
      </c>
      <c r="FH48" s="1267">
        <f t="shared" si="5"/>
        <v>0.40496375000000001</v>
      </c>
      <c r="FI48" s="1212">
        <f t="shared" si="5"/>
        <v>0</v>
      </c>
      <c r="FJ48" s="251">
        <f t="shared" si="5"/>
        <v>0</v>
      </c>
      <c r="FK48" s="251">
        <f t="shared" si="5"/>
        <v>0</v>
      </c>
      <c r="FX48" s="1" t="s">
        <v>201</v>
      </c>
    </row>
    <row r="49" spans="3:180" x14ac:dyDescent="0.35">
      <c r="F49" s="605"/>
      <c r="G49" s="244"/>
      <c r="H49" s="244"/>
      <c r="I49" s="1237"/>
      <c r="J49" s="606"/>
      <c r="K49" s="244"/>
      <c r="L49" s="244"/>
      <c r="M49" s="244"/>
      <c r="N49" s="244"/>
      <c r="O49" s="244"/>
      <c r="P49" s="244"/>
      <c r="Q49" s="244"/>
      <c r="R49" s="1237"/>
      <c r="S49" s="606"/>
      <c r="T49" s="244"/>
      <c r="U49" s="244"/>
      <c r="V49" s="244"/>
      <c r="W49" s="244"/>
      <c r="X49" s="1237"/>
      <c r="Y49" s="606"/>
      <c r="Z49" s="244"/>
      <c r="AA49" s="244"/>
      <c r="AB49" s="244"/>
      <c r="AC49" s="244"/>
      <c r="AD49" s="244"/>
      <c r="AE49" s="244"/>
      <c r="AF49" s="244"/>
      <c r="AG49" s="244"/>
      <c r="AH49" s="325"/>
      <c r="AI49" s="244"/>
      <c r="AJ49" s="244"/>
      <c r="AK49" s="244"/>
      <c r="AL49" s="1237"/>
      <c r="AM49" s="606"/>
      <c r="AN49" s="244"/>
      <c r="AO49" s="244"/>
      <c r="AP49" s="244"/>
      <c r="AQ49" s="244"/>
      <c r="AR49" s="244"/>
      <c r="AS49" s="244"/>
      <c r="AT49" s="244"/>
      <c r="AU49" s="1237"/>
      <c r="AV49" s="606"/>
      <c r="AW49" s="244"/>
      <c r="AX49" s="244"/>
      <c r="AY49" s="244"/>
      <c r="AZ49" s="244"/>
      <c r="BA49" s="1237"/>
      <c r="BB49" s="606"/>
      <c r="BC49" s="244"/>
      <c r="BD49" s="244"/>
      <c r="BE49" s="244"/>
      <c r="BF49" s="244"/>
      <c r="BG49" s="244"/>
      <c r="BH49" s="244"/>
      <c r="BI49" s="244"/>
      <c r="BJ49" s="244"/>
      <c r="BK49" s="325"/>
      <c r="BL49" s="244"/>
      <c r="BM49" s="244"/>
      <c r="BN49" s="244"/>
      <c r="BO49" s="1237"/>
      <c r="BP49" s="606"/>
      <c r="BQ49" s="244"/>
      <c r="BR49" s="244"/>
      <c r="BS49" s="244"/>
      <c r="BT49" s="244"/>
      <c r="BU49" s="244"/>
      <c r="BV49" s="244"/>
      <c r="BW49" s="244"/>
      <c r="BX49" s="1237"/>
      <c r="BY49" s="606"/>
      <c r="BZ49" s="244"/>
      <c r="CA49" s="244"/>
      <c r="CB49" s="244"/>
      <c r="CC49" s="244"/>
      <c r="CD49" s="1237"/>
      <c r="CE49" s="606"/>
      <c r="CF49" s="244"/>
      <c r="CG49" s="244"/>
      <c r="CH49" s="244"/>
      <c r="CI49" s="244"/>
      <c r="CJ49" s="244"/>
      <c r="CK49" s="244"/>
      <c r="CL49" s="244"/>
      <c r="CM49" s="244"/>
      <c r="CN49" s="325"/>
      <c r="CO49" s="243"/>
      <c r="CP49" s="251"/>
      <c r="CQ49" s="243"/>
      <c r="CR49" s="1282"/>
      <c r="CS49" s="1225"/>
      <c r="CT49" s="243"/>
      <c r="CU49" s="243"/>
      <c r="CV49" s="243"/>
      <c r="CW49" s="243"/>
      <c r="CX49" s="243"/>
      <c r="CY49" s="243"/>
      <c r="CZ49" s="243"/>
      <c r="DA49" s="1282"/>
      <c r="DB49" s="1225"/>
      <c r="DC49" s="243"/>
      <c r="DD49" s="243"/>
      <c r="DR49" s="241" t="s">
        <v>376</v>
      </c>
      <c r="EV49" s="251">
        <f t="shared" ref="EV49:FK49" si="6">EV$59*EV$12/100</f>
        <v>0.16096500000000002</v>
      </c>
      <c r="EW49" s="251">
        <f t="shared" si="6"/>
        <v>9.1134166666666655E-2</v>
      </c>
      <c r="EX49" s="251">
        <f t="shared" si="6"/>
        <v>1.629166666666667E-2</v>
      </c>
      <c r="EY49" s="1267">
        <f t="shared" si="6"/>
        <v>1.0197916666666666E-2</v>
      </c>
      <c r="EZ49" s="1212">
        <f t="shared" si="6"/>
        <v>0.32919434782608692</v>
      </c>
      <c r="FA49" s="251">
        <f t="shared" si="6"/>
        <v>0.49354166666666671</v>
      </c>
      <c r="FB49" s="251">
        <f t="shared" si="6"/>
        <v>0.53138235294117653</v>
      </c>
      <c r="FC49" s="251">
        <f t="shared" si="6"/>
        <v>0.59816625000000001</v>
      </c>
      <c r="FD49" s="251">
        <f t="shared" si="6"/>
        <v>0.44830791666666664</v>
      </c>
      <c r="FE49" s="251">
        <f t="shared" si="6"/>
        <v>0.54286000000000001</v>
      </c>
      <c r="FF49" s="251">
        <f t="shared" si="6"/>
        <v>0.19916666666666669</v>
      </c>
      <c r="FG49" s="251">
        <f t="shared" si="6"/>
        <v>0.32986583333333336</v>
      </c>
      <c r="FH49" s="1267">
        <f t="shared" si="6"/>
        <v>0.58590500000000012</v>
      </c>
      <c r="FI49" s="1212">
        <f t="shared" si="6"/>
        <v>0</v>
      </c>
      <c r="FJ49" s="251">
        <f t="shared" si="6"/>
        <v>0</v>
      </c>
      <c r="FK49" s="251">
        <f t="shared" si="6"/>
        <v>0</v>
      </c>
      <c r="FX49" s="1" t="s">
        <v>376</v>
      </c>
    </row>
    <row r="50" spans="3:180" x14ac:dyDescent="0.35">
      <c r="F50" s="605"/>
      <c r="G50" s="244"/>
      <c r="H50" s="244"/>
      <c r="I50" s="1237"/>
      <c r="J50" s="606"/>
      <c r="K50" s="244"/>
      <c r="L50" s="244"/>
      <c r="M50" s="244"/>
      <c r="N50" s="244"/>
      <c r="O50" s="244"/>
      <c r="P50" s="244"/>
      <c r="Q50" s="244"/>
      <c r="R50" s="1237"/>
      <c r="S50" s="606"/>
      <c r="T50" s="244"/>
      <c r="U50" s="244"/>
      <c r="V50" s="244"/>
      <c r="W50" s="244"/>
      <c r="X50" s="1237"/>
      <c r="Y50" s="606"/>
      <c r="Z50" s="244"/>
      <c r="AA50" s="244"/>
      <c r="AB50" s="244"/>
      <c r="AC50" s="244"/>
      <c r="AD50" s="244"/>
      <c r="AE50" s="244"/>
      <c r="AF50" s="244"/>
      <c r="AG50" s="244"/>
      <c r="AH50" s="325"/>
      <c r="AI50" s="244"/>
      <c r="AJ50" s="244"/>
      <c r="AK50" s="244"/>
      <c r="AL50" s="1237"/>
      <c r="AM50" s="606"/>
      <c r="AN50" s="244"/>
      <c r="AO50" s="244"/>
      <c r="AP50" s="244"/>
      <c r="AQ50" s="244"/>
      <c r="AR50" s="244"/>
      <c r="AS50" s="244"/>
      <c r="AT50" s="244"/>
      <c r="AU50" s="1237"/>
      <c r="AV50" s="606"/>
      <c r="AW50" s="244"/>
      <c r="AX50" s="244"/>
      <c r="AY50" s="244"/>
      <c r="AZ50" s="244"/>
      <c r="BA50" s="1237"/>
      <c r="BB50" s="606"/>
      <c r="BC50" s="244"/>
      <c r="BD50" s="244"/>
      <c r="BE50" s="244"/>
      <c r="BF50" s="244"/>
      <c r="BG50" s="244"/>
      <c r="BH50" s="244"/>
      <c r="BI50" s="244"/>
      <c r="BJ50" s="244"/>
      <c r="BK50" s="325"/>
      <c r="BL50" s="244"/>
      <c r="BM50" s="244"/>
      <c r="BN50" s="244"/>
      <c r="BO50" s="1237"/>
      <c r="BP50" s="606"/>
      <c r="BQ50" s="244"/>
      <c r="BR50" s="244"/>
      <c r="BS50" s="244"/>
      <c r="BT50" s="244"/>
      <c r="BU50" s="244"/>
      <c r="BV50" s="244"/>
      <c r="BW50" s="244"/>
      <c r="BX50" s="1237"/>
      <c r="BY50" s="606"/>
      <c r="BZ50" s="244"/>
      <c r="CA50" s="244"/>
      <c r="CB50" s="244"/>
      <c r="CC50" s="244"/>
      <c r="CD50" s="1237"/>
      <c r="CE50" s="606"/>
      <c r="CF50" s="244"/>
      <c r="CG50" s="244"/>
      <c r="CH50" s="244"/>
      <c r="CI50" s="244"/>
      <c r="CJ50" s="244"/>
      <c r="CK50" s="244"/>
      <c r="CL50" s="244"/>
      <c r="CM50" s="244"/>
      <c r="CN50" s="325"/>
      <c r="CO50" s="243"/>
      <c r="CP50" s="243"/>
      <c r="CQ50" s="243"/>
      <c r="CR50" s="1282"/>
      <c r="CS50" s="1225"/>
      <c r="CT50" s="243"/>
      <c r="CU50" s="243"/>
      <c r="CV50" s="243"/>
      <c r="CW50" s="243"/>
      <c r="CX50" s="243"/>
      <c r="CY50" s="243"/>
      <c r="CZ50" s="243"/>
      <c r="DA50" s="1282"/>
      <c r="DB50" s="1225"/>
      <c r="DC50" s="243"/>
      <c r="DD50" s="243"/>
      <c r="DR50" s="241" t="s">
        <v>203</v>
      </c>
      <c r="EV50" s="251">
        <f t="shared" ref="EV50:FK50" si="7">EV$59*EV$13/100</f>
        <v>0.10293000000000001</v>
      </c>
      <c r="EW50" s="251">
        <f t="shared" si="7"/>
        <v>5.8969166666666656E-2</v>
      </c>
      <c r="EX50" s="251">
        <f t="shared" si="7"/>
        <v>1.0541666666666666E-2</v>
      </c>
      <c r="EY50" s="1267">
        <f t="shared" si="7"/>
        <v>1.1125000000000001E-2</v>
      </c>
      <c r="EZ50" s="1212">
        <f t="shared" si="7"/>
        <v>0.39342739130434778</v>
      </c>
      <c r="FA50" s="251">
        <f t="shared" si="7"/>
        <v>0.41843750000000002</v>
      </c>
      <c r="FB50" s="251">
        <f t="shared" si="7"/>
        <v>0.40385058823529413</v>
      </c>
      <c r="FC50" s="251">
        <f t="shared" si="7"/>
        <v>0.80928375000000008</v>
      </c>
      <c r="FD50" s="251">
        <f t="shared" si="7"/>
        <v>0.48121124999999998</v>
      </c>
      <c r="FE50" s="251">
        <f t="shared" si="7"/>
        <v>0.56547916666666675</v>
      </c>
      <c r="FF50" s="251">
        <f t="shared" si="7"/>
        <v>0.39833333333333337</v>
      </c>
      <c r="FG50" s="251">
        <f t="shared" si="7"/>
        <v>0.51075999999999999</v>
      </c>
      <c r="FH50" s="1267">
        <f t="shared" si="7"/>
        <v>0.59452125</v>
      </c>
      <c r="FI50" s="1212">
        <f t="shared" si="7"/>
        <v>0</v>
      </c>
      <c r="FJ50" s="251">
        <f t="shared" si="7"/>
        <v>0</v>
      </c>
      <c r="FK50" s="251">
        <f t="shared" si="7"/>
        <v>0</v>
      </c>
      <c r="FX50" s="1" t="s">
        <v>203</v>
      </c>
    </row>
    <row r="51" spans="3:180" s="368" customFormat="1" ht="15" thickBot="1" x14ac:dyDescent="0.4">
      <c r="C51" s="364"/>
      <c r="D51" s="364"/>
      <c r="E51" s="364"/>
      <c r="F51" s="1072"/>
      <c r="G51" s="1073"/>
      <c r="H51" s="1073"/>
      <c r="I51" s="1246"/>
      <c r="J51" s="1192"/>
      <c r="K51" s="1073"/>
      <c r="L51" s="1073"/>
      <c r="M51" s="1073"/>
      <c r="N51" s="1073"/>
      <c r="O51" s="1073"/>
      <c r="P51" s="1073"/>
      <c r="Q51" s="1073"/>
      <c r="R51" s="1246"/>
      <c r="S51" s="1192"/>
      <c r="T51" s="1073"/>
      <c r="U51" s="1073"/>
      <c r="V51" s="1073"/>
      <c r="W51" s="1073"/>
      <c r="X51" s="1246"/>
      <c r="Y51" s="1192"/>
      <c r="Z51" s="1073"/>
      <c r="AA51" s="1073"/>
      <c r="AB51" s="1073"/>
      <c r="AC51" s="1073"/>
      <c r="AD51" s="1073"/>
      <c r="AE51" s="1073"/>
      <c r="AF51" s="1073"/>
      <c r="AG51" s="1073"/>
      <c r="AH51" s="369"/>
      <c r="AI51" s="1073"/>
      <c r="AJ51" s="1073"/>
      <c r="AK51" s="1073"/>
      <c r="AL51" s="1246"/>
      <c r="AM51" s="1192"/>
      <c r="AN51" s="1073"/>
      <c r="AO51" s="1073"/>
      <c r="AP51" s="1073"/>
      <c r="AQ51" s="1073"/>
      <c r="AR51" s="1073"/>
      <c r="AS51" s="1073"/>
      <c r="AT51" s="1073"/>
      <c r="AU51" s="1246"/>
      <c r="AV51" s="1192"/>
      <c r="AW51" s="1073"/>
      <c r="AX51" s="1073"/>
      <c r="AY51" s="1073"/>
      <c r="AZ51" s="1073"/>
      <c r="BA51" s="1246"/>
      <c r="BB51" s="1192"/>
      <c r="BC51" s="1073"/>
      <c r="BD51" s="1073"/>
      <c r="BE51" s="1073"/>
      <c r="BF51" s="1073"/>
      <c r="BG51" s="1073"/>
      <c r="BH51" s="1073"/>
      <c r="BI51" s="1073"/>
      <c r="BJ51" s="1073"/>
      <c r="BK51" s="369"/>
      <c r="BL51" s="1073"/>
      <c r="BM51" s="1073"/>
      <c r="BN51" s="1073"/>
      <c r="BO51" s="1246"/>
      <c r="BP51" s="1192"/>
      <c r="BQ51" s="1073"/>
      <c r="BR51" s="1073"/>
      <c r="BS51" s="1073"/>
      <c r="BT51" s="1073"/>
      <c r="BU51" s="1073"/>
      <c r="BV51" s="1073"/>
      <c r="BW51" s="1073"/>
      <c r="BX51" s="1246"/>
      <c r="BY51" s="1192"/>
      <c r="BZ51" s="1073"/>
      <c r="CA51" s="1073"/>
      <c r="CB51" s="1073"/>
      <c r="CC51" s="1073"/>
      <c r="CD51" s="1246"/>
      <c r="CE51" s="1192"/>
      <c r="CF51" s="1073"/>
      <c r="CG51" s="1073"/>
      <c r="CH51" s="1073"/>
      <c r="CI51" s="1073"/>
      <c r="CJ51" s="1073"/>
      <c r="CK51" s="1073"/>
      <c r="CL51" s="1073"/>
      <c r="CM51" s="1073"/>
      <c r="CN51" s="369"/>
      <c r="CO51" s="1074"/>
      <c r="CP51" s="1073"/>
      <c r="CQ51" s="1073"/>
      <c r="CR51" s="1246"/>
      <c r="CS51" s="1192"/>
      <c r="CT51" s="1073"/>
      <c r="CU51" s="1073"/>
      <c r="CV51" s="1074"/>
      <c r="CW51" s="1074"/>
      <c r="CX51" s="1074"/>
      <c r="CY51" s="1074"/>
      <c r="CZ51" s="1074"/>
      <c r="DA51" s="1494"/>
      <c r="DB51" s="1484"/>
      <c r="DC51" s="1074"/>
      <c r="DD51" s="1074"/>
      <c r="DE51" s="365"/>
      <c r="DF51" s="365"/>
      <c r="DG51" s="1234"/>
      <c r="DH51" s="1182"/>
      <c r="DI51" s="365"/>
      <c r="DJ51" s="365"/>
      <c r="DK51" s="365"/>
      <c r="DL51" s="365"/>
      <c r="DM51" s="365"/>
      <c r="DN51" s="365"/>
      <c r="DO51" s="365"/>
      <c r="DP51" s="365"/>
      <c r="DQ51" s="366"/>
      <c r="DR51" s="409" t="s">
        <v>374</v>
      </c>
      <c r="DS51" s="365"/>
      <c r="DT51" s="365"/>
      <c r="DU51" s="365"/>
      <c r="DV51" s="1234"/>
      <c r="DW51" s="1182"/>
      <c r="DX51" s="365"/>
      <c r="DY51" s="365"/>
      <c r="DZ51" s="365"/>
      <c r="EA51" s="365"/>
      <c r="EB51" s="365"/>
      <c r="EC51" s="365"/>
      <c r="ED51" s="365"/>
      <c r="EE51" s="1234"/>
      <c r="EF51" s="1182"/>
      <c r="EG51" s="365"/>
      <c r="EH51" s="365"/>
      <c r="EI51" s="365"/>
      <c r="EJ51" s="365"/>
      <c r="EK51" s="1234"/>
      <c r="EL51" s="1182"/>
      <c r="EM51" s="365"/>
      <c r="EN51" s="365"/>
      <c r="EO51" s="365"/>
      <c r="EP51" s="365"/>
      <c r="EQ51" s="365"/>
      <c r="ER51" s="365"/>
      <c r="ES51" s="365"/>
      <c r="ET51" s="365"/>
      <c r="EU51" s="366"/>
      <c r="EV51" s="1075">
        <f t="shared" ref="EV51:FK51" si="8">EV$59*EV$14/100</f>
        <v>4.5990000000000003E-2</v>
      </c>
      <c r="EW51" s="1075">
        <f t="shared" si="8"/>
        <v>6.4329999999999984E-2</v>
      </c>
      <c r="EX51" s="1075">
        <f t="shared" si="8"/>
        <v>1.1500000000000002E-2</v>
      </c>
      <c r="EY51" s="1548">
        <f t="shared" si="8"/>
        <v>3.89375E-2</v>
      </c>
      <c r="EZ51" s="1531">
        <f t="shared" si="8"/>
        <v>0.73868</v>
      </c>
      <c r="FA51" s="1075">
        <f t="shared" si="8"/>
        <v>0.75104166666666672</v>
      </c>
      <c r="FB51" s="1075">
        <f t="shared" si="8"/>
        <v>0.66954176470588234</v>
      </c>
      <c r="FC51" s="1075">
        <f t="shared" si="8"/>
        <v>0.52779375000000006</v>
      </c>
      <c r="FD51" s="1075">
        <f t="shared" si="8"/>
        <v>0.43185625000000011</v>
      </c>
      <c r="FE51" s="1075">
        <f t="shared" si="8"/>
        <v>0.59940791666666682</v>
      </c>
      <c r="FF51" s="1075">
        <f t="shared" si="8"/>
        <v>0.47799999999999998</v>
      </c>
      <c r="FG51" s="1075">
        <f t="shared" si="8"/>
        <v>0.87254833333333337</v>
      </c>
      <c r="FH51" s="1548">
        <f t="shared" si="8"/>
        <v>0.80131125000000014</v>
      </c>
      <c r="FI51" s="1531">
        <f t="shared" si="8"/>
        <v>0</v>
      </c>
      <c r="FJ51" s="1075">
        <f t="shared" si="8"/>
        <v>0</v>
      </c>
      <c r="FK51" s="1075">
        <f t="shared" si="8"/>
        <v>0</v>
      </c>
      <c r="FL51" s="365"/>
      <c r="FM51" s="365"/>
      <c r="FN51" s="1234"/>
      <c r="FO51" s="1182"/>
      <c r="FP51" s="365"/>
      <c r="FQ51" s="365"/>
      <c r="FR51" s="365"/>
      <c r="FS51" s="365"/>
      <c r="FT51" s="365"/>
      <c r="FU51" s="365"/>
      <c r="FV51" s="365"/>
      <c r="FW51" s="365"/>
      <c r="FX51" s="364" t="s">
        <v>374</v>
      </c>
    </row>
    <row r="52" spans="3:180" ht="15.4" customHeight="1" thickTop="1" thickBot="1" x14ac:dyDescent="0.4">
      <c r="F52" s="1055"/>
      <c r="G52" s="453"/>
      <c r="H52" s="1076"/>
      <c r="I52" s="1247"/>
      <c r="J52" s="1193"/>
      <c r="K52" s="1077"/>
      <c r="L52" s="1077"/>
      <c r="M52" s="1077"/>
      <c r="N52" s="1077"/>
      <c r="O52" s="1077"/>
      <c r="P52" s="1077"/>
      <c r="Q52" s="1077"/>
      <c r="R52" s="1247"/>
      <c r="S52" s="1193"/>
      <c r="T52" s="1077"/>
      <c r="U52" s="1077"/>
      <c r="V52" s="453"/>
      <c r="W52" s="453"/>
      <c r="X52" s="1446"/>
      <c r="Y52" s="1428"/>
      <c r="Z52" s="453"/>
      <c r="AA52" s="453"/>
      <c r="AB52" s="453"/>
      <c r="AC52" s="453"/>
      <c r="AD52" s="453"/>
      <c r="AE52" s="453"/>
      <c r="AF52" s="453"/>
      <c r="AG52" s="453"/>
      <c r="AH52" s="454"/>
      <c r="AI52" s="453"/>
      <c r="AJ52" s="453"/>
      <c r="AK52" s="453"/>
      <c r="AL52" s="1446"/>
      <c r="AM52" s="1428"/>
      <c r="AN52" s="453"/>
      <c r="AO52" s="453"/>
      <c r="AP52" s="453"/>
      <c r="AQ52" s="453"/>
      <c r="AR52" s="453"/>
      <c r="AS52" s="453"/>
      <c r="AT52" s="453"/>
      <c r="AU52" s="1446"/>
      <c r="AV52" s="1428"/>
      <c r="AW52" s="453"/>
      <c r="AX52" s="453"/>
      <c r="AY52" s="453"/>
      <c r="AZ52" s="453"/>
      <c r="BA52" s="1446"/>
      <c r="BB52" s="1428"/>
      <c r="BC52" s="453"/>
      <c r="BD52" s="453"/>
      <c r="BE52" s="453"/>
      <c r="BF52" s="453"/>
      <c r="BG52" s="453"/>
      <c r="BH52" s="453"/>
      <c r="BI52" s="453"/>
      <c r="BJ52" s="453"/>
      <c r="BK52" s="454"/>
      <c r="BL52" s="453"/>
      <c r="BM52" s="453"/>
      <c r="BN52" s="453"/>
      <c r="BO52" s="1446"/>
      <c r="BP52" s="1428"/>
      <c r="BQ52" s="453"/>
      <c r="BR52" s="453"/>
      <c r="BS52" s="453"/>
      <c r="BT52" s="453"/>
      <c r="BU52" s="453"/>
      <c r="BV52" s="453"/>
      <c r="BW52" s="453"/>
      <c r="BX52" s="1446"/>
      <c r="BY52" s="1428"/>
      <c r="BZ52" s="453"/>
      <c r="CA52" s="453"/>
      <c r="CB52" s="453"/>
      <c r="CC52" s="453"/>
      <c r="CD52" s="1446"/>
      <c r="CE52" s="1428"/>
      <c r="CF52" s="453"/>
      <c r="CG52" s="453"/>
      <c r="CH52" s="453"/>
      <c r="CI52" s="453"/>
      <c r="CJ52" s="453"/>
      <c r="CK52" s="453"/>
      <c r="CL52" s="453"/>
      <c r="CM52" s="453"/>
      <c r="CN52" s="454"/>
      <c r="CO52" s="453"/>
      <c r="CP52" s="453"/>
      <c r="CQ52" s="453"/>
      <c r="CR52" s="1446"/>
      <c r="CS52" s="1428"/>
      <c r="CT52" s="453"/>
      <c r="CU52" s="453"/>
      <c r="CV52" s="453"/>
      <c r="CW52" s="453"/>
      <c r="CX52" s="453"/>
      <c r="CY52" s="453"/>
      <c r="CZ52" s="453"/>
      <c r="DA52" s="1446"/>
      <c r="DB52" s="1428"/>
      <c r="DC52" s="453"/>
      <c r="DD52" s="453"/>
      <c r="DE52" s="453"/>
      <c r="DF52" s="453"/>
      <c r="DG52" s="1446"/>
      <c r="DH52" s="1428"/>
      <c r="DI52" s="453"/>
      <c r="DJ52" s="453"/>
      <c r="DK52" s="453"/>
      <c r="DL52" s="453"/>
      <c r="DM52" s="453"/>
      <c r="DN52" s="453"/>
      <c r="DO52" s="453"/>
      <c r="DP52" s="453"/>
      <c r="DQ52" s="454"/>
      <c r="DR52" s="455"/>
      <c r="DS52" s="453"/>
      <c r="DT52" s="453"/>
      <c r="DU52" s="453"/>
      <c r="DV52" s="1446"/>
      <c r="DW52" s="1428"/>
      <c r="DX52" s="453"/>
      <c r="DY52" s="453"/>
      <c r="DZ52" s="453"/>
      <c r="EA52" s="453"/>
      <c r="EB52" s="453"/>
      <c r="EC52" s="453"/>
      <c r="ED52" s="453"/>
      <c r="EE52" s="1446"/>
      <c r="EF52" s="1428"/>
      <c r="EG52" s="453"/>
      <c r="EH52" s="453"/>
      <c r="EI52" s="453"/>
      <c r="EJ52" s="453"/>
      <c r="EK52" s="1446"/>
      <c r="EL52" s="1428"/>
      <c r="EM52" s="453"/>
      <c r="EN52" s="453"/>
      <c r="EO52" s="453"/>
      <c r="EP52" s="453"/>
      <c r="EQ52" s="453"/>
      <c r="ER52" s="453"/>
      <c r="ES52" s="453"/>
      <c r="ET52" s="453"/>
      <c r="EU52" s="454"/>
      <c r="EV52" s="453"/>
      <c r="EW52" s="453"/>
      <c r="EX52" s="453"/>
      <c r="EY52" s="1446"/>
      <c r="EZ52" s="1428"/>
      <c r="FA52" s="453"/>
      <c r="FB52" s="453"/>
      <c r="FC52" s="1078"/>
      <c r="FD52" s="1078"/>
      <c r="FE52" s="1078"/>
      <c r="FF52" s="453"/>
      <c r="FG52" s="453"/>
      <c r="FH52" s="1446"/>
      <c r="FI52" s="1428"/>
      <c r="FJ52" s="453"/>
      <c r="FK52" s="453"/>
      <c r="FL52" s="453"/>
      <c r="FM52" s="453"/>
      <c r="FN52" s="1446"/>
      <c r="FO52" s="1428"/>
      <c r="FP52" s="453"/>
      <c r="FQ52" s="453"/>
      <c r="FR52" s="453"/>
      <c r="FS52" s="453"/>
      <c r="FT52" s="453"/>
      <c r="FU52" s="453"/>
      <c r="FV52" s="453"/>
      <c r="FW52" s="453"/>
    </row>
    <row r="53" spans="3:180" ht="15.5" thickTop="1" thickBot="1" x14ac:dyDescent="0.4">
      <c r="C53" s="1084" t="s">
        <v>364</v>
      </c>
      <c r="D53" s="305"/>
      <c r="E53" s="305"/>
      <c r="F53" s="2715" t="s">
        <v>206</v>
      </c>
      <c r="G53" s="2715"/>
      <c r="H53" s="2715"/>
      <c r="I53" s="2716"/>
      <c r="J53" s="2715" t="s">
        <v>206</v>
      </c>
      <c r="K53" s="2715"/>
      <c r="L53" s="2715"/>
      <c r="M53" s="2715"/>
      <c r="N53" s="2715"/>
      <c r="O53" s="2715"/>
      <c r="P53" s="2715" t="s">
        <v>206</v>
      </c>
      <c r="Q53" s="2715"/>
      <c r="R53" s="2715"/>
      <c r="S53" s="2715"/>
      <c r="T53" s="2715"/>
      <c r="U53" s="2715"/>
      <c r="V53" s="307"/>
      <c r="W53" s="307"/>
      <c r="X53" s="1239"/>
      <c r="Y53" s="1186"/>
      <c r="Z53" s="307"/>
      <c r="AA53" s="307"/>
      <c r="AB53" s="307"/>
      <c r="AC53" s="307"/>
      <c r="AD53" s="307"/>
      <c r="AE53" s="307"/>
      <c r="AF53" s="307"/>
      <c r="AG53" s="307"/>
      <c r="AH53" s="359"/>
      <c r="AI53" s="2715" t="s">
        <v>390</v>
      </c>
      <c r="AJ53" s="2715"/>
      <c r="AK53" s="2715"/>
      <c r="AL53" s="2715"/>
      <c r="AM53" s="2715" t="s">
        <v>390</v>
      </c>
      <c r="AN53" s="2715"/>
      <c r="AO53" s="2715"/>
      <c r="AP53" s="2715"/>
      <c r="AQ53" s="2715"/>
      <c r="AR53" s="2715"/>
      <c r="AS53" s="2719" t="s">
        <v>390</v>
      </c>
      <c r="AT53" s="2719"/>
      <c r="AU53" s="2719"/>
      <c r="AV53" s="2719"/>
      <c r="AW53" s="2719"/>
      <c r="AX53" s="2719"/>
      <c r="AY53" s="980"/>
      <c r="AZ53" s="980"/>
      <c r="BA53" s="1616"/>
      <c r="BB53" s="1608"/>
      <c r="BC53" s="980"/>
      <c r="BD53" s="980"/>
      <c r="BE53" s="980"/>
      <c r="BF53" s="980"/>
      <c r="BG53" s="980"/>
      <c r="BH53" s="980"/>
      <c r="BI53" s="980"/>
      <c r="BJ53" s="980"/>
      <c r="BK53" s="1085"/>
      <c r="BL53" s="2715" t="s">
        <v>15</v>
      </c>
      <c r="BM53" s="2715"/>
      <c r="BN53" s="2715"/>
      <c r="BO53" s="2715"/>
      <c r="BP53" s="2715" t="s">
        <v>15</v>
      </c>
      <c r="BQ53" s="2715"/>
      <c r="BR53" s="2715"/>
      <c r="BS53" s="2715"/>
      <c r="BT53" s="2715"/>
      <c r="BU53" s="2715"/>
      <c r="BV53" s="2715" t="s">
        <v>15</v>
      </c>
      <c r="BW53" s="2715"/>
      <c r="BX53" s="2715"/>
      <c r="BY53" s="2715"/>
      <c r="BZ53" s="2715"/>
      <c r="CA53" s="2715"/>
      <c r="CB53" s="306"/>
      <c r="CC53" s="306"/>
      <c r="CD53" s="1232"/>
      <c r="CE53" s="1180"/>
      <c r="CF53" s="306"/>
      <c r="CG53" s="306"/>
      <c r="CH53" s="306"/>
      <c r="CI53" s="306"/>
      <c r="CJ53" s="306"/>
      <c r="CK53" s="306"/>
      <c r="CL53" s="306"/>
      <c r="CM53" s="306"/>
      <c r="CN53" s="359"/>
      <c r="CO53" s="2715" t="s">
        <v>0</v>
      </c>
      <c r="CP53" s="2715"/>
      <c r="CQ53" s="2715"/>
      <c r="CR53" s="2715"/>
      <c r="CS53" s="2715" t="s">
        <v>0</v>
      </c>
      <c r="CT53" s="2715"/>
      <c r="CU53" s="2715"/>
      <c r="CV53" s="2715"/>
      <c r="CW53" s="2715"/>
      <c r="CX53" s="2715"/>
      <c r="CY53" s="2715" t="s">
        <v>0</v>
      </c>
      <c r="CZ53" s="2715"/>
      <c r="DA53" s="2715"/>
      <c r="DB53" s="2715"/>
      <c r="DC53" s="2715"/>
      <c r="DD53" s="2715"/>
      <c r="DE53" s="307"/>
      <c r="DF53" s="307"/>
      <c r="DG53" s="1239"/>
      <c r="DH53" s="1186"/>
      <c r="DI53" s="307"/>
      <c r="DJ53" s="307"/>
      <c r="DK53" s="307"/>
      <c r="DL53" s="307"/>
      <c r="DM53" s="307"/>
      <c r="DN53" s="307"/>
      <c r="DO53" s="307"/>
      <c r="DP53" s="307"/>
      <c r="DQ53" s="359"/>
      <c r="DR53" s="361"/>
      <c r="DS53" s="2715" t="s">
        <v>349</v>
      </c>
      <c r="DT53" s="2715"/>
      <c r="DU53" s="2715"/>
      <c r="DV53" s="2715"/>
      <c r="DW53" s="2715" t="s">
        <v>349</v>
      </c>
      <c r="DX53" s="2715"/>
      <c r="DY53" s="2715"/>
      <c r="DZ53" s="2715"/>
      <c r="EA53" s="2715"/>
      <c r="EB53" s="2715"/>
      <c r="EC53" s="2715" t="s">
        <v>349</v>
      </c>
      <c r="ED53" s="2715"/>
      <c r="EE53" s="2715"/>
      <c r="EF53" s="2715"/>
      <c r="EG53" s="2715"/>
      <c r="EH53" s="2715"/>
      <c r="EI53" s="306"/>
      <c r="EJ53" s="306"/>
      <c r="EK53" s="1232"/>
      <c r="EL53" s="1180"/>
      <c r="EM53" s="306"/>
      <c r="EN53" s="306"/>
      <c r="EO53" s="306"/>
      <c r="EP53" s="306"/>
      <c r="EQ53" s="306"/>
      <c r="ER53" s="306"/>
      <c r="ES53" s="306"/>
      <c r="ET53" s="306"/>
      <c r="EU53" s="359"/>
      <c r="EV53" s="2718" t="s">
        <v>386</v>
      </c>
      <c r="EW53" s="2718"/>
      <c r="EX53" s="2718"/>
      <c r="EY53" s="2718"/>
      <c r="EZ53" s="2718" t="s">
        <v>386</v>
      </c>
      <c r="FA53" s="2718"/>
      <c r="FB53" s="2718"/>
      <c r="FC53" s="2718"/>
      <c r="FD53" s="2718"/>
      <c r="FE53" s="2718"/>
      <c r="FF53" s="2715" t="s">
        <v>386</v>
      </c>
      <c r="FG53" s="2715"/>
      <c r="FH53" s="2715"/>
      <c r="FI53" s="2715"/>
      <c r="FJ53" s="2715"/>
      <c r="FK53" s="2715"/>
      <c r="FL53" s="307"/>
      <c r="FM53" s="307"/>
      <c r="FN53" s="1239"/>
      <c r="FO53" s="1186"/>
      <c r="FP53" s="307"/>
      <c r="FQ53" s="307"/>
      <c r="FR53" s="307"/>
      <c r="FS53" s="307"/>
      <c r="FT53" s="307"/>
      <c r="FU53" s="307"/>
      <c r="FV53" s="307"/>
      <c r="FW53" s="307"/>
    </row>
    <row r="54" spans="3:180" ht="15.5" thickTop="1" thickBot="1" x14ac:dyDescent="0.4">
      <c r="C54" s="1079" t="s">
        <v>420</v>
      </c>
      <c r="D54" s="449"/>
      <c r="E54" s="449"/>
      <c r="F54" s="1080" cm="1">
        <f t="array" ref="F54:FW59">'Master Template'!F68:FW73</f>
        <v>5466</v>
      </c>
      <c r="G54" s="1081">
        <v>5571</v>
      </c>
      <c r="H54" s="1081">
        <v>5545</v>
      </c>
      <c r="I54" s="1248">
        <v>5422</v>
      </c>
      <c r="J54" s="1194">
        <v>0</v>
      </c>
      <c r="K54" s="1081">
        <v>0</v>
      </c>
      <c r="L54" s="1081">
        <v>0</v>
      </c>
      <c r="M54" s="1081">
        <v>0</v>
      </c>
      <c r="N54" s="1081">
        <v>0</v>
      </c>
      <c r="O54" s="1081">
        <v>0</v>
      </c>
      <c r="P54" s="1081">
        <v>0</v>
      </c>
      <c r="Q54" s="1081">
        <v>0</v>
      </c>
      <c r="R54" s="1248">
        <v>0</v>
      </c>
      <c r="S54" s="1194">
        <v>0</v>
      </c>
      <c r="T54" s="1081">
        <v>0</v>
      </c>
      <c r="U54" s="1081">
        <v>0</v>
      </c>
      <c r="V54" s="1141">
        <v>0</v>
      </c>
      <c r="W54" s="1141">
        <v>0</v>
      </c>
      <c r="X54" s="1447">
        <v>0</v>
      </c>
      <c r="Y54" s="1429">
        <v>0</v>
      </c>
      <c r="Z54" s="1141">
        <v>0</v>
      </c>
      <c r="AA54" s="1141">
        <v>0</v>
      </c>
      <c r="AB54" s="1141">
        <v>0</v>
      </c>
      <c r="AC54" s="1141">
        <v>0</v>
      </c>
      <c r="AD54" s="1141">
        <v>0</v>
      </c>
      <c r="AE54" s="1141">
        <v>0</v>
      </c>
      <c r="AF54" s="1141">
        <v>0</v>
      </c>
      <c r="AG54" s="1141">
        <v>0</v>
      </c>
      <c r="AH54" s="356">
        <v>0</v>
      </c>
      <c r="AI54" s="297">
        <v>0</v>
      </c>
      <c r="AJ54" s="297">
        <v>0</v>
      </c>
      <c r="AK54" s="297">
        <v>0</v>
      </c>
      <c r="AL54" s="1475">
        <v>0</v>
      </c>
      <c r="AM54" s="1463">
        <v>0</v>
      </c>
      <c r="AN54" s="297">
        <v>0</v>
      </c>
      <c r="AO54" s="297">
        <v>0</v>
      </c>
      <c r="AP54" s="297">
        <v>0</v>
      </c>
      <c r="AQ54" s="297">
        <v>0</v>
      </c>
      <c r="AR54" s="297">
        <v>0</v>
      </c>
      <c r="AS54" s="1066">
        <v>0</v>
      </c>
      <c r="AT54" s="1066">
        <v>0</v>
      </c>
      <c r="AU54" s="1617">
        <v>0</v>
      </c>
      <c r="AV54" s="1609">
        <v>0</v>
      </c>
      <c r="AW54" s="1066">
        <v>0</v>
      </c>
      <c r="AX54" s="1066">
        <v>0</v>
      </c>
      <c r="AY54" s="1066">
        <v>0</v>
      </c>
      <c r="AZ54" s="1066">
        <v>0</v>
      </c>
      <c r="BA54" s="1617">
        <v>0</v>
      </c>
      <c r="BB54" s="1609">
        <v>0</v>
      </c>
      <c r="BC54" s="1066">
        <v>0</v>
      </c>
      <c r="BD54" s="1066">
        <v>0</v>
      </c>
      <c r="BE54" s="1066">
        <v>0</v>
      </c>
      <c r="BF54" s="1066">
        <v>0</v>
      </c>
      <c r="BG54" s="1066">
        <v>0</v>
      </c>
      <c r="BH54" s="1066">
        <v>0</v>
      </c>
      <c r="BI54" s="1066">
        <v>0</v>
      </c>
      <c r="BJ54" s="1066">
        <v>0</v>
      </c>
      <c r="BK54" s="1082">
        <v>0</v>
      </c>
      <c r="BL54" s="297">
        <v>0</v>
      </c>
      <c r="BM54" s="297">
        <v>0</v>
      </c>
      <c r="BN54" s="297">
        <v>0</v>
      </c>
      <c r="BO54" s="1475">
        <v>0</v>
      </c>
      <c r="BP54" s="1463">
        <v>0</v>
      </c>
      <c r="BQ54" s="297">
        <v>0</v>
      </c>
      <c r="BR54" s="297">
        <v>0</v>
      </c>
      <c r="BS54" s="297">
        <v>0</v>
      </c>
      <c r="BT54" s="297">
        <v>0</v>
      </c>
      <c r="BU54" s="297">
        <v>0</v>
      </c>
      <c r="BV54" s="297">
        <v>0</v>
      </c>
      <c r="BW54" s="297">
        <v>0</v>
      </c>
      <c r="BX54" s="1475">
        <v>0</v>
      </c>
      <c r="BY54" s="1463">
        <v>0</v>
      </c>
      <c r="BZ54" s="297">
        <v>0</v>
      </c>
      <c r="CA54" s="297">
        <v>0</v>
      </c>
      <c r="CB54" s="297">
        <v>0</v>
      </c>
      <c r="CC54" s="297">
        <v>0</v>
      </c>
      <c r="CD54" s="1475">
        <v>0</v>
      </c>
      <c r="CE54" s="1463">
        <v>0</v>
      </c>
      <c r="CF54" s="297">
        <v>0</v>
      </c>
      <c r="CG54" s="297">
        <v>0</v>
      </c>
      <c r="CH54" s="297">
        <v>0</v>
      </c>
      <c r="CI54" s="297">
        <v>0</v>
      </c>
      <c r="CJ54" s="297">
        <v>0</v>
      </c>
      <c r="CK54" s="297">
        <v>0</v>
      </c>
      <c r="CL54" s="297">
        <v>0</v>
      </c>
      <c r="CM54" s="297">
        <v>0</v>
      </c>
      <c r="CN54" s="356">
        <v>0</v>
      </c>
      <c r="CO54" s="297">
        <v>0</v>
      </c>
      <c r="CP54" s="297">
        <v>0</v>
      </c>
      <c r="CQ54" s="297">
        <v>0</v>
      </c>
      <c r="CR54" s="1475">
        <v>0</v>
      </c>
      <c r="CS54" s="1463">
        <v>0</v>
      </c>
      <c r="CT54" s="297">
        <v>0</v>
      </c>
      <c r="CU54" s="297">
        <v>0</v>
      </c>
      <c r="CV54" s="297">
        <v>0</v>
      </c>
      <c r="CW54" s="297">
        <v>0</v>
      </c>
      <c r="CX54" s="297">
        <v>0</v>
      </c>
      <c r="CY54" s="297">
        <v>0</v>
      </c>
      <c r="CZ54" s="297">
        <v>0</v>
      </c>
      <c r="DA54" s="1475">
        <v>0</v>
      </c>
      <c r="DB54" s="1463">
        <v>0</v>
      </c>
      <c r="DC54" s="297">
        <v>0</v>
      </c>
      <c r="DD54" s="297">
        <v>0</v>
      </c>
      <c r="DE54" s="229">
        <v>0</v>
      </c>
      <c r="DF54" s="229">
        <v>0</v>
      </c>
      <c r="DG54" s="1245">
        <v>0</v>
      </c>
      <c r="DH54" s="538">
        <v>0</v>
      </c>
      <c r="DI54" s="229">
        <v>0</v>
      </c>
      <c r="DJ54" s="229">
        <v>0</v>
      </c>
      <c r="DK54" s="229">
        <v>0</v>
      </c>
      <c r="DL54" s="229">
        <v>0</v>
      </c>
      <c r="DM54" s="229">
        <v>0</v>
      </c>
      <c r="DN54" s="229">
        <v>0</v>
      </c>
      <c r="DO54" s="229">
        <v>0</v>
      </c>
      <c r="DP54" s="229">
        <v>0</v>
      </c>
      <c r="DQ54" s="356">
        <v>0</v>
      </c>
      <c r="DR54" s="358">
        <v>0</v>
      </c>
      <c r="DS54" s="297">
        <v>0</v>
      </c>
      <c r="DT54" s="297">
        <v>0</v>
      </c>
      <c r="DU54" s="297">
        <v>0</v>
      </c>
      <c r="DV54" s="1475">
        <v>0</v>
      </c>
      <c r="DW54" s="1463">
        <v>0</v>
      </c>
      <c r="DX54" s="297">
        <v>0</v>
      </c>
      <c r="DY54" s="297">
        <v>0</v>
      </c>
      <c r="DZ54" s="297">
        <v>0</v>
      </c>
      <c r="EA54" s="297">
        <v>0</v>
      </c>
      <c r="EB54" s="297">
        <v>0</v>
      </c>
      <c r="EC54" s="297">
        <v>0</v>
      </c>
      <c r="ED54" s="297">
        <v>0</v>
      </c>
      <c r="EE54" s="1475">
        <v>0</v>
      </c>
      <c r="EF54" s="1463">
        <v>0</v>
      </c>
      <c r="EG54" s="297">
        <v>0</v>
      </c>
      <c r="EH54" s="297">
        <v>0</v>
      </c>
      <c r="EI54" s="297">
        <v>0</v>
      </c>
      <c r="EJ54" s="297">
        <v>0</v>
      </c>
      <c r="EK54" s="1475">
        <v>0</v>
      </c>
      <c r="EL54" s="1463">
        <v>0</v>
      </c>
      <c r="EM54" s="297">
        <v>0</v>
      </c>
      <c r="EN54" s="297">
        <v>0</v>
      </c>
      <c r="EO54" s="297">
        <v>0</v>
      </c>
      <c r="EP54" s="297">
        <v>0</v>
      </c>
      <c r="EQ54" s="297">
        <v>0</v>
      </c>
      <c r="ER54" s="297">
        <v>0</v>
      </c>
      <c r="ES54" s="297">
        <v>0</v>
      </c>
      <c r="ET54" s="297">
        <v>0</v>
      </c>
      <c r="EU54" s="356">
        <v>0</v>
      </c>
      <c r="EV54" s="1083">
        <v>0</v>
      </c>
      <c r="EW54" s="1083">
        <v>0</v>
      </c>
      <c r="EX54" s="1083">
        <v>0</v>
      </c>
      <c r="EY54" s="1549">
        <v>0</v>
      </c>
      <c r="EZ54" s="1532">
        <v>0</v>
      </c>
      <c r="FA54" s="1083">
        <v>0</v>
      </c>
      <c r="FB54" s="1083">
        <v>0</v>
      </c>
      <c r="FC54" s="1083">
        <v>0</v>
      </c>
      <c r="FD54" s="1083">
        <v>0</v>
      </c>
      <c r="FE54" s="1083">
        <v>0</v>
      </c>
      <c r="FF54" s="297">
        <v>0</v>
      </c>
      <c r="FG54" s="297">
        <v>0</v>
      </c>
      <c r="FH54" s="1475">
        <v>0</v>
      </c>
      <c r="FI54" s="1463">
        <v>0</v>
      </c>
      <c r="FJ54" s="297">
        <v>0</v>
      </c>
      <c r="FK54" s="297">
        <v>0</v>
      </c>
      <c r="FL54" s="229">
        <v>0</v>
      </c>
      <c r="FM54" s="229">
        <v>0</v>
      </c>
      <c r="FN54" s="1245">
        <v>0</v>
      </c>
      <c r="FO54" s="538">
        <v>0</v>
      </c>
      <c r="FP54" s="229">
        <v>0</v>
      </c>
      <c r="FQ54" s="229">
        <v>0</v>
      </c>
      <c r="FR54" s="229">
        <v>0</v>
      </c>
      <c r="FS54" s="229">
        <v>0</v>
      </c>
      <c r="FT54" s="229">
        <v>0</v>
      </c>
      <c r="FU54" s="229">
        <v>0</v>
      </c>
      <c r="FV54" s="229">
        <v>0</v>
      </c>
      <c r="FW54" s="229">
        <v>0</v>
      </c>
    </row>
    <row r="55" spans="3:180" ht="15" thickBot="1" x14ac:dyDescent="0.4">
      <c r="C55" s="418" t="s">
        <v>421</v>
      </c>
      <c r="F55" s="1036">
        <v>232.59574468085106</v>
      </c>
      <c r="G55" s="242">
        <v>232.125</v>
      </c>
      <c r="H55" s="242">
        <v>236.96581196581198</v>
      </c>
      <c r="I55" s="1249">
        <v>230.72340425531914</v>
      </c>
      <c r="J55" s="1195">
        <v>0</v>
      </c>
      <c r="K55" s="480">
        <v>0</v>
      </c>
      <c r="L55" s="242">
        <v>0</v>
      </c>
      <c r="M55" s="242">
        <v>0</v>
      </c>
      <c r="N55" s="242">
        <v>0</v>
      </c>
      <c r="O55" s="242">
        <v>0</v>
      </c>
      <c r="P55" s="232">
        <v>0</v>
      </c>
      <c r="Q55" s="232">
        <v>0</v>
      </c>
      <c r="R55" s="1236">
        <v>0</v>
      </c>
      <c r="S55" s="643">
        <v>0</v>
      </c>
      <c r="T55" s="232">
        <v>0</v>
      </c>
      <c r="U55" s="232">
        <v>0</v>
      </c>
      <c r="V55" s="232">
        <v>0</v>
      </c>
      <c r="W55" s="232">
        <v>0</v>
      </c>
      <c r="X55" s="1236">
        <v>0</v>
      </c>
      <c r="Y55" s="643">
        <v>0</v>
      </c>
      <c r="Z55" s="232">
        <v>0</v>
      </c>
      <c r="AA55" s="232">
        <v>0</v>
      </c>
      <c r="AB55" s="232">
        <v>0</v>
      </c>
      <c r="AC55" s="232">
        <v>0</v>
      </c>
      <c r="AD55" s="232">
        <v>0</v>
      </c>
      <c r="AE55" s="232">
        <v>0</v>
      </c>
      <c r="AF55" s="232">
        <v>0</v>
      </c>
      <c r="AG55" s="232">
        <v>0</v>
      </c>
      <c r="AH55" s="323">
        <v>0</v>
      </c>
      <c r="AI55" s="242">
        <v>0</v>
      </c>
      <c r="AJ55" s="242">
        <v>0</v>
      </c>
      <c r="AK55" s="242">
        <v>0</v>
      </c>
      <c r="AL55" s="1249">
        <v>0</v>
      </c>
      <c r="AM55" s="1195">
        <v>0</v>
      </c>
      <c r="AN55" s="242">
        <v>0</v>
      </c>
      <c r="AO55" s="242">
        <v>0</v>
      </c>
      <c r="AP55" s="242">
        <v>0</v>
      </c>
      <c r="AQ55" s="242">
        <v>0</v>
      </c>
      <c r="AR55" s="242">
        <v>0</v>
      </c>
      <c r="AS55" s="319">
        <v>0</v>
      </c>
      <c r="AT55" s="319">
        <v>0</v>
      </c>
      <c r="AU55" s="1618">
        <v>0</v>
      </c>
      <c r="AV55" s="1610">
        <v>0</v>
      </c>
      <c r="AW55" s="319">
        <v>0</v>
      </c>
      <c r="AX55" s="319">
        <v>0</v>
      </c>
      <c r="AY55" s="319">
        <v>0</v>
      </c>
      <c r="AZ55" s="319">
        <v>0</v>
      </c>
      <c r="BA55" s="1618">
        <v>0</v>
      </c>
      <c r="BB55" s="1610">
        <v>0</v>
      </c>
      <c r="BC55" s="319">
        <v>0</v>
      </c>
      <c r="BD55" s="319">
        <v>0</v>
      </c>
      <c r="BE55" s="319">
        <v>0</v>
      </c>
      <c r="BF55" s="319">
        <v>0</v>
      </c>
      <c r="BG55" s="319">
        <v>0</v>
      </c>
      <c r="BH55" s="319">
        <v>0</v>
      </c>
      <c r="BI55" s="319">
        <v>0</v>
      </c>
      <c r="BJ55" s="319">
        <v>0</v>
      </c>
      <c r="BK55" s="326">
        <v>0</v>
      </c>
      <c r="BL55" s="242">
        <v>0</v>
      </c>
      <c r="BM55" s="242">
        <v>0</v>
      </c>
      <c r="BN55" s="242">
        <v>0</v>
      </c>
      <c r="BO55" s="1249">
        <v>0</v>
      </c>
      <c r="BP55" s="1195">
        <v>0</v>
      </c>
      <c r="BQ55" s="242">
        <v>0</v>
      </c>
      <c r="BR55" s="242">
        <v>0</v>
      </c>
      <c r="BS55" s="242" t="str">
        <v>1732/12</v>
      </c>
      <c r="BT55" s="242">
        <v>3444</v>
      </c>
      <c r="BU55" s="242">
        <v>0</v>
      </c>
      <c r="BV55" s="242">
        <v>0</v>
      </c>
      <c r="BW55" s="242">
        <v>0</v>
      </c>
      <c r="BX55" s="1249">
        <v>0</v>
      </c>
      <c r="BY55" s="1195">
        <v>0</v>
      </c>
      <c r="BZ55" s="242">
        <v>0</v>
      </c>
      <c r="CA55" s="242">
        <v>0</v>
      </c>
      <c r="CB55" s="242">
        <v>0</v>
      </c>
      <c r="CC55" s="242">
        <v>0</v>
      </c>
      <c r="CD55" s="1249">
        <v>0</v>
      </c>
      <c r="CE55" s="1195">
        <v>0</v>
      </c>
      <c r="CF55" s="242">
        <v>0</v>
      </c>
      <c r="CG55" s="242">
        <v>0</v>
      </c>
      <c r="CH55" s="242">
        <v>0</v>
      </c>
      <c r="CI55" s="242">
        <v>0</v>
      </c>
      <c r="CJ55" s="242">
        <v>0</v>
      </c>
      <c r="CK55" s="242">
        <v>0</v>
      </c>
      <c r="CL55" s="242">
        <v>0</v>
      </c>
      <c r="CM55" s="242">
        <v>0</v>
      </c>
      <c r="CN55" s="323">
        <v>0</v>
      </c>
      <c r="CO55" s="242">
        <v>0</v>
      </c>
      <c r="CP55" s="242">
        <v>0</v>
      </c>
      <c r="CQ55" s="242">
        <v>0</v>
      </c>
      <c r="CR55" s="1249">
        <v>0</v>
      </c>
      <c r="CS55" s="1195">
        <v>0</v>
      </c>
      <c r="CT55" s="242">
        <v>0</v>
      </c>
      <c r="CU55" s="242">
        <v>0</v>
      </c>
      <c r="CV55" s="242">
        <v>0</v>
      </c>
      <c r="CW55" s="242">
        <v>0</v>
      </c>
      <c r="CX55" s="242">
        <v>0</v>
      </c>
      <c r="CY55" s="242">
        <v>0</v>
      </c>
      <c r="CZ55" s="242">
        <v>0</v>
      </c>
      <c r="DA55" s="1249">
        <v>0</v>
      </c>
      <c r="DB55" s="1195">
        <v>0</v>
      </c>
      <c r="DC55" s="242">
        <v>0</v>
      </c>
      <c r="DD55" s="242">
        <v>0</v>
      </c>
      <c r="DE55" s="232">
        <v>0</v>
      </c>
      <c r="DF55" s="232">
        <v>0</v>
      </c>
      <c r="DG55" s="1236">
        <v>0</v>
      </c>
      <c r="DH55" s="643">
        <v>0</v>
      </c>
      <c r="DI55" s="232">
        <v>0</v>
      </c>
      <c r="DJ55" s="232">
        <v>0</v>
      </c>
      <c r="DK55" s="232">
        <v>0</v>
      </c>
      <c r="DL55" s="232">
        <v>0</v>
      </c>
      <c r="DM55" s="232">
        <v>0</v>
      </c>
      <c r="DN55" s="232">
        <v>0</v>
      </c>
      <c r="DO55" s="232">
        <v>0</v>
      </c>
      <c r="DP55" s="232">
        <v>0</v>
      </c>
      <c r="DQ55" s="323">
        <v>0</v>
      </c>
      <c r="DR55" s="238">
        <v>0</v>
      </c>
      <c r="DS55" s="242">
        <v>0</v>
      </c>
      <c r="DT55" s="242">
        <v>0</v>
      </c>
      <c r="DU55" s="242">
        <v>0</v>
      </c>
      <c r="DV55" s="1249">
        <v>0</v>
      </c>
      <c r="DW55" s="1195">
        <v>0</v>
      </c>
      <c r="DX55" s="242">
        <v>0</v>
      </c>
      <c r="DY55" s="242">
        <v>0</v>
      </c>
      <c r="DZ55" s="242">
        <v>0</v>
      </c>
      <c r="EA55" s="242">
        <v>0</v>
      </c>
      <c r="EB55" s="242">
        <v>0</v>
      </c>
      <c r="EC55" s="242">
        <v>0</v>
      </c>
      <c r="ED55" s="242">
        <v>0</v>
      </c>
      <c r="EE55" s="1249">
        <v>0</v>
      </c>
      <c r="EF55" s="1195">
        <v>0</v>
      </c>
      <c r="EG55" s="242">
        <v>0</v>
      </c>
      <c r="EH55" s="242">
        <v>0</v>
      </c>
      <c r="EI55" s="242">
        <v>0</v>
      </c>
      <c r="EJ55" s="242">
        <v>0</v>
      </c>
      <c r="EK55" s="1249">
        <v>0</v>
      </c>
      <c r="EL55" s="1195">
        <v>0</v>
      </c>
      <c r="EM55" s="242">
        <v>0</v>
      </c>
      <c r="EN55" s="242">
        <v>0</v>
      </c>
      <c r="EO55" s="242">
        <v>0</v>
      </c>
      <c r="EP55" s="242">
        <v>0</v>
      </c>
      <c r="EQ55" s="242">
        <v>0</v>
      </c>
      <c r="ER55" s="242">
        <v>0</v>
      </c>
      <c r="ES55" s="242">
        <v>0</v>
      </c>
      <c r="ET55" s="242">
        <v>0</v>
      </c>
      <c r="EU55" s="323">
        <v>0</v>
      </c>
      <c r="EV55" s="269">
        <v>0</v>
      </c>
      <c r="EW55" s="269">
        <v>0</v>
      </c>
      <c r="EX55" s="269">
        <v>0</v>
      </c>
      <c r="EY55" s="1268">
        <v>0</v>
      </c>
      <c r="EZ55" s="1213">
        <v>0</v>
      </c>
      <c r="FA55" s="269">
        <v>0</v>
      </c>
      <c r="FB55" s="269">
        <v>0</v>
      </c>
      <c r="FC55" s="269">
        <v>0</v>
      </c>
      <c r="FD55" s="269">
        <v>0</v>
      </c>
      <c r="FE55" s="269">
        <v>0</v>
      </c>
      <c r="FF55" s="242">
        <v>0</v>
      </c>
      <c r="FG55" s="242">
        <v>0</v>
      </c>
      <c r="FH55" s="1249">
        <v>0</v>
      </c>
      <c r="FI55" s="1195">
        <v>0</v>
      </c>
      <c r="FJ55" s="242">
        <v>0</v>
      </c>
      <c r="FK55" s="242">
        <v>0</v>
      </c>
      <c r="FL55" s="232">
        <v>0</v>
      </c>
      <c r="FM55" s="232">
        <v>0</v>
      </c>
      <c r="FN55" s="1236">
        <v>0</v>
      </c>
      <c r="FO55" s="643">
        <v>0</v>
      </c>
      <c r="FP55" s="232">
        <v>0</v>
      </c>
      <c r="FQ55" s="232">
        <v>0</v>
      </c>
      <c r="FR55" s="232">
        <v>0</v>
      </c>
      <c r="FS55" s="232">
        <v>0</v>
      </c>
      <c r="FT55" s="232">
        <v>0</v>
      </c>
      <c r="FU55" s="232">
        <v>0</v>
      </c>
      <c r="FV55" s="232">
        <v>0</v>
      </c>
      <c r="FW55" s="232">
        <v>0</v>
      </c>
    </row>
    <row r="56" spans="3:180" ht="15" thickBot="1" x14ac:dyDescent="0.4">
      <c r="C56" s="448" t="s">
        <v>416</v>
      </c>
      <c r="D56" s="449"/>
      <c r="E56" s="449"/>
      <c r="F56" s="1035">
        <v>2311</v>
      </c>
      <c r="G56" s="450">
        <v>2249</v>
      </c>
      <c r="H56" s="450">
        <v>2159</v>
      </c>
      <c r="I56" s="1250">
        <v>2186</v>
      </c>
      <c r="J56" s="1196">
        <v>0</v>
      </c>
      <c r="K56" s="450">
        <v>0</v>
      </c>
      <c r="L56" s="450">
        <v>0</v>
      </c>
      <c r="M56" s="450">
        <v>0</v>
      </c>
      <c r="N56" s="450">
        <v>0</v>
      </c>
      <c r="O56" s="450">
        <v>0</v>
      </c>
      <c r="P56" s="450">
        <v>0</v>
      </c>
      <c r="Q56" s="450">
        <v>0</v>
      </c>
      <c r="R56" s="1250">
        <v>0</v>
      </c>
      <c r="S56" s="1196">
        <v>0</v>
      </c>
      <c r="T56" s="450">
        <v>0</v>
      </c>
      <c r="U56" s="450">
        <v>0</v>
      </c>
      <c r="V56" s="1140">
        <v>0</v>
      </c>
      <c r="W56" s="1140">
        <v>0</v>
      </c>
      <c r="X56" s="1448">
        <v>0</v>
      </c>
      <c r="Y56" s="1430">
        <v>0</v>
      </c>
      <c r="Z56" s="1140">
        <v>0</v>
      </c>
      <c r="AA56" s="1140">
        <v>0</v>
      </c>
      <c r="AB56" s="1140">
        <v>0</v>
      </c>
      <c r="AC56" s="1140">
        <v>0</v>
      </c>
      <c r="AD56" s="1140">
        <v>0</v>
      </c>
      <c r="AE56" s="1140">
        <v>0</v>
      </c>
      <c r="AF56" s="1140">
        <v>0</v>
      </c>
      <c r="AG56" s="1140">
        <v>0</v>
      </c>
      <c r="AH56" s="323">
        <v>0</v>
      </c>
      <c r="AI56" s="242">
        <v>0</v>
      </c>
      <c r="AJ56" s="242">
        <v>0</v>
      </c>
      <c r="AK56" s="242">
        <v>0</v>
      </c>
      <c r="AL56" s="1249">
        <v>0</v>
      </c>
      <c r="AM56" s="1195">
        <v>0</v>
      </c>
      <c r="AN56" s="242">
        <v>0</v>
      </c>
      <c r="AO56" s="242">
        <v>0</v>
      </c>
      <c r="AP56" s="242">
        <v>0</v>
      </c>
      <c r="AQ56" s="242">
        <v>0</v>
      </c>
      <c r="AR56" s="242">
        <v>0</v>
      </c>
      <c r="AS56" s="319">
        <v>0</v>
      </c>
      <c r="AT56" s="319">
        <v>0</v>
      </c>
      <c r="AU56" s="1618">
        <v>0</v>
      </c>
      <c r="AV56" s="1610">
        <v>0</v>
      </c>
      <c r="AW56" s="319">
        <v>0</v>
      </c>
      <c r="AX56" s="319">
        <v>0</v>
      </c>
      <c r="AY56" s="319">
        <v>0</v>
      </c>
      <c r="AZ56" s="319">
        <v>0</v>
      </c>
      <c r="BA56" s="1618">
        <v>0</v>
      </c>
      <c r="BB56" s="1610">
        <v>0</v>
      </c>
      <c r="BC56" s="319">
        <v>0</v>
      </c>
      <c r="BD56" s="319">
        <v>0</v>
      </c>
      <c r="BE56" s="319">
        <v>0</v>
      </c>
      <c r="BF56" s="319">
        <v>0</v>
      </c>
      <c r="BG56" s="319">
        <v>0</v>
      </c>
      <c r="BH56" s="319">
        <v>0</v>
      </c>
      <c r="BI56" s="319">
        <v>0</v>
      </c>
      <c r="BJ56" s="319">
        <v>0</v>
      </c>
      <c r="BK56" s="326">
        <v>0</v>
      </c>
      <c r="BL56" s="242">
        <v>0</v>
      </c>
      <c r="BM56" s="242">
        <v>0</v>
      </c>
      <c r="BN56" s="242">
        <v>0</v>
      </c>
      <c r="BO56" s="1249">
        <v>0</v>
      </c>
      <c r="BP56" s="1195">
        <v>0</v>
      </c>
      <c r="BQ56" s="242">
        <v>0</v>
      </c>
      <c r="BR56" s="242">
        <v>0</v>
      </c>
      <c r="BS56" s="242">
        <v>0</v>
      </c>
      <c r="BT56" s="242">
        <v>0</v>
      </c>
      <c r="BU56" s="242">
        <v>0</v>
      </c>
      <c r="BV56" s="242">
        <v>0</v>
      </c>
      <c r="BW56" s="242">
        <v>0</v>
      </c>
      <c r="BX56" s="1249">
        <v>0</v>
      </c>
      <c r="BY56" s="1195">
        <v>0</v>
      </c>
      <c r="BZ56" s="242">
        <v>0</v>
      </c>
      <c r="CA56" s="242">
        <v>0</v>
      </c>
      <c r="CB56" s="242">
        <v>0</v>
      </c>
      <c r="CC56" s="242">
        <v>0</v>
      </c>
      <c r="CD56" s="1249">
        <v>0</v>
      </c>
      <c r="CE56" s="1195">
        <v>0</v>
      </c>
      <c r="CF56" s="242">
        <v>0</v>
      </c>
      <c r="CG56" s="242">
        <v>0</v>
      </c>
      <c r="CH56" s="242">
        <v>0</v>
      </c>
      <c r="CI56" s="242">
        <v>0</v>
      </c>
      <c r="CJ56" s="242">
        <v>0</v>
      </c>
      <c r="CK56" s="242">
        <v>0</v>
      </c>
      <c r="CL56" s="242">
        <v>0</v>
      </c>
      <c r="CM56" s="242">
        <v>0</v>
      </c>
      <c r="CN56" s="323">
        <v>0</v>
      </c>
      <c r="CO56" s="242">
        <v>0</v>
      </c>
      <c r="CP56" s="242">
        <v>0</v>
      </c>
      <c r="CQ56" s="242">
        <v>0</v>
      </c>
      <c r="CR56" s="1249">
        <v>0</v>
      </c>
      <c r="CS56" s="1195">
        <v>45990</v>
      </c>
      <c r="CT56" s="242">
        <v>45991</v>
      </c>
      <c r="CU56" s="242">
        <v>45992</v>
      </c>
      <c r="CV56" s="242">
        <v>0</v>
      </c>
      <c r="CW56" s="242">
        <v>0</v>
      </c>
      <c r="CX56" s="242">
        <v>0</v>
      </c>
      <c r="CY56" s="242">
        <v>0</v>
      </c>
      <c r="CZ56" s="242">
        <v>0</v>
      </c>
      <c r="DA56" s="1249">
        <v>0</v>
      </c>
      <c r="DB56" s="1195">
        <v>0</v>
      </c>
      <c r="DC56" s="242">
        <v>0</v>
      </c>
      <c r="DD56" s="242">
        <v>0</v>
      </c>
      <c r="DE56" s="232">
        <v>0</v>
      </c>
      <c r="DF56" s="232">
        <v>0</v>
      </c>
      <c r="DG56" s="1236">
        <v>0</v>
      </c>
      <c r="DH56" s="643">
        <v>0</v>
      </c>
      <c r="DI56" s="232">
        <v>0</v>
      </c>
      <c r="DJ56" s="232">
        <v>0</v>
      </c>
      <c r="DK56" s="232">
        <v>0</v>
      </c>
      <c r="DL56" s="232">
        <v>0</v>
      </c>
      <c r="DM56" s="232">
        <v>0</v>
      </c>
      <c r="DN56" s="232">
        <v>0</v>
      </c>
      <c r="DO56" s="232">
        <v>0</v>
      </c>
      <c r="DP56" s="232">
        <v>0</v>
      </c>
      <c r="DQ56" s="323">
        <v>0</v>
      </c>
      <c r="DR56" s="238">
        <v>0</v>
      </c>
      <c r="DS56" s="242">
        <v>0</v>
      </c>
      <c r="DT56" s="242">
        <v>0</v>
      </c>
      <c r="DU56" s="242">
        <v>0</v>
      </c>
      <c r="DV56" s="1249">
        <v>0</v>
      </c>
      <c r="DW56" s="1195">
        <v>0</v>
      </c>
      <c r="DX56" s="242">
        <v>0</v>
      </c>
      <c r="DY56" s="242">
        <v>0</v>
      </c>
      <c r="DZ56" s="242">
        <v>0</v>
      </c>
      <c r="EA56" s="242">
        <v>0</v>
      </c>
      <c r="EB56" s="242">
        <v>0</v>
      </c>
      <c r="EC56" s="242">
        <v>0</v>
      </c>
      <c r="ED56" s="242">
        <v>0</v>
      </c>
      <c r="EE56" s="1249">
        <v>0</v>
      </c>
      <c r="EF56" s="1195">
        <v>0</v>
      </c>
      <c r="EG56" s="242">
        <v>0</v>
      </c>
      <c r="EH56" s="242">
        <v>0</v>
      </c>
      <c r="EI56" s="242">
        <v>0</v>
      </c>
      <c r="EJ56" s="242">
        <v>0</v>
      </c>
      <c r="EK56" s="1249">
        <v>0</v>
      </c>
      <c r="EL56" s="1195">
        <v>0</v>
      </c>
      <c r="EM56" s="242">
        <v>0</v>
      </c>
      <c r="EN56" s="242">
        <v>0</v>
      </c>
      <c r="EO56" s="242">
        <v>0</v>
      </c>
      <c r="EP56" s="242">
        <v>0</v>
      </c>
      <c r="EQ56" s="242">
        <v>0</v>
      </c>
      <c r="ER56" s="242">
        <v>0</v>
      </c>
      <c r="ES56" s="242">
        <v>0</v>
      </c>
      <c r="ET56" s="242">
        <v>0</v>
      </c>
      <c r="EU56" s="323">
        <v>0</v>
      </c>
      <c r="EV56" s="269">
        <v>0</v>
      </c>
      <c r="EW56" s="269">
        <v>0</v>
      </c>
      <c r="EX56" s="269">
        <v>0</v>
      </c>
      <c r="EY56" s="1268">
        <v>0</v>
      </c>
      <c r="EZ56" s="1213">
        <v>0</v>
      </c>
      <c r="FA56" s="269">
        <v>0</v>
      </c>
      <c r="FB56" s="269">
        <v>0</v>
      </c>
      <c r="FC56" s="269">
        <v>0</v>
      </c>
      <c r="FD56" s="269">
        <v>0</v>
      </c>
      <c r="FE56" s="269">
        <v>0</v>
      </c>
      <c r="FF56" s="242">
        <v>0</v>
      </c>
      <c r="FG56" s="242">
        <v>0</v>
      </c>
      <c r="FH56" s="1249">
        <v>0</v>
      </c>
      <c r="FI56" s="1195">
        <v>0</v>
      </c>
      <c r="FJ56" s="242">
        <v>0</v>
      </c>
      <c r="FK56" s="242">
        <v>0</v>
      </c>
      <c r="FL56" s="232">
        <v>0</v>
      </c>
      <c r="FM56" s="232">
        <v>0</v>
      </c>
      <c r="FN56" s="1236">
        <v>0</v>
      </c>
      <c r="FO56" s="643">
        <v>0</v>
      </c>
      <c r="FP56" s="232">
        <v>0</v>
      </c>
      <c r="FQ56" s="232">
        <v>0</v>
      </c>
      <c r="FR56" s="232">
        <v>0</v>
      </c>
      <c r="FS56" s="232">
        <v>0</v>
      </c>
      <c r="FT56" s="232">
        <v>0</v>
      </c>
      <c r="FU56" s="232">
        <v>0</v>
      </c>
      <c r="FV56" s="232">
        <v>0</v>
      </c>
      <c r="FW56" s="232">
        <v>0</v>
      </c>
    </row>
    <row r="57" spans="3:180" ht="15" thickBot="1" x14ac:dyDescent="0.4">
      <c r="C57" s="418" t="s">
        <v>415</v>
      </c>
      <c r="F57" s="1068">
        <v>98.340425531914889</v>
      </c>
      <c r="G57" s="1069">
        <v>93.708333333333329</v>
      </c>
      <c r="H57" s="1069">
        <v>92.264957264957275</v>
      </c>
      <c r="I57" s="1251">
        <v>93.021276595744681</v>
      </c>
      <c r="J57" s="1197" t="str">
        <v>D5</v>
      </c>
      <c r="K57" s="1069" t="str">
        <v>D6</v>
      </c>
      <c r="L57" s="1069" t="str">
        <v>D7</v>
      </c>
      <c r="M57" s="1069" t="str">
        <v>D8</v>
      </c>
      <c r="N57" s="1069" t="str">
        <v>D9</v>
      </c>
      <c r="O57" s="1069" t="str">
        <v>D10</v>
      </c>
      <c r="P57" s="242" t="str">
        <v>D11</v>
      </c>
      <c r="Q57" s="242" t="str">
        <v>D12</v>
      </c>
      <c r="R57" s="1249" t="str">
        <v>D13</v>
      </c>
      <c r="S57" s="1195" t="str">
        <v>D14</v>
      </c>
      <c r="T57" s="242" t="str">
        <v>D15</v>
      </c>
      <c r="U57" s="242" t="str">
        <v>D16</v>
      </c>
      <c r="V57" s="232" t="str">
        <v>D17</v>
      </c>
      <c r="W57" s="232" t="str">
        <v>D18</v>
      </c>
      <c r="X57" s="1236" t="str">
        <v>D19</v>
      </c>
      <c r="Y57" s="643" t="str">
        <v>D20</v>
      </c>
      <c r="Z57" s="232" t="str">
        <v>D21</v>
      </c>
      <c r="AA57" s="232" t="str">
        <v>D22</v>
      </c>
      <c r="AB57" s="232" t="str">
        <v>D23</v>
      </c>
      <c r="AC57" s="232" t="str">
        <v>D24</v>
      </c>
      <c r="AD57" s="232" t="str">
        <v>D25</v>
      </c>
      <c r="AE57" s="232" t="str">
        <v>D26</v>
      </c>
      <c r="AF57" s="232" t="str">
        <v>D27</v>
      </c>
      <c r="AG57" s="232" t="str">
        <v>D28</v>
      </c>
      <c r="AH57" s="344">
        <v>0</v>
      </c>
      <c r="AI57" s="1069">
        <v>0</v>
      </c>
      <c r="AJ57" s="1069">
        <v>0</v>
      </c>
      <c r="AK57" s="1069">
        <v>0</v>
      </c>
      <c r="AL57" s="1251">
        <v>0</v>
      </c>
      <c r="AM57" s="1197" t="str">
        <v>D5</v>
      </c>
      <c r="AN57" s="1069" t="str">
        <v>D6</v>
      </c>
      <c r="AO57" s="1069" t="str">
        <v>D7</v>
      </c>
      <c r="AP57" s="1069" t="str">
        <v>D8</v>
      </c>
      <c r="AQ57" s="1069" t="str">
        <v>D9</v>
      </c>
      <c r="AR57" s="1069" t="str">
        <v>D10</v>
      </c>
      <c r="AS57" s="1089" t="str">
        <v>D11</v>
      </c>
      <c r="AT57" s="1089" t="str">
        <v>D12</v>
      </c>
      <c r="AU57" s="1619" t="str">
        <v>D13</v>
      </c>
      <c r="AV57" s="1611" t="str">
        <v>D14</v>
      </c>
      <c r="AW57" s="1089" t="str">
        <v>D15</v>
      </c>
      <c r="AX57" s="1089" t="str">
        <v>D16</v>
      </c>
      <c r="AY57" s="1089" t="str">
        <v>D17</v>
      </c>
      <c r="AZ57" s="1089" t="str">
        <v>D18</v>
      </c>
      <c r="BA57" s="1619" t="str">
        <v>D19</v>
      </c>
      <c r="BB57" s="1611" t="str">
        <v>D20</v>
      </c>
      <c r="BC57" s="1089" t="str">
        <v>D21</v>
      </c>
      <c r="BD57" s="1089" t="str">
        <v>D22</v>
      </c>
      <c r="BE57" s="1089" t="str">
        <v>D23</v>
      </c>
      <c r="BF57" s="1089" t="str">
        <v>D24</v>
      </c>
      <c r="BG57" s="1089" t="str">
        <v>D25</v>
      </c>
      <c r="BH57" s="1089" t="str">
        <v>D26</v>
      </c>
      <c r="BI57" s="1089" t="str">
        <v>D27</v>
      </c>
      <c r="BJ57" s="1089" t="str">
        <v>D28</v>
      </c>
      <c r="BK57" s="1090">
        <v>0</v>
      </c>
      <c r="BL57" s="1069" t="str">
        <v>D1</v>
      </c>
      <c r="BM57" s="1069">
        <v>0</v>
      </c>
      <c r="BN57" s="1069">
        <v>0</v>
      </c>
      <c r="BO57" s="1251">
        <v>0</v>
      </c>
      <c r="BP57" s="1197" t="str">
        <v>D5</v>
      </c>
      <c r="BQ57" s="1069" t="str">
        <v>D6</v>
      </c>
      <c r="BR57" s="1069" t="str">
        <v>D7</v>
      </c>
      <c r="BS57" s="1069" t="str">
        <v>D8</v>
      </c>
      <c r="BT57" s="1069" t="str">
        <v>D9</v>
      </c>
      <c r="BU57" s="1069" t="str">
        <v>D10</v>
      </c>
      <c r="BV57" s="1069" t="str">
        <v>D11</v>
      </c>
      <c r="BW57" s="1069" t="str">
        <v>D12</v>
      </c>
      <c r="BX57" s="1251" t="str">
        <v>D13</v>
      </c>
      <c r="BY57" s="1197" t="str">
        <v>D14</v>
      </c>
      <c r="BZ57" s="1069" t="str">
        <v>D15</v>
      </c>
      <c r="CA57" s="1069" t="str">
        <v>D16</v>
      </c>
      <c r="CB57" s="1069" t="str">
        <v>D17</v>
      </c>
      <c r="CC57" s="1069" t="str">
        <v>D18</v>
      </c>
      <c r="CD57" s="1251" t="str">
        <v>D19</v>
      </c>
      <c r="CE57" s="1197" t="str">
        <v>D20</v>
      </c>
      <c r="CF57" s="1069" t="str">
        <v>D21</v>
      </c>
      <c r="CG57" s="1069" t="str">
        <v>D22</v>
      </c>
      <c r="CH57" s="1069" t="str">
        <v>D23</v>
      </c>
      <c r="CI57" s="1069" t="str">
        <v>D24</v>
      </c>
      <c r="CJ57" s="1069" t="str">
        <v>D25</v>
      </c>
      <c r="CK57" s="1069" t="str">
        <v>D26</v>
      </c>
      <c r="CL57" s="1069" t="str">
        <v>D27</v>
      </c>
      <c r="CM57" s="1069" t="str">
        <v>D28</v>
      </c>
      <c r="CN57" s="344">
        <v>0</v>
      </c>
      <c r="CO57" s="1069" t="str">
        <v>D1</v>
      </c>
      <c r="CP57" s="1069" t="str">
        <v>D2</v>
      </c>
      <c r="CQ57" s="1069" t="str">
        <v>D3</v>
      </c>
      <c r="CR57" s="1251" t="str">
        <v>D4</v>
      </c>
      <c r="CS57" s="1197" t="str">
        <v>D5</v>
      </c>
      <c r="CT57" s="1069" t="str">
        <v>D6</v>
      </c>
      <c r="CU57" s="1069" t="str">
        <v>D7</v>
      </c>
      <c r="CV57" s="1069" t="str">
        <v>D8</v>
      </c>
      <c r="CW57" s="1069" t="str">
        <v>D9</v>
      </c>
      <c r="CX57" s="1069" t="str">
        <v>D10</v>
      </c>
      <c r="CY57" s="1069" t="str">
        <v>D11</v>
      </c>
      <c r="CZ57" s="1069" t="str">
        <v>D12</v>
      </c>
      <c r="DA57" s="1251" t="str">
        <v>D13</v>
      </c>
      <c r="DB57" s="1197">
        <v>0</v>
      </c>
      <c r="DC57" s="1069">
        <v>0</v>
      </c>
      <c r="DD57" s="1069">
        <v>0</v>
      </c>
      <c r="DE57" s="225">
        <v>0</v>
      </c>
      <c r="DF57" s="225">
        <v>0</v>
      </c>
      <c r="DG57" s="1269">
        <v>0</v>
      </c>
      <c r="DH57" s="1214">
        <v>0</v>
      </c>
      <c r="DI57" s="225">
        <v>0</v>
      </c>
      <c r="DJ57" s="225">
        <v>0</v>
      </c>
      <c r="DK57" s="225">
        <v>0</v>
      </c>
      <c r="DL57" s="225">
        <v>0</v>
      </c>
      <c r="DM57" s="225">
        <v>0</v>
      </c>
      <c r="DN57" s="225">
        <v>0</v>
      </c>
      <c r="DO57" s="225">
        <v>0</v>
      </c>
      <c r="DP57" s="225">
        <v>0</v>
      </c>
      <c r="DQ57" s="344">
        <v>0</v>
      </c>
      <c r="DR57" s="345">
        <v>0</v>
      </c>
      <c r="DS57" s="1069" t="str">
        <v>D1</v>
      </c>
      <c r="DT57" s="1069" t="str">
        <v>D2</v>
      </c>
      <c r="DU57" s="1069" t="str">
        <v>D3</v>
      </c>
      <c r="DV57" s="1251" t="str">
        <v>D4</v>
      </c>
      <c r="DW57" s="1197" t="str">
        <v>D5</v>
      </c>
      <c r="DX57" s="1069" t="str">
        <v>D6</v>
      </c>
      <c r="DY57" s="1069" t="str">
        <v>D7</v>
      </c>
      <c r="DZ57" s="1069" t="str">
        <v>D8</v>
      </c>
      <c r="EA57" s="1069" t="str">
        <v>D9</v>
      </c>
      <c r="EB57" s="1069" t="str">
        <v>D10</v>
      </c>
      <c r="EC57" s="1069" t="str">
        <v>D11</v>
      </c>
      <c r="ED57" s="1069" t="str">
        <v>D12</v>
      </c>
      <c r="EE57" s="1251" t="str">
        <v>D13</v>
      </c>
      <c r="EF57" s="1197">
        <v>0</v>
      </c>
      <c r="EG57" s="1069">
        <v>0</v>
      </c>
      <c r="EH57" s="1069">
        <v>0</v>
      </c>
      <c r="EI57" s="1069">
        <v>0</v>
      </c>
      <c r="EJ57" s="1069">
        <v>0</v>
      </c>
      <c r="EK57" s="1251">
        <v>0</v>
      </c>
      <c r="EL57" s="1197">
        <v>0</v>
      </c>
      <c r="EM57" s="1069">
        <v>0</v>
      </c>
      <c r="EN57" s="1069">
        <v>0</v>
      </c>
      <c r="EO57" s="1069">
        <v>0</v>
      </c>
      <c r="EP57" s="1069">
        <v>0</v>
      </c>
      <c r="EQ57" s="1069">
        <v>0</v>
      </c>
      <c r="ER57" s="1069">
        <v>0</v>
      </c>
      <c r="ES57" s="1069">
        <v>0</v>
      </c>
      <c r="ET57" s="1069">
        <v>0</v>
      </c>
      <c r="EU57" s="344">
        <v>0</v>
      </c>
      <c r="EV57" s="1086" t="str">
        <v>D1</v>
      </c>
      <c r="EW57" s="389" t="str">
        <v>D2</v>
      </c>
      <c r="EX57" s="1086" t="str">
        <v>D3</v>
      </c>
      <c r="EY57" s="1550" t="str">
        <v>D4</v>
      </c>
      <c r="EZ57" s="1533" t="str">
        <v>D5</v>
      </c>
      <c r="FA57" s="1086" t="str">
        <v>D6</v>
      </c>
      <c r="FB57" s="1086" t="str">
        <v>D7</v>
      </c>
      <c r="FC57" s="1086" t="str">
        <v>D8</v>
      </c>
      <c r="FD57" s="1086" t="str">
        <v>D9</v>
      </c>
      <c r="FE57" s="1086" t="str">
        <v>D10</v>
      </c>
      <c r="FF57" s="1069" t="str">
        <v>D11</v>
      </c>
      <c r="FG57" s="1069" t="str">
        <v>D12</v>
      </c>
      <c r="FH57" s="1251" t="str">
        <v>D13</v>
      </c>
      <c r="FI57" s="1197">
        <v>0</v>
      </c>
      <c r="FJ57" s="1069">
        <v>0</v>
      </c>
      <c r="FK57" s="1069">
        <v>0</v>
      </c>
      <c r="FL57" s="225">
        <v>0</v>
      </c>
      <c r="FM57" s="225">
        <v>0</v>
      </c>
      <c r="FN57" s="1269">
        <v>0</v>
      </c>
      <c r="FO57" s="1214">
        <v>0</v>
      </c>
      <c r="FP57" s="225">
        <v>0</v>
      </c>
      <c r="FQ57" s="225">
        <v>0</v>
      </c>
      <c r="FR57" s="225">
        <v>0</v>
      </c>
      <c r="FS57" s="225">
        <v>0</v>
      </c>
      <c r="FT57" s="225">
        <v>0</v>
      </c>
      <c r="FU57" s="225">
        <v>0</v>
      </c>
      <c r="FV57" s="225">
        <v>0</v>
      </c>
      <c r="FW57" s="225">
        <v>0</v>
      </c>
    </row>
    <row r="58" spans="3:180" ht="15.5" thickTop="1" thickBot="1" x14ac:dyDescent="0.4">
      <c r="C58" s="1133" t="s">
        <v>434</v>
      </c>
      <c r="D58" s="1134"/>
      <c r="E58" s="1135"/>
      <c r="F58" s="1100">
        <v>7777</v>
      </c>
      <c r="G58" s="1101">
        <v>7820</v>
      </c>
      <c r="H58" s="1101">
        <v>7704</v>
      </c>
      <c r="I58" s="1252">
        <v>5515.0212765957449</v>
      </c>
      <c r="J58" s="1198">
        <v>2324</v>
      </c>
      <c r="K58" s="1101">
        <v>4291</v>
      </c>
      <c r="L58" s="1101">
        <v>2987</v>
      </c>
      <c r="M58" s="1101">
        <v>4219</v>
      </c>
      <c r="N58" s="1101">
        <v>3835</v>
      </c>
      <c r="O58" s="1101">
        <v>4348</v>
      </c>
      <c r="P58" s="1101">
        <v>4352</v>
      </c>
      <c r="Q58" s="1101">
        <v>4295</v>
      </c>
      <c r="R58" s="1252">
        <v>4291</v>
      </c>
      <c r="S58" s="1198">
        <v>0</v>
      </c>
      <c r="T58" s="1101">
        <v>0</v>
      </c>
      <c r="U58" s="1101">
        <v>0</v>
      </c>
      <c r="V58" s="1139">
        <v>0</v>
      </c>
      <c r="W58" s="1139">
        <v>0</v>
      </c>
      <c r="X58" s="1449">
        <v>0</v>
      </c>
      <c r="Y58" s="1431">
        <v>0</v>
      </c>
      <c r="Z58" s="1139">
        <v>0</v>
      </c>
      <c r="AA58" s="1139">
        <v>0</v>
      </c>
      <c r="AB58" s="1139">
        <v>0</v>
      </c>
      <c r="AC58" s="1139">
        <v>0</v>
      </c>
      <c r="AD58" s="1139">
        <v>0</v>
      </c>
      <c r="AE58" s="1139">
        <v>0</v>
      </c>
      <c r="AF58" s="1139">
        <v>0</v>
      </c>
      <c r="AG58" s="1139">
        <v>0</v>
      </c>
      <c r="AH58" s="1102">
        <v>0</v>
      </c>
      <c r="AI58" s="1103">
        <v>0</v>
      </c>
      <c r="AJ58" s="1103">
        <v>19</v>
      </c>
      <c r="AK58" s="1103">
        <v>0</v>
      </c>
      <c r="AL58" s="1513">
        <v>0</v>
      </c>
      <c r="AM58" s="1507">
        <v>45</v>
      </c>
      <c r="AN58" s="1103">
        <v>36.228000000000002</v>
      </c>
      <c r="AO58" s="1103">
        <v>0</v>
      </c>
      <c r="AP58" s="1103">
        <v>0</v>
      </c>
      <c r="AQ58" s="1103">
        <v>0</v>
      </c>
      <c r="AR58" s="1103">
        <v>0</v>
      </c>
      <c r="AS58" s="1139">
        <v>27.11</v>
      </c>
      <c r="AT58" s="1103">
        <v>0</v>
      </c>
      <c r="AU58" s="1513">
        <v>0</v>
      </c>
      <c r="AV58" s="1507">
        <v>0</v>
      </c>
      <c r="AW58" s="1103">
        <v>0</v>
      </c>
      <c r="AX58" s="1103">
        <v>0</v>
      </c>
      <c r="AY58" s="1103">
        <v>0</v>
      </c>
      <c r="AZ58" s="1103">
        <v>0</v>
      </c>
      <c r="BA58" s="1513">
        <v>0</v>
      </c>
      <c r="BB58" s="1507">
        <v>0</v>
      </c>
      <c r="BC58" s="1103">
        <v>0</v>
      </c>
      <c r="BD58" s="1103">
        <v>0</v>
      </c>
      <c r="BE58" s="1103">
        <v>0</v>
      </c>
      <c r="BF58" s="1103">
        <v>0</v>
      </c>
      <c r="BG58" s="1103">
        <v>0</v>
      </c>
      <c r="BH58" s="1103">
        <v>0</v>
      </c>
      <c r="BI58" s="1103">
        <v>0</v>
      </c>
      <c r="BJ58" s="1103">
        <v>0</v>
      </c>
      <c r="BK58" s="1102">
        <v>0</v>
      </c>
      <c r="BL58" s="1104">
        <v>7184</v>
      </c>
      <c r="BM58" s="1104">
        <v>6670</v>
      </c>
      <c r="BN58" s="1104">
        <v>7042</v>
      </c>
      <c r="BO58" s="1476">
        <v>6964</v>
      </c>
      <c r="BP58" s="1464">
        <v>1760</v>
      </c>
      <c r="BQ58" s="1104">
        <v>2576</v>
      </c>
      <c r="BR58" s="1104">
        <v>2610</v>
      </c>
      <c r="BS58" s="1104">
        <v>3456</v>
      </c>
      <c r="BT58" s="1104">
        <v>3194</v>
      </c>
      <c r="BU58" s="1104">
        <v>3546</v>
      </c>
      <c r="BV58" s="1104">
        <v>3556</v>
      </c>
      <c r="BW58" s="1104">
        <v>3468</v>
      </c>
      <c r="BX58" s="1476">
        <v>3510</v>
      </c>
      <c r="BY58" s="1485">
        <v>0</v>
      </c>
      <c r="BZ58" s="1104">
        <v>0</v>
      </c>
      <c r="CA58" s="1104">
        <v>0</v>
      </c>
      <c r="CB58" s="1104">
        <v>0</v>
      </c>
      <c r="CC58" s="1104">
        <v>0</v>
      </c>
      <c r="CD58" s="1476">
        <v>0</v>
      </c>
      <c r="CE58" s="1485">
        <v>0</v>
      </c>
      <c r="CF58" s="1104">
        <v>0</v>
      </c>
      <c r="CG58" s="1104">
        <v>0</v>
      </c>
      <c r="CH58" s="1104">
        <v>0</v>
      </c>
      <c r="CI58" s="1104">
        <v>0</v>
      </c>
      <c r="CJ58" s="1104">
        <v>0</v>
      </c>
      <c r="CK58" s="1104">
        <v>0</v>
      </c>
      <c r="CL58" s="1104">
        <v>0</v>
      </c>
      <c r="CM58" s="1104">
        <v>0</v>
      </c>
      <c r="CN58" s="1102">
        <v>0</v>
      </c>
      <c r="CO58" s="1103">
        <v>0</v>
      </c>
      <c r="CP58" s="1104">
        <v>338</v>
      </c>
      <c r="CQ58" s="1104">
        <v>192</v>
      </c>
      <c r="CR58" s="1476">
        <v>272</v>
      </c>
      <c r="CS58" s="1464">
        <v>392</v>
      </c>
      <c r="CT58" s="1104">
        <v>446</v>
      </c>
      <c r="CU58" s="1104">
        <v>372</v>
      </c>
      <c r="CV58" s="1104">
        <v>390</v>
      </c>
      <c r="CW58" s="1104">
        <v>378</v>
      </c>
      <c r="CX58" s="1104">
        <v>436</v>
      </c>
      <c r="CY58" s="1104">
        <v>348</v>
      </c>
      <c r="CZ58" s="1104">
        <v>396</v>
      </c>
      <c r="DA58" s="1476">
        <v>360</v>
      </c>
      <c r="DB58" s="1485">
        <v>0</v>
      </c>
      <c r="DC58" s="1104">
        <v>0</v>
      </c>
      <c r="DD58" s="1104">
        <v>0</v>
      </c>
      <c r="DE58" s="1103">
        <v>0</v>
      </c>
      <c r="DF58" s="1103">
        <v>0</v>
      </c>
      <c r="DG58" s="1513">
        <v>0</v>
      </c>
      <c r="DH58" s="1507">
        <v>0</v>
      </c>
      <c r="DI58" s="1103">
        <v>0</v>
      </c>
      <c r="DJ58" s="1103">
        <v>0</v>
      </c>
      <c r="DK58" s="1103">
        <v>0</v>
      </c>
      <c r="DL58" s="1103">
        <v>0</v>
      </c>
      <c r="DM58" s="1103">
        <v>0</v>
      </c>
      <c r="DN58" s="1103">
        <v>0</v>
      </c>
      <c r="DO58" s="1103">
        <v>0</v>
      </c>
      <c r="DP58" s="1105">
        <v>0</v>
      </c>
      <c r="DQ58" s="1106">
        <v>0</v>
      </c>
      <c r="DR58" s="1107">
        <v>0</v>
      </c>
      <c r="DS58" s="1108">
        <v>753</v>
      </c>
      <c r="DT58" s="1104">
        <v>1558.4</v>
      </c>
      <c r="DU58" s="1104">
        <v>489.4</v>
      </c>
      <c r="DV58" s="1476">
        <v>491.1</v>
      </c>
      <c r="DW58" s="1485">
        <v>315.7</v>
      </c>
      <c r="DX58" s="1104">
        <v>344</v>
      </c>
      <c r="DY58" s="1104">
        <v>347.7</v>
      </c>
      <c r="DZ58" s="1104">
        <v>363.4</v>
      </c>
      <c r="EA58" s="1109">
        <v>348.7</v>
      </c>
      <c r="EB58" s="1109">
        <v>361.6</v>
      </c>
      <c r="EC58" s="1104">
        <v>374.4</v>
      </c>
      <c r="ED58" s="1104">
        <v>373.8</v>
      </c>
      <c r="EE58" s="1476">
        <v>373.5</v>
      </c>
      <c r="EF58" s="1485">
        <v>0</v>
      </c>
      <c r="EG58" s="1104">
        <v>0</v>
      </c>
      <c r="EH58" s="1104">
        <v>0</v>
      </c>
      <c r="EI58" s="1104">
        <v>0</v>
      </c>
      <c r="EJ58" s="1104">
        <v>0</v>
      </c>
      <c r="EK58" s="1476">
        <v>0</v>
      </c>
      <c r="EL58" s="1485">
        <v>0</v>
      </c>
      <c r="EM58" s="1104">
        <v>0</v>
      </c>
      <c r="EN58" s="1104">
        <v>0</v>
      </c>
      <c r="EO58" s="1104">
        <v>0</v>
      </c>
      <c r="EP58" s="1104">
        <v>0</v>
      </c>
      <c r="EQ58" s="1104">
        <v>0</v>
      </c>
      <c r="ER58" s="1104">
        <v>0</v>
      </c>
      <c r="ES58" s="1104">
        <v>0</v>
      </c>
      <c r="ET58" s="1110">
        <v>0</v>
      </c>
      <c r="EU58" s="1111" t="str">
        <v>Litre</v>
      </c>
      <c r="EV58" s="1112">
        <v>131.4</v>
      </c>
      <c r="EW58" s="1113">
        <v>1286.5999999999999</v>
      </c>
      <c r="EX58" s="1113">
        <v>230</v>
      </c>
      <c r="EY58" s="1551">
        <v>222.5</v>
      </c>
      <c r="EZ58" s="1534">
        <v>1846.7</v>
      </c>
      <c r="FA58" s="1113">
        <v>2575</v>
      </c>
      <c r="FB58" s="1114">
        <v>1806.7</v>
      </c>
      <c r="FC58" s="1113">
        <v>2814.9</v>
      </c>
      <c r="FD58" s="1115">
        <v>1974.2</v>
      </c>
      <c r="FE58" s="1116">
        <v>2714.3</v>
      </c>
      <c r="FF58" s="1114">
        <v>2390</v>
      </c>
      <c r="FG58" s="1114">
        <v>2553.8000000000002</v>
      </c>
      <c r="FH58" s="1570">
        <v>2067.9</v>
      </c>
      <c r="FI58" s="1507">
        <v>0</v>
      </c>
      <c r="FJ58" s="1103">
        <v>0</v>
      </c>
      <c r="FK58" s="1103">
        <v>0</v>
      </c>
      <c r="FL58" s="1103">
        <v>0</v>
      </c>
      <c r="FM58" s="1103">
        <v>0</v>
      </c>
      <c r="FN58" s="1513">
        <v>0</v>
      </c>
      <c r="FO58" s="1507">
        <v>0</v>
      </c>
      <c r="FP58" s="1103">
        <v>0</v>
      </c>
      <c r="FQ58" s="1103">
        <v>0</v>
      </c>
      <c r="FR58" s="1103">
        <v>0</v>
      </c>
      <c r="FS58" s="1103">
        <v>0</v>
      </c>
      <c r="FT58" s="1103">
        <v>0</v>
      </c>
      <c r="FU58" s="1103">
        <v>0</v>
      </c>
      <c r="FV58" s="1103">
        <v>0</v>
      </c>
      <c r="FW58" s="1105">
        <v>0</v>
      </c>
    </row>
    <row r="59" spans="3:180" ht="15" thickBot="1" x14ac:dyDescent="0.4">
      <c r="C59" s="1136" t="s">
        <v>419</v>
      </c>
      <c r="D59" s="1137"/>
      <c r="E59" s="1138"/>
      <c r="F59" s="1117">
        <v>330.93617021276594</v>
      </c>
      <c r="G59" s="1118">
        <v>325.83333333333331</v>
      </c>
      <c r="H59" s="1119">
        <v>329.23076923076928</v>
      </c>
      <c r="I59" s="1253">
        <v>325.39</v>
      </c>
      <c r="J59" s="1459">
        <v>193.66666666666666</v>
      </c>
      <c r="K59" s="1119">
        <v>186.56521739130434</v>
      </c>
      <c r="L59" s="1119">
        <v>186.6875</v>
      </c>
      <c r="M59" s="1119">
        <v>183.43478260869566</v>
      </c>
      <c r="N59" s="1119">
        <v>182.61904761904762</v>
      </c>
      <c r="O59" s="1119">
        <v>189.04347826086956</v>
      </c>
      <c r="P59" s="1119">
        <v>189.21739130434781</v>
      </c>
      <c r="Q59" s="1119">
        <v>186.7391304347826</v>
      </c>
      <c r="R59" s="1253">
        <v>186.56521739130434</v>
      </c>
      <c r="S59" s="1199">
        <v>0</v>
      </c>
      <c r="T59" s="1118">
        <v>0</v>
      </c>
      <c r="U59" s="1118">
        <v>0</v>
      </c>
      <c r="V59" s="1120">
        <v>0</v>
      </c>
      <c r="W59" s="1120">
        <v>0</v>
      </c>
      <c r="X59" s="1450">
        <v>0</v>
      </c>
      <c r="Y59" s="1432">
        <v>0</v>
      </c>
      <c r="Z59" s="1120">
        <v>0</v>
      </c>
      <c r="AA59" s="1120">
        <v>0</v>
      </c>
      <c r="AB59" s="1120">
        <v>0</v>
      </c>
      <c r="AC59" s="1120">
        <v>0</v>
      </c>
      <c r="AD59" s="1120">
        <v>0</v>
      </c>
      <c r="AE59" s="1120">
        <v>0</v>
      </c>
      <c r="AF59" s="1120">
        <v>0</v>
      </c>
      <c r="AG59" s="1120">
        <v>0</v>
      </c>
      <c r="AH59" s="1121">
        <v>0</v>
      </c>
      <c r="AI59" s="1120">
        <v>0</v>
      </c>
      <c r="AJ59" s="1120">
        <v>1.5833333333333333</v>
      </c>
      <c r="AK59" s="1120">
        <v>0</v>
      </c>
      <c r="AL59" s="1450">
        <v>0</v>
      </c>
      <c r="AM59" s="1432">
        <v>1.9148936170212767</v>
      </c>
      <c r="AN59" s="1120">
        <v>1.5095000000000001</v>
      </c>
      <c r="AO59" s="1120">
        <v>0</v>
      </c>
      <c r="AP59" s="1120">
        <v>0</v>
      </c>
      <c r="AQ59" s="1120">
        <v>0</v>
      </c>
      <c r="AR59" s="1120">
        <v>0</v>
      </c>
      <c r="AS59" s="1120">
        <v>1.1295833333333334</v>
      </c>
      <c r="AT59" s="1120">
        <v>0</v>
      </c>
      <c r="AU59" s="1450">
        <v>0</v>
      </c>
      <c r="AV59" s="1432">
        <v>0</v>
      </c>
      <c r="AW59" s="1120">
        <v>0</v>
      </c>
      <c r="AX59" s="1120">
        <v>0</v>
      </c>
      <c r="AY59" s="1120">
        <v>0</v>
      </c>
      <c r="AZ59" s="1120">
        <v>0</v>
      </c>
      <c r="BA59" s="1450">
        <v>0</v>
      </c>
      <c r="BB59" s="1432">
        <v>0</v>
      </c>
      <c r="BC59" s="1120">
        <v>0</v>
      </c>
      <c r="BD59" s="1120">
        <v>0</v>
      </c>
      <c r="BE59" s="1120">
        <v>0</v>
      </c>
      <c r="BF59" s="1120">
        <v>0</v>
      </c>
      <c r="BG59" s="1120">
        <v>0</v>
      </c>
      <c r="BH59" s="1120">
        <v>0</v>
      </c>
      <c r="BI59" s="1120">
        <v>0</v>
      </c>
      <c r="BJ59" s="1120">
        <v>0</v>
      </c>
      <c r="BK59" s="1121">
        <v>0</v>
      </c>
      <c r="BL59" s="1122">
        <v>305.70212765957444</v>
      </c>
      <c r="BM59" s="1122">
        <v>277.91666666666669</v>
      </c>
      <c r="BN59" s="1122">
        <v>293.41666666666669</v>
      </c>
      <c r="BO59" s="1595">
        <v>290.16666666666669</v>
      </c>
      <c r="BP59" s="1566">
        <v>146.66666666666666</v>
      </c>
      <c r="BQ59" s="1123">
        <v>143.11111111111111</v>
      </c>
      <c r="BR59" s="1123">
        <v>147.45762711864407</v>
      </c>
      <c r="BS59" s="1123">
        <v>144</v>
      </c>
      <c r="BT59" s="1123">
        <v>143.22869955156949</v>
      </c>
      <c r="BU59" s="1123">
        <v>147.75</v>
      </c>
      <c r="BV59" s="1123">
        <v>148.16666666666666</v>
      </c>
      <c r="BW59" s="1123">
        <v>144.5</v>
      </c>
      <c r="BX59" s="1552">
        <v>146.25</v>
      </c>
      <c r="BY59" s="1566">
        <v>143.5</v>
      </c>
      <c r="BZ59" s="1123">
        <v>0</v>
      </c>
      <c r="CA59" s="1123">
        <v>0</v>
      </c>
      <c r="CB59" s="1123">
        <v>0</v>
      </c>
      <c r="CC59" s="1123">
        <v>0</v>
      </c>
      <c r="CD59" s="1552">
        <v>0</v>
      </c>
      <c r="CE59" s="1566">
        <v>0</v>
      </c>
      <c r="CF59" s="1123">
        <v>0</v>
      </c>
      <c r="CG59" s="1123">
        <v>0</v>
      </c>
      <c r="CH59" s="1123">
        <v>0</v>
      </c>
      <c r="CI59" s="1123">
        <v>0</v>
      </c>
      <c r="CJ59" s="1123">
        <v>0</v>
      </c>
      <c r="CK59" s="1123">
        <v>0</v>
      </c>
      <c r="CL59" s="1123">
        <v>0</v>
      </c>
      <c r="CM59" s="1123">
        <v>0</v>
      </c>
      <c r="CN59" s="1124">
        <v>0</v>
      </c>
      <c r="CO59" s="1118">
        <v>0</v>
      </c>
      <c r="CP59" s="1118">
        <v>14.083333333333334</v>
      </c>
      <c r="CQ59" s="1118">
        <v>8</v>
      </c>
      <c r="CR59" s="1413">
        <v>11.333333333333334</v>
      </c>
      <c r="CS59" s="1199">
        <v>16.333333333333332</v>
      </c>
      <c r="CT59" s="1118">
        <v>18.583333333333332</v>
      </c>
      <c r="CU59" s="1118">
        <v>21.882352941176471</v>
      </c>
      <c r="CV59" s="1118">
        <v>16.25</v>
      </c>
      <c r="CW59" s="1118">
        <v>16.927899686520377</v>
      </c>
      <c r="CX59" s="1118">
        <v>18.166666666666668</v>
      </c>
      <c r="CY59" s="1118">
        <v>14.5</v>
      </c>
      <c r="CZ59" s="1118">
        <v>16.5</v>
      </c>
      <c r="DA59" s="1413">
        <v>15</v>
      </c>
      <c r="DB59" s="1199">
        <v>0</v>
      </c>
      <c r="DC59" s="1118">
        <v>0</v>
      </c>
      <c r="DD59" s="1118">
        <v>0</v>
      </c>
      <c r="DE59" s="1118">
        <v>0</v>
      </c>
      <c r="DF59" s="1118">
        <v>0</v>
      </c>
      <c r="DG59" s="1413">
        <v>0</v>
      </c>
      <c r="DH59" s="1199">
        <v>0</v>
      </c>
      <c r="DI59" s="1118">
        <v>0</v>
      </c>
      <c r="DJ59" s="1118">
        <v>0</v>
      </c>
      <c r="DK59" s="1118">
        <v>0</v>
      </c>
      <c r="DL59" s="1118">
        <v>0</v>
      </c>
      <c r="DM59" s="1118">
        <v>0</v>
      </c>
      <c r="DN59" s="1118">
        <v>0</v>
      </c>
      <c r="DO59" s="1118">
        <v>0</v>
      </c>
      <c r="DP59" s="1125">
        <v>0</v>
      </c>
      <c r="DQ59" s="1126">
        <v>0</v>
      </c>
      <c r="DR59" s="1127">
        <v>0</v>
      </c>
      <c r="DS59" s="1128">
        <v>62.75</v>
      </c>
      <c r="DT59" s="1123">
        <v>64.933333333333337</v>
      </c>
      <c r="DU59" s="1123">
        <v>20.391666666666666</v>
      </c>
      <c r="DV59" s="1552">
        <v>20.462500000000002</v>
      </c>
      <c r="DW59" s="1535">
        <v>13.726086956521739</v>
      </c>
      <c r="DX59" s="1123">
        <v>14.333333333333334</v>
      </c>
      <c r="DY59" s="1123">
        <v>15.117391304347825</v>
      </c>
      <c r="DZ59" s="1123">
        <v>15.141666666666666</v>
      </c>
      <c r="EA59" s="1123">
        <v>14.529166666666667</v>
      </c>
      <c r="EB59" s="1123">
        <v>15.066666666666668</v>
      </c>
      <c r="EC59" s="1123">
        <v>15.6</v>
      </c>
      <c r="ED59" s="1123">
        <v>15.575000000000001</v>
      </c>
      <c r="EE59" s="1552">
        <v>15.5625</v>
      </c>
      <c r="EF59" s="1566">
        <v>0</v>
      </c>
      <c r="EG59" s="1123">
        <v>0</v>
      </c>
      <c r="EH59" s="1123">
        <v>0</v>
      </c>
      <c r="EI59" s="1123">
        <v>0</v>
      </c>
      <c r="EJ59" s="1123">
        <v>0</v>
      </c>
      <c r="EK59" s="1552">
        <v>0</v>
      </c>
      <c r="EL59" s="1566">
        <v>0</v>
      </c>
      <c r="EM59" s="1123">
        <v>0</v>
      </c>
      <c r="EN59" s="1123">
        <v>0</v>
      </c>
      <c r="EO59" s="1123">
        <v>0</v>
      </c>
      <c r="EP59" s="1123">
        <v>0</v>
      </c>
      <c r="EQ59" s="1123">
        <v>0</v>
      </c>
      <c r="ER59" s="1123">
        <v>0</v>
      </c>
      <c r="ES59" s="1123">
        <v>0</v>
      </c>
      <c r="ET59" s="1129">
        <v>0</v>
      </c>
      <c r="EU59" s="1130" t="str">
        <v>L/hr</v>
      </c>
      <c r="EV59" s="1128">
        <v>10.950000000000001</v>
      </c>
      <c r="EW59" s="1123">
        <v>53.608333333333327</v>
      </c>
      <c r="EX59" s="1123">
        <v>9.5833333333333339</v>
      </c>
      <c r="EY59" s="1552">
        <v>9.2708333333333339</v>
      </c>
      <c r="EZ59" s="1535">
        <v>80.291304347826085</v>
      </c>
      <c r="FA59" s="1123">
        <v>107.29166666666667</v>
      </c>
      <c r="FB59" s="1123">
        <v>106.2764705882353</v>
      </c>
      <c r="FC59" s="1123">
        <v>117.28750000000001</v>
      </c>
      <c r="FD59" s="1123">
        <v>82.25833333333334</v>
      </c>
      <c r="FE59" s="1123">
        <v>113.09583333333335</v>
      </c>
      <c r="FF59" s="1123">
        <v>99.583333333333329</v>
      </c>
      <c r="FG59" s="1123">
        <v>106.40833333333335</v>
      </c>
      <c r="FH59" s="1552">
        <v>86.162500000000009</v>
      </c>
      <c r="FI59" s="1566">
        <v>0</v>
      </c>
      <c r="FJ59" s="1123">
        <v>0</v>
      </c>
      <c r="FK59" s="1123">
        <v>0</v>
      </c>
      <c r="FL59" s="1131">
        <v>0</v>
      </c>
      <c r="FM59" s="1131">
        <v>0</v>
      </c>
      <c r="FN59" s="1576">
        <v>0</v>
      </c>
      <c r="FO59" s="1574">
        <v>0</v>
      </c>
      <c r="FP59" s="1131">
        <v>0</v>
      </c>
      <c r="FQ59" s="1131">
        <v>0</v>
      </c>
      <c r="FR59" s="1131">
        <v>0</v>
      </c>
      <c r="FS59" s="1131">
        <v>0</v>
      </c>
      <c r="FT59" s="1131">
        <v>0</v>
      </c>
      <c r="FU59" s="1131">
        <v>0</v>
      </c>
      <c r="FV59" s="1131">
        <v>0</v>
      </c>
      <c r="FW59" s="1132">
        <v>0</v>
      </c>
    </row>
    <row r="60" spans="3:180" ht="15" thickTop="1" x14ac:dyDescent="0.35">
      <c r="C60" s="1" t="s">
        <v>366</v>
      </c>
      <c r="F60" s="1091"/>
      <c r="G60" s="1092"/>
      <c r="H60" s="1092"/>
      <c r="I60" s="1254"/>
      <c r="J60" s="1200"/>
      <c r="K60" s="1092"/>
      <c r="L60" s="1092"/>
      <c r="M60" s="1092"/>
      <c r="N60" s="1092"/>
      <c r="O60" s="1092"/>
      <c r="P60" s="1092"/>
      <c r="Q60" s="1092"/>
      <c r="R60" s="1254"/>
      <c r="S60" s="1200"/>
      <c r="T60" s="1092"/>
      <c r="U60" s="1092"/>
      <c r="V60" s="1093"/>
      <c r="W60" s="1093"/>
      <c r="X60" s="1451"/>
      <c r="Y60" s="1433"/>
      <c r="Z60" s="1093"/>
      <c r="AA60" s="1093"/>
      <c r="AB60" s="1093"/>
      <c r="AC60" s="1093"/>
      <c r="AD60" s="1093"/>
      <c r="AE60" s="1093"/>
      <c r="AF60" s="1093"/>
      <c r="AG60" s="1093"/>
      <c r="AH60" s="1094"/>
      <c r="AI60" s="1093"/>
      <c r="AJ60" s="1093"/>
      <c r="AK60" s="1093"/>
      <c r="AL60" s="1451"/>
      <c r="AM60" s="1433"/>
      <c r="AN60" s="1093"/>
      <c r="AO60" s="1093"/>
      <c r="AP60" s="1093"/>
      <c r="AQ60" s="1093"/>
      <c r="AR60" s="1093"/>
      <c r="AS60" s="1093"/>
      <c r="AT60" s="1093"/>
      <c r="AU60" s="1451"/>
      <c r="AV60" s="1433"/>
      <c r="AW60" s="1093"/>
      <c r="AX60" s="1093"/>
      <c r="AY60" s="1093"/>
      <c r="AZ60" s="1093"/>
      <c r="BA60" s="1451"/>
      <c r="BB60" s="1433"/>
      <c r="BC60" s="1093"/>
      <c r="BD60" s="1093"/>
      <c r="BE60" s="1093"/>
      <c r="BF60" s="1093"/>
      <c r="BG60" s="1093"/>
      <c r="BH60" s="1093"/>
      <c r="BI60" s="1093"/>
      <c r="BJ60" s="1093"/>
      <c r="BK60" s="1094"/>
      <c r="BL60" s="1087"/>
      <c r="BM60" s="1087"/>
      <c r="BN60" s="1087"/>
      <c r="BO60" s="1553"/>
      <c r="BP60" s="1536"/>
      <c r="BQ60" s="1087"/>
      <c r="BR60" s="1087"/>
      <c r="BS60" s="1095"/>
      <c r="BT60" s="1095"/>
      <c r="BU60" s="1095"/>
      <c r="BV60" s="1095"/>
      <c r="BW60" s="1095"/>
      <c r="BX60" s="1603"/>
      <c r="BY60" s="1599"/>
      <c r="BZ60" s="1095"/>
      <c r="CA60" s="1095"/>
      <c r="CB60" s="1095"/>
      <c r="CC60" s="1095"/>
      <c r="CD60" s="1603"/>
      <c r="CE60" s="1599"/>
      <c r="CF60" s="1095"/>
      <c r="CG60" s="1095"/>
      <c r="CH60" s="1095"/>
      <c r="CI60" s="1095"/>
      <c r="CJ60" s="1095"/>
      <c r="CK60" s="1095"/>
      <c r="CL60" s="1095"/>
      <c r="CM60" s="1095"/>
      <c r="CN60" s="1096"/>
      <c r="CO60" s="1097"/>
      <c r="CP60" s="1092"/>
      <c r="CQ60" s="1092"/>
      <c r="CR60" s="1254"/>
      <c r="CS60" s="1200"/>
      <c r="CT60" s="1092"/>
      <c r="CU60" s="1092"/>
      <c r="CV60" s="1092"/>
      <c r="CW60" s="1092"/>
      <c r="CX60" s="1092"/>
      <c r="CY60" s="1092"/>
      <c r="CZ60" s="1092"/>
      <c r="DA60" s="1254"/>
      <c r="DB60" s="1200"/>
      <c r="DC60" s="1092"/>
      <c r="DD60" s="1092"/>
      <c r="DE60" s="300"/>
      <c r="DF60" s="300"/>
      <c r="DG60" s="1512"/>
      <c r="DH60" s="1506"/>
      <c r="DI60" s="300"/>
      <c r="DJ60" s="300"/>
      <c r="DK60" s="300"/>
      <c r="DL60" s="300"/>
      <c r="DM60" s="300"/>
      <c r="DN60" s="300"/>
      <c r="DO60" s="300"/>
      <c r="DP60" s="300"/>
      <c r="DQ60" s="1096"/>
      <c r="DR60" s="1098"/>
      <c r="DS60" s="1087"/>
      <c r="DT60" s="1087"/>
      <c r="DU60" s="1087"/>
      <c r="DV60" s="1553"/>
      <c r="DW60" s="1536"/>
      <c r="DX60" s="1087"/>
      <c r="DY60" s="1087"/>
      <c r="DZ60" s="1087"/>
      <c r="EA60" s="1087"/>
      <c r="EB60" s="1087"/>
      <c r="EC60" s="1087"/>
      <c r="ED60" s="1087"/>
      <c r="EE60" s="1553"/>
      <c r="EF60" s="1536"/>
      <c r="EG60" s="1087"/>
      <c r="EH60" s="1087"/>
      <c r="EI60" s="1087"/>
      <c r="EJ60" s="1087"/>
      <c r="EK60" s="1553"/>
      <c r="EL60" s="1536"/>
      <c r="EM60" s="1087"/>
      <c r="EN60" s="1087"/>
      <c r="EO60" s="1087"/>
      <c r="EP60" s="1087"/>
      <c r="EQ60" s="1087"/>
      <c r="ER60" s="1087"/>
      <c r="ES60" s="1087"/>
      <c r="ET60" s="1087"/>
      <c r="EU60" s="1099"/>
      <c r="EV60" s="1087"/>
      <c r="EW60" s="1087"/>
      <c r="EX60" s="1087"/>
      <c r="EY60" s="1553"/>
      <c r="EZ60" s="1536"/>
      <c r="FA60" s="1087"/>
      <c r="FB60" s="1087"/>
      <c r="FC60" s="1087"/>
      <c r="FD60" s="1088"/>
      <c r="FE60" s="1088"/>
      <c r="FF60" s="1088"/>
      <c r="FG60" s="1088"/>
      <c r="FH60" s="1571"/>
      <c r="FI60" s="1506"/>
      <c r="FJ60" s="300"/>
      <c r="FK60" s="300"/>
      <c r="FL60" s="229"/>
      <c r="FM60" s="229"/>
      <c r="FN60" s="1245"/>
      <c r="FO60" s="538"/>
      <c r="FP60" s="229"/>
      <c r="FQ60" s="229"/>
      <c r="FR60" s="229"/>
      <c r="FS60" s="229"/>
      <c r="FT60" s="229"/>
      <c r="FU60" s="229"/>
      <c r="FV60" s="229"/>
      <c r="FW60" s="229"/>
    </row>
    <row r="61" spans="3:180" x14ac:dyDescent="0.35">
      <c r="C61" s="1" t="s">
        <v>622</v>
      </c>
      <c r="E61" s="1143"/>
      <c r="F61" s="1142">
        <f t="shared" ref="F61:U61" si="9">CO$59*100/(CO$59+BL$59)</f>
        <v>0</v>
      </c>
      <c r="G61" s="252">
        <f t="shared" si="9"/>
        <v>4.8230593607305945</v>
      </c>
      <c r="H61" s="252">
        <f t="shared" si="9"/>
        <v>2.6541332596074092</v>
      </c>
      <c r="I61" s="1255">
        <f t="shared" si="9"/>
        <v>3.7589828634604761</v>
      </c>
      <c r="J61" s="651">
        <f t="shared" si="9"/>
        <v>10.020449897750511</v>
      </c>
      <c r="K61" s="252">
        <f t="shared" si="9"/>
        <v>11.492870640783369</v>
      </c>
      <c r="L61" s="252">
        <f t="shared" si="9"/>
        <v>12.922142150628799</v>
      </c>
      <c r="M61" s="252">
        <f t="shared" si="9"/>
        <v>10.140405616224649</v>
      </c>
      <c r="N61" s="252">
        <f t="shared" si="9"/>
        <v>10.569592365878878</v>
      </c>
      <c r="O61" s="252">
        <f t="shared" si="9"/>
        <v>10.949271722752387</v>
      </c>
      <c r="P61" s="252">
        <f t="shared" si="9"/>
        <v>8.9139344262295079</v>
      </c>
      <c r="Q61" s="252">
        <f t="shared" si="9"/>
        <v>10.248447204968944</v>
      </c>
      <c r="R61" s="1255">
        <f t="shared" si="9"/>
        <v>9.3023255813953494</v>
      </c>
      <c r="S61" s="651">
        <f t="shared" si="9"/>
        <v>0</v>
      </c>
      <c r="T61" s="252" t="e">
        <f t="shared" si="9"/>
        <v>#DIV/0!</v>
      </c>
      <c r="U61" s="252" t="e">
        <f t="shared" si="9"/>
        <v>#DIV/0!</v>
      </c>
      <c r="V61" s="252"/>
      <c r="W61" s="252"/>
      <c r="X61" s="1255"/>
      <c r="Y61" s="651"/>
      <c r="Z61" s="252"/>
      <c r="AA61" s="252"/>
      <c r="AB61" s="252"/>
      <c r="AC61" s="252"/>
      <c r="AD61" s="252"/>
      <c r="AE61" s="252"/>
      <c r="AF61" s="252"/>
      <c r="AG61" s="252"/>
      <c r="AH61" s="327"/>
      <c r="AI61" s="253"/>
      <c r="AJ61" s="253"/>
      <c r="AK61" s="253"/>
      <c r="AL61" s="1620"/>
      <c r="AM61" s="1612"/>
      <c r="AN61" s="253"/>
      <c r="AO61" s="253"/>
      <c r="AP61" s="253"/>
      <c r="AQ61" s="253"/>
      <c r="AR61" s="253"/>
      <c r="AS61" s="253"/>
      <c r="AT61" s="253"/>
      <c r="AU61" s="1620"/>
      <c r="AV61" s="1612"/>
      <c r="AW61" s="253"/>
      <c r="AX61" s="253"/>
      <c r="AY61" s="253"/>
      <c r="AZ61" s="253"/>
      <c r="BA61" s="1620"/>
      <c r="BB61" s="1612"/>
      <c r="BC61" s="253"/>
      <c r="BD61" s="253"/>
      <c r="BE61" s="253"/>
      <c r="BF61" s="253"/>
      <c r="BG61" s="253"/>
      <c r="BH61" s="253"/>
      <c r="BI61" s="253"/>
      <c r="BJ61" s="253"/>
      <c r="BK61" s="327"/>
      <c r="BL61" s="254"/>
      <c r="BM61" s="254"/>
      <c r="BN61" s="254"/>
      <c r="BO61" s="1257"/>
      <c r="BP61" s="1202"/>
      <c r="BQ61" s="254"/>
      <c r="BR61" s="254"/>
      <c r="BS61" s="255"/>
      <c r="BT61" s="255"/>
      <c r="BU61" s="255"/>
      <c r="BV61" s="255"/>
      <c r="BW61" s="255"/>
      <c r="BX61" s="1604"/>
      <c r="BY61" s="1600"/>
      <c r="BZ61" s="255"/>
      <c r="CA61" s="255"/>
      <c r="CB61" s="255"/>
      <c r="CC61" s="255"/>
      <c r="CD61" s="1604"/>
      <c r="CE61" s="1600"/>
      <c r="CF61" s="255"/>
      <c r="CG61" s="255"/>
      <c r="CH61" s="255"/>
      <c r="CI61" s="255"/>
      <c r="CJ61" s="255"/>
      <c r="CK61" s="255"/>
      <c r="CL61" s="255"/>
      <c r="CM61" s="255"/>
      <c r="CN61" s="324"/>
      <c r="CO61" s="320"/>
      <c r="CP61" s="252"/>
      <c r="CQ61" s="252"/>
      <c r="CR61" s="1255"/>
      <c r="CS61" s="651"/>
      <c r="CT61" s="252"/>
      <c r="CU61" s="252"/>
      <c r="CV61" s="252"/>
      <c r="CW61" s="252"/>
      <c r="CX61" s="252"/>
      <c r="CY61" s="252"/>
      <c r="CZ61" s="252"/>
      <c r="DA61" s="1255"/>
      <c r="DB61" s="651"/>
      <c r="DC61" s="252"/>
      <c r="DD61" s="252"/>
      <c r="DE61" s="239"/>
      <c r="DF61" s="239"/>
      <c r="DG61" s="1277"/>
      <c r="DH61" s="1221"/>
      <c r="DI61" s="239"/>
      <c r="DJ61" s="239"/>
      <c r="DK61" s="239"/>
      <c r="DL61" s="239"/>
      <c r="DM61" s="239"/>
      <c r="DN61" s="239"/>
      <c r="DO61" s="239"/>
      <c r="DP61" s="239"/>
      <c r="DQ61" s="324"/>
      <c r="DR61" s="328"/>
      <c r="DS61" s="254"/>
      <c r="DT61" s="254"/>
      <c r="DU61" s="254"/>
      <c r="DV61" s="1257"/>
      <c r="DW61" s="1202"/>
      <c r="DX61" s="254"/>
      <c r="DY61" s="254"/>
      <c r="DZ61" s="254"/>
      <c r="EA61" s="254"/>
      <c r="EB61" s="254"/>
      <c r="EC61" s="254"/>
      <c r="ED61" s="254"/>
      <c r="EE61" s="1257"/>
      <c r="EF61" s="1202"/>
      <c r="EG61" s="254"/>
      <c r="EH61" s="254"/>
      <c r="EI61" s="254"/>
      <c r="EJ61" s="254"/>
      <c r="EK61" s="1257"/>
      <c r="EL61" s="1202"/>
      <c r="EM61" s="254"/>
      <c r="EN61" s="254"/>
      <c r="EO61" s="254"/>
      <c r="EP61" s="254"/>
      <c r="EQ61" s="254"/>
      <c r="ER61" s="254"/>
      <c r="ES61" s="254"/>
      <c r="ET61" s="254"/>
      <c r="EU61" s="329"/>
      <c r="EV61" s="254"/>
      <c r="EW61" s="254"/>
      <c r="EX61" s="254"/>
      <c r="EY61" s="1257"/>
      <c r="EZ61" s="1202"/>
      <c r="FA61" s="254"/>
      <c r="FB61" s="254"/>
      <c r="FC61" s="254"/>
      <c r="FD61" s="245"/>
      <c r="FE61" s="245"/>
      <c r="FF61" s="245"/>
      <c r="FG61" s="245"/>
      <c r="FH61" s="1414"/>
      <c r="FI61" s="1221"/>
      <c r="FJ61" s="239"/>
      <c r="FK61" s="239"/>
    </row>
    <row r="62" spans="3:180" x14ac:dyDescent="0.35">
      <c r="C62" s="1" t="s">
        <v>367</v>
      </c>
      <c r="F62" s="1037">
        <v>1.0489999999999999</v>
      </c>
      <c r="G62" s="252">
        <v>1.0489999999999999</v>
      </c>
      <c r="H62" s="252">
        <v>1.0489999999999999</v>
      </c>
      <c r="I62" s="1255">
        <v>1.0489999999999999</v>
      </c>
      <c r="J62" s="651">
        <f>'HPS DAILY'!$H$12</f>
        <v>1.0509999999999999</v>
      </c>
      <c r="K62" s="252">
        <f>'HPS DAILY'!$H$12</f>
        <v>1.0509999999999999</v>
      </c>
      <c r="L62" s="252">
        <f>'HPS DAILY'!$H$12</f>
        <v>1.0509999999999999</v>
      </c>
      <c r="M62" s="252">
        <f>'HPS DAILY'!$H$12</f>
        <v>1.0509999999999999</v>
      </c>
      <c r="N62" s="252">
        <f>'HPS DAILY'!$H$12</f>
        <v>1.0509999999999999</v>
      </c>
      <c r="O62" s="252">
        <f>'HPS DAILY'!$H$12</f>
        <v>1.0509999999999999</v>
      </c>
      <c r="P62" s="252">
        <f>1.061</f>
        <v>1.0609999999999999</v>
      </c>
      <c r="Q62" s="252">
        <f>1.061</f>
        <v>1.0609999999999999</v>
      </c>
      <c r="R62" s="1255">
        <f t="shared" ref="R62:U62" si="10">1.061</f>
        <v>1.0609999999999999</v>
      </c>
      <c r="S62" s="651">
        <f t="shared" si="10"/>
        <v>1.0609999999999999</v>
      </c>
      <c r="T62" s="252">
        <f t="shared" si="10"/>
        <v>1.0609999999999999</v>
      </c>
      <c r="U62" s="252">
        <f t="shared" si="10"/>
        <v>1.0609999999999999</v>
      </c>
      <c r="V62" s="252"/>
      <c r="W62" s="252"/>
      <c r="X62" s="1255"/>
      <c r="Y62" s="651"/>
      <c r="Z62" s="252"/>
      <c r="AA62" s="252"/>
      <c r="AB62" s="252"/>
      <c r="AC62" s="252"/>
      <c r="AD62" s="252"/>
      <c r="AE62" s="252"/>
      <c r="AF62" s="252"/>
      <c r="AG62" s="252"/>
      <c r="AH62" s="327"/>
      <c r="AI62" s="253"/>
      <c r="AJ62" s="253"/>
      <c r="AK62" s="253"/>
      <c r="AL62" s="1620"/>
      <c r="AM62" s="1612"/>
      <c r="AN62" s="253"/>
      <c r="AO62" s="253"/>
      <c r="AP62" s="253"/>
      <c r="AQ62" s="253"/>
      <c r="AR62" s="253"/>
      <c r="AS62" s="253"/>
      <c r="AT62" s="253"/>
      <c r="AU62" s="1620"/>
      <c r="AV62" s="1612"/>
      <c r="AW62" s="253"/>
      <c r="AX62" s="253"/>
      <c r="AY62" s="253"/>
      <c r="AZ62" s="253"/>
      <c r="BA62" s="1620"/>
      <c r="BB62" s="1612"/>
      <c r="BC62" s="253"/>
      <c r="BD62" s="253"/>
      <c r="BE62" s="253"/>
      <c r="BF62" s="253"/>
      <c r="BG62" s="253"/>
      <c r="BH62" s="253"/>
      <c r="BI62" s="253"/>
      <c r="BJ62" s="253"/>
      <c r="BK62" s="327"/>
      <c r="BL62" s="254"/>
      <c r="BM62" s="254"/>
      <c r="BN62" s="254"/>
      <c r="BO62" s="1257"/>
      <c r="BP62" s="1202"/>
      <c r="BQ62" s="254">
        <f>AVERAGE(BQ59:BU59)</f>
        <v>145.10948755626492</v>
      </c>
      <c r="BR62" s="254"/>
      <c r="BS62" s="255"/>
      <c r="BT62" s="255"/>
      <c r="BU62" s="255"/>
      <c r="BV62" s="255"/>
      <c r="BW62" s="254">
        <f>AVERAGE(BV59:BZ59)</f>
        <v>116.48333333333332</v>
      </c>
      <c r="BX62" s="1604"/>
      <c r="BY62" s="1600"/>
      <c r="BZ62" s="255"/>
      <c r="CA62" s="255"/>
      <c r="CB62" s="255"/>
      <c r="CC62" s="255"/>
      <c r="CD62" s="1604"/>
      <c r="CE62" s="1600"/>
      <c r="CF62" s="255"/>
      <c r="CG62" s="255"/>
      <c r="CH62" s="255"/>
      <c r="CI62" s="255"/>
      <c r="CJ62" s="255"/>
      <c r="CK62" s="255"/>
      <c r="CL62" s="255"/>
      <c r="CM62" s="255"/>
      <c r="CN62" s="324"/>
      <c r="CO62" s="320"/>
      <c r="CP62" s="252"/>
      <c r="CQ62" s="252"/>
      <c r="CR62" s="1255"/>
      <c r="CS62" s="651"/>
      <c r="CT62" s="252">
        <f>AVERAGE(CT59:CX59)</f>
        <v>18.36205052553937</v>
      </c>
      <c r="CU62" s="500"/>
      <c r="CV62" s="252"/>
      <c r="CW62" s="252"/>
      <c r="CX62" s="252"/>
      <c r="CZ62" s="252">
        <f>AVERAGE(CY59:DC59)</f>
        <v>9.1999999999999993</v>
      </c>
      <c r="DA62" s="1255"/>
      <c r="DB62" s="651"/>
      <c r="DC62" s="252"/>
      <c r="DD62" s="252"/>
      <c r="DE62" s="239"/>
      <c r="DF62" s="239"/>
      <c r="DG62" s="1277"/>
      <c r="DH62" s="1221"/>
      <c r="DI62" s="239"/>
      <c r="DJ62" s="239"/>
      <c r="DK62" s="239"/>
      <c r="DL62" s="239"/>
      <c r="DM62" s="239"/>
      <c r="DN62" s="239"/>
      <c r="DO62" s="239"/>
      <c r="DP62" s="239"/>
      <c r="DQ62" s="324"/>
      <c r="DR62" s="328"/>
      <c r="DS62" s="254"/>
      <c r="DT62" s="254"/>
      <c r="DU62" s="254"/>
      <c r="DV62" s="1257"/>
      <c r="DW62" s="1202"/>
      <c r="DX62" s="254"/>
      <c r="DY62" s="254"/>
      <c r="DZ62" s="254"/>
      <c r="EA62" s="254"/>
      <c r="EB62" s="254"/>
      <c r="EC62" s="254"/>
      <c r="ED62" s="254"/>
      <c r="EE62" s="1257"/>
      <c r="EF62" s="1202"/>
      <c r="EG62" s="254"/>
      <c r="EH62" s="254"/>
      <c r="EI62" s="254"/>
      <c r="EJ62" s="254"/>
      <c r="EK62" s="1257"/>
      <c r="EL62" s="1202"/>
      <c r="EM62" s="254"/>
      <c r="EN62" s="254"/>
      <c r="EO62" s="254"/>
      <c r="EP62" s="254"/>
      <c r="EQ62" s="254"/>
      <c r="ER62" s="254"/>
      <c r="ES62" s="254"/>
      <c r="ET62" s="254"/>
      <c r="EU62" s="329"/>
      <c r="EV62" s="254"/>
      <c r="EW62" s="254"/>
      <c r="EX62" s="254"/>
      <c r="EY62" s="1257"/>
      <c r="EZ62" s="1202"/>
      <c r="FA62" s="254"/>
      <c r="FB62" s="254"/>
      <c r="FC62" s="254"/>
      <c r="FD62" s="245"/>
      <c r="FE62" s="245"/>
      <c r="FF62" s="245"/>
      <c r="FG62" s="245"/>
      <c r="FH62" s="1414"/>
      <c r="FI62" s="1221"/>
      <c r="FJ62" s="239"/>
      <c r="FK62" s="239"/>
    </row>
    <row r="63" spans="3:180" s="182" customFormat="1" x14ac:dyDescent="0.35">
      <c r="C63" s="164" t="s">
        <v>323</v>
      </c>
      <c r="D63" s="164"/>
      <c r="E63" s="164"/>
      <c r="F63" s="1038">
        <f>F$59/F$62</f>
        <v>315.47775997403812</v>
      </c>
      <c r="G63" s="256">
        <f t="shared" ref="G63:U63" si="11">G$59/G$62</f>
        <v>310.61328249126154</v>
      </c>
      <c r="H63" s="464">
        <f t="shared" si="11"/>
        <v>313.85202023905561</v>
      </c>
      <c r="I63" s="1256">
        <f t="shared" si="11"/>
        <v>310.1906577693041</v>
      </c>
      <c r="J63" s="1434">
        <f t="shared" si="11"/>
        <v>184.26895020615288</v>
      </c>
      <c r="K63" s="464">
        <f t="shared" si="11"/>
        <v>177.51210027716874</v>
      </c>
      <c r="L63" s="464">
        <f t="shared" si="11"/>
        <v>177.62844909609896</v>
      </c>
      <c r="M63" s="464">
        <f t="shared" si="11"/>
        <v>174.53357051255534</v>
      </c>
      <c r="N63" s="464">
        <f t="shared" si="11"/>
        <v>173.75741923791401</v>
      </c>
      <c r="O63" s="464">
        <f>O$59/O$62</f>
        <v>179.8701030074877</v>
      </c>
      <c r="P63" s="464">
        <f>P$59/P$62</f>
        <v>178.33872884481417</v>
      </c>
      <c r="Q63" s="464">
        <f t="shared" si="11"/>
        <v>176.00295045691104</v>
      </c>
      <c r="R63" s="1256">
        <f t="shared" si="11"/>
        <v>175.83903618407572</v>
      </c>
      <c r="S63" s="1201">
        <f t="shared" si="11"/>
        <v>0</v>
      </c>
      <c r="T63" s="464">
        <f t="shared" si="11"/>
        <v>0</v>
      </c>
      <c r="U63" s="464">
        <f t="shared" si="11"/>
        <v>0</v>
      </c>
      <c r="V63" s="464"/>
      <c r="W63" s="464"/>
      <c r="X63" s="1256"/>
      <c r="Y63" s="1434"/>
      <c r="Z63" s="464"/>
      <c r="AA63" s="464"/>
      <c r="AB63" s="464"/>
      <c r="AC63" s="464"/>
      <c r="AD63" s="464"/>
      <c r="AE63" s="464"/>
      <c r="AF63" s="464"/>
      <c r="AG63" s="464"/>
      <c r="AH63" s="330"/>
      <c r="AI63" s="257"/>
      <c r="AJ63" s="257"/>
      <c r="AK63" s="257"/>
      <c r="AL63" s="1621"/>
      <c r="AM63" s="1613"/>
      <c r="AN63" s="257"/>
      <c r="AO63" s="257"/>
      <c r="AP63" s="257"/>
      <c r="AQ63" s="257"/>
      <c r="AR63" s="257"/>
      <c r="AS63" s="257"/>
      <c r="AT63" s="257"/>
      <c r="AU63" s="1621"/>
      <c r="AV63" s="1613"/>
      <c r="AW63" s="257"/>
      <c r="AX63" s="257"/>
      <c r="AY63" s="257"/>
      <c r="AZ63" s="257"/>
      <c r="BA63" s="1621"/>
      <c r="BB63" s="1613"/>
      <c r="BC63" s="257"/>
      <c r="BD63" s="257"/>
      <c r="BE63" s="257"/>
      <c r="BF63" s="257"/>
      <c r="BG63" s="257"/>
      <c r="BH63" s="257"/>
      <c r="BI63" s="257"/>
      <c r="BJ63" s="257"/>
      <c r="BK63" s="330"/>
      <c r="BL63" s="258"/>
      <c r="BM63" s="259"/>
      <c r="BN63" s="259"/>
      <c r="BO63" s="1596"/>
      <c r="BP63" s="1589"/>
      <c r="BQ63" s="259"/>
      <c r="BR63" s="259"/>
      <c r="BS63" s="260"/>
      <c r="BT63" s="260"/>
      <c r="BU63" s="260"/>
      <c r="BV63" s="260"/>
      <c r="BW63" s="260"/>
      <c r="BX63" s="1605"/>
      <c r="BY63" s="1601"/>
      <c r="BZ63" s="260"/>
      <c r="CA63" s="260"/>
      <c r="CB63" s="260"/>
      <c r="CC63" s="260"/>
      <c r="CD63" s="1605"/>
      <c r="CE63" s="1601"/>
      <c r="CF63" s="260"/>
      <c r="CG63" s="260"/>
      <c r="CH63" s="260"/>
      <c r="CI63" s="260"/>
      <c r="CJ63" s="260"/>
      <c r="CK63" s="260"/>
      <c r="CL63" s="260"/>
      <c r="CM63" s="260"/>
      <c r="CN63" s="330"/>
      <c r="CO63" s="321"/>
      <c r="CP63" s="261"/>
      <c r="CQ63" s="262"/>
      <c r="CR63" s="1477"/>
      <c r="CS63" s="1465"/>
      <c r="CT63" s="239">
        <f>100*CT62/(CT62+BQ62)</f>
        <v>11.232567296424806</v>
      </c>
      <c r="CU63" s="602" t="s">
        <v>586</v>
      </c>
      <c r="CV63" s="263"/>
      <c r="CW63" s="263"/>
      <c r="CX63" s="263"/>
      <c r="CY63" s="263"/>
      <c r="CZ63" s="256">
        <f>100*CZ62/(CZ62+BW62)</f>
        <v>7.3199840869911146</v>
      </c>
      <c r="DA63" s="1495" t="s">
        <v>587</v>
      </c>
      <c r="DB63" s="1486"/>
      <c r="DC63" s="263"/>
      <c r="DD63" s="263"/>
      <c r="DE63" s="230"/>
      <c r="DF63" s="230"/>
      <c r="DG63" s="1455"/>
      <c r="DH63" s="1438"/>
      <c r="DI63" s="230"/>
      <c r="DJ63" s="230"/>
      <c r="DK63" s="230"/>
      <c r="DL63" s="230"/>
      <c r="DM63" s="230"/>
      <c r="DN63" s="230"/>
      <c r="DO63" s="230"/>
      <c r="DP63" s="230"/>
      <c r="DQ63" s="331"/>
      <c r="DR63" s="332"/>
      <c r="DS63" s="258"/>
      <c r="DT63" s="258"/>
      <c r="DU63" s="258"/>
      <c r="DV63" s="1581"/>
      <c r="DW63" s="1579"/>
      <c r="DX63" s="258"/>
      <c r="DY63" s="258"/>
      <c r="DZ63" s="258"/>
      <c r="EA63" s="258"/>
      <c r="EB63" s="258"/>
      <c r="EC63" s="258"/>
      <c r="ED63" s="258"/>
      <c r="EE63" s="1581"/>
      <c r="EF63" s="1579"/>
      <c r="EG63" s="258"/>
      <c r="EH63" s="258"/>
      <c r="EI63" s="258"/>
      <c r="EJ63" s="258"/>
      <c r="EK63" s="1581"/>
      <c r="EL63" s="1579"/>
      <c r="EM63" s="258"/>
      <c r="EN63" s="258"/>
      <c r="EO63" s="258"/>
      <c r="EP63" s="258"/>
      <c r="EQ63" s="258"/>
      <c r="ER63" s="258"/>
      <c r="ES63" s="258"/>
      <c r="ET63" s="258"/>
      <c r="EU63" s="333"/>
      <c r="EV63" s="246"/>
      <c r="EW63" s="246"/>
      <c r="EX63" s="246"/>
      <c r="EY63" s="1554"/>
      <c r="EZ63" s="1537"/>
      <c r="FA63" s="246"/>
      <c r="FB63" s="246"/>
      <c r="FC63" s="246"/>
      <c r="FD63" s="246"/>
      <c r="FE63" s="246"/>
      <c r="FF63" s="246"/>
      <c r="FG63" s="246"/>
      <c r="FH63" s="1554"/>
      <c r="FI63" s="1438"/>
      <c r="FJ63" s="230"/>
      <c r="FK63" s="230"/>
      <c r="FL63" s="230"/>
      <c r="FM63" s="230"/>
      <c r="FN63" s="1455"/>
      <c r="FO63" s="1438"/>
      <c r="FP63" s="230"/>
      <c r="FQ63" s="230"/>
      <c r="FR63" s="230"/>
      <c r="FS63" s="230"/>
      <c r="FT63" s="230"/>
      <c r="FU63" s="230"/>
      <c r="FV63" s="230"/>
      <c r="FW63" s="230"/>
    </row>
    <row r="64" spans="3:180" s="182" customFormat="1" x14ac:dyDescent="0.35">
      <c r="C64" s="1358" t="s">
        <v>425</v>
      </c>
      <c r="D64" s="1358"/>
      <c r="E64" s="1358"/>
      <c r="F64" s="1359">
        <f>F$63/(3*186)</f>
        <v>0.56537232970257723</v>
      </c>
      <c r="G64" s="1360">
        <f>G$63/(3*186)</f>
        <v>0.55665462812054045</v>
      </c>
      <c r="H64" s="1360">
        <f t="shared" ref="H64:U64" si="12">H$63/(3*186)</f>
        <v>0.5624588176327161</v>
      </c>
      <c r="I64" s="1361">
        <f t="shared" si="12"/>
        <v>0.5558972361457063</v>
      </c>
      <c r="J64" s="1362">
        <f t="shared" si="12"/>
        <v>0.33023109355941377</v>
      </c>
      <c r="K64" s="1360">
        <f t="shared" si="12"/>
        <v>0.31812204350747086</v>
      </c>
      <c r="L64" s="1360">
        <f t="shared" si="12"/>
        <v>0.31833055393566123</v>
      </c>
      <c r="M64" s="1360">
        <f t="shared" si="12"/>
        <v>0.3127841765457981</v>
      </c>
      <c r="N64" s="1360">
        <f t="shared" si="12"/>
        <v>0.31139322444070611</v>
      </c>
      <c r="O64" s="1360">
        <f t="shared" si="12"/>
        <v>0.32234785485212847</v>
      </c>
      <c r="P64" s="1360">
        <f t="shared" si="12"/>
        <v>0.31960345671113649</v>
      </c>
      <c r="Q64" s="1360">
        <f t="shared" si="12"/>
        <v>0.31541747393711655</v>
      </c>
      <c r="R64" s="1361">
        <f>R63/(3*186)</f>
        <v>0.31512372075999234</v>
      </c>
      <c r="S64" s="1362">
        <f>S$63/(3*186)</f>
        <v>0</v>
      </c>
      <c r="T64" s="1360">
        <f t="shared" si="12"/>
        <v>0</v>
      </c>
      <c r="U64" s="1360">
        <f t="shared" si="12"/>
        <v>0</v>
      </c>
      <c r="V64" s="1363"/>
      <c r="W64" s="1363"/>
      <c r="X64" s="1452"/>
      <c r="Y64" s="1435"/>
      <c r="Z64" s="1363"/>
      <c r="AA64" s="1363"/>
      <c r="AB64" s="1363"/>
      <c r="AC64" s="1363"/>
      <c r="AD64" s="1363"/>
      <c r="AE64" s="1363"/>
      <c r="AF64" s="1363"/>
      <c r="AG64" s="1363"/>
      <c r="AH64" s="334"/>
      <c r="AI64" s="264"/>
      <c r="AJ64" s="264"/>
      <c r="AK64" s="264"/>
      <c r="AL64" s="1454"/>
      <c r="AM64" s="1437"/>
      <c r="AN64" s="264"/>
      <c r="AO64" s="264"/>
      <c r="AP64" s="264"/>
      <c r="AQ64" s="264"/>
      <c r="AR64" s="264"/>
      <c r="AS64" s="264"/>
      <c r="AT64" s="264"/>
      <c r="AU64" s="1454"/>
      <c r="AV64" s="1437"/>
      <c r="AW64" s="264"/>
      <c r="AX64" s="264"/>
      <c r="AY64" s="264"/>
      <c r="AZ64" s="264"/>
      <c r="BA64" s="1454"/>
      <c r="BB64" s="1437"/>
      <c r="BC64" s="264"/>
      <c r="BD64" s="264"/>
      <c r="BE64" s="264"/>
      <c r="BF64" s="264"/>
      <c r="BG64" s="264"/>
      <c r="BH64" s="264"/>
      <c r="BI64" s="264"/>
      <c r="BJ64" s="264"/>
      <c r="BK64" s="334"/>
      <c r="BL64" s="264"/>
      <c r="BM64" s="230"/>
      <c r="BN64" s="230"/>
      <c r="BO64" s="1455"/>
      <c r="BP64" s="1438"/>
      <c r="BQ64" s="230"/>
      <c r="BR64" s="230"/>
      <c r="BS64" s="230"/>
      <c r="BT64" s="230"/>
      <c r="BU64" s="230"/>
      <c r="BV64" s="230"/>
      <c r="BW64" s="230"/>
      <c r="BX64" s="1455"/>
      <c r="BY64" s="1438"/>
      <c r="BZ64" s="230"/>
      <c r="CA64" s="230"/>
      <c r="CB64" s="230"/>
      <c r="CC64" s="230"/>
      <c r="CD64" s="1455"/>
      <c r="CE64" s="1438"/>
      <c r="CF64" s="230"/>
      <c r="CG64" s="230"/>
      <c r="CH64" s="230"/>
      <c r="CI64" s="230"/>
      <c r="CJ64" s="230"/>
      <c r="CK64" s="230"/>
      <c r="CL64" s="230"/>
      <c r="CM64" s="230"/>
      <c r="CN64" s="331"/>
      <c r="CO64" s="230"/>
      <c r="CP64" s="265"/>
      <c r="CQ64" s="265"/>
      <c r="CR64" s="1478"/>
      <c r="CS64" s="1466"/>
      <c r="CT64" s="265"/>
      <c r="CU64" s="262"/>
      <c r="CV64" s="230"/>
      <c r="CW64" s="230"/>
      <c r="CX64" s="230"/>
      <c r="CY64" s="230"/>
      <c r="CZ64" s="230"/>
      <c r="DA64" s="1455"/>
      <c r="DB64" s="1438"/>
      <c r="DC64" s="230"/>
      <c r="DD64" s="230"/>
      <c r="DE64" s="230"/>
      <c r="DF64" s="230"/>
      <c r="DG64" s="1455"/>
      <c r="DH64" s="1438"/>
      <c r="DI64" s="230"/>
      <c r="DJ64" s="230"/>
      <c r="DK64" s="230"/>
      <c r="DL64" s="230"/>
      <c r="DM64" s="230"/>
      <c r="DN64" s="230"/>
      <c r="DO64" s="230"/>
      <c r="DP64" s="230"/>
      <c r="DQ64" s="331"/>
      <c r="DR64" s="332"/>
      <c r="DS64" s="230"/>
      <c r="DT64" s="230"/>
      <c r="DU64" s="230"/>
      <c r="DV64" s="1455"/>
      <c r="DW64" s="1438"/>
      <c r="DX64" s="230"/>
      <c r="DY64" s="230"/>
      <c r="DZ64" s="230"/>
      <c r="EA64" s="230"/>
      <c r="EB64" s="230"/>
      <c r="EC64" s="230"/>
      <c r="ED64" s="230"/>
      <c r="EE64" s="1455"/>
      <c r="EF64" s="1438"/>
      <c r="EG64" s="230"/>
      <c r="EH64" s="230"/>
      <c r="EI64" s="230"/>
      <c r="EJ64" s="230"/>
      <c r="EK64" s="1455"/>
      <c r="EL64" s="1438"/>
      <c r="EM64" s="230"/>
      <c r="EN64" s="230"/>
      <c r="EO64" s="230"/>
      <c r="EP64" s="230"/>
      <c r="EQ64" s="230"/>
      <c r="ER64" s="230"/>
      <c r="ES64" s="230"/>
      <c r="ET64" s="230"/>
      <c r="EU64" s="331"/>
      <c r="EV64" s="230"/>
      <c r="EW64" s="230"/>
      <c r="EX64" s="230"/>
      <c r="EY64" s="1455"/>
      <c r="EZ64" s="1438"/>
      <c r="FA64" s="230"/>
      <c r="FB64" s="230"/>
      <c r="FC64" s="230"/>
      <c r="FD64" s="230"/>
      <c r="FE64" s="230"/>
      <c r="FF64" s="230"/>
      <c r="FG64" s="230"/>
      <c r="FH64" s="1455"/>
      <c r="FI64" s="1438"/>
      <c r="FJ64" s="230"/>
      <c r="FK64" s="230"/>
      <c r="FL64" s="230"/>
      <c r="FM64" s="230"/>
      <c r="FN64" s="1455"/>
      <c r="FO64" s="1438"/>
      <c r="FP64" s="230"/>
      <c r="FQ64" s="230"/>
      <c r="FR64" s="230"/>
      <c r="FS64" s="230"/>
      <c r="FT64" s="230"/>
      <c r="FU64" s="230"/>
      <c r="FV64" s="230"/>
      <c r="FW64" s="230"/>
    </row>
    <row r="65" spans="3:180" s="182" customFormat="1" x14ac:dyDescent="0.35">
      <c r="C65" s="417" t="s">
        <v>426</v>
      </c>
      <c r="D65" s="417"/>
      <c r="E65" s="417"/>
      <c r="F65" s="1355">
        <v>0.55000000000000004</v>
      </c>
      <c r="G65" s="914">
        <v>0.55000000000000004</v>
      </c>
      <c r="H65" s="914">
        <v>0.55000000000000004</v>
      </c>
      <c r="I65" s="1356">
        <v>0.55000000000000004</v>
      </c>
      <c r="J65" s="913">
        <v>0.31</v>
      </c>
      <c r="K65" s="914">
        <v>0.31</v>
      </c>
      <c r="L65" s="914">
        <v>0.31</v>
      </c>
      <c r="M65" s="914">
        <v>0.31</v>
      </c>
      <c r="N65" s="914">
        <v>0.31</v>
      </c>
      <c r="O65" s="914">
        <v>0.31</v>
      </c>
      <c r="P65" s="914">
        <v>0.31</v>
      </c>
      <c r="Q65" s="914">
        <v>0.31</v>
      </c>
      <c r="R65" s="1356">
        <v>0.31</v>
      </c>
      <c r="S65" s="913">
        <v>0.31</v>
      </c>
      <c r="T65" s="914">
        <v>0.31</v>
      </c>
      <c r="U65" s="914">
        <v>0.31</v>
      </c>
      <c r="V65" s="1357"/>
      <c r="W65" s="1357"/>
      <c r="X65" s="1453"/>
      <c r="Y65" s="1436"/>
      <c r="Z65" s="1357"/>
      <c r="AA65" s="1357"/>
      <c r="AB65" s="1357"/>
      <c r="AC65" s="1357"/>
      <c r="AD65" s="1357"/>
      <c r="AE65" s="1357"/>
      <c r="AF65" s="1357"/>
      <c r="AG65" s="1357"/>
      <c r="AH65" s="334"/>
      <c r="AI65" s="264"/>
      <c r="AJ65" s="264"/>
      <c r="AK65" s="264"/>
      <c r="AL65" s="1454"/>
      <c r="AM65" s="1437"/>
      <c r="AN65" s="264"/>
      <c r="AO65" s="264"/>
      <c r="AP65" s="264"/>
      <c r="AQ65" s="264"/>
      <c r="AR65" s="264"/>
      <c r="AS65" s="264"/>
      <c r="AT65" s="264"/>
      <c r="AU65" s="1454"/>
      <c r="AV65" s="1437"/>
      <c r="AW65" s="264"/>
      <c r="AX65" s="264"/>
      <c r="AY65" s="264"/>
      <c r="AZ65" s="264"/>
      <c r="BA65" s="1454"/>
      <c r="BB65" s="1437"/>
      <c r="BC65" s="264"/>
      <c r="BD65" s="264"/>
      <c r="BE65" s="264"/>
      <c r="BF65" s="264"/>
      <c r="BG65" s="264"/>
      <c r="BH65" s="264"/>
      <c r="BI65" s="264"/>
      <c r="BJ65" s="264"/>
      <c r="BK65" s="334"/>
      <c r="BL65" s="264"/>
      <c r="BM65" s="230"/>
      <c r="BN65" s="230"/>
      <c r="BO65" s="1455"/>
      <c r="BP65" s="1438"/>
      <c r="BQ65" s="230"/>
      <c r="BR65" s="230"/>
      <c r="BS65" s="230"/>
      <c r="BT65" s="230"/>
      <c r="BU65" s="230"/>
      <c r="BV65" s="230"/>
      <c r="BW65" s="230"/>
      <c r="BX65" s="1455"/>
      <c r="BY65" s="1438"/>
      <c r="BZ65" s="230"/>
      <c r="CA65" s="230"/>
      <c r="CB65" s="230"/>
      <c r="CC65" s="230"/>
      <c r="CD65" s="1455"/>
      <c r="CE65" s="1438"/>
      <c r="CF65" s="230"/>
      <c r="CG65" s="230"/>
      <c r="CH65" s="230"/>
      <c r="CI65" s="230"/>
      <c r="CJ65" s="230"/>
      <c r="CK65" s="230"/>
      <c r="CL65" s="230"/>
      <c r="CM65" s="230"/>
      <c r="CN65" s="331"/>
      <c r="CO65" s="230"/>
      <c r="CP65" s="265"/>
      <c r="CQ65" s="265"/>
      <c r="CR65" s="1478"/>
      <c r="CS65" s="1466"/>
      <c r="CT65" s="265"/>
      <c r="CU65" s="262"/>
      <c r="CV65" s="230"/>
      <c r="CW65" s="230"/>
      <c r="CX65" s="230"/>
      <c r="CY65" s="230"/>
      <c r="CZ65" s="230"/>
      <c r="DA65" s="1455"/>
      <c r="DB65" s="1438"/>
      <c r="DC65" s="230"/>
      <c r="DD65" s="230"/>
      <c r="DE65" s="230"/>
      <c r="DF65" s="230"/>
      <c r="DG65" s="1455"/>
      <c r="DH65" s="1438"/>
      <c r="DI65" s="230"/>
      <c r="DJ65" s="230"/>
      <c r="DK65" s="230"/>
      <c r="DL65" s="230"/>
      <c r="DM65" s="230"/>
      <c r="DN65" s="230"/>
      <c r="DO65" s="230"/>
      <c r="DP65" s="230"/>
      <c r="DQ65" s="331"/>
      <c r="DR65" s="332"/>
      <c r="DS65" s="230"/>
      <c r="DT65" s="230"/>
      <c r="DU65" s="230"/>
      <c r="DV65" s="1455"/>
      <c r="DW65" s="1438"/>
      <c r="DX65" s="230"/>
      <c r="DY65" s="230"/>
      <c r="DZ65" s="230"/>
      <c r="EA65" s="230"/>
      <c r="EB65" s="230"/>
      <c r="EC65" s="230"/>
      <c r="ED65" s="230"/>
      <c r="EE65" s="1455"/>
      <c r="EF65" s="1438"/>
      <c r="EG65" s="230"/>
      <c r="EH65" s="230"/>
      <c r="EI65" s="230"/>
      <c r="EJ65" s="230"/>
      <c r="EK65" s="1455"/>
      <c r="EL65" s="1438"/>
      <c r="EM65" s="230"/>
      <c r="EN65" s="230"/>
      <c r="EO65" s="230"/>
      <c r="EP65" s="230"/>
      <c r="EQ65" s="230"/>
      <c r="ER65" s="230"/>
      <c r="ES65" s="230"/>
      <c r="ET65" s="230"/>
      <c r="EU65" s="331"/>
      <c r="EV65" s="230"/>
      <c r="EW65" s="230"/>
      <c r="EX65" s="230"/>
      <c r="EY65" s="1455"/>
      <c r="EZ65" s="1438"/>
      <c r="FA65" s="230"/>
      <c r="FB65" s="230"/>
      <c r="FC65" s="230"/>
      <c r="FD65" s="230"/>
      <c r="FE65" s="230"/>
      <c r="FF65" s="230"/>
      <c r="FG65" s="230"/>
      <c r="FH65" s="1455"/>
      <c r="FI65" s="1438"/>
      <c r="FJ65" s="230"/>
      <c r="FK65" s="230"/>
      <c r="FL65" s="230"/>
      <c r="FM65" s="230"/>
      <c r="FN65" s="1455"/>
      <c r="FO65" s="1438"/>
      <c r="FP65" s="230"/>
      <c r="FQ65" s="230"/>
      <c r="FR65" s="230"/>
      <c r="FS65" s="230"/>
      <c r="FT65" s="230"/>
      <c r="FU65" s="230"/>
      <c r="FV65" s="230"/>
      <c r="FW65" s="230"/>
    </row>
    <row r="66" spans="3:180" s="182" customFormat="1" x14ac:dyDescent="0.35">
      <c r="C66" s="164" t="s">
        <v>424</v>
      </c>
      <c r="D66" s="164"/>
      <c r="E66" s="164"/>
      <c r="F66" s="566">
        <f>F$63/137</f>
        <v>2.302757372073271</v>
      </c>
      <c r="G66" s="254">
        <f t="shared" ref="G66:U66" si="13">G$63/137</f>
        <v>2.267250237162493</v>
      </c>
      <c r="H66" s="254">
        <f t="shared" si="13"/>
        <v>2.2908906586792379</v>
      </c>
      <c r="I66" s="1257">
        <f t="shared" si="13"/>
        <v>2.2641653851774022</v>
      </c>
      <c r="J66" s="1202">
        <f t="shared" si="13"/>
        <v>1.3450288336215539</v>
      </c>
      <c r="K66" s="254">
        <f t="shared" si="13"/>
        <v>1.2957087611472171</v>
      </c>
      <c r="L66" s="254">
        <f t="shared" si="13"/>
        <v>1.2965580225992626</v>
      </c>
      <c r="M66" s="254">
        <f t="shared" si="13"/>
        <v>1.2739676679748566</v>
      </c>
      <c r="N66" s="254">
        <f t="shared" si="13"/>
        <v>1.2683023302037519</v>
      </c>
      <c r="O66" s="254">
        <f t="shared" si="13"/>
        <v>1.3129204599086692</v>
      </c>
      <c r="P66" s="254">
        <f t="shared" si="13"/>
        <v>1.3017425463125123</v>
      </c>
      <c r="Q66" s="254">
        <f t="shared" si="13"/>
        <v>1.2846930690285476</v>
      </c>
      <c r="R66" s="1257">
        <f t="shared" si="13"/>
        <v>1.2834966144823046</v>
      </c>
      <c r="S66" s="1202">
        <f t="shared" si="13"/>
        <v>0</v>
      </c>
      <c r="T66" s="254">
        <f t="shared" si="13"/>
        <v>0</v>
      </c>
      <c r="U66" s="254">
        <f t="shared" si="13"/>
        <v>0</v>
      </c>
      <c r="V66" s="264"/>
      <c r="W66" s="264"/>
      <c r="X66" s="1454"/>
      <c r="Y66" s="1437"/>
      <c r="Z66" s="264"/>
      <c r="AA66" s="264"/>
      <c r="AB66" s="264"/>
      <c r="AC66" s="264"/>
      <c r="AD66" s="264"/>
      <c r="AE66" s="264"/>
      <c r="AF66" s="264"/>
      <c r="AG66" s="264"/>
      <c r="AH66" s="334"/>
      <c r="AI66" s="264"/>
      <c r="AJ66" s="264"/>
      <c r="AK66" s="264"/>
      <c r="AL66" s="1454"/>
      <c r="AM66" s="1437"/>
      <c r="AN66" s="264"/>
      <c r="AO66" s="264"/>
      <c r="AP66" s="264"/>
      <c r="AQ66" s="264"/>
      <c r="AR66" s="264"/>
      <c r="AS66" s="264"/>
      <c r="AT66" s="264"/>
      <c r="AU66" s="1454"/>
      <c r="AV66" s="1437"/>
      <c r="AW66" s="264"/>
      <c r="AX66" s="264"/>
      <c r="AY66" s="264"/>
      <c r="AZ66" s="264"/>
      <c r="BA66" s="1454"/>
      <c r="BB66" s="1437"/>
      <c r="BC66" s="264"/>
      <c r="BD66" s="264"/>
      <c r="BE66" s="264"/>
      <c r="BF66" s="264"/>
      <c r="BG66" s="264"/>
      <c r="BH66" s="264"/>
      <c r="BI66" s="264"/>
      <c r="BJ66" s="264"/>
      <c r="BK66" s="334"/>
      <c r="BL66" s="264"/>
      <c r="BM66" s="230"/>
      <c r="BN66" s="230"/>
      <c r="BO66" s="1455"/>
      <c r="BP66" s="1438"/>
      <c r="BQ66" s="230"/>
      <c r="BR66" s="230"/>
      <c r="BS66" s="230"/>
      <c r="BT66" s="230"/>
      <c r="BU66" s="230"/>
      <c r="BV66" s="230"/>
      <c r="BW66" s="230"/>
      <c r="BX66" s="1455"/>
      <c r="BY66" s="1438"/>
      <c r="BZ66" s="230"/>
      <c r="CA66" s="230"/>
      <c r="CB66" s="230"/>
      <c r="CC66" s="230"/>
      <c r="CD66" s="1455"/>
      <c r="CE66" s="1438"/>
      <c r="CF66" s="230"/>
      <c r="CG66" s="230"/>
      <c r="CH66" s="230"/>
      <c r="CI66" s="230"/>
      <c r="CJ66" s="230"/>
      <c r="CK66" s="230"/>
      <c r="CL66" s="230"/>
      <c r="CM66" s="230"/>
      <c r="CN66" s="331"/>
      <c r="CO66" s="230"/>
      <c r="CP66" s="265"/>
      <c r="CQ66" s="265"/>
      <c r="CR66" s="1478"/>
      <c r="CS66" s="1466"/>
      <c r="CT66" s="265"/>
      <c r="CU66" s="262"/>
      <c r="CV66" s="230"/>
      <c r="CW66" s="230"/>
      <c r="CX66" s="230"/>
      <c r="CY66" s="230"/>
      <c r="CZ66" s="230"/>
      <c r="DA66" s="1455"/>
      <c r="DB66" s="1438"/>
      <c r="DC66" s="230"/>
      <c r="DD66" s="230"/>
      <c r="DE66" s="230"/>
      <c r="DF66" s="230"/>
      <c r="DG66" s="1455"/>
      <c r="DH66" s="1438"/>
      <c r="DI66" s="230"/>
      <c r="DJ66" s="230"/>
      <c r="DK66" s="230"/>
      <c r="DL66" s="230"/>
      <c r="DM66" s="230"/>
      <c r="DN66" s="230"/>
      <c r="DO66" s="230"/>
      <c r="DP66" s="230"/>
      <c r="DQ66" s="331"/>
      <c r="DR66" s="332"/>
      <c r="DS66" s="230"/>
      <c r="DT66" s="230"/>
      <c r="DU66" s="230"/>
      <c r="DV66" s="1455"/>
      <c r="DW66" s="1438"/>
      <c r="DX66" s="230"/>
      <c r="DY66" s="230"/>
      <c r="DZ66" s="230"/>
      <c r="EA66" s="230"/>
      <c r="EB66" s="230"/>
      <c r="EC66" s="230"/>
      <c r="ED66" s="230"/>
      <c r="EE66" s="1455"/>
      <c r="EF66" s="1438"/>
      <c r="EG66" s="230"/>
      <c r="EH66" s="230"/>
      <c r="EI66" s="230"/>
      <c r="EJ66" s="230"/>
      <c r="EK66" s="1455"/>
      <c r="EL66" s="1438"/>
      <c r="EM66" s="230"/>
      <c r="EN66" s="230"/>
      <c r="EO66" s="230"/>
      <c r="EP66" s="230"/>
      <c r="EQ66" s="230"/>
      <c r="ER66" s="230"/>
      <c r="ES66" s="230"/>
      <c r="ET66" s="230"/>
      <c r="EU66" s="331"/>
      <c r="EV66" s="230"/>
      <c r="EW66" s="230"/>
      <c r="EX66" s="230"/>
      <c r="EY66" s="1455"/>
      <c r="EZ66" s="1438"/>
      <c r="FA66" s="230"/>
      <c r="FB66" s="230"/>
      <c r="FC66" s="230"/>
      <c r="FD66" s="230"/>
      <c r="FE66" s="230"/>
      <c r="FF66" s="230"/>
      <c r="FG66" s="230"/>
      <c r="FH66" s="1455"/>
      <c r="FI66" s="1438"/>
      <c r="FJ66" s="230"/>
      <c r="FK66" s="230"/>
      <c r="FL66" s="230"/>
      <c r="FM66" s="230"/>
      <c r="FN66" s="1455"/>
      <c r="FO66" s="1438"/>
      <c r="FP66" s="230"/>
      <c r="FQ66" s="230"/>
      <c r="FR66" s="230"/>
      <c r="FS66" s="230"/>
      <c r="FT66" s="230"/>
      <c r="FU66" s="230"/>
      <c r="FV66" s="230"/>
      <c r="FW66" s="230"/>
    </row>
    <row r="67" spans="3:180" s="182" customFormat="1" x14ac:dyDescent="0.35">
      <c r="C67" s="417" t="s">
        <v>383</v>
      </c>
      <c r="D67" s="417"/>
      <c r="E67" s="417"/>
      <c r="F67" s="1355">
        <v>0.57999999999999996</v>
      </c>
      <c r="G67" s="914">
        <v>0.55000000000000004</v>
      </c>
      <c r="H67" s="914">
        <v>0.54</v>
      </c>
      <c r="I67" s="1356">
        <v>0.54</v>
      </c>
      <c r="J67" s="913">
        <v>0.31</v>
      </c>
      <c r="K67" s="914">
        <v>0.31</v>
      </c>
      <c r="L67" s="914">
        <v>0.31</v>
      </c>
      <c r="M67" s="914">
        <v>0.31</v>
      </c>
      <c r="N67" s="914">
        <v>0.31</v>
      </c>
      <c r="O67" s="914">
        <v>0.31</v>
      </c>
      <c r="P67" s="914">
        <v>0.31</v>
      </c>
      <c r="Q67" s="914">
        <v>0.31</v>
      </c>
      <c r="R67" s="1356">
        <v>0.31</v>
      </c>
      <c r="S67" s="913">
        <v>0.31</v>
      </c>
      <c r="T67" s="914">
        <v>0.31</v>
      </c>
      <c r="U67" s="914">
        <v>0.31</v>
      </c>
      <c r="V67" s="1357"/>
      <c r="W67" s="1357"/>
      <c r="X67" s="1453"/>
      <c r="Y67" s="1436"/>
      <c r="Z67" s="1357"/>
      <c r="AA67" s="1357"/>
      <c r="AB67" s="1357"/>
      <c r="AC67" s="1357"/>
      <c r="AD67" s="1357"/>
      <c r="AE67" s="1357"/>
      <c r="AF67" s="1357"/>
      <c r="AG67" s="1357"/>
      <c r="AH67" s="334"/>
      <c r="AI67" s="264"/>
      <c r="AJ67" s="264"/>
      <c r="AK67" s="264"/>
      <c r="AL67" s="1454"/>
      <c r="AM67" s="1437"/>
      <c r="AN67" s="264"/>
      <c r="AO67" s="264"/>
      <c r="AP67" s="264"/>
      <c r="AQ67" s="264"/>
      <c r="AR67" s="264"/>
      <c r="AS67" s="264"/>
      <c r="AT67" s="264"/>
      <c r="AU67" s="1454"/>
      <c r="AV67" s="1437"/>
      <c r="AW67" s="264"/>
      <c r="AX67" s="264"/>
      <c r="AY67" s="264"/>
      <c r="AZ67" s="264"/>
      <c r="BA67" s="1454"/>
      <c r="BB67" s="1437"/>
      <c r="BC67" s="264"/>
      <c r="BD67" s="264"/>
      <c r="BE67" s="264"/>
      <c r="BF67" s="264"/>
      <c r="BG67" s="264"/>
      <c r="BH67" s="264"/>
      <c r="BI67" s="264"/>
      <c r="BJ67" s="264"/>
      <c r="BK67" s="334"/>
      <c r="BL67" s="264"/>
      <c r="BM67" s="230"/>
      <c r="BN67" s="230"/>
      <c r="BO67" s="1455"/>
      <c r="BP67" s="1438"/>
      <c r="BQ67" s="230"/>
      <c r="BR67" s="230"/>
      <c r="BS67" s="230"/>
      <c r="BT67" s="230"/>
      <c r="BU67" s="230"/>
      <c r="BV67" s="230"/>
      <c r="BW67" s="230"/>
      <c r="BX67" s="1455"/>
      <c r="BY67" s="1438"/>
      <c r="BZ67" s="230"/>
      <c r="CA67" s="230"/>
      <c r="CB67" s="230"/>
      <c r="CC67" s="230"/>
      <c r="CD67" s="1455"/>
      <c r="CE67" s="1438"/>
      <c r="CF67" s="230"/>
      <c r="CG67" s="230"/>
      <c r="CH67" s="230"/>
      <c r="CI67" s="230"/>
      <c r="CJ67" s="230"/>
      <c r="CK67" s="230"/>
      <c r="CL67" s="230"/>
      <c r="CM67" s="230"/>
      <c r="CN67" s="331"/>
      <c r="CO67" s="230"/>
      <c r="CP67" s="265"/>
      <c r="CQ67" s="265"/>
      <c r="CR67" s="1478"/>
      <c r="CS67" s="1466"/>
      <c r="CT67" s="265"/>
      <c r="CU67" s="262"/>
      <c r="CV67" s="230"/>
      <c r="CW67" s="230"/>
      <c r="CX67" s="230"/>
      <c r="CY67" s="230"/>
      <c r="CZ67" s="230"/>
      <c r="DA67" s="1455"/>
      <c r="DB67" s="1438"/>
      <c r="DC67" s="230"/>
      <c r="DD67" s="230"/>
      <c r="DE67" s="230"/>
      <c r="DF67" s="230"/>
      <c r="DG67" s="1455"/>
      <c r="DH67" s="1438"/>
      <c r="DI67" s="230"/>
      <c r="DJ67" s="230"/>
      <c r="DK67" s="230"/>
      <c r="DL67" s="230"/>
      <c r="DM67" s="230"/>
      <c r="DN67" s="230"/>
      <c r="DO67" s="230"/>
      <c r="DP67" s="230"/>
      <c r="DQ67" s="331"/>
      <c r="DR67" s="332"/>
      <c r="DS67" s="230"/>
      <c r="DT67" s="230"/>
      <c r="DU67" s="230"/>
      <c r="DV67" s="1455"/>
      <c r="DW67" s="1438"/>
      <c r="DX67" s="230"/>
      <c r="DY67" s="230"/>
      <c r="DZ67" s="230"/>
      <c r="EA67" s="230"/>
      <c r="EB67" s="230"/>
      <c r="EC67" s="230"/>
      <c r="ED67" s="230"/>
      <c r="EE67" s="1455"/>
      <c r="EF67" s="1438"/>
      <c r="EG67" s="230"/>
      <c r="EH67" s="230"/>
      <c r="EI67" s="230"/>
      <c r="EJ67" s="230"/>
      <c r="EK67" s="1455"/>
      <c r="EL67" s="1438"/>
      <c r="EM67" s="230"/>
      <c r="EN67" s="230"/>
      <c r="EO67" s="230"/>
      <c r="EP67" s="230"/>
      <c r="EQ67" s="230"/>
      <c r="ER67" s="230"/>
      <c r="ES67" s="230"/>
      <c r="ET67" s="230"/>
      <c r="EU67" s="331"/>
      <c r="EV67" s="230"/>
      <c r="EW67" s="230"/>
      <c r="EX67" s="230"/>
      <c r="EY67" s="1455"/>
      <c r="EZ67" s="1438"/>
      <c r="FA67" s="230"/>
      <c r="FB67" s="230"/>
      <c r="FC67" s="230"/>
      <c r="FD67" s="230"/>
      <c r="FE67" s="230"/>
      <c r="FF67" s="230"/>
      <c r="FG67" s="230"/>
      <c r="FH67" s="1455"/>
      <c r="FI67" s="1438"/>
      <c r="FJ67" s="230"/>
      <c r="FK67" s="230"/>
      <c r="FL67" s="230"/>
      <c r="FM67" s="230"/>
      <c r="FN67" s="1455"/>
      <c r="FO67" s="1438"/>
      <c r="FP67" s="230"/>
      <c r="FQ67" s="230"/>
      <c r="FR67" s="230"/>
      <c r="FS67" s="230"/>
      <c r="FT67" s="230"/>
      <c r="FU67" s="230"/>
      <c r="FV67" s="230"/>
      <c r="FW67" s="230"/>
    </row>
    <row r="68" spans="3:180" s="182" customFormat="1" x14ac:dyDescent="0.35">
      <c r="C68" s="164" t="s">
        <v>358</v>
      </c>
      <c r="D68" s="164"/>
      <c r="E68" s="164"/>
      <c r="F68" s="566">
        <v>0.38</v>
      </c>
      <c r="G68" s="254">
        <v>0.38</v>
      </c>
      <c r="H68" s="254">
        <v>0.38</v>
      </c>
      <c r="I68" s="1257">
        <v>0.38</v>
      </c>
      <c r="J68" s="1203">
        <v>0.21</v>
      </c>
      <c r="K68" s="245">
        <v>0.21</v>
      </c>
      <c r="L68" s="245">
        <v>0.21</v>
      </c>
      <c r="M68" s="245">
        <v>0.21</v>
      </c>
      <c r="N68" s="245">
        <v>0.21</v>
      </c>
      <c r="O68" s="245">
        <v>0.21</v>
      </c>
      <c r="P68" s="245">
        <v>0.21</v>
      </c>
      <c r="Q68" s="245">
        <v>0.21</v>
      </c>
      <c r="R68" s="1414">
        <v>0.21</v>
      </c>
      <c r="S68" s="1203">
        <v>0.21</v>
      </c>
      <c r="T68" s="245">
        <v>0.21</v>
      </c>
      <c r="U68" s="245">
        <v>0.21</v>
      </c>
      <c r="V68" s="230"/>
      <c r="W68" s="230"/>
      <c r="X68" s="1455"/>
      <c r="Y68" s="1438"/>
      <c r="Z68" s="230"/>
      <c r="AA68" s="230"/>
      <c r="AB68" s="230"/>
      <c r="AC68" s="230"/>
      <c r="AD68" s="230"/>
      <c r="AE68" s="230"/>
      <c r="AF68" s="230"/>
      <c r="AG68" s="230"/>
      <c r="AH68" s="331"/>
      <c r="AI68" s="230"/>
      <c r="AJ68" s="230"/>
      <c r="AK68" s="230"/>
      <c r="AL68" s="1455"/>
      <c r="AM68" s="1438"/>
      <c r="AN68" s="230"/>
      <c r="AO68" s="230"/>
      <c r="AP68" s="230"/>
      <c r="AQ68" s="230"/>
      <c r="AR68" s="230"/>
      <c r="AS68" s="230"/>
      <c r="AT68" s="230"/>
      <c r="AU68" s="1455"/>
      <c r="AV68" s="1438"/>
      <c r="AW68" s="230"/>
      <c r="AX68" s="230"/>
      <c r="AY68" s="230"/>
      <c r="AZ68" s="230"/>
      <c r="BA68" s="1455"/>
      <c r="BB68" s="1438"/>
      <c r="BC68" s="230"/>
      <c r="BD68" s="230"/>
      <c r="BE68" s="230"/>
      <c r="BF68" s="230"/>
      <c r="BG68" s="230"/>
      <c r="BH68" s="230"/>
      <c r="BI68" s="230"/>
      <c r="BJ68" s="230"/>
      <c r="BK68" s="331"/>
      <c r="BL68" s="230"/>
      <c r="BM68" s="230"/>
      <c r="BN68" s="230"/>
      <c r="BO68" s="1455"/>
      <c r="BP68" s="1438"/>
      <c r="BQ68" s="230"/>
      <c r="BR68" s="230"/>
      <c r="BS68" s="230"/>
      <c r="BT68" s="230"/>
      <c r="BU68" s="230"/>
      <c r="BV68" s="230"/>
      <c r="BW68" s="230"/>
      <c r="BX68" s="1455"/>
      <c r="BY68" s="1438"/>
      <c r="BZ68" s="230"/>
      <c r="CA68" s="230"/>
      <c r="CB68" s="230"/>
      <c r="CC68" s="230"/>
      <c r="CD68" s="1455"/>
      <c r="CE68" s="1438"/>
      <c r="CF68" s="230"/>
      <c r="CG68" s="230"/>
      <c r="CH68" s="230"/>
      <c r="CI68" s="230"/>
      <c r="CJ68" s="230"/>
      <c r="CK68" s="230"/>
      <c r="CL68" s="230"/>
      <c r="CM68" s="230"/>
      <c r="CN68" s="331"/>
      <c r="CO68" s="230"/>
      <c r="CP68" s="230"/>
      <c r="CQ68" s="230"/>
      <c r="CR68" s="1455"/>
      <c r="CS68" s="1438"/>
      <c r="CT68" s="230"/>
      <c r="CU68" s="230"/>
      <c r="CV68" s="230"/>
      <c r="CW68" s="230"/>
      <c r="CX68" s="230"/>
      <c r="CY68" s="230"/>
      <c r="CZ68" s="230"/>
      <c r="DA68" s="1455"/>
      <c r="DB68" s="1438"/>
      <c r="DC68" s="230"/>
      <c r="DD68" s="230"/>
      <c r="DE68" s="230"/>
      <c r="DF68" s="230"/>
      <c r="DG68" s="1455"/>
      <c r="DH68" s="1438"/>
      <c r="DI68" s="230"/>
      <c r="DJ68" s="230"/>
      <c r="DK68" s="230"/>
      <c r="DL68" s="230"/>
      <c r="DM68" s="230"/>
      <c r="DN68" s="230"/>
      <c r="DO68" s="230"/>
      <c r="DP68" s="230"/>
      <c r="DQ68" s="331"/>
      <c r="DR68" s="332"/>
      <c r="DS68" s="230"/>
      <c r="DT68" s="230"/>
      <c r="DU68" s="230"/>
      <c r="DV68" s="1455"/>
      <c r="DW68" s="1438"/>
      <c r="DX68" s="230"/>
      <c r="DY68" s="230"/>
      <c r="DZ68" s="230"/>
      <c r="EA68" s="230"/>
      <c r="EB68" s="230"/>
      <c r="EC68" s="230"/>
      <c r="ED68" s="230"/>
      <c r="EE68" s="1455"/>
      <c r="EF68" s="1438"/>
      <c r="EG68" s="230"/>
      <c r="EH68" s="230"/>
      <c r="EI68" s="230"/>
      <c r="EJ68" s="230"/>
      <c r="EK68" s="1455"/>
      <c r="EL68" s="1438"/>
      <c r="EM68" s="230"/>
      <c r="EN68" s="230"/>
      <c r="EO68" s="230"/>
      <c r="EP68" s="230"/>
      <c r="EQ68" s="230"/>
      <c r="ER68" s="230"/>
      <c r="ES68" s="230"/>
      <c r="ET68" s="230"/>
      <c r="EU68" s="331"/>
      <c r="EV68" s="230"/>
      <c r="EW68" s="230"/>
      <c r="EX68" s="230"/>
      <c r="EY68" s="1455"/>
      <c r="EZ68" s="1438"/>
      <c r="FA68" s="230"/>
      <c r="FB68" s="230"/>
      <c r="FC68" s="230"/>
      <c r="FD68" s="230"/>
      <c r="FE68" s="230"/>
      <c r="FF68" s="230"/>
      <c r="FG68" s="230"/>
      <c r="FH68" s="1455"/>
      <c r="FI68" s="1438"/>
      <c r="FJ68" s="230"/>
      <c r="FK68" s="230"/>
      <c r="FL68" s="230"/>
      <c r="FM68" s="230"/>
      <c r="FN68" s="1455"/>
      <c r="FO68" s="1438"/>
      <c r="FP68" s="230"/>
      <c r="FQ68" s="230"/>
      <c r="FR68" s="230"/>
      <c r="FS68" s="230"/>
      <c r="FT68" s="230"/>
      <c r="FU68" s="230"/>
      <c r="FV68" s="230"/>
      <c r="FW68" s="230"/>
    </row>
    <row r="69" spans="3:180" s="182" customFormat="1" x14ac:dyDescent="0.35">
      <c r="C69" s="1343" t="s">
        <v>359</v>
      </c>
      <c r="D69" s="1343"/>
      <c r="E69" s="1343"/>
      <c r="F69" s="1350">
        <v>176.5</v>
      </c>
      <c r="G69" s="1351">
        <v>176.5</v>
      </c>
      <c r="H69" s="1352">
        <v>176.5</v>
      </c>
      <c r="I69" s="1353">
        <v>176.5</v>
      </c>
      <c r="J69" s="1354">
        <v>176.5</v>
      </c>
      <c r="K69" s="1352">
        <v>176.5</v>
      </c>
      <c r="L69" s="1352">
        <v>176.5</v>
      </c>
      <c r="M69" s="1352">
        <v>176.5</v>
      </c>
      <c r="N69" s="1352">
        <v>176.5</v>
      </c>
      <c r="O69" s="1352">
        <v>176.5</v>
      </c>
      <c r="P69" s="1351">
        <v>176.5</v>
      </c>
      <c r="Q69" s="1352">
        <v>176.5</v>
      </c>
      <c r="R69" s="1353">
        <v>176.5</v>
      </c>
      <c r="S69" s="1408">
        <v>176.5</v>
      </c>
      <c r="T69" s="1352">
        <v>176.5</v>
      </c>
      <c r="U69" s="1352">
        <v>176.5</v>
      </c>
      <c r="V69" s="1349"/>
      <c r="W69" s="1349"/>
      <c r="X69" s="1456"/>
      <c r="Y69" s="1439"/>
      <c r="Z69" s="1349"/>
      <c r="AA69" s="1349"/>
      <c r="AB69" s="1349"/>
      <c r="AC69" s="1349"/>
      <c r="AD69" s="1349"/>
      <c r="AE69" s="1349"/>
      <c r="AF69" s="1349"/>
      <c r="AG69" s="1349"/>
      <c r="AH69" s="331"/>
      <c r="AI69" s="230"/>
      <c r="AJ69" s="230"/>
      <c r="AK69" s="230"/>
      <c r="AL69" s="1455"/>
      <c r="AM69" s="1438"/>
      <c r="AN69" s="230"/>
      <c r="AO69" s="230"/>
      <c r="AP69" s="230"/>
      <c r="AQ69" s="230"/>
      <c r="AR69" s="230"/>
      <c r="AS69" s="230"/>
      <c r="AT69" s="230"/>
      <c r="AU69" s="1455"/>
      <c r="AV69" s="1438"/>
      <c r="AW69" s="230"/>
      <c r="AX69" s="230"/>
      <c r="AY69" s="230"/>
      <c r="AZ69" s="230"/>
      <c r="BA69" s="1455"/>
      <c r="BB69" s="1438"/>
      <c r="BC69" s="230"/>
      <c r="BD69" s="230"/>
      <c r="BE69" s="230"/>
      <c r="BF69" s="230"/>
      <c r="BG69" s="230"/>
      <c r="BH69" s="230"/>
      <c r="BI69" s="230"/>
      <c r="BJ69" s="230"/>
      <c r="BK69" s="331"/>
      <c r="BL69" s="230"/>
      <c r="BM69" s="230"/>
      <c r="BN69" s="230"/>
      <c r="BO69" s="1455"/>
      <c r="BP69" s="1438"/>
      <c r="BQ69" s="230"/>
      <c r="BR69" s="230"/>
      <c r="BS69" s="230"/>
      <c r="BT69" s="230"/>
      <c r="BU69" s="230"/>
      <c r="BV69" s="230"/>
      <c r="BW69" s="230"/>
      <c r="BX69" s="1455"/>
      <c r="BY69" s="1438"/>
      <c r="BZ69" s="230"/>
      <c r="CA69" s="230"/>
      <c r="CB69" s="230"/>
      <c r="CC69" s="230"/>
      <c r="CD69" s="1455"/>
      <c r="CE69" s="1438"/>
      <c r="CF69" s="230"/>
      <c r="CG69" s="230"/>
      <c r="CH69" s="230"/>
      <c r="CI69" s="230"/>
      <c r="CJ69" s="230"/>
      <c r="CK69" s="230"/>
      <c r="CL69" s="230"/>
      <c r="CM69" s="230"/>
      <c r="CN69" s="331"/>
      <c r="CO69" s="230"/>
      <c r="CP69" s="230"/>
      <c r="CQ69" s="230"/>
      <c r="CR69" s="1455"/>
      <c r="CS69" s="1438"/>
      <c r="CT69" s="230"/>
      <c r="CU69" s="230"/>
      <c r="CV69" s="230"/>
      <c r="CW69" s="230"/>
      <c r="CX69" s="230"/>
      <c r="CY69" s="230"/>
      <c r="CZ69" s="230"/>
      <c r="DA69" s="1455"/>
      <c r="DB69" s="1438"/>
      <c r="DC69" s="230"/>
      <c r="DD69" s="230"/>
      <c r="DE69" s="230"/>
      <c r="DF69" s="230"/>
      <c r="DG69" s="1455"/>
      <c r="DH69" s="1438"/>
      <c r="DI69" s="230"/>
      <c r="DJ69" s="230"/>
      <c r="DK69" s="230"/>
      <c r="DL69" s="230"/>
      <c r="DM69" s="230"/>
      <c r="DN69" s="230"/>
      <c r="DO69" s="230"/>
      <c r="DP69" s="230"/>
      <c r="DQ69" s="331"/>
      <c r="DR69" s="332"/>
      <c r="DS69" s="230"/>
      <c r="DT69" s="230"/>
      <c r="DU69" s="230"/>
      <c r="DV69" s="1455"/>
      <c r="DW69" s="1438"/>
      <c r="DX69" s="230"/>
      <c r="DY69" s="230"/>
      <c r="DZ69" s="230"/>
      <c r="EA69" s="230"/>
      <c r="EB69" s="230"/>
      <c r="EC69" s="230"/>
      <c r="ED69" s="230"/>
      <c r="EE69" s="1455"/>
      <c r="EF69" s="1438"/>
      <c r="EG69" s="230"/>
      <c r="EH69" s="230"/>
      <c r="EI69" s="230"/>
      <c r="EJ69" s="230"/>
      <c r="EK69" s="1455"/>
      <c r="EL69" s="1438"/>
      <c r="EM69" s="230"/>
      <c r="EN69" s="230"/>
      <c r="EO69" s="230"/>
      <c r="EP69" s="230"/>
      <c r="EQ69" s="230"/>
      <c r="ER69" s="230"/>
      <c r="ES69" s="230"/>
      <c r="ET69" s="230"/>
      <c r="EU69" s="331"/>
      <c r="EV69" s="230"/>
      <c r="EW69" s="230"/>
      <c r="EX69" s="230"/>
      <c r="EY69" s="1455"/>
      <c r="EZ69" s="1438"/>
      <c r="FA69" s="230"/>
      <c r="FB69" s="230"/>
      <c r="FC69" s="230"/>
      <c r="FD69" s="230"/>
      <c r="FE69" s="230"/>
      <c r="FF69" s="230"/>
      <c r="FG69" s="230"/>
      <c r="FH69" s="1455"/>
      <c r="FI69" s="1438"/>
      <c r="FJ69" s="230"/>
      <c r="FK69" s="230"/>
      <c r="FL69" s="230"/>
      <c r="FM69" s="230"/>
      <c r="FN69" s="1455"/>
      <c r="FO69" s="1438"/>
      <c r="FP69" s="230"/>
      <c r="FQ69" s="230"/>
      <c r="FR69" s="230"/>
      <c r="FS69" s="230"/>
      <c r="FT69" s="230"/>
      <c r="FU69" s="230"/>
      <c r="FV69" s="230"/>
      <c r="FW69" s="230"/>
    </row>
    <row r="70" spans="3:180" s="182" customFormat="1" x14ac:dyDescent="0.35">
      <c r="C70" s="164" t="s">
        <v>382</v>
      </c>
      <c r="D70" s="164"/>
      <c r="E70" s="164"/>
      <c r="F70" s="574">
        <v>176.5</v>
      </c>
      <c r="G70" s="573">
        <v>176.5</v>
      </c>
      <c r="H70" s="573">
        <v>176.5</v>
      </c>
      <c r="I70" s="1258">
        <v>176.5</v>
      </c>
      <c r="J70" s="1204">
        <v>176.5</v>
      </c>
      <c r="K70" s="573">
        <v>176.5</v>
      </c>
      <c r="L70" s="573">
        <v>176.5</v>
      </c>
      <c r="M70" s="573">
        <v>176.5</v>
      </c>
      <c r="N70" s="573">
        <v>176.5</v>
      </c>
      <c r="O70" s="573">
        <v>176.5</v>
      </c>
      <c r="P70" s="573">
        <v>176.5</v>
      </c>
      <c r="Q70" s="573">
        <v>176.5</v>
      </c>
      <c r="R70" s="1258">
        <v>176.5</v>
      </c>
      <c r="S70" s="1204">
        <v>176.5</v>
      </c>
      <c r="T70" s="573">
        <v>176.5</v>
      </c>
      <c r="U70" s="573">
        <v>176.5</v>
      </c>
      <c r="V70" s="230"/>
      <c r="W70" s="230"/>
      <c r="X70" s="1455"/>
      <c r="Y70" s="1438"/>
      <c r="Z70" s="230"/>
      <c r="AA70" s="230"/>
      <c r="AB70" s="230"/>
      <c r="AC70" s="230"/>
      <c r="AD70" s="230"/>
      <c r="AE70" s="230"/>
      <c r="AF70" s="230"/>
      <c r="AG70" s="230"/>
      <c r="AH70" s="331"/>
      <c r="AI70" s="230"/>
      <c r="AJ70" s="230"/>
      <c r="AK70" s="230"/>
      <c r="AL70" s="1455"/>
      <c r="AM70" s="1438"/>
      <c r="AN70" s="230"/>
      <c r="AO70" s="230"/>
      <c r="AP70" s="230"/>
      <c r="AQ70" s="230"/>
      <c r="AR70" s="230"/>
      <c r="AS70" s="230"/>
      <c r="AT70" s="230"/>
      <c r="AU70" s="1455"/>
      <c r="AV70" s="1438"/>
      <c r="AW70" s="230"/>
      <c r="AX70" s="230"/>
      <c r="AY70" s="230"/>
      <c r="AZ70" s="230"/>
      <c r="BA70" s="1455"/>
      <c r="BB70" s="1438"/>
      <c r="BC70" s="230"/>
      <c r="BD70" s="230"/>
      <c r="BE70" s="230"/>
      <c r="BF70" s="230"/>
      <c r="BG70" s="230"/>
      <c r="BH70" s="230"/>
      <c r="BI70" s="230"/>
      <c r="BJ70" s="230"/>
      <c r="BK70" s="331"/>
      <c r="BL70" s="230"/>
      <c r="BM70" s="230"/>
      <c r="BN70" s="230"/>
      <c r="BO70" s="1455"/>
      <c r="BP70" s="1438"/>
      <c r="BQ70" s="230"/>
      <c r="BR70" s="230"/>
      <c r="BS70" s="230"/>
      <c r="BT70" s="230"/>
      <c r="BU70" s="230"/>
      <c r="BV70" s="230"/>
      <c r="BW70" s="230"/>
      <c r="BX70" s="1455"/>
      <c r="BY70" s="1438"/>
      <c r="BZ70" s="230"/>
      <c r="CA70" s="230"/>
      <c r="CB70" s="230"/>
      <c r="CC70" s="230"/>
      <c r="CD70" s="1455"/>
      <c r="CE70" s="1438"/>
      <c r="CF70" s="230"/>
      <c r="CG70" s="230"/>
      <c r="CH70" s="230"/>
      <c r="CI70" s="230"/>
      <c r="CJ70" s="230"/>
      <c r="CK70" s="230"/>
      <c r="CL70" s="230"/>
      <c r="CM70" s="230"/>
      <c r="CN70" s="331"/>
      <c r="CO70" s="230"/>
      <c r="CP70" s="230"/>
      <c r="CQ70" s="230"/>
      <c r="CR70" s="1455"/>
      <c r="CS70" s="1438"/>
      <c r="CT70" s="230"/>
      <c r="CU70" s="230"/>
      <c r="CV70" s="230"/>
      <c r="CW70" s="230"/>
      <c r="CX70" s="230"/>
      <c r="CY70" s="230"/>
      <c r="CZ70" s="230"/>
      <c r="DA70" s="1455"/>
      <c r="DB70" s="1438"/>
      <c r="DC70" s="230"/>
      <c r="DD70" s="230"/>
      <c r="DE70" s="230"/>
      <c r="DF70" s="230"/>
      <c r="DG70" s="1455"/>
      <c r="DH70" s="1438"/>
      <c r="DI70" s="230"/>
      <c r="DJ70" s="230"/>
      <c r="DK70" s="230"/>
      <c r="DL70" s="230"/>
      <c r="DM70" s="230"/>
      <c r="DN70" s="230"/>
      <c r="DO70" s="230"/>
      <c r="DP70" s="230"/>
      <c r="DQ70" s="331"/>
      <c r="DR70" s="332"/>
      <c r="DS70" s="230"/>
      <c r="DT70" s="230"/>
      <c r="DU70" s="230"/>
      <c r="DV70" s="1455"/>
      <c r="DW70" s="1438"/>
      <c r="DX70" s="230"/>
      <c r="DY70" s="230"/>
      <c r="DZ70" s="230"/>
      <c r="EA70" s="230"/>
      <c r="EB70" s="230"/>
      <c r="EC70" s="230"/>
      <c r="ED70" s="230"/>
      <c r="EE70" s="1455"/>
      <c r="EF70" s="1438"/>
      <c r="EG70" s="230"/>
      <c r="EH70" s="230"/>
      <c r="EI70" s="230"/>
      <c r="EJ70" s="230"/>
      <c r="EK70" s="1455"/>
      <c r="EL70" s="1438"/>
      <c r="EM70" s="230"/>
      <c r="EN70" s="230"/>
      <c r="EO70" s="230"/>
      <c r="EP70" s="230"/>
      <c r="EQ70" s="230"/>
      <c r="ER70" s="230"/>
      <c r="ES70" s="230"/>
      <c r="ET70" s="230"/>
      <c r="EU70" s="331"/>
      <c r="EV70" s="230"/>
      <c r="EW70" s="230"/>
      <c r="EX70" s="230"/>
      <c r="EY70" s="1455"/>
      <c r="EZ70" s="1438"/>
      <c r="FA70" s="230"/>
      <c r="FB70" s="230"/>
      <c r="FC70" s="230"/>
      <c r="FD70" s="230"/>
      <c r="FE70" s="230"/>
      <c r="FF70" s="230"/>
      <c r="FG70" s="230"/>
      <c r="FH70" s="1455"/>
      <c r="FI70" s="1438"/>
      <c r="FJ70" s="230"/>
      <c r="FK70" s="230"/>
      <c r="FL70" s="230"/>
      <c r="FM70" s="230"/>
      <c r="FN70" s="1455"/>
      <c r="FO70" s="1438"/>
      <c r="FP70" s="230"/>
      <c r="FQ70" s="230"/>
      <c r="FR70" s="230"/>
      <c r="FS70" s="230"/>
      <c r="FT70" s="230"/>
      <c r="FU70" s="230"/>
      <c r="FV70" s="230"/>
      <c r="FW70" s="230"/>
    </row>
    <row r="71" spans="3:180" s="182" customFormat="1" x14ac:dyDescent="0.35">
      <c r="C71" s="1343" t="s">
        <v>365</v>
      </c>
      <c r="D71" s="1343"/>
      <c r="E71" s="1343"/>
      <c r="F71" s="1344">
        <v>404</v>
      </c>
      <c r="G71" s="1345">
        <v>404</v>
      </c>
      <c r="H71" s="1346">
        <v>404.16</v>
      </c>
      <c r="I71" s="1347">
        <v>404.04</v>
      </c>
      <c r="J71" s="1348">
        <v>418.45</v>
      </c>
      <c r="K71" s="1346">
        <v>418.5</v>
      </c>
      <c r="L71" s="1346">
        <v>418.5</v>
      </c>
      <c r="M71" s="1346">
        <v>418</v>
      </c>
      <c r="N71" s="1346">
        <v>418.72</v>
      </c>
      <c r="O71" s="1346">
        <v>418.46</v>
      </c>
      <c r="P71" s="1346">
        <v>422.08</v>
      </c>
      <c r="Q71" s="1346">
        <v>422.17</v>
      </c>
      <c r="R71" s="1415">
        <v>422.12</v>
      </c>
      <c r="S71" s="1409">
        <v>422.16</v>
      </c>
      <c r="T71" s="1346">
        <v>422.22</v>
      </c>
      <c r="U71" s="1345">
        <v>422.11</v>
      </c>
      <c r="V71" s="1349"/>
      <c r="W71" s="1349"/>
      <c r="X71" s="1456"/>
      <c r="Y71" s="1439"/>
      <c r="Z71" s="1349"/>
      <c r="AA71" s="1349"/>
      <c r="AB71" s="1349"/>
      <c r="AC71" s="1349"/>
      <c r="AD71" s="1349"/>
      <c r="AE71" s="1349"/>
      <c r="AF71" s="1349"/>
      <c r="AG71" s="1349"/>
      <c r="AH71" s="331"/>
      <c r="AI71" s="230"/>
      <c r="AJ71" s="230"/>
      <c r="AK71" s="230"/>
      <c r="AL71" s="1455"/>
      <c r="AM71" s="1438"/>
      <c r="AN71" s="230"/>
      <c r="AO71" s="230"/>
      <c r="AP71" s="230"/>
      <c r="AQ71" s="230"/>
      <c r="AR71" s="230"/>
      <c r="AS71" s="230"/>
      <c r="AT71" s="230"/>
      <c r="AU71" s="1455"/>
      <c r="AV71" s="1438"/>
      <c r="AW71" s="230"/>
      <c r="AX71" s="230"/>
      <c r="AY71" s="230"/>
      <c r="AZ71" s="230"/>
      <c r="BA71" s="1455"/>
      <c r="BB71" s="1438"/>
      <c r="BC71" s="230"/>
      <c r="BD71" s="230"/>
      <c r="BE71" s="230"/>
      <c r="BF71" s="230"/>
      <c r="BG71" s="230"/>
      <c r="BH71" s="230"/>
      <c r="BI71" s="230"/>
      <c r="BJ71" s="230"/>
      <c r="BK71" s="331"/>
      <c r="BL71" s="230"/>
      <c r="BM71" s="230"/>
      <c r="BN71" s="230"/>
      <c r="BO71" s="1455"/>
      <c r="BP71" s="1438"/>
      <c r="BQ71" s="230"/>
      <c r="BR71" s="230"/>
      <c r="BS71" s="230"/>
      <c r="BT71" s="230"/>
      <c r="BU71" s="230"/>
      <c r="BV71" s="230"/>
      <c r="BW71" s="230"/>
      <c r="BX71" s="1455"/>
      <c r="BY71" s="1438"/>
      <c r="BZ71" s="230"/>
      <c r="CA71" s="230"/>
      <c r="CB71" s="230"/>
      <c r="CC71" s="230"/>
      <c r="CD71" s="1455"/>
      <c r="CE71" s="1438"/>
      <c r="CF71" s="230"/>
      <c r="CG71" s="230"/>
      <c r="CH71" s="230"/>
      <c r="CI71" s="230"/>
      <c r="CJ71" s="230"/>
      <c r="CK71" s="230"/>
      <c r="CL71" s="230"/>
      <c r="CM71" s="230"/>
      <c r="CN71" s="331"/>
      <c r="CO71" s="230"/>
      <c r="CP71" s="230"/>
      <c r="CQ71" s="230"/>
      <c r="CR71" s="1455"/>
      <c r="CS71" s="1438"/>
      <c r="CT71" s="230"/>
      <c r="CU71" s="230"/>
      <c r="CV71" s="230"/>
      <c r="CW71" s="230"/>
      <c r="CX71" s="230"/>
      <c r="CY71" s="230"/>
      <c r="CZ71" s="230"/>
      <c r="DA71" s="1455"/>
      <c r="DB71" s="1438"/>
      <c r="DC71" s="230"/>
      <c r="DD71" s="230"/>
      <c r="DE71" s="230"/>
      <c r="DF71" s="230"/>
      <c r="DG71" s="1455"/>
      <c r="DH71" s="1438"/>
      <c r="DI71" s="230"/>
      <c r="DJ71" s="230"/>
      <c r="DK71" s="230"/>
      <c r="DL71" s="230"/>
      <c r="DM71" s="230"/>
      <c r="DN71" s="230"/>
      <c r="DO71" s="230"/>
      <c r="DP71" s="230"/>
      <c r="DQ71" s="331"/>
      <c r="DR71" s="332"/>
      <c r="DS71" s="230"/>
      <c r="DT71" s="230"/>
      <c r="DU71" s="230"/>
      <c r="DV71" s="1455"/>
      <c r="DW71" s="1438"/>
      <c r="DX71" s="230"/>
      <c r="DY71" s="230"/>
      <c r="DZ71" s="230"/>
      <c r="EA71" s="230"/>
      <c r="EB71" s="230"/>
      <c r="EC71" s="230"/>
      <c r="ED71" s="230"/>
      <c r="EE71" s="1455"/>
      <c r="EF71" s="1438"/>
      <c r="EG71" s="230"/>
      <c r="EH71" s="230"/>
      <c r="EI71" s="230"/>
      <c r="EJ71" s="230"/>
      <c r="EK71" s="1455"/>
      <c r="EL71" s="1438"/>
      <c r="EM71" s="230"/>
      <c r="EN71" s="230"/>
      <c r="EO71" s="230"/>
      <c r="EP71" s="230"/>
      <c r="EQ71" s="230"/>
      <c r="ER71" s="230"/>
      <c r="ES71" s="230"/>
      <c r="ET71" s="230"/>
      <c r="EU71" s="331"/>
      <c r="EV71" s="230"/>
      <c r="EW71" s="230"/>
      <c r="EX71" s="230"/>
      <c r="EY71" s="1455"/>
      <c r="EZ71" s="1438"/>
      <c r="FA71" s="230"/>
      <c r="FB71" s="230"/>
      <c r="FC71" s="230"/>
      <c r="FD71" s="230"/>
      <c r="FE71" s="230"/>
      <c r="FF71" s="230"/>
      <c r="FG71" s="230"/>
      <c r="FH71" s="1455"/>
      <c r="FI71" s="1438"/>
      <c r="FJ71" s="230"/>
      <c r="FK71" s="230"/>
      <c r="FL71" s="230"/>
      <c r="FM71" s="230"/>
      <c r="FN71" s="1455"/>
      <c r="FO71" s="1438"/>
      <c r="FP71" s="230"/>
      <c r="FQ71" s="230"/>
      <c r="FR71" s="230"/>
      <c r="FS71" s="230"/>
      <c r="FT71" s="230"/>
      <c r="FU71" s="230"/>
      <c r="FV71" s="230"/>
      <c r="FW71" s="230"/>
    </row>
    <row r="72" spans="3:180" s="182" customFormat="1" ht="15" thickBot="1" x14ac:dyDescent="0.4">
      <c r="C72" s="164" t="s">
        <v>368</v>
      </c>
      <c r="D72" s="164"/>
      <c r="E72" s="164"/>
      <c r="F72" s="1039">
        <v>404</v>
      </c>
      <c r="G72" s="575">
        <v>404</v>
      </c>
      <c r="H72" s="575">
        <v>404</v>
      </c>
      <c r="I72" s="1259">
        <v>404</v>
      </c>
      <c r="J72" s="1205">
        <v>416.93333333333339</v>
      </c>
      <c r="K72" s="575">
        <v>416.93333333333339</v>
      </c>
      <c r="L72" s="575">
        <v>417</v>
      </c>
      <c r="M72" s="575">
        <v>418</v>
      </c>
      <c r="N72" s="575">
        <v>418</v>
      </c>
      <c r="O72" s="575">
        <v>418</v>
      </c>
      <c r="P72" s="575">
        <v>418</v>
      </c>
      <c r="Q72" s="575">
        <v>418</v>
      </c>
      <c r="R72" s="1259">
        <v>418</v>
      </c>
      <c r="S72" s="1205">
        <v>422</v>
      </c>
      <c r="T72" s="575">
        <v>422</v>
      </c>
      <c r="U72" s="575">
        <v>422</v>
      </c>
      <c r="V72" s="378"/>
      <c r="W72" s="378"/>
      <c r="X72" s="1457"/>
      <c r="Y72" s="1440"/>
      <c r="Z72" s="378"/>
      <c r="AA72" s="378"/>
      <c r="AB72" s="378"/>
      <c r="AC72" s="378"/>
      <c r="AD72" s="378"/>
      <c r="AE72" s="378"/>
      <c r="AF72" s="378"/>
      <c r="AG72" s="378"/>
      <c r="AH72" s="379"/>
      <c r="AI72" s="378"/>
      <c r="AJ72" s="378"/>
      <c r="AK72" s="378"/>
      <c r="AL72" s="1457"/>
      <c r="AM72" s="1440"/>
      <c r="AN72" s="378"/>
      <c r="AO72" s="378"/>
      <c r="AP72" s="378"/>
      <c r="AQ72" s="378"/>
      <c r="AR72" s="378"/>
      <c r="AS72" s="378"/>
      <c r="AT72" s="378"/>
      <c r="AU72" s="1457"/>
      <c r="AV72" s="1440"/>
      <c r="AW72" s="378"/>
      <c r="AX72" s="378"/>
      <c r="AY72" s="378"/>
      <c r="AZ72" s="378"/>
      <c r="BA72" s="1457"/>
      <c r="BB72" s="1440"/>
      <c r="BC72" s="378"/>
      <c r="BD72" s="378"/>
      <c r="BE72" s="378"/>
      <c r="BF72" s="378"/>
      <c r="BG72" s="378"/>
      <c r="BH72" s="378"/>
      <c r="BI72" s="378"/>
      <c r="BJ72" s="378"/>
      <c r="BK72" s="379"/>
      <c r="BL72" s="378"/>
      <c r="BM72" s="378"/>
      <c r="BN72" s="378"/>
      <c r="BO72" s="1457"/>
      <c r="BP72" s="1440"/>
      <c r="BQ72" s="378"/>
      <c r="BR72" s="378"/>
      <c r="BS72" s="378"/>
      <c r="BT72" s="378"/>
      <c r="BU72" s="378"/>
      <c r="BV72" s="378"/>
      <c r="BW72" s="378"/>
      <c r="BX72" s="1457"/>
      <c r="BY72" s="1440"/>
      <c r="BZ72" s="378"/>
      <c r="CA72" s="378"/>
      <c r="CB72" s="378"/>
      <c r="CC72" s="378"/>
      <c r="CD72" s="1457"/>
      <c r="CE72" s="1440"/>
      <c r="CF72" s="378"/>
      <c r="CG72" s="378"/>
      <c r="CH72" s="378"/>
      <c r="CI72" s="378"/>
      <c r="CJ72" s="378"/>
      <c r="CK72" s="378"/>
      <c r="CL72" s="378"/>
      <c r="CM72" s="378"/>
      <c r="CN72" s="379"/>
      <c r="CO72" s="378"/>
      <c r="CP72" s="378"/>
      <c r="CQ72" s="378"/>
      <c r="CR72" s="1457"/>
      <c r="CS72" s="1440"/>
      <c r="CT72" s="378"/>
      <c r="CU72" s="378"/>
      <c r="CV72" s="378"/>
      <c r="CW72" s="378"/>
      <c r="CX72" s="378"/>
      <c r="CY72" s="378"/>
      <c r="CZ72" s="378"/>
      <c r="DA72" s="1457"/>
      <c r="DB72" s="1440"/>
      <c r="DC72" s="378"/>
      <c r="DD72" s="378"/>
      <c r="DE72" s="378"/>
      <c r="DF72" s="378"/>
      <c r="DG72" s="1457"/>
      <c r="DH72" s="1440"/>
      <c r="DI72" s="378"/>
      <c r="DJ72" s="378"/>
      <c r="DK72" s="378"/>
      <c r="DL72" s="378"/>
      <c r="DM72" s="378"/>
      <c r="DN72" s="378"/>
      <c r="DO72" s="378"/>
      <c r="DP72" s="378"/>
      <c r="DQ72" s="379"/>
      <c r="DR72" s="380"/>
      <c r="DS72" s="378"/>
      <c r="DT72" s="378"/>
      <c r="DU72" s="378"/>
      <c r="DV72" s="1457"/>
      <c r="DW72" s="1440"/>
      <c r="DX72" s="378"/>
      <c r="DY72" s="378"/>
      <c r="DZ72" s="378"/>
      <c r="EA72" s="378"/>
      <c r="EB72" s="378"/>
      <c r="EC72" s="378"/>
      <c r="ED72" s="378"/>
      <c r="EE72" s="1457"/>
      <c r="EF72" s="1440"/>
      <c r="EG72" s="378"/>
      <c r="EH72" s="378"/>
      <c r="EI72" s="378"/>
      <c r="EJ72" s="378"/>
      <c r="EK72" s="1457"/>
      <c r="EL72" s="1440"/>
      <c r="EM72" s="378"/>
      <c r="EN72" s="378"/>
      <c r="EO72" s="378"/>
      <c r="EP72" s="378"/>
      <c r="EQ72" s="378"/>
      <c r="ER72" s="378"/>
      <c r="ES72" s="378"/>
      <c r="ET72" s="378"/>
      <c r="EU72" s="379"/>
      <c r="EV72" s="378"/>
      <c r="EW72" s="378"/>
      <c r="EX72" s="378"/>
      <c r="EY72" s="1457"/>
      <c r="EZ72" s="1440"/>
      <c r="FA72" s="378"/>
      <c r="FB72" s="378"/>
      <c r="FC72" s="378"/>
      <c r="FD72" s="378"/>
      <c r="FE72" s="378"/>
      <c r="FF72" s="378"/>
      <c r="FG72" s="378"/>
      <c r="FH72" s="1457"/>
      <c r="FI72" s="1440"/>
      <c r="FJ72" s="378"/>
      <c r="FK72" s="378"/>
      <c r="FL72" s="378"/>
      <c r="FM72" s="378"/>
      <c r="FN72" s="1457"/>
      <c r="FO72" s="1440"/>
      <c r="FP72" s="378"/>
      <c r="FQ72" s="378"/>
      <c r="FR72" s="378"/>
      <c r="FS72" s="378"/>
      <c r="FT72" s="378"/>
      <c r="FU72" s="378"/>
      <c r="FV72" s="378"/>
      <c r="FW72" s="378"/>
    </row>
    <row r="73" spans="3:180" s="388" customFormat="1" ht="15.5" thickTop="1" thickBot="1" x14ac:dyDescent="0.4">
      <c r="C73" s="383"/>
      <c r="D73" s="383"/>
      <c r="E73" s="383"/>
      <c r="F73" s="1040"/>
      <c r="G73" s="384"/>
      <c r="H73" s="384"/>
      <c r="I73" s="1260"/>
      <c r="J73" s="1206"/>
      <c r="K73" s="384"/>
      <c r="L73" s="384"/>
      <c r="M73" s="384"/>
      <c r="N73" s="384"/>
      <c r="O73" s="384"/>
      <c r="P73" s="384"/>
      <c r="Q73" s="384"/>
      <c r="R73" s="1260"/>
      <c r="S73" s="1206"/>
      <c r="T73" s="384"/>
      <c r="U73" s="384"/>
      <c r="V73" s="385"/>
      <c r="W73" s="385"/>
      <c r="X73" s="1458"/>
      <c r="Y73" s="1441"/>
      <c r="Z73" s="385"/>
      <c r="AA73" s="385"/>
      <c r="AB73" s="385"/>
      <c r="AC73" s="385"/>
      <c r="AD73" s="385"/>
      <c r="AE73" s="385"/>
      <c r="AF73" s="385"/>
      <c r="AG73" s="385"/>
      <c r="AH73" s="386"/>
      <c r="AI73" s="385"/>
      <c r="AJ73" s="385"/>
      <c r="AK73" s="385"/>
      <c r="AL73" s="1458"/>
      <c r="AM73" s="1441"/>
      <c r="AN73" s="385"/>
      <c r="AO73" s="385"/>
      <c r="AP73" s="385"/>
      <c r="AQ73" s="385"/>
      <c r="AR73" s="385"/>
      <c r="AS73" s="385"/>
      <c r="AT73" s="385"/>
      <c r="AU73" s="1458"/>
      <c r="AV73" s="1441"/>
      <c r="AW73" s="385"/>
      <c r="AX73" s="385"/>
      <c r="AY73" s="385"/>
      <c r="AZ73" s="385"/>
      <c r="BA73" s="1458"/>
      <c r="BB73" s="1441"/>
      <c r="BC73" s="385"/>
      <c r="BD73" s="385"/>
      <c r="BE73" s="385"/>
      <c r="BF73" s="385"/>
      <c r="BG73" s="385"/>
      <c r="BH73" s="385"/>
      <c r="BI73" s="385"/>
      <c r="BJ73" s="385"/>
      <c r="BK73" s="386"/>
      <c r="BL73" s="385"/>
      <c r="BM73" s="385"/>
      <c r="BN73" s="385"/>
      <c r="BO73" s="1458"/>
      <c r="BP73" s="1441"/>
      <c r="BQ73" s="385"/>
      <c r="BR73" s="385"/>
      <c r="BS73" s="385"/>
      <c r="BT73" s="385"/>
      <c r="BU73" s="385"/>
      <c r="BV73" s="385"/>
      <c r="BW73" s="385"/>
      <c r="BX73" s="1458"/>
      <c r="BY73" s="1441"/>
      <c r="BZ73" s="385"/>
      <c r="CA73" s="385"/>
      <c r="CB73" s="385"/>
      <c r="CC73" s="385"/>
      <c r="CD73" s="1458"/>
      <c r="CE73" s="1441"/>
      <c r="CF73" s="385"/>
      <c r="CG73" s="385"/>
      <c r="CH73" s="385"/>
      <c r="CI73" s="385"/>
      <c r="CJ73" s="385"/>
      <c r="CK73" s="385"/>
      <c r="CL73" s="385"/>
      <c r="CM73" s="385"/>
      <c r="CN73" s="386"/>
      <c r="CO73" s="385"/>
      <c r="CP73" s="385"/>
      <c r="CQ73" s="385"/>
      <c r="CR73" s="1458"/>
      <c r="CS73" s="1441"/>
      <c r="CT73" s="385"/>
      <c r="CU73" s="385"/>
      <c r="CV73" s="385"/>
      <c r="CW73" s="385"/>
      <c r="CX73" s="385"/>
      <c r="CY73" s="385"/>
      <c r="CZ73" s="385"/>
      <c r="DA73" s="1458"/>
      <c r="DB73" s="1441"/>
      <c r="DC73" s="385"/>
      <c r="DD73" s="385"/>
      <c r="DE73" s="385"/>
      <c r="DF73" s="385"/>
      <c r="DG73" s="1458"/>
      <c r="DH73" s="1441"/>
      <c r="DI73" s="385"/>
      <c r="DJ73" s="385"/>
      <c r="DK73" s="385"/>
      <c r="DL73" s="385"/>
      <c r="DM73" s="385"/>
      <c r="DN73" s="385"/>
      <c r="DO73" s="385"/>
      <c r="DP73" s="385"/>
      <c r="DQ73" s="386"/>
      <c r="DR73" s="387"/>
      <c r="DS73" s="385"/>
      <c r="DT73" s="385"/>
      <c r="DU73" s="385"/>
      <c r="DV73" s="1458"/>
      <c r="DW73" s="1441"/>
      <c r="DX73" s="385"/>
      <c r="DY73" s="385"/>
      <c r="DZ73" s="385"/>
      <c r="EA73" s="385"/>
      <c r="EB73" s="385"/>
      <c r="EC73" s="385"/>
      <c r="ED73" s="385"/>
      <c r="EE73" s="1458"/>
      <c r="EF73" s="1441"/>
      <c r="EG73" s="385"/>
      <c r="EH73" s="385"/>
      <c r="EI73" s="385"/>
      <c r="EJ73" s="385"/>
      <c r="EK73" s="1458"/>
      <c r="EL73" s="1441"/>
      <c r="EM73" s="385"/>
      <c r="EN73" s="385"/>
      <c r="EO73" s="385"/>
      <c r="EP73" s="385"/>
      <c r="EQ73" s="385"/>
      <c r="ER73" s="385"/>
      <c r="ES73" s="385"/>
      <c r="ET73" s="385"/>
      <c r="EU73" s="386"/>
      <c r="EV73" s="385"/>
      <c r="EW73" s="385"/>
      <c r="EX73" s="385"/>
      <c r="EY73" s="1458"/>
      <c r="EZ73" s="1441"/>
      <c r="FA73" s="385"/>
      <c r="FB73" s="385"/>
      <c r="FC73" s="385"/>
      <c r="FD73" s="385"/>
      <c r="FE73" s="385"/>
      <c r="FF73" s="385"/>
      <c r="FG73" s="385"/>
      <c r="FH73" s="1458"/>
      <c r="FI73" s="1441"/>
      <c r="FJ73" s="385"/>
      <c r="FK73" s="385"/>
      <c r="FL73" s="385"/>
      <c r="FM73" s="385"/>
      <c r="FN73" s="1458"/>
      <c r="FO73" s="1441"/>
      <c r="FP73" s="385"/>
      <c r="FQ73" s="385"/>
      <c r="FR73" s="385"/>
      <c r="FS73" s="385"/>
      <c r="FT73" s="385"/>
      <c r="FU73" s="385"/>
      <c r="FV73" s="385"/>
      <c r="FW73" s="385"/>
    </row>
    <row r="74" spans="3:180" ht="15" thickTop="1" x14ac:dyDescent="0.35">
      <c r="C74" s="1" t="s">
        <v>126</v>
      </c>
      <c r="F74" s="1033" t="e" vm="2">
        <f t="shared" ref="F74:U80" ca="1" si="14">F8*F$59/100</f>
        <v>#VALUE!</v>
      </c>
      <c r="G74" s="309">
        <f t="shared" si="14"/>
        <v>0</v>
      </c>
      <c r="H74" s="309">
        <f t="shared" si="14"/>
        <v>0</v>
      </c>
      <c r="I74" s="422">
        <f t="shared" si="14"/>
        <v>0</v>
      </c>
      <c r="J74" s="421">
        <f t="shared" si="14"/>
        <v>0</v>
      </c>
      <c r="K74" s="309">
        <f t="shared" si="14"/>
        <v>0</v>
      </c>
      <c r="L74" s="309">
        <f t="shared" si="14"/>
        <v>0</v>
      </c>
      <c r="M74" s="309">
        <f t="shared" si="14"/>
        <v>0</v>
      </c>
      <c r="N74" s="309">
        <f t="shared" si="14"/>
        <v>0</v>
      </c>
      <c r="O74" s="309">
        <f t="shared" si="14"/>
        <v>0</v>
      </c>
      <c r="P74" s="309">
        <f t="shared" si="14"/>
        <v>0</v>
      </c>
      <c r="Q74" s="309">
        <f t="shared" si="14"/>
        <v>0</v>
      </c>
      <c r="R74" s="422">
        <f t="shared" si="14"/>
        <v>0</v>
      </c>
      <c r="S74" s="421">
        <f t="shared" si="14"/>
        <v>0</v>
      </c>
      <c r="T74" s="309">
        <f t="shared" si="14"/>
        <v>0</v>
      </c>
      <c r="U74" s="309">
        <f t="shared" si="14"/>
        <v>0</v>
      </c>
      <c r="V74" s="309"/>
      <c r="W74" s="309"/>
      <c r="X74" s="309"/>
      <c r="Y74" s="309"/>
      <c r="Z74" s="309"/>
      <c r="AA74" s="309"/>
      <c r="AB74" s="309"/>
      <c r="AC74" s="309"/>
      <c r="AD74" s="309"/>
      <c r="AE74" s="309"/>
      <c r="AF74" s="309"/>
      <c r="AG74" s="309"/>
      <c r="AH74" s="381"/>
      <c r="AI74" s="309">
        <f t="shared" ref="AI74:AX80" si="15">AI8*AI$59/100</f>
        <v>0</v>
      </c>
      <c r="AJ74" s="309">
        <f t="shared" si="15"/>
        <v>0</v>
      </c>
      <c r="AK74" s="309">
        <f t="shared" si="15"/>
        <v>0</v>
      </c>
      <c r="AL74" s="422">
        <f t="shared" si="15"/>
        <v>0</v>
      </c>
      <c r="AM74" s="421">
        <f t="shared" si="15"/>
        <v>0</v>
      </c>
      <c r="AN74" s="309">
        <f t="shared" si="15"/>
        <v>0</v>
      </c>
      <c r="AO74" s="309">
        <f t="shared" si="15"/>
        <v>0</v>
      </c>
      <c r="AP74" s="309">
        <f t="shared" si="15"/>
        <v>0</v>
      </c>
      <c r="AQ74" s="309">
        <f t="shared" si="15"/>
        <v>0</v>
      </c>
      <c r="AR74" s="309">
        <f t="shared" si="15"/>
        <v>0</v>
      </c>
      <c r="AS74" s="309">
        <f t="shared" si="15"/>
        <v>0</v>
      </c>
      <c r="AT74" s="309">
        <f t="shared" si="15"/>
        <v>0</v>
      </c>
      <c r="AU74" s="422">
        <f t="shared" si="15"/>
        <v>0</v>
      </c>
      <c r="AV74" s="421">
        <f t="shared" si="15"/>
        <v>0</v>
      </c>
      <c r="AW74" s="309">
        <f t="shared" si="15"/>
        <v>0</v>
      </c>
      <c r="AX74" s="309">
        <f t="shared" si="15"/>
        <v>0</v>
      </c>
      <c r="AY74" s="309">
        <f t="shared" ref="AY74:BG74" si="16">AY8*AY$59/100</f>
        <v>0</v>
      </c>
      <c r="AZ74" s="309">
        <f t="shared" si="16"/>
        <v>0</v>
      </c>
      <c r="BA74" s="422">
        <f t="shared" si="16"/>
        <v>0</v>
      </c>
      <c r="BB74" s="421">
        <f t="shared" si="16"/>
        <v>0</v>
      </c>
      <c r="BC74" s="309">
        <f t="shared" si="16"/>
        <v>0</v>
      </c>
      <c r="BD74" s="309">
        <f t="shared" si="16"/>
        <v>0</v>
      </c>
      <c r="BE74" s="309">
        <f t="shared" si="16"/>
        <v>0</v>
      </c>
      <c r="BF74" s="309">
        <f t="shared" si="16"/>
        <v>0</v>
      </c>
      <c r="BG74" s="309">
        <f t="shared" si="16"/>
        <v>0</v>
      </c>
      <c r="BH74" s="309">
        <f t="shared" ref="BH74:BJ74" si="17">BH8*BH$59/100</f>
        <v>0</v>
      </c>
      <c r="BI74" s="309">
        <f t="shared" si="17"/>
        <v>0</v>
      </c>
      <c r="BJ74" s="309">
        <f t="shared" si="17"/>
        <v>0</v>
      </c>
      <c r="BK74" s="381"/>
      <c r="BL74" s="309">
        <f t="shared" ref="BL74:CB80" si="18">BL8*BL$59/100</f>
        <v>5.6738314893617003</v>
      </c>
      <c r="BM74" s="309">
        <f t="shared" si="18"/>
        <v>5.2415083333333339</v>
      </c>
      <c r="BN74" s="309">
        <f t="shared" si="18"/>
        <v>5.3216002777777787</v>
      </c>
      <c r="BO74" s="422">
        <f t="shared" si="18"/>
        <v>5.196885</v>
      </c>
      <c r="BP74" s="421">
        <f t="shared" si="18"/>
        <v>2.6018666666666665</v>
      </c>
      <c r="BQ74" s="309">
        <f t="shared" si="18"/>
        <v>2.5531022222222224</v>
      </c>
      <c r="BR74" s="309">
        <f t="shared" si="18"/>
        <v>2.6365423728813564</v>
      </c>
      <c r="BS74" s="309">
        <f t="shared" si="18"/>
        <v>2.5502400000000001</v>
      </c>
      <c r="BT74" s="309">
        <f t="shared" si="18"/>
        <v>2.5236896860986544</v>
      </c>
      <c r="BU74" s="309">
        <f t="shared" si="18"/>
        <v>2.6166525000000003</v>
      </c>
      <c r="BV74" s="309">
        <f t="shared" si="18"/>
        <v>2.6551466666666665</v>
      </c>
      <c r="BW74" s="309">
        <f t="shared" si="18"/>
        <v>2.5576500000000002</v>
      </c>
      <c r="BX74" s="422">
        <f t="shared" si="18"/>
        <v>2.6588249999999998</v>
      </c>
      <c r="BY74" s="421">
        <f t="shared" si="18"/>
        <v>2.4969000000000001</v>
      </c>
      <c r="BZ74" s="309">
        <f t="shared" si="18"/>
        <v>0</v>
      </c>
      <c r="CA74" s="309">
        <f t="shared" si="18"/>
        <v>0</v>
      </c>
      <c r="CB74" s="309">
        <f t="shared" si="18"/>
        <v>0</v>
      </c>
      <c r="CC74" s="309">
        <f t="shared" ref="CC74:CJ74" si="19">CC8*CC$59/100</f>
        <v>0</v>
      </c>
      <c r="CD74" s="422">
        <f t="shared" si="19"/>
        <v>0</v>
      </c>
      <c r="CE74" s="421">
        <f t="shared" si="19"/>
        <v>0</v>
      </c>
      <c r="CF74" s="309">
        <f t="shared" si="19"/>
        <v>0</v>
      </c>
      <c r="CG74" s="309">
        <f t="shared" si="19"/>
        <v>0</v>
      </c>
      <c r="CH74" s="309">
        <f t="shared" si="19"/>
        <v>0</v>
      </c>
      <c r="CI74" s="309">
        <f t="shared" si="19"/>
        <v>0</v>
      </c>
      <c r="CJ74" s="309">
        <f t="shared" si="19"/>
        <v>0</v>
      </c>
      <c r="CK74" s="309">
        <f t="shared" ref="CK74:CM74" si="20">CK8*CK$59/100</f>
        <v>0</v>
      </c>
      <c r="CL74" s="309">
        <f t="shared" si="20"/>
        <v>0</v>
      </c>
      <c r="CM74" s="309">
        <f t="shared" si="20"/>
        <v>0</v>
      </c>
      <c r="CN74" s="357"/>
      <c r="CO74" s="309">
        <f t="shared" ref="CO74:DE80" si="21">CO$59*CO8/100</f>
        <v>0</v>
      </c>
      <c r="CP74" s="309">
        <f t="shared" si="21"/>
        <v>0.16899999999999998</v>
      </c>
      <c r="CQ74" s="309">
        <f t="shared" si="21"/>
        <v>0.34399999999999997</v>
      </c>
      <c r="CR74" s="422">
        <f t="shared" si="21"/>
        <v>0.46466666666666667</v>
      </c>
      <c r="CS74" s="421">
        <f t="shared" si="21"/>
        <v>0.245</v>
      </c>
      <c r="CT74" s="309">
        <f t="shared" si="21"/>
        <v>0.78049999999999997</v>
      </c>
      <c r="CU74" s="309">
        <f t="shared" si="21"/>
        <v>0.24070588235294121</v>
      </c>
      <c r="CV74" s="309">
        <f t="shared" si="21"/>
        <v>0.35749999999999998</v>
      </c>
      <c r="CW74" s="309">
        <f t="shared" si="21"/>
        <v>0.18620689655172418</v>
      </c>
      <c r="CX74" s="309">
        <f t="shared" si="21"/>
        <v>0.38150000000000006</v>
      </c>
      <c r="CY74" s="309">
        <f t="shared" si="21"/>
        <v>0.14499999999999999</v>
      </c>
      <c r="CZ74" s="309">
        <f t="shared" si="21"/>
        <v>0.3135</v>
      </c>
      <c r="DA74" s="422">
        <f t="shared" si="21"/>
        <v>0.24</v>
      </c>
      <c r="DB74" s="421">
        <f t="shared" si="21"/>
        <v>0</v>
      </c>
      <c r="DC74" s="309">
        <f t="shared" si="21"/>
        <v>0</v>
      </c>
      <c r="DD74" s="309">
        <f t="shared" si="21"/>
        <v>0</v>
      </c>
      <c r="DE74" s="309">
        <f t="shared" si="21"/>
        <v>0</v>
      </c>
      <c r="DF74" s="309">
        <f t="shared" ref="DF74:DM74" si="22">DF$59*DF8/100</f>
        <v>0</v>
      </c>
      <c r="DG74" s="422">
        <f t="shared" si="22"/>
        <v>0</v>
      </c>
      <c r="DH74" s="421">
        <f t="shared" si="22"/>
        <v>0</v>
      </c>
      <c r="DI74" s="309">
        <f t="shared" si="22"/>
        <v>0</v>
      </c>
      <c r="DJ74" s="309">
        <f t="shared" si="22"/>
        <v>0</v>
      </c>
      <c r="DK74" s="309">
        <f t="shared" si="22"/>
        <v>0</v>
      </c>
      <c r="DL74" s="309">
        <f t="shared" si="22"/>
        <v>0</v>
      </c>
      <c r="DM74" s="309">
        <f t="shared" si="22"/>
        <v>0</v>
      </c>
      <c r="DN74" s="309">
        <f t="shared" ref="DN74:DP74" si="23">DN$59*DN8/100</f>
        <v>0</v>
      </c>
      <c r="DO74" s="309">
        <f t="shared" si="23"/>
        <v>0</v>
      </c>
      <c r="DP74" s="309">
        <f t="shared" si="23"/>
        <v>0</v>
      </c>
      <c r="DQ74" s="381"/>
      <c r="DR74" s="382"/>
      <c r="DS74" s="229"/>
      <c r="DT74" s="229"/>
      <c r="DU74" s="229"/>
      <c r="DV74" s="1245"/>
      <c r="DW74" s="538"/>
      <c r="DX74" s="229"/>
      <c r="DY74" s="229"/>
      <c r="DZ74" s="229"/>
      <c r="EA74" s="229"/>
      <c r="EB74" s="229"/>
      <c r="EC74" s="229"/>
      <c r="ED74" s="229"/>
      <c r="EE74" s="1245"/>
      <c r="EF74" s="538"/>
      <c r="EG74" s="229"/>
      <c r="EH74" s="229"/>
      <c r="EI74" s="229"/>
      <c r="EJ74" s="229"/>
      <c r="EK74" s="1245"/>
      <c r="EL74" s="538"/>
      <c r="EM74" s="229"/>
      <c r="EN74" s="229"/>
      <c r="EO74" s="229"/>
      <c r="EP74" s="229"/>
      <c r="EQ74" s="229"/>
      <c r="ER74" s="229"/>
      <c r="ES74" s="229"/>
      <c r="ET74" s="229"/>
      <c r="EU74" s="356"/>
      <c r="EV74" s="229"/>
      <c r="EW74" s="229"/>
      <c r="EX74" s="229"/>
      <c r="EY74" s="1245"/>
      <c r="EZ74" s="538"/>
      <c r="FA74" s="229"/>
      <c r="FB74" s="229"/>
      <c r="FC74" s="229"/>
      <c r="FD74" s="229"/>
      <c r="FE74" s="229"/>
      <c r="FF74" s="229"/>
      <c r="FG74" s="229"/>
      <c r="FH74" s="1245"/>
      <c r="FI74" s="538"/>
      <c r="FJ74" s="229"/>
      <c r="FK74" s="229"/>
      <c r="FL74" s="229"/>
      <c r="FM74" s="229"/>
      <c r="FN74" s="1245"/>
      <c r="FO74" s="538"/>
      <c r="FP74" s="229"/>
      <c r="FQ74" s="229"/>
      <c r="FR74" s="229"/>
      <c r="FS74" s="229"/>
      <c r="FT74" s="229"/>
      <c r="FU74" s="229"/>
      <c r="FV74" s="229"/>
      <c r="FW74" s="229"/>
      <c r="FX74" s="1" t="s">
        <v>191</v>
      </c>
    </row>
    <row r="75" spans="3:180" x14ac:dyDescent="0.35">
      <c r="C75" s="1" t="s">
        <v>125</v>
      </c>
      <c r="F75" s="501">
        <f t="shared" si="14"/>
        <v>0</v>
      </c>
      <c r="G75" s="249">
        <f t="shared" si="14"/>
        <v>0</v>
      </c>
      <c r="H75" s="249">
        <f t="shared" si="14"/>
        <v>0</v>
      </c>
      <c r="I75" s="1242">
        <f t="shared" si="14"/>
        <v>0</v>
      </c>
      <c r="J75" s="419">
        <f t="shared" si="14"/>
        <v>0</v>
      </c>
      <c r="K75" s="249">
        <f t="shared" si="14"/>
        <v>0</v>
      </c>
      <c r="L75" s="249">
        <f t="shared" si="14"/>
        <v>0</v>
      </c>
      <c r="M75" s="249">
        <f t="shared" si="14"/>
        <v>0</v>
      </c>
      <c r="N75" s="249">
        <f t="shared" si="14"/>
        <v>0</v>
      </c>
      <c r="O75" s="249">
        <f t="shared" si="14"/>
        <v>0</v>
      </c>
      <c r="P75" s="249">
        <f t="shared" si="14"/>
        <v>0</v>
      </c>
      <c r="Q75" s="249">
        <f t="shared" si="14"/>
        <v>0</v>
      </c>
      <c r="R75" s="1242">
        <f t="shared" si="14"/>
        <v>0</v>
      </c>
      <c r="S75" s="419">
        <f t="shared" si="14"/>
        <v>0</v>
      </c>
      <c r="T75" s="249">
        <f t="shared" si="14"/>
        <v>0</v>
      </c>
      <c r="U75" s="249">
        <f t="shared" si="14"/>
        <v>0</v>
      </c>
      <c r="V75" s="249"/>
      <c r="W75" s="249"/>
      <c r="X75" s="249"/>
      <c r="Y75" s="249"/>
      <c r="Z75" s="249"/>
      <c r="AA75" s="249"/>
      <c r="AB75" s="249"/>
      <c r="AC75" s="249"/>
      <c r="AD75" s="249"/>
      <c r="AE75" s="249"/>
      <c r="AF75" s="249"/>
      <c r="AG75" s="249"/>
      <c r="AH75" s="335"/>
      <c r="AI75" s="249">
        <f t="shared" si="15"/>
        <v>0</v>
      </c>
      <c r="AJ75" s="249">
        <f t="shared" si="15"/>
        <v>0</v>
      </c>
      <c r="AK75" s="249">
        <f t="shared" si="15"/>
        <v>0</v>
      </c>
      <c r="AL75" s="1242">
        <f t="shared" si="15"/>
        <v>0</v>
      </c>
      <c r="AM75" s="419">
        <f t="shared" si="15"/>
        <v>0</v>
      </c>
      <c r="AN75" s="249">
        <f t="shared" si="15"/>
        <v>0</v>
      </c>
      <c r="AO75" s="249">
        <f t="shared" si="15"/>
        <v>0</v>
      </c>
      <c r="AP75" s="249">
        <f t="shared" si="15"/>
        <v>0</v>
      </c>
      <c r="AQ75" s="249">
        <f t="shared" si="15"/>
        <v>0</v>
      </c>
      <c r="AR75" s="249">
        <f t="shared" si="15"/>
        <v>0</v>
      </c>
      <c r="AS75" s="249">
        <f t="shared" si="15"/>
        <v>0</v>
      </c>
      <c r="AT75" s="249">
        <f t="shared" si="15"/>
        <v>0</v>
      </c>
      <c r="AU75" s="1242">
        <f t="shared" si="15"/>
        <v>0</v>
      </c>
      <c r="AV75" s="419">
        <f t="shared" si="15"/>
        <v>0</v>
      </c>
      <c r="AW75" s="249">
        <f t="shared" si="15"/>
        <v>0</v>
      </c>
      <c r="AX75" s="249">
        <f t="shared" si="15"/>
        <v>0</v>
      </c>
      <c r="AY75" s="249">
        <f t="shared" ref="AY75:BG75" si="24">AY9*AY$59/100</f>
        <v>0</v>
      </c>
      <c r="AZ75" s="249">
        <f t="shared" si="24"/>
        <v>0</v>
      </c>
      <c r="BA75" s="1242">
        <f t="shared" si="24"/>
        <v>0</v>
      </c>
      <c r="BB75" s="419">
        <f t="shared" si="24"/>
        <v>0</v>
      </c>
      <c r="BC75" s="249">
        <f t="shared" si="24"/>
        <v>0</v>
      </c>
      <c r="BD75" s="249">
        <f t="shared" si="24"/>
        <v>0</v>
      </c>
      <c r="BE75" s="249">
        <f t="shared" si="24"/>
        <v>0</v>
      </c>
      <c r="BF75" s="249">
        <f t="shared" si="24"/>
        <v>0</v>
      </c>
      <c r="BG75" s="249">
        <f t="shared" si="24"/>
        <v>0</v>
      </c>
      <c r="BH75" s="249">
        <f t="shared" ref="BH75:BJ75" si="25">BH9*BH$59/100</f>
        <v>0</v>
      </c>
      <c r="BI75" s="249">
        <f t="shared" si="25"/>
        <v>0</v>
      </c>
      <c r="BJ75" s="249">
        <f t="shared" si="25"/>
        <v>0</v>
      </c>
      <c r="BK75" s="335"/>
      <c r="BL75" s="249">
        <f t="shared" si="18"/>
        <v>6.8721838297872342</v>
      </c>
      <c r="BM75" s="249">
        <f t="shared" si="18"/>
        <v>6.1975416666666669</v>
      </c>
      <c r="BN75" s="249">
        <f t="shared" si="18"/>
        <v>6.4610350000000007</v>
      </c>
      <c r="BO75" s="1242">
        <f t="shared" si="18"/>
        <v>6.4881266666666662</v>
      </c>
      <c r="BP75" s="419">
        <f t="shared" si="18"/>
        <v>4.634666666666666</v>
      </c>
      <c r="BQ75" s="249">
        <f t="shared" si="18"/>
        <v>4.55952</v>
      </c>
      <c r="BR75" s="249">
        <f t="shared" si="18"/>
        <v>4.7097966101694917</v>
      </c>
      <c r="BS75" s="249">
        <f t="shared" si="18"/>
        <v>4.5374400000000001</v>
      </c>
      <c r="BT75" s="249">
        <f t="shared" si="18"/>
        <v>3.928047085201793</v>
      </c>
      <c r="BU75" s="249">
        <f t="shared" si="18"/>
        <v>4.36158</v>
      </c>
      <c r="BV75" s="249">
        <f t="shared" si="18"/>
        <v>4.2257133333333341</v>
      </c>
      <c r="BW75" s="249">
        <f t="shared" si="18"/>
        <v>4.0879049999999992</v>
      </c>
      <c r="BX75" s="1242">
        <f t="shared" si="18"/>
        <v>4.1461874999999999</v>
      </c>
      <c r="BY75" s="419">
        <f t="shared" si="18"/>
        <v>2.4969000000000001</v>
      </c>
      <c r="BZ75" s="249">
        <f t="shared" si="18"/>
        <v>0</v>
      </c>
      <c r="CA75" s="249">
        <f t="shared" si="18"/>
        <v>0</v>
      </c>
      <c r="CB75" s="249">
        <f t="shared" si="18"/>
        <v>0</v>
      </c>
      <c r="CC75" s="249">
        <f t="shared" ref="CC75:CJ75" si="26">CC9*CC$59/100</f>
        <v>0</v>
      </c>
      <c r="CD75" s="1242">
        <f t="shared" si="26"/>
        <v>0</v>
      </c>
      <c r="CE75" s="419">
        <f t="shared" si="26"/>
        <v>0</v>
      </c>
      <c r="CF75" s="249">
        <f t="shared" si="26"/>
        <v>0</v>
      </c>
      <c r="CG75" s="249">
        <f t="shared" si="26"/>
        <v>0</v>
      </c>
      <c r="CH75" s="249">
        <f t="shared" si="26"/>
        <v>0</v>
      </c>
      <c r="CI75" s="249">
        <f t="shared" si="26"/>
        <v>0</v>
      </c>
      <c r="CJ75" s="249">
        <f t="shared" si="26"/>
        <v>0</v>
      </c>
      <c r="CK75" s="249">
        <f t="shared" ref="CK75:CM75" si="27">CK9*CK$59/100</f>
        <v>0</v>
      </c>
      <c r="CL75" s="249">
        <f t="shared" si="27"/>
        <v>0</v>
      </c>
      <c r="CM75" s="249">
        <f t="shared" si="27"/>
        <v>0</v>
      </c>
      <c r="CN75" s="325"/>
      <c r="CO75" s="249">
        <f t="shared" si="21"/>
        <v>0</v>
      </c>
      <c r="CP75" s="249">
        <f t="shared" si="21"/>
        <v>2.7039999999999997</v>
      </c>
      <c r="CQ75" s="249">
        <f t="shared" si="21"/>
        <v>1.496</v>
      </c>
      <c r="CR75" s="1242">
        <f t="shared" si="21"/>
        <v>2.2780000000000005</v>
      </c>
      <c r="CS75" s="419">
        <f t="shared" si="21"/>
        <v>2.7766666666666664</v>
      </c>
      <c r="CT75" s="249">
        <f t="shared" si="21"/>
        <v>3.6795</v>
      </c>
      <c r="CU75" s="249">
        <f t="shared" si="21"/>
        <v>3.1729411764705886</v>
      </c>
      <c r="CV75" s="249">
        <f t="shared" si="21"/>
        <v>2.6974999999999998</v>
      </c>
      <c r="CW75" s="249">
        <f t="shared" si="21"/>
        <v>2.5603448275862064</v>
      </c>
      <c r="CX75" s="249">
        <f t="shared" si="21"/>
        <v>2.9793333333333334</v>
      </c>
      <c r="CY75" s="249">
        <f t="shared" si="21"/>
        <v>2.1315</v>
      </c>
      <c r="CZ75" s="249">
        <f t="shared" si="21"/>
        <v>2.7555000000000001</v>
      </c>
      <c r="DA75" s="1242">
        <f t="shared" si="21"/>
        <v>2.4599999999999995</v>
      </c>
      <c r="DB75" s="419">
        <f t="shared" si="21"/>
        <v>0</v>
      </c>
      <c r="DC75" s="249">
        <f t="shared" si="21"/>
        <v>0</v>
      </c>
      <c r="DD75" s="249">
        <f t="shared" si="21"/>
        <v>0</v>
      </c>
      <c r="DE75" s="249">
        <f t="shared" si="21"/>
        <v>0</v>
      </c>
      <c r="DF75" s="249">
        <f t="shared" ref="DF75:DM75" si="28">DF$59*DF9/100</f>
        <v>0</v>
      </c>
      <c r="DG75" s="1242">
        <f t="shared" si="28"/>
        <v>0</v>
      </c>
      <c r="DH75" s="419">
        <f t="shared" si="28"/>
        <v>0</v>
      </c>
      <c r="DI75" s="249">
        <f t="shared" si="28"/>
        <v>0</v>
      </c>
      <c r="DJ75" s="249">
        <f t="shared" si="28"/>
        <v>0</v>
      </c>
      <c r="DK75" s="249">
        <f t="shared" si="28"/>
        <v>0</v>
      </c>
      <c r="DL75" s="249">
        <f t="shared" si="28"/>
        <v>0</v>
      </c>
      <c r="DM75" s="249">
        <f t="shared" si="28"/>
        <v>0</v>
      </c>
      <c r="DN75" s="249">
        <f t="shared" ref="DN75:DP75" si="29">DN$59*DN9/100</f>
        <v>0</v>
      </c>
      <c r="DO75" s="249">
        <f t="shared" si="29"/>
        <v>0</v>
      </c>
      <c r="DP75" s="249">
        <f t="shared" si="29"/>
        <v>0</v>
      </c>
      <c r="DQ75" s="335"/>
      <c r="DR75" s="336"/>
      <c r="FF75" s="242"/>
      <c r="FG75" s="242"/>
      <c r="FH75" s="1249"/>
      <c r="FX75" s="1" t="s">
        <v>178</v>
      </c>
    </row>
    <row r="76" spans="3:180" x14ac:dyDescent="0.35">
      <c r="C76" s="1" t="s">
        <v>127</v>
      </c>
      <c r="F76" s="501">
        <f t="shared" si="14"/>
        <v>0</v>
      </c>
      <c r="G76" s="249">
        <f t="shared" si="14"/>
        <v>0</v>
      </c>
      <c r="H76" s="249">
        <f t="shared" si="14"/>
        <v>0</v>
      </c>
      <c r="I76" s="1242">
        <f t="shared" si="14"/>
        <v>0</v>
      </c>
      <c r="J76" s="419">
        <f t="shared" si="14"/>
        <v>0</v>
      </c>
      <c r="K76" s="249">
        <f t="shared" si="14"/>
        <v>0</v>
      </c>
      <c r="L76" s="249">
        <f t="shared" si="14"/>
        <v>0</v>
      </c>
      <c r="M76" s="249">
        <f t="shared" si="14"/>
        <v>0</v>
      </c>
      <c r="N76" s="249">
        <f t="shared" si="14"/>
        <v>0</v>
      </c>
      <c r="O76" s="249">
        <f t="shared" si="14"/>
        <v>0</v>
      </c>
      <c r="P76" s="249">
        <f t="shared" si="14"/>
        <v>0</v>
      </c>
      <c r="Q76" s="249">
        <f t="shared" si="14"/>
        <v>0</v>
      </c>
      <c r="R76" s="1242">
        <f t="shared" si="14"/>
        <v>0</v>
      </c>
      <c r="S76" s="419">
        <f t="shared" si="14"/>
        <v>0</v>
      </c>
      <c r="T76" s="249">
        <f t="shared" si="14"/>
        <v>0</v>
      </c>
      <c r="U76" s="249">
        <f t="shared" si="14"/>
        <v>0</v>
      </c>
      <c r="V76" s="249"/>
      <c r="W76" s="249"/>
      <c r="X76" s="249"/>
      <c r="Y76" s="249"/>
      <c r="Z76" s="249"/>
      <c r="AA76" s="249"/>
      <c r="AB76" s="249"/>
      <c r="AC76" s="249"/>
      <c r="AD76" s="249"/>
      <c r="AE76" s="249"/>
      <c r="AF76" s="249"/>
      <c r="AG76" s="249"/>
      <c r="AH76" s="335"/>
      <c r="AI76" s="249">
        <f t="shared" si="15"/>
        <v>0</v>
      </c>
      <c r="AJ76" s="249">
        <f t="shared" si="15"/>
        <v>0</v>
      </c>
      <c r="AK76" s="249">
        <f t="shared" si="15"/>
        <v>0</v>
      </c>
      <c r="AL76" s="1242">
        <f t="shared" si="15"/>
        <v>0</v>
      </c>
      <c r="AM76" s="419">
        <f t="shared" si="15"/>
        <v>0</v>
      </c>
      <c r="AN76" s="249">
        <f t="shared" si="15"/>
        <v>0</v>
      </c>
      <c r="AO76" s="249">
        <f t="shared" si="15"/>
        <v>0</v>
      </c>
      <c r="AP76" s="249">
        <f t="shared" si="15"/>
        <v>0</v>
      </c>
      <c r="AQ76" s="249">
        <f t="shared" si="15"/>
        <v>0</v>
      </c>
      <c r="AR76" s="249">
        <f t="shared" si="15"/>
        <v>0</v>
      </c>
      <c r="AS76" s="249">
        <f t="shared" si="15"/>
        <v>0</v>
      </c>
      <c r="AT76" s="249">
        <f t="shared" si="15"/>
        <v>0</v>
      </c>
      <c r="AU76" s="1242">
        <f t="shared" si="15"/>
        <v>0</v>
      </c>
      <c r="AV76" s="419">
        <f t="shared" si="15"/>
        <v>0</v>
      </c>
      <c r="AW76" s="249">
        <f t="shared" si="15"/>
        <v>0</v>
      </c>
      <c r="AX76" s="249">
        <f t="shared" si="15"/>
        <v>0</v>
      </c>
      <c r="AY76" s="249">
        <f t="shared" ref="AY76:BG76" si="30">AY10*AY$59/100</f>
        <v>0</v>
      </c>
      <c r="AZ76" s="249">
        <f t="shared" si="30"/>
        <v>0</v>
      </c>
      <c r="BA76" s="1242">
        <f t="shared" si="30"/>
        <v>0</v>
      </c>
      <c r="BB76" s="419">
        <f t="shared" si="30"/>
        <v>0</v>
      </c>
      <c r="BC76" s="249">
        <f t="shared" si="30"/>
        <v>0</v>
      </c>
      <c r="BD76" s="249">
        <f t="shared" si="30"/>
        <v>0</v>
      </c>
      <c r="BE76" s="249">
        <f t="shared" si="30"/>
        <v>0</v>
      </c>
      <c r="BF76" s="249">
        <f t="shared" si="30"/>
        <v>0</v>
      </c>
      <c r="BG76" s="249">
        <f t="shared" si="30"/>
        <v>0</v>
      </c>
      <c r="BH76" s="249">
        <f t="shared" ref="BH76:BJ76" si="31">BH10*BH$59/100</f>
        <v>0</v>
      </c>
      <c r="BI76" s="249">
        <f t="shared" si="31"/>
        <v>0</v>
      </c>
      <c r="BJ76" s="249">
        <f t="shared" si="31"/>
        <v>0</v>
      </c>
      <c r="BK76" s="335"/>
      <c r="BL76" s="249">
        <f t="shared" si="18"/>
        <v>13.60527319148936</v>
      </c>
      <c r="BM76" s="249">
        <f t="shared" si="18"/>
        <v>12.094933333333335</v>
      </c>
      <c r="BN76" s="249">
        <f t="shared" si="18"/>
        <v>12.892728333333334</v>
      </c>
      <c r="BO76" s="1242">
        <f t="shared" si="18"/>
        <v>13.878671666666667</v>
      </c>
      <c r="BP76" s="419">
        <f t="shared" si="18"/>
        <v>15.206399999999997</v>
      </c>
      <c r="BQ76" s="249">
        <f t="shared" si="18"/>
        <v>15.215573333333337</v>
      </c>
      <c r="BR76" s="249">
        <f t="shared" si="18"/>
        <v>15.309050847457629</v>
      </c>
      <c r="BS76" s="249">
        <f t="shared" si="18"/>
        <v>14.496480000000002</v>
      </c>
      <c r="BT76" s="249">
        <f t="shared" si="18"/>
        <v>13.594552017937216</v>
      </c>
      <c r="BU76" s="249">
        <f t="shared" si="18"/>
        <v>14.300722499999997</v>
      </c>
      <c r="BV76" s="249">
        <f t="shared" si="18"/>
        <v>14.364758333333333</v>
      </c>
      <c r="BW76" s="249">
        <f t="shared" si="18"/>
        <v>13.853215000000001</v>
      </c>
      <c r="BX76" s="1242">
        <f t="shared" si="18"/>
        <v>14.113124999999998</v>
      </c>
      <c r="BY76" s="419">
        <f t="shared" si="18"/>
        <v>2.9417499999999994</v>
      </c>
      <c r="BZ76" s="249">
        <f t="shared" si="18"/>
        <v>0</v>
      </c>
      <c r="CA76" s="249">
        <f t="shared" si="18"/>
        <v>0</v>
      </c>
      <c r="CB76" s="249">
        <f t="shared" si="18"/>
        <v>0</v>
      </c>
      <c r="CC76" s="249">
        <f t="shared" ref="CC76:CJ76" si="32">CC10*CC$59/100</f>
        <v>0</v>
      </c>
      <c r="CD76" s="1242">
        <f t="shared" si="32"/>
        <v>0</v>
      </c>
      <c r="CE76" s="419">
        <f t="shared" si="32"/>
        <v>0</v>
      </c>
      <c r="CF76" s="249">
        <f t="shared" si="32"/>
        <v>0</v>
      </c>
      <c r="CG76" s="249">
        <f t="shared" si="32"/>
        <v>0</v>
      </c>
      <c r="CH76" s="249">
        <f t="shared" si="32"/>
        <v>0</v>
      </c>
      <c r="CI76" s="249">
        <f t="shared" si="32"/>
        <v>0</v>
      </c>
      <c r="CJ76" s="249">
        <f t="shared" si="32"/>
        <v>0</v>
      </c>
      <c r="CK76" s="249">
        <f t="shared" ref="CK76:CM76" si="33">CK10*CK$59/100</f>
        <v>0</v>
      </c>
      <c r="CL76" s="249">
        <f t="shared" si="33"/>
        <v>0</v>
      </c>
      <c r="CM76" s="249">
        <f t="shared" si="33"/>
        <v>0</v>
      </c>
      <c r="CN76" s="325"/>
      <c r="CO76" s="249">
        <f t="shared" si="21"/>
        <v>0</v>
      </c>
      <c r="CP76" s="249">
        <f t="shared" si="21"/>
        <v>4.9995833333333337</v>
      </c>
      <c r="CQ76" s="249">
        <f t="shared" si="21"/>
        <v>2.9279999999999999</v>
      </c>
      <c r="CR76" s="1242">
        <f t="shared" si="21"/>
        <v>4.2953333333333337</v>
      </c>
      <c r="CS76" s="419">
        <f t="shared" si="21"/>
        <v>6.8763333333333332</v>
      </c>
      <c r="CT76" s="249">
        <f t="shared" si="21"/>
        <v>7.6377499999999996</v>
      </c>
      <c r="CU76" s="249">
        <f t="shared" si="21"/>
        <v>9.9127058823529417</v>
      </c>
      <c r="CV76" s="249">
        <f t="shared" si="21"/>
        <v>7.13375</v>
      </c>
      <c r="CW76" s="249">
        <f t="shared" si="21"/>
        <v>6.8642633228840122</v>
      </c>
      <c r="CX76" s="249">
        <f t="shared" si="21"/>
        <v>7.7753333333333332</v>
      </c>
      <c r="CY76" s="249">
        <f t="shared" si="21"/>
        <v>6.5684999999999993</v>
      </c>
      <c r="CZ76" s="249">
        <f t="shared" si="21"/>
        <v>7.309499999999999</v>
      </c>
      <c r="DA76" s="1242">
        <f t="shared" si="21"/>
        <v>6.69</v>
      </c>
      <c r="DB76" s="419">
        <f t="shared" si="21"/>
        <v>0</v>
      </c>
      <c r="DC76" s="249">
        <f t="shared" si="21"/>
        <v>0</v>
      </c>
      <c r="DD76" s="249">
        <f t="shared" si="21"/>
        <v>0</v>
      </c>
      <c r="DE76" s="249">
        <f t="shared" si="21"/>
        <v>0</v>
      </c>
      <c r="DF76" s="249">
        <f t="shared" ref="DF76:DM76" si="34">DF$59*DF10/100</f>
        <v>0</v>
      </c>
      <c r="DG76" s="1242">
        <f t="shared" si="34"/>
        <v>0</v>
      </c>
      <c r="DH76" s="419">
        <f t="shared" si="34"/>
        <v>0</v>
      </c>
      <c r="DI76" s="249">
        <f t="shared" si="34"/>
        <v>0</v>
      </c>
      <c r="DJ76" s="249">
        <f t="shared" si="34"/>
        <v>0</v>
      </c>
      <c r="DK76" s="249">
        <f t="shared" si="34"/>
        <v>0</v>
      </c>
      <c r="DL76" s="249">
        <f t="shared" si="34"/>
        <v>0</v>
      </c>
      <c r="DM76" s="249">
        <f t="shared" si="34"/>
        <v>0</v>
      </c>
      <c r="DN76" s="249">
        <f t="shared" ref="DN76:DP76" si="35">DN$59*DN10/100</f>
        <v>0</v>
      </c>
      <c r="DO76" s="249">
        <f t="shared" si="35"/>
        <v>0</v>
      </c>
      <c r="DP76" s="249">
        <f t="shared" si="35"/>
        <v>0</v>
      </c>
      <c r="DQ76" s="335"/>
      <c r="DR76" s="336"/>
      <c r="FX76" s="1" t="s">
        <v>179</v>
      </c>
    </row>
    <row r="77" spans="3:180" x14ac:dyDescent="0.35">
      <c r="C77" s="1" t="s">
        <v>128</v>
      </c>
      <c r="F77" s="501">
        <f t="shared" si="14"/>
        <v>0</v>
      </c>
      <c r="G77" s="249">
        <f t="shared" si="14"/>
        <v>0</v>
      </c>
      <c r="H77" s="249">
        <f t="shared" si="14"/>
        <v>0</v>
      </c>
      <c r="I77" s="1242">
        <f t="shared" si="14"/>
        <v>0</v>
      </c>
      <c r="J77" s="419">
        <f t="shared" si="14"/>
        <v>0</v>
      </c>
      <c r="K77" s="249">
        <f t="shared" si="14"/>
        <v>0</v>
      </c>
      <c r="L77" s="249">
        <f t="shared" si="14"/>
        <v>0</v>
      </c>
      <c r="M77" s="249">
        <f t="shared" si="14"/>
        <v>0</v>
      </c>
      <c r="N77" s="249">
        <f t="shared" si="14"/>
        <v>0</v>
      </c>
      <c r="O77" s="249">
        <f t="shared" si="14"/>
        <v>0</v>
      </c>
      <c r="P77" s="249">
        <f t="shared" si="14"/>
        <v>0</v>
      </c>
      <c r="Q77" s="249">
        <f t="shared" si="14"/>
        <v>0</v>
      </c>
      <c r="R77" s="1242">
        <f t="shared" si="14"/>
        <v>0</v>
      </c>
      <c r="S77" s="419">
        <f t="shared" si="14"/>
        <v>0</v>
      </c>
      <c r="T77" s="249">
        <f t="shared" si="14"/>
        <v>0</v>
      </c>
      <c r="U77" s="249">
        <f t="shared" si="14"/>
        <v>0</v>
      </c>
      <c r="V77" s="249"/>
      <c r="W77" s="249"/>
      <c r="X77" s="249"/>
      <c r="Y77" s="249"/>
      <c r="Z77" s="249"/>
      <c r="AA77" s="249"/>
      <c r="AB77" s="249"/>
      <c r="AC77" s="249"/>
      <c r="AD77" s="249"/>
      <c r="AE77" s="249"/>
      <c r="AF77" s="249"/>
      <c r="AG77" s="249"/>
      <c r="AH77" s="335"/>
      <c r="AI77" s="249">
        <f t="shared" si="15"/>
        <v>0</v>
      </c>
      <c r="AJ77" s="249">
        <f t="shared" si="15"/>
        <v>0</v>
      </c>
      <c r="AK77" s="249">
        <f t="shared" si="15"/>
        <v>0</v>
      </c>
      <c r="AL77" s="1242">
        <f t="shared" si="15"/>
        <v>0</v>
      </c>
      <c r="AM77" s="419">
        <f t="shared" si="15"/>
        <v>0</v>
      </c>
      <c r="AN77" s="249">
        <f t="shared" si="15"/>
        <v>0</v>
      </c>
      <c r="AO77" s="249">
        <f t="shared" si="15"/>
        <v>0</v>
      </c>
      <c r="AP77" s="249">
        <f t="shared" si="15"/>
        <v>0</v>
      </c>
      <c r="AQ77" s="249">
        <f t="shared" si="15"/>
        <v>0</v>
      </c>
      <c r="AR77" s="249">
        <f t="shared" si="15"/>
        <v>0</v>
      </c>
      <c r="AS77" s="249">
        <f t="shared" si="15"/>
        <v>0</v>
      </c>
      <c r="AT77" s="249">
        <f t="shared" si="15"/>
        <v>0</v>
      </c>
      <c r="AU77" s="1242">
        <f t="shared" si="15"/>
        <v>0</v>
      </c>
      <c r="AV77" s="419">
        <f t="shared" si="15"/>
        <v>0</v>
      </c>
      <c r="AW77" s="249">
        <f t="shared" si="15"/>
        <v>0</v>
      </c>
      <c r="AX77" s="249">
        <f t="shared" si="15"/>
        <v>0</v>
      </c>
      <c r="AY77" s="249">
        <f t="shared" ref="AY77:BG77" si="36">AY11*AY$59/100</f>
        <v>0</v>
      </c>
      <c r="AZ77" s="249">
        <f t="shared" si="36"/>
        <v>0</v>
      </c>
      <c r="BA77" s="1242">
        <f t="shared" si="36"/>
        <v>0</v>
      </c>
      <c r="BB77" s="419">
        <f t="shared" si="36"/>
        <v>0</v>
      </c>
      <c r="BC77" s="249">
        <f t="shared" si="36"/>
        <v>0</v>
      </c>
      <c r="BD77" s="249">
        <f t="shared" si="36"/>
        <v>0</v>
      </c>
      <c r="BE77" s="249">
        <f t="shared" si="36"/>
        <v>0</v>
      </c>
      <c r="BF77" s="249">
        <f t="shared" si="36"/>
        <v>0</v>
      </c>
      <c r="BG77" s="249">
        <f t="shared" si="36"/>
        <v>0</v>
      </c>
      <c r="BH77" s="249">
        <f t="shared" ref="BH77:BJ77" si="37">BH11*BH$59/100</f>
        <v>0</v>
      </c>
      <c r="BI77" s="249">
        <f t="shared" si="37"/>
        <v>0</v>
      </c>
      <c r="BJ77" s="249">
        <f t="shared" si="37"/>
        <v>0</v>
      </c>
      <c r="BK77" s="335"/>
      <c r="BL77" s="249">
        <f t="shared" si="18"/>
        <v>29.034059574468078</v>
      </c>
      <c r="BM77" s="249">
        <f t="shared" si="18"/>
        <v>25.016668750000004</v>
      </c>
      <c r="BN77" s="249">
        <f t="shared" si="18"/>
        <v>26.919023055555559</v>
      </c>
      <c r="BO77" s="1242">
        <f t="shared" si="18"/>
        <v>28.207101666666667</v>
      </c>
      <c r="BP77" s="419">
        <f t="shared" si="18"/>
        <v>30.007999999999996</v>
      </c>
      <c r="BQ77" s="249">
        <f t="shared" si="18"/>
        <v>30.652968888888889</v>
      </c>
      <c r="BR77" s="249">
        <f t="shared" si="18"/>
        <v>30.700677966101694</v>
      </c>
      <c r="BS77" s="249">
        <f t="shared" si="18"/>
        <v>29.196000000000005</v>
      </c>
      <c r="BT77" s="249">
        <f t="shared" si="18"/>
        <v>28.667940358744396</v>
      </c>
      <c r="BU77" s="249">
        <f t="shared" si="18"/>
        <v>29.814472500000001</v>
      </c>
      <c r="BV77" s="249">
        <f t="shared" si="18"/>
        <v>29.67482</v>
      </c>
      <c r="BW77" s="249">
        <f t="shared" si="18"/>
        <v>29.147095</v>
      </c>
      <c r="BX77" s="1242">
        <f t="shared" si="18"/>
        <v>29.839387500000001</v>
      </c>
      <c r="BY77" s="419">
        <f t="shared" si="18"/>
        <v>3.2717999999999994</v>
      </c>
      <c r="BZ77" s="249">
        <f t="shared" si="18"/>
        <v>0</v>
      </c>
      <c r="CA77" s="249">
        <f t="shared" si="18"/>
        <v>0</v>
      </c>
      <c r="CB77" s="249">
        <f t="shared" si="18"/>
        <v>0</v>
      </c>
      <c r="CC77" s="249">
        <f t="shared" ref="CC77:CJ77" si="38">CC11*CC$59/100</f>
        <v>0</v>
      </c>
      <c r="CD77" s="1242">
        <f t="shared" si="38"/>
        <v>0</v>
      </c>
      <c r="CE77" s="419">
        <f t="shared" si="38"/>
        <v>0</v>
      </c>
      <c r="CF77" s="249">
        <f t="shared" si="38"/>
        <v>0</v>
      </c>
      <c r="CG77" s="249">
        <f t="shared" si="38"/>
        <v>0</v>
      </c>
      <c r="CH77" s="249">
        <f t="shared" si="38"/>
        <v>0</v>
      </c>
      <c r="CI77" s="249">
        <f t="shared" si="38"/>
        <v>0</v>
      </c>
      <c r="CJ77" s="249">
        <f t="shared" si="38"/>
        <v>0</v>
      </c>
      <c r="CK77" s="249">
        <f t="shared" ref="CK77:CM77" si="39">CK11*CK$59/100</f>
        <v>0</v>
      </c>
      <c r="CL77" s="249">
        <f t="shared" si="39"/>
        <v>0</v>
      </c>
      <c r="CM77" s="249">
        <f t="shared" si="39"/>
        <v>0</v>
      </c>
      <c r="CN77" s="325"/>
      <c r="CO77" s="249">
        <f t="shared" si="21"/>
        <v>0</v>
      </c>
      <c r="CP77" s="249">
        <f t="shared" si="21"/>
        <v>4.253166666666667</v>
      </c>
      <c r="CQ77" s="249">
        <f t="shared" si="21"/>
        <v>2.3759999999999999</v>
      </c>
      <c r="CR77" s="1242">
        <f t="shared" si="21"/>
        <v>3.2640000000000002</v>
      </c>
      <c r="CS77" s="419">
        <f t="shared" si="21"/>
        <v>5.0143333333333331</v>
      </c>
      <c r="CT77" s="249">
        <f t="shared" si="21"/>
        <v>5.2590833333333329</v>
      </c>
      <c r="CU77" s="249">
        <f t="shared" si="21"/>
        <v>6.9585882352941182</v>
      </c>
      <c r="CV77" s="249">
        <f t="shared" si="21"/>
        <v>4.9400000000000004</v>
      </c>
      <c r="CW77" s="249">
        <f t="shared" si="21"/>
        <v>5.2899686520376177</v>
      </c>
      <c r="CX77" s="249">
        <f t="shared" si="21"/>
        <v>5.4863333333333335</v>
      </c>
      <c r="CY77" s="249">
        <f t="shared" si="21"/>
        <v>4.5820000000000007</v>
      </c>
      <c r="CZ77" s="249">
        <f t="shared" si="21"/>
        <v>4.9830000000000005</v>
      </c>
      <c r="DA77" s="1242">
        <f t="shared" si="21"/>
        <v>4.5750000000000002</v>
      </c>
      <c r="DB77" s="419">
        <f t="shared" si="21"/>
        <v>0</v>
      </c>
      <c r="DC77" s="249">
        <f t="shared" si="21"/>
        <v>0</v>
      </c>
      <c r="DD77" s="249">
        <f t="shared" si="21"/>
        <v>0</v>
      </c>
      <c r="DE77" s="249">
        <f t="shared" si="21"/>
        <v>0</v>
      </c>
      <c r="DF77" s="249">
        <f t="shared" ref="DF77:DM77" si="40">DF$59*DF11/100</f>
        <v>0</v>
      </c>
      <c r="DG77" s="1242">
        <f t="shared" si="40"/>
        <v>0</v>
      </c>
      <c r="DH77" s="419">
        <f t="shared" si="40"/>
        <v>0</v>
      </c>
      <c r="DI77" s="249">
        <f t="shared" si="40"/>
        <v>0</v>
      </c>
      <c r="DJ77" s="249">
        <f t="shared" si="40"/>
        <v>0</v>
      </c>
      <c r="DK77" s="249">
        <f t="shared" si="40"/>
        <v>0</v>
      </c>
      <c r="DL77" s="249">
        <f t="shared" si="40"/>
        <v>0</v>
      </c>
      <c r="DM77" s="249">
        <f t="shared" si="40"/>
        <v>0</v>
      </c>
      <c r="DN77" s="249">
        <f t="shared" ref="DN77:DP77" si="41">DN$59*DN11/100</f>
        <v>0</v>
      </c>
      <c r="DO77" s="249">
        <f t="shared" si="41"/>
        <v>0</v>
      </c>
      <c r="DP77" s="249">
        <f t="shared" si="41"/>
        <v>0</v>
      </c>
      <c r="DQ77" s="335"/>
      <c r="DR77" s="336"/>
      <c r="FF77" s="251"/>
      <c r="FG77" s="251"/>
      <c r="FH77" s="1267"/>
      <c r="FX77" s="1" t="s">
        <v>180</v>
      </c>
    </row>
    <row r="78" spans="3:180" x14ac:dyDescent="0.35">
      <c r="C78" s="1" t="s">
        <v>168</v>
      </c>
      <c r="F78" s="501">
        <f t="shared" si="14"/>
        <v>0</v>
      </c>
      <c r="G78" s="249">
        <f t="shared" si="14"/>
        <v>0</v>
      </c>
      <c r="H78" s="249">
        <f t="shared" si="14"/>
        <v>0</v>
      </c>
      <c r="I78" s="1242">
        <f t="shared" si="14"/>
        <v>0</v>
      </c>
      <c r="J78" s="419">
        <f t="shared" si="14"/>
        <v>0</v>
      </c>
      <c r="K78" s="249">
        <f t="shared" si="14"/>
        <v>0</v>
      </c>
      <c r="L78" s="249">
        <f t="shared" si="14"/>
        <v>0</v>
      </c>
      <c r="M78" s="249">
        <f t="shared" si="14"/>
        <v>0</v>
      </c>
      <c r="N78" s="249">
        <f t="shared" si="14"/>
        <v>0</v>
      </c>
      <c r="O78" s="249">
        <f t="shared" si="14"/>
        <v>0</v>
      </c>
      <c r="P78" s="249">
        <f t="shared" si="14"/>
        <v>0</v>
      </c>
      <c r="Q78" s="249">
        <f t="shared" si="14"/>
        <v>0</v>
      </c>
      <c r="R78" s="1242">
        <f t="shared" si="14"/>
        <v>0</v>
      </c>
      <c r="S78" s="419">
        <f t="shared" si="14"/>
        <v>0</v>
      </c>
      <c r="T78" s="249">
        <f t="shared" si="14"/>
        <v>0</v>
      </c>
      <c r="U78" s="249">
        <f t="shared" si="14"/>
        <v>0</v>
      </c>
      <c r="V78" s="249"/>
      <c r="W78" s="249"/>
      <c r="X78" s="249"/>
      <c r="Y78" s="249"/>
      <c r="Z78" s="249"/>
      <c r="AA78" s="249"/>
      <c r="AB78" s="249"/>
      <c r="AC78" s="249"/>
      <c r="AD78" s="249"/>
      <c r="AE78" s="249"/>
      <c r="AF78" s="249"/>
      <c r="AG78" s="249"/>
      <c r="AH78" s="335"/>
      <c r="AI78" s="249">
        <f t="shared" si="15"/>
        <v>0</v>
      </c>
      <c r="AJ78" s="249">
        <f t="shared" si="15"/>
        <v>0</v>
      </c>
      <c r="AK78" s="249">
        <f t="shared" si="15"/>
        <v>0</v>
      </c>
      <c r="AL78" s="1242">
        <f t="shared" si="15"/>
        <v>0</v>
      </c>
      <c r="AM78" s="419">
        <f t="shared" si="15"/>
        <v>0</v>
      </c>
      <c r="AN78" s="249">
        <f t="shared" si="15"/>
        <v>0</v>
      </c>
      <c r="AO78" s="249">
        <f t="shared" si="15"/>
        <v>0</v>
      </c>
      <c r="AP78" s="249">
        <f t="shared" si="15"/>
        <v>0</v>
      </c>
      <c r="AQ78" s="249">
        <f t="shared" si="15"/>
        <v>0</v>
      </c>
      <c r="AR78" s="249">
        <f t="shared" si="15"/>
        <v>0</v>
      </c>
      <c r="AS78" s="249">
        <f t="shared" si="15"/>
        <v>0</v>
      </c>
      <c r="AT78" s="249">
        <f t="shared" si="15"/>
        <v>0</v>
      </c>
      <c r="AU78" s="1242">
        <f t="shared" si="15"/>
        <v>0</v>
      </c>
      <c r="AV78" s="419">
        <f t="shared" si="15"/>
        <v>0</v>
      </c>
      <c r="AW78" s="249">
        <f t="shared" si="15"/>
        <v>0</v>
      </c>
      <c r="AX78" s="249">
        <f t="shared" si="15"/>
        <v>0</v>
      </c>
      <c r="AY78" s="249">
        <f t="shared" ref="AY78:BG78" si="42">AY12*AY$59/100</f>
        <v>0</v>
      </c>
      <c r="AZ78" s="249">
        <f t="shared" si="42"/>
        <v>0</v>
      </c>
      <c r="BA78" s="1242">
        <f t="shared" si="42"/>
        <v>0</v>
      </c>
      <c r="BB78" s="419">
        <f t="shared" si="42"/>
        <v>0</v>
      </c>
      <c r="BC78" s="249">
        <f t="shared" si="42"/>
        <v>0</v>
      </c>
      <c r="BD78" s="249">
        <f t="shared" si="42"/>
        <v>0</v>
      </c>
      <c r="BE78" s="249">
        <f t="shared" si="42"/>
        <v>0</v>
      </c>
      <c r="BF78" s="249">
        <f t="shared" si="42"/>
        <v>0</v>
      </c>
      <c r="BG78" s="249">
        <f t="shared" si="42"/>
        <v>0</v>
      </c>
      <c r="BH78" s="249">
        <f t="shared" ref="BH78:BJ78" si="43">BH12*BH$59/100</f>
        <v>0</v>
      </c>
      <c r="BI78" s="249">
        <f t="shared" si="43"/>
        <v>0</v>
      </c>
      <c r="BJ78" s="249">
        <f t="shared" si="43"/>
        <v>0</v>
      </c>
      <c r="BK78" s="335"/>
      <c r="BL78" s="249">
        <f t="shared" si="18"/>
        <v>76.994137872340417</v>
      </c>
      <c r="BM78" s="249">
        <f t="shared" si="18"/>
        <v>63.463660416666663</v>
      </c>
      <c r="BN78" s="249">
        <f t="shared" si="18"/>
        <v>63.57654527777779</v>
      </c>
      <c r="BO78" s="1242">
        <f t="shared" si="18"/>
        <v>63.790240000000011</v>
      </c>
      <c r="BP78" s="419">
        <f t="shared" si="18"/>
        <v>48.113999999999997</v>
      </c>
      <c r="BQ78" s="249">
        <f t="shared" si="18"/>
        <v>49.257413333333332</v>
      </c>
      <c r="BR78" s="249">
        <f t="shared" si="18"/>
        <v>50.132644067796612</v>
      </c>
      <c r="BS78" s="249">
        <f t="shared" si="18"/>
        <v>48.21264</v>
      </c>
      <c r="BT78" s="249">
        <f t="shared" si="18"/>
        <v>47.280509865470847</v>
      </c>
      <c r="BU78" s="249">
        <f t="shared" si="18"/>
        <v>48.667372499999999</v>
      </c>
      <c r="BV78" s="249">
        <f t="shared" si="18"/>
        <v>49.570640000000004</v>
      </c>
      <c r="BW78" s="249">
        <f t="shared" si="18"/>
        <v>48.284675</v>
      </c>
      <c r="BX78" s="1242">
        <f t="shared" si="18"/>
        <v>49.523175000000002</v>
      </c>
      <c r="BY78" s="419">
        <f t="shared" si="18"/>
        <v>3.7023000000000001</v>
      </c>
      <c r="BZ78" s="249">
        <f t="shared" si="18"/>
        <v>0</v>
      </c>
      <c r="CA78" s="249">
        <f t="shared" si="18"/>
        <v>0</v>
      </c>
      <c r="CB78" s="249">
        <f t="shared" si="18"/>
        <v>0</v>
      </c>
      <c r="CC78" s="249">
        <f t="shared" ref="CC78:CJ78" si="44">CC12*CC$59/100</f>
        <v>0</v>
      </c>
      <c r="CD78" s="1242">
        <f t="shared" si="44"/>
        <v>0</v>
      </c>
      <c r="CE78" s="419">
        <f t="shared" si="44"/>
        <v>0</v>
      </c>
      <c r="CF78" s="249">
        <f t="shared" si="44"/>
        <v>0</v>
      </c>
      <c r="CG78" s="249">
        <f t="shared" si="44"/>
        <v>0</v>
      </c>
      <c r="CH78" s="249">
        <f t="shared" si="44"/>
        <v>0</v>
      </c>
      <c r="CI78" s="249">
        <f t="shared" si="44"/>
        <v>0</v>
      </c>
      <c r="CJ78" s="249">
        <f t="shared" si="44"/>
        <v>0</v>
      </c>
      <c r="CK78" s="249">
        <f t="shared" ref="CK78:CM78" si="45">CK12*CK$59/100</f>
        <v>0</v>
      </c>
      <c r="CL78" s="249">
        <f t="shared" si="45"/>
        <v>0</v>
      </c>
      <c r="CM78" s="249">
        <f t="shared" si="45"/>
        <v>0</v>
      </c>
      <c r="CN78" s="325"/>
      <c r="CO78" s="249">
        <f t="shared" si="21"/>
        <v>0</v>
      </c>
      <c r="CP78" s="249">
        <f t="shared" si="21"/>
        <v>1.9435000000000002</v>
      </c>
      <c r="CQ78" s="249">
        <f t="shared" si="21"/>
        <v>0.85599999999999998</v>
      </c>
      <c r="CR78" s="1242">
        <f t="shared" si="21"/>
        <v>1.0313333333333334</v>
      </c>
      <c r="CS78" s="419">
        <f t="shared" si="21"/>
        <v>1.4209999999999996</v>
      </c>
      <c r="CT78" s="249">
        <f t="shared" si="21"/>
        <v>1.2264999999999999</v>
      </c>
      <c r="CU78" s="249">
        <f t="shared" si="21"/>
        <v>1.5974117647058825</v>
      </c>
      <c r="CV78" s="249">
        <f t="shared" si="21"/>
        <v>1.1212500000000001</v>
      </c>
      <c r="CW78" s="249">
        <f t="shared" si="21"/>
        <v>2.0271159874608151</v>
      </c>
      <c r="CX78" s="249">
        <f t="shared" si="21"/>
        <v>1.5441666666666669</v>
      </c>
      <c r="CY78" s="249">
        <f t="shared" si="21"/>
        <v>1.0730000000000002</v>
      </c>
      <c r="CZ78" s="249">
        <f t="shared" si="21"/>
        <v>1.1385000000000001</v>
      </c>
      <c r="DA78" s="1242">
        <f t="shared" si="21"/>
        <v>1.0349999999999999</v>
      </c>
      <c r="DB78" s="419">
        <f t="shared" si="21"/>
        <v>0</v>
      </c>
      <c r="DC78" s="249">
        <f t="shared" si="21"/>
        <v>0</v>
      </c>
      <c r="DD78" s="249">
        <f t="shared" si="21"/>
        <v>0</v>
      </c>
      <c r="DE78" s="249">
        <f t="shared" si="21"/>
        <v>0</v>
      </c>
      <c r="DF78" s="249">
        <f t="shared" ref="DF78:DM78" si="46">DF$59*DF12/100</f>
        <v>0</v>
      </c>
      <c r="DG78" s="1242">
        <f t="shared" si="46"/>
        <v>0</v>
      </c>
      <c r="DH78" s="419">
        <f t="shared" si="46"/>
        <v>0</v>
      </c>
      <c r="DI78" s="249">
        <f t="shared" si="46"/>
        <v>0</v>
      </c>
      <c r="DJ78" s="249">
        <f t="shared" si="46"/>
        <v>0</v>
      </c>
      <c r="DK78" s="249">
        <f t="shared" si="46"/>
        <v>0</v>
      </c>
      <c r="DL78" s="249">
        <f t="shared" si="46"/>
        <v>0</v>
      </c>
      <c r="DM78" s="249">
        <f t="shared" si="46"/>
        <v>0</v>
      </c>
      <c r="DN78" s="249">
        <f t="shared" ref="DN78:DP78" si="47">DN$59*DN12/100</f>
        <v>0</v>
      </c>
      <c r="DO78" s="249">
        <f t="shared" si="47"/>
        <v>0</v>
      </c>
      <c r="DP78" s="249">
        <f t="shared" si="47"/>
        <v>0</v>
      </c>
      <c r="DQ78" s="335"/>
      <c r="DR78" s="336"/>
      <c r="FF78" s="251"/>
      <c r="FG78" s="251"/>
      <c r="FH78" s="1267"/>
      <c r="FX78" s="1" t="s">
        <v>181</v>
      </c>
    </row>
    <row r="79" spans="3:180" x14ac:dyDescent="0.35">
      <c r="C79" s="1" t="s">
        <v>169</v>
      </c>
      <c r="F79" s="501">
        <f t="shared" si="14"/>
        <v>0</v>
      </c>
      <c r="G79" s="249">
        <f t="shared" si="14"/>
        <v>0</v>
      </c>
      <c r="H79" s="249">
        <f t="shared" si="14"/>
        <v>0</v>
      </c>
      <c r="I79" s="1242">
        <f t="shared" si="14"/>
        <v>0</v>
      </c>
      <c r="J79" s="419">
        <f t="shared" si="14"/>
        <v>0</v>
      </c>
      <c r="K79" s="249">
        <f t="shared" si="14"/>
        <v>0</v>
      </c>
      <c r="L79" s="249">
        <f t="shared" si="14"/>
        <v>0</v>
      </c>
      <c r="M79" s="249">
        <f t="shared" si="14"/>
        <v>0</v>
      </c>
      <c r="N79" s="249">
        <f t="shared" si="14"/>
        <v>0</v>
      </c>
      <c r="O79" s="249">
        <f t="shared" si="14"/>
        <v>0</v>
      </c>
      <c r="P79" s="249">
        <f t="shared" si="14"/>
        <v>0</v>
      </c>
      <c r="Q79" s="249">
        <f t="shared" si="14"/>
        <v>0</v>
      </c>
      <c r="R79" s="1242">
        <f t="shared" si="14"/>
        <v>0</v>
      </c>
      <c r="S79" s="419">
        <f t="shared" si="14"/>
        <v>0</v>
      </c>
      <c r="T79" s="249">
        <f t="shared" si="14"/>
        <v>0</v>
      </c>
      <c r="U79" s="249">
        <f t="shared" si="14"/>
        <v>0</v>
      </c>
      <c r="V79" s="249"/>
      <c r="W79" s="249"/>
      <c r="X79" s="249"/>
      <c r="Y79" s="249"/>
      <c r="Z79" s="249"/>
      <c r="AA79" s="249"/>
      <c r="AB79" s="249"/>
      <c r="AC79" s="249"/>
      <c r="AD79" s="249"/>
      <c r="AE79" s="249"/>
      <c r="AF79" s="249"/>
      <c r="AG79" s="249"/>
      <c r="AH79" s="335"/>
      <c r="AI79" s="249">
        <f t="shared" si="15"/>
        <v>0</v>
      </c>
      <c r="AJ79" s="249">
        <f t="shared" si="15"/>
        <v>0</v>
      </c>
      <c r="AK79" s="249">
        <f t="shared" si="15"/>
        <v>0</v>
      </c>
      <c r="AL79" s="1242">
        <f t="shared" si="15"/>
        <v>0</v>
      </c>
      <c r="AM79" s="419">
        <f t="shared" si="15"/>
        <v>0</v>
      </c>
      <c r="AN79" s="249">
        <f t="shared" si="15"/>
        <v>0</v>
      </c>
      <c r="AO79" s="249">
        <f t="shared" si="15"/>
        <v>0</v>
      </c>
      <c r="AP79" s="249">
        <f t="shared" si="15"/>
        <v>0</v>
      </c>
      <c r="AQ79" s="249">
        <f t="shared" si="15"/>
        <v>0</v>
      </c>
      <c r="AR79" s="249">
        <f t="shared" si="15"/>
        <v>0</v>
      </c>
      <c r="AS79" s="249">
        <f t="shared" si="15"/>
        <v>0</v>
      </c>
      <c r="AT79" s="249">
        <f t="shared" si="15"/>
        <v>0</v>
      </c>
      <c r="AU79" s="1242">
        <f t="shared" si="15"/>
        <v>0</v>
      </c>
      <c r="AV79" s="419">
        <f t="shared" si="15"/>
        <v>0</v>
      </c>
      <c r="AW79" s="249">
        <f t="shared" si="15"/>
        <v>0</v>
      </c>
      <c r="AX79" s="249">
        <f t="shared" si="15"/>
        <v>0</v>
      </c>
      <c r="AY79" s="249">
        <f t="shared" ref="AY79:BG79" si="48">AY13*AY$59/100</f>
        <v>0</v>
      </c>
      <c r="AZ79" s="249">
        <f t="shared" si="48"/>
        <v>0</v>
      </c>
      <c r="BA79" s="1242">
        <f t="shared" si="48"/>
        <v>0</v>
      </c>
      <c r="BB79" s="419">
        <f t="shared" si="48"/>
        <v>0</v>
      </c>
      <c r="BC79" s="249">
        <f t="shared" si="48"/>
        <v>0</v>
      </c>
      <c r="BD79" s="249">
        <f t="shared" si="48"/>
        <v>0</v>
      </c>
      <c r="BE79" s="249">
        <f t="shared" si="48"/>
        <v>0</v>
      </c>
      <c r="BF79" s="249">
        <f t="shared" si="48"/>
        <v>0</v>
      </c>
      <c r="BG79" s="249">
        <f t="shared" si="48"/>
        <v>0</v>
      </c>
      <c r="BH79" s="249">
        <f t="shared" ref="BH79:BJ79" si="49">BH13*BH$59/100</f>
        <v>0</v>
      </c>
      <c r="BI79" s="249">
        <f t="shared" si="49"/>
        <v>0</v>
      </c>
      <c r="BJ79" s="249">
        <f t="shared" si="49"/>
        <v>0</v>
      </c>
      <c r="BK79" s="335"/>
      <c r="BL79" s="249">
        <f t="shared" si="18"/>
        <v>50.369011063829788</v>
      </c>
      <c r="BM79" s="249">
        <f t="shared" si="18"/>
        <v>44.879372916666661</v>
      </c>
      <c r="BN79" s="249">
        <f t="shared" si="18"/>
        <v>48.87930444444445</v>
      </c>
      <c r="BO79" s="1242">
        <f t="shared" si="18"/>
        <v>50.869118333333333</v>
      </c>
      <c r="BP79" s="419">
        <f t="shared" si="18"/>
        <v>23.531199999999998</v>
      </c>
      <c r="BQ79" s="249">
        <f t="shared" si="18"/>
        <v>23.795513777777774</v>
      </c>
      <c r="BR79" s="249">
        <f t="shared" si="18"/>
        <v>24.625423728813558</v>
      </c>
      <c r="BS79" s="249">
        <f t="shared" si="18"/>
        <v>23.847840000000001</v>
      </c>
      <c r="BT79" s="249">
        <f t="shared" si="18"/>
        <v>23.479480717488787</v>
      </c>
      <c r="BU79" s="249">
        <f t="shared" si="18"/>
        <v>24.133485</v>
      </c>
      <c r="BV79" s="249">
        <f t="shared" si="18"/>
        <v>24.717163333333332</v>
      </c>
      <c r="BW79" s="249">
        <f t="shared" si="18"/>
        <v>23.890185000000002</v>
      </c>
      <c r="BX79" s="1242">
        <f t="shared" si="18"/>
        <v>24.161962500000001</v>
      </c>
      <c r="BY79" s="419">
        <f t="shared" si="18"/>
        <v>3.7023000000000001</v>
      </c>
      <c r="BZ79" s="249">
        <f t="shared" si="18"/>
        <v>0</v>
      </c>
      <c r="CA79" s="249">
        <f t="shared" si="18"/>
        <v>0</v>
      </c>
      <c r="CB79" s="249">
        <f t="shared" si="18"/>
        <v>0</v>
      </c>
      <c r="CC79" s="249">
        <f t="shared" ref="CC79:CJ79" si="50">CC13*CC$59/100</f>
        <v>0</v>
      </c>
      <c r="CD79" s="1242">
        <f t="shared" si="50"/>
        <v>0</v>
      </c>
      <c r="CE79" s="419">
        <f t="shared" si="50"/>
        <v>0</v>
      </c>
      <c r="CF79" s="249">
        <f t="shared" si="50"/>
        <v>0</v>
      </c>
      <c r="CG79" s="249">
        <f t="shared" si="50"/>
        <v>0</v>
      </c>
      <c r="CH79" s="249">
        <f t="shared" si="50"/>
        <v>0</v>
      </c>
      <c r="CI79" s="249">
        <f t="shared" si="50"/>
        <v>0</v>
      </c>
      <c r="CJ79" s="249">
        <f t="shared" si="50"/>
        <v>0</v>
      </c>
      <c r="CK79" s="249">
        <f t="shared" ref="CK79:CM79" si="51">CK13*CK$59/100</f>
        <v>0</v>
      </c>
      <c r="CL79" s="249">
        <f t="shared" si="51"/>
        <v>0</v>
      </c>
      <c r="CM79" s="249">
        <f t="shared" si="51"/>
        <v>0</v>
      </c>
      <c r="CN79" s="325"/>
      <c r="CO79" s="249">
        <f t="shared" si="21"/>
        <v>0</v>
      </c>
      <c r="CP79" s="249">
        <f t="shared" si="21"/>
        <v>1.4083333333333335E-2</v>
      </c>
      <c r="CQ79" s="249">
        <f t="shared" si="21"/>
        <v>0</v>
      </c>
      <c r="CR79" s="1242">
        <f t="shared" si="21"/>
        <v>0</v>
      </c>
      <c r="CS79" s="419">
        <f t="shared" si="21"/>
        <v>0</v>
      </c>
      <c r="CT79" s="249">
        <f t="shared" si="21"/>
        <v>0</v>
      </c>
      <c r="CU79" s="249">
        <f t="shared" si="21"/>
        <v>0</v>
      </c>
      <c r="CV79" s="249">
        <f t="shared" si="21"/>
        <v>0</v>
      </c>
      <c r="CW79" s="249">
        <f t="shared" si="21"/>
        <v>0</v>
      </c>
      <c r="CX79" s="249">
        <f t="shared" si="21"/>
        <v>0</v>
      </c>
      <c r="CY79" s="249">
        <f t="shared" si="21"/>
        <v>0</v>
      </c>
      <c r="CZ79" s="249">
        <f t="shared" si="21"/>
        <v>0</v>
      </c>
      <c r="DA79" s="1242">
        <f t="shared" si="21"/>
        <v>0</v>
      </c>
      <c r="DB79" s="419">
        <f t="shared" si="21"/>
        <v>0</v>
      </c>
      <c r="DC79" s="249">
        <f t="shared" si="21"/>
        <v>0</v>
      </c>
      <c r="DD79" s="249">
        <f t="shared" si="21"/>
        <v>0</v>
      </c>
      <c r="DE79" s="249">
        <f t="shared" si="21"/>
        <v>0</v>
      </c>
      <c r="DF79" s="249">
        <f t="shared" ref="DF79:DM79" si="52">DF$59*DF13/100</f>
        <v>0</v>
      </c>
      <c r="DG79" s="1242">
        <f t="shared" si="52"/>
        <v>0</v>
      </c>
      <c r="DH79" s="419">
        <f t="shared" si="52"/>
        <v>0</v>
      </c>
      <c r="DI79" s="249">
        <f t="shared" si="52"/>
        <v>0</v>
      </c>
      <c r="DJ79" s="249">
        <f t="shared" si="52"/>
        <v>0</v>
      </c>
      <c r="DK79" s="249">
        <f t="shared" si="52"/>
        <v>0</v>
      </c>
      <c r="DL79" s="249">
        <f t="shared" si="52"/>
        <v>0</v>
      </c>
      <c r="DM79" s="249">
        <f t="shared" si="52"/>
        <v>0</v>
      </c>
      <c r="DN79" s="249">
        <f t="shared" ref="DN79:DP79" si="53">DN$59*DN13/100</f>
        <v>0</v>
      </c>
      <c r="DO79" s="249">
        <f t="shared" si="53"/>
        <v>0</v>
      </c>
      <c r="DP79" s="249">
        <f t="shared" si="53"/>
        <v>0</v>
      </c>
      <c r="DQ79" s="335"/>
      <c r="DR79" s="336"/>
      <c r="FF79" s="251"/>
      <c r="FG79" s="251"/>
      <c r="FH79" s="1267"/>
      <c r="FX79" s="1" t="s">
        <v>182</v>
      </c>
    </row>
    <row r="80" spans="3:180" x14ac:dyDescent="0.35">
      <c r="C80" s="1" t="s">
        <v>395</v>
      </c>
      <c r="F80" s="501">
        <f t="shared" si="14"/>
        <v>0</v>
      </c>
      <c r="G80" s="249">
        <f t="shared" si="14"/>
        <v>0</v>
      </c>
      <c r="H80" s="249">
        <f t="shared" si="14"/>
        <v>0</v>
      </c>
      <c r="I80" s="1242">
        <f t="shared" si="14"/>
        <v>0</v>
      </c>
      <c r="J80" s="419">
        <f t="shared" si="14"/>
        <v>0</v>
      </c>
      <c r="K80" s="249">
        <f t="shared" si="14"/>
        <v>0</v>
      </c>
      <c r="L80" s="249">
        <f t="shared" si="14"/>
        <v>0</v>
      </c>
      <c r="M80" s="249">
        <f t="shared" si="14"/>
        <v>0</v>
      </c>
      <c r="N80" s="249">
        <f t="shared" si="14"/>
        <v>0</v>
      </c>
      <c r="O80" s="249">
        <f t="shared" si="14"/>
        <v>0</v>
      </c>
      <c r="P80" s="249">
        <f t="shared" si="14"/>
        <v>0</v>
      </c>
      <c r="Q80" s="249">
        <f t="shared" si="14"/>
        <v>0</v>
      </c>
      <c r="R80" s="1242">
        <f t="shared" si="14"/>
        <v>0</v>
      </c>
      <c r="S80" s="419">
        <f t="shared" si="14"/>
        <v>0</v>
      </c>
      <c r="T80" s="249">
        <f t="shared" si="14"/>
        <v>0</v>
      </c>
      <c r="U80" s="249">
        <f t="shared" si="14"/>
        <v>0</v>
      </c>
      <c r="V80" s="249"/>
      <c r="W80" s="249"/>
      <c r="X80" s="249"/>
      <c r="Y80" s="249"/>
      <c r="Z80" s="249"/>
      <c r="AA80" s="249"/>
      <c r="AB80" s="249"/>
      <c r="AC80" s="249"/>
      <c r="AD80" s="249"/>
      <c r="AE80" s="249"/>
      <c r="AF80" s="249"/>
      <c r="AG80" s="249"/>
      <c r="AH80" s="335"/>
      <c r="AI80" s="249">
        <f t="shared" si="15"/>
        <v>0</v>
      </c>
      <c r="AJ80" s="249">
        <f t="shared" si="15"/>
        <v>0</v>
      </c>
      <c r="AK80" s="249">
        <f t="shared" si="15"/>
        <v>0</v>
      </c>
      <c r="AL80" s="1242">
        <f t="shared" si="15"/>
        <v>0</v>
      </c>
      <c r="AM80" s="419">
        <f t="shared" si="15"/>
        <v>0</v>
      </c>
      <c r="AN80" s="249">
        <f t="shared" si="15"/>
        <v>0</v>
      </c>
      <c r="AO80" s="249">
        <f t="shared" si="15"/>
        <v>0</v>
      </c>
      <c r="AP80" s="249">
        <f t="shared" si="15"/>
        <v>0</v>
      </c>
      <c r="AQ80" s="249">
        <f t="shared" si="15"/>
        <v>0</v>
      </c>
      <c r="AR80" s="249">
        <f t="shared" si="15"/>
        <v>0</v>
      </c>
      <c r="AS80" s="249">
        <f t="shared" si="15"/>
        <v>0</v>
      </c>
      <c r="AT80" s="249">
        <f t="shared" si="15"/>
        <v>0</v>
      </c>
      <c r="AU80" s="1242">
        <f t="shared" si="15"/>
        <v>0</v>
      </c>
      <c r="AV80" s="419">
        <f t="shared" si="15"/>
        <v>0</v>
      </c>
      <c r="AW80" s="249">
        <f t="shared" si="15"/>
        <v>0</v>
      </c>
      <c r="AX80" s="249">
        <f t="shared" si="15"/>
        <v>0</v>
      </c>
      <c r="AY80" s="249">
        <f t="shared" ref="AY80:BG80" si="54">AY14*AY$59/100</f>
        <v>0</v>
      </c>
      <c r="AZ80" s="249">
        <f t="shared" si="54"/>
        <v>0</v>
      </c>
      <c r="BA80" s="1242">
        <f t="shared" si="54"/>
        <v>0</v>
      </c>
      <c r="BB80" s="419">
        <f t="shared" si="54"/>
        <v>0</v>
      </c>
      <c r="BC80" s="249">
        <f t="shared" si="54"/>
        <v>0</v>
      </c>
      <c r="BD80" s="249">
        <f t="shared" si="54"/>
        <v>0</v>
      </c>
      <c r="BE80" s="249">
        <f t="shared" si="54"/>
        <v>0</v>
      </c>
      <c r="BF80" s="249">
        <f t="shared" si="54"/>
        <v>0</v>
      </c>
      <c r="BG80" s="249">
        <f t="shared" si="54"/>
        <v>0</v>
      </c>
      <c r="BH80" s="249">
        <f t="shared" ref="BH80:BJ80" si="55">BH14*BH$59/100</f>
        <v>0</v>
      </c>
      <c r="BI80" s="249">
        <f t="shared" si="55"/>
        <v>0</v>
      </c>
      <c r="BJ80" s="249">
        <f t="shared" si="55"/>
        <v>0</v>
      </c>
      <c r="BK80" s="335"/>
      <c r="BL80" s="249">
        <f t="shared" si="18"/>
        <v>172.06597106382978</v>
      </c>
      <c r="BM80" s="249">
        <f t="shared" si="18"/>
        <v>165.48964791666668</v>
      </c>
      <c r="BN80" s="249">
        <f t="shared" si="18"/>
        <v>176.31309694444445</v>
      </c>
      <c r="BO80" s="1242">
        <f t="shared" si="18"/>
        <v>168.16318999999999</v>
      </c>
      <c r="BP80" s="419">
        <f t="shared" si="18"/>
        <v>46.037199999999991</v>
      </c>
      <c r="BQ80" s="249">
        <f t="shared" si="18"/>
        <v>39.974797333333349</v>
      </c>
      <c r="BR80" s="249">
        <f t="shared" si="18"/>
        <v>42.936711864406767</v>
      </c>
      <c r="BS80" s="249">
        <f t="shared" si="18"/>
        <v>44.199360000000006</v>
      </c>
      <c r="BT80" s="249">
        <f t="shared" si="18"/>
        <v>46.671071748878923</v>
      </c>
      <c r="BU80" s="249">
        <f t="shared" si="18"/>
        <v>47.495714999999997</v>
      </c>
      <c r="BV80" s="249">
        <f t="shared" si="18"/>
        <v>46.665091666666648</v>
      </c>
      <c r="BW80" s="249">
        <f t="shared" si="18"/>
        <v>45.799275000000009</v>
      </c>
      <c r="BX80" s="1242">
        <f t="shared" si="18"/>
        <v>45.207337500000001</v>
      </c>
      <c r="BY80" s="419">
        <f t="shared" si="18"/>
        <v>147.84805</v>
      </c>
      <c r="BZ80" s="249">
        <f t="shared" si="18"/>
        <v>0</v>
      </c>
      <c r="CA80" s="249">
        <f t="shared" si="18"/>
        <v>0</v>
      </c>
      <c r="CB80" s="249">
        <f t="shared" si="18"/>
        <v>0</v>
      </c>
      <c r="CC80" s="249">
        <f t="shared" ref="CC80:CJ80" si="56">CC14*CC$59/100</f>
        <v>0</v>
      </c>
      <c r="CD80" s="1242">
        <f t="shared" si="56"/>
        <v>0</v>
      </c>
      <c r="CE80" s="419">
        <f t="shared" si="56"/>
        <v>0</v>
      </c>
      <c r="CF80" s="249">
        <f t="shared" si="56"/>
        <v>0</v>
      </c>
      <c r="CG80" s="249">
        <f t="shared" si="56"/>
        <v>0</v>
      </c>
      <c r="CH80" s="249">
        <f t="shared" si="56"/>
        <v>0</v>
      </c>
      <c r="CI80" s="249">
        <f t="shared" si="56"/>
        <v>0</v>
      </c>
      <c r="CJ80" s="249">
        <f t="shared" si="56"/>
        <v>0</v>
      </c>
      <c r="CK80" s="249">
        <f t="shared" ref="CK80:CM80" si="57">CK14*CK$59/100</f>
        <v>0</v>
      </c>
      <c r="CL80" s="249">
        <f t="shared" si="57"/>
        <v>0</v>
      </c>
      <c r="CM80" s="249">
        <f t="shared" si="57"/>
        <v>0</v>
      </c>
      <c r="CN80" s="325"/>
      <c r="CO80" s="249">
        <f t="shared" si="21"/>
        <v>0</v>
      </c>
      <c r="CP80" s="249">
        <f t="shared" si="21"/>
        <v>0</v>
      </c>
      <c r="CQ80" s="249">
        <f t="shared" si="21"/>
        <v>0</v>
      </c>
      <c r="CR80" s="1242">
        <f t="shared" si="21"/>
        <v>0</v>
      </c>
      <c r="CS80" s="419">
        <f t="shared" si="21"/>
        <v>0</v>
      </c>
      <c r="CT80" s="249">
        <f t="shared" si="21"/>
        <v>0</v>
      </c>
      <c r="CU80" s="249">
        <f t="shared" si="21"/>
        <v>0</v>
      </c>
      <c r="CV80" s="249">
        <f t="shared" si="21"/>
        <v>0</v>
      </c>
      <c r="CW80" s="249">
        <f t="shared" si="21"/>
        <v>0</v>
      </c>
      <c r="CX80" s="249">
        <f t="shared" si="21"/>
        <v>0</v>
      </c>
      <c r="CY80" s="249">
        <f t="shared" si="21"/>
        <v>0</v>
      </c>
      <c r="CZ80" s="249">
        <f t="shared" si="21"/>
        <v>0</v>
      </c>
      <c r="DA80" s="1242">
        <f t="shared" si="21"/>
        <v>0</v>
      </c>
      <c r="DB80" s="419">
        <f t="shared" si="21"/>
        <v>0</v>
      </c>
      <c r="DC80" s="249">
        <f t="shared" si="21"/>
        <v>0</v>
      </c>
      <c r="DD80" s="249">
        <f t="shared" si="21"/>
        <v>0</v>
      </c>
      <c r="DE80" s="249">
        <f t="shared" si="21"/>
        <v>0</v>
      </c>
      <c r="DF80" s="249">
        <f t="shared" ref="DF80:DM80" si="58">DF$59*DF14/100</f>
        <v>0</v>
      </c>
      <c r="DG80" s="1242">
        <f t="shared" si="58"/>
        <v>0</v>
      </c>
      <c r="DH80" s="419">
        <f t="shared" si="58"/>
        <v>0</v>
      </c>
      <c r="DI80" s="249">
        <f t="shared" si="58"/>
        <v>0</v>
      </c>
      <c r="DJ80" s="249">
        <f t="shared" si="58"/>
        <v>0</v>
      </c>
      <c r="DK80" s="249">
        <f t="shared" si="58"/>
        <v>0</v>
      </c>
      <c r="DL80" s="249">
        <f t="shared" si="58"/>
        <v>0</v>
      </c>
      <c r="DM80" s="249">
        <f t="shared" si="58"/>
        <v>0</v>
      </c>
      <c r="DN80" s="249">
        <f t="shared" ref="DN80:DP80" si="59">DN$59*DN14/100</f>
        <v>0</v>
      </c>
      <c r="DO80" s="249">
        <f t="shared" si="59"/>
        <v>0</v>
      </c>
      <c r="DP80" s="249">
        <f t="shared" si="59"/>
        <v>0</v>
      </c>
      <c r="DQ80" s="335"/>
      <c r="DR80" s="336"/>
      <c r="FF80" s="251"/>
      <c r="FG80" s="251"/>
      <c r="FH80" s="1267"/>
      <c r="FX80" s="1" t="s">
        <v>346</v>
      </c>
    </row>
    <row r="81" spans="3:179" ht="15" thickBot="1" x14ac:dyDescent="0.4">
      <c r="C81" s="1" t="s">
        <v>167</v>
      </c>
      <c r="F81" s="1041" t="e" vm="2">
        <f t="shared" ref="F81" ca="1" si="60">SUM(F74:F80)</f>
        <v>#VALUE!</v>
      </c>
      <c r="G81" s="389">
        <f t="shared" ref="G81:U81" si="61">SUM(G74:G80)</f>
        <v>0</v>
      </c>
      <c r="H81" s="389">
        <f t="shared" si="61"/>
        <v>0</v>
      </c>
      <c r="I81" s="1261">
        <f t="shared" si="61"/>
        <v>0</v>
      </c>
      <c r="J81" s="1207">
        <f t="shared" si="61"/>
        <v>0</v>
      </c>
      <c r="K81" s="389">
        <f t="shared" si="61"/>
        <v>0</v>
      </c>
      <c r="L81" s="389">
        <f t="shared" si="61"/>
        <v>0</v>
      </c>
      <c r="M81" s="389">
        <f t="shared" si="61"/>
        <v>0</v>
      </c>
      <c r="N81" s="389">
        <f t="shared" si="61"/>
        <v>0</v>
      </c>
      <c r="O81" s="389">
        <f t="shared" si="61"/>
        <v>0</v>
      </c>
      <c r="P81" s="389">
        <f t="shared" si="61"/>
        <v>0</v>
      </c>
      <c r="Q81" s="389">
        <f t="shared" si="61"/>
        <v>0</v>
      </c>
      <c r="R81" s="1261">
        <f t="shared" si="61"/>
        <v>0</v>
      </c>
      <c r="S81" s="1207">
        <f t="shared" si="61"/>
        <v>0</v>
      </c>
      <c r="T81" s="389">
        <f t="shared" si="61"/>
        <v>0</v>
      </c>
      <c r="U81" s="389">
        <f t="shared" si="61"/>
        <v>0</v>
      </c>
      <c r="V81" s="389"/>
      <c r="W81" s="389"/>
      <c r="X81" s="389"/>
      <c r="Y81" s="389"/>
      <c r="Z81" s="389"/>
      <c r="AA81" s="389"/>
      <c r="AB81" s="389"/>
      <c r="AC81" s="389"/>
      <c r="AD81" s="389"/>
      <c r="AE81" s="389"/>
      <c r="AF81" s="389"/>
      <c r="AG81" s="389"/>
      <c r="AH81" s="390"/>
      <c r="AI81" s="389">
        <f t="shared" ref="AI81:CB81" si="62">SUM(AI74:AI80)</f>
        <v>0</v>
      </c>
      <c r="AJ81" s="389">
        <f t="shared" si="62"/>
        <v>0</v>
      </c>
      <c r="AK81" s="389">
        <f t="shared" si="62"/>
        <v>0</v>
      </c>
      <c r="AL81" s="1261">
        <f t="shared" si="62"/>
        <v>0</v>
      </c>
      <c r="AM81" s="1207">
        <f t="shared" si="62"/>
        <v>0</v>
      </c>
      <c r="AN81" s="389">
        <f t="shared" si="62"/>
        <v>0</v>
      </c>
      <c r="AO81" s="389">
        <f t="shared" si="62"/>
        <v>0</v>
      </c>
      <c r="AP81" s="389">
        <f t="shared" si="62"/>
        <v>0</v>
      </c>
      <c r="AQ81" s="389">
        <f t="shared" si="62"/>
        <v>0</v>
      </c>
      <c r="AR81" s="389">
        <f t="shared" si="62"/>
        <v>0</v>
      </c>
      <c r="AS81" s="389">
        <f t="shared" si="62"/>
        <v>0</v>
      </c>
      <c r="AT81" s="389">
        <f t="shared" si="62"/>
        <v>0</v>
      </c>
      <c r="AU81" s="1261">
        <f t="shared" si="62"/>
        <v>0</v>
      </c>
      <c r="AV81" s="1207">
        <f t="shared" si="62"/>
        <v>0</v>
      </c>
      <c r="AW81" s="389">
        <f t="shared" si="62"/>
        <v>0</v>
      </c>
      <c r="AX81" s="389">
        <f t="shared" si="62"/>
        <v>0</v>
      </c>
      <c r="AY81" s="389">
        <f t="shared" ref="AY81:BG81" si="63">SUM(AY74:AY80)</f>
        <v>0</v>
      </c>
      <c r="AZ81" s="389">
        <f t="shared" si="63"/>
        <v>0</v>
      </c>
      <c r="BA81" s="1261">
        <f t="shared" si="63"/>
        <v>0</v>
      </c>
      <c r="BB81" s="1207">
        <f t="shared" si="63"/>
        <v>0</v>
      </c>
      <c r="BC81" s="389">
        <f t="shared" si="63"/>
        <v>0</v>
      </c>
      <c r="BD81" s="389">
        <f t="shared" si="63"/>
        <v>0</v>
      </c>
      <c r="BE81" s="389">
        <f t="shared" si="63"/>
        <v>0</v>
      </c>
      <c r="BF81" s="389">
        <f t="shared" si="63"/>
        <v>0</v>
      </c>
      <c r="BG81" s="389">
        <f t="shared" si="63"/>
        <v>0</v>
      </c>
      <c r="BH81" s="389">
        <f t="shared" ref="BH81:BJ81" si="64">SUM(BH74:BH80)</f>
        <v>0</v>
      </c>
      <c r="BI81" s="389">
        <f t="shared" si="64"/>
        <v>0</v>
      </c>
      <c r="BJ81" s="389">
        <f t="shared" si="64"/>
        <v>0</v>
      </c>
      <c r="BK81" s="390"/>
      <c r="BL81" s="389">
        <f t="shared" si="62"/>
        <v>354.61446808510635</v>
      </c>
      <c r="BM81" s="389">
        <f t="shared" si="62"/>
        <v>322.38333333333333</v>
      </c>
      <c r="BN81" s="389">
        <f t="shared" si="62"/>
        <v>340.36333333333334</v>
      </c>
      <c r="BO81" s="1261">
        <f t="shared" si="62"/>
        <v>336.59333333333336</v>
      </c>
      <c r="BP81" s="1207">
        <f t="shared" si="62"/>
        <v>170.13333333333333</v>
      </c>
      <c r="BQ81" s="389">
        <f t="shared" si="62"/>
        <v>166.00888888888889</v>
      </c>
      <c r="BR81" s="389">
        <f t="shared" si="62"/>
        <v>171.0508474576271</v>
      </c>
      <c r="BS81" s="389">
        <f t="shared" si="62"/>
        <v>167.04000000000002</v>
      </c>
      <c r="BT81" s="389">
        <f t="shared" si="62"/>
        <v>166.14529147982063</v>
      </c>
      <c r="BU81" s="389">
        <f t="shared" si="62"/>
        <v>171.39</v>
      </c>
      <c r="BV81" s="389">
        <f t="shared" si="62"/>
        <v>171.87333333333333</v>
      </c>
      <c r="BW81" s="389">
        <f t="shared" si="62"/>
        <v>167.62</v>
      </c>
      <c r="BX81" s="1261">
        <f t="shared" si="62"/>
        <v>169.65</v>
      </c>
      <c r="BY81" s="1207">
        <f t="shared" si="62"/>
        <v>166.46</v>
      </c>
      <c r="BZ81" s="389">
        <f t="shared" si="62"/>
        <v>0</v>
      </c>
      <c r="CA81" s="389">
        <f t="shared" si="62"/>
        <v>0</v>
      </c>
      <c r="CB81" s="389">
        <f t="shared" si="62"/>
        <v>0</v>
      </c>
      <c r="CC81" s="389">
        <f t="shared" ref="CC81:CJ81" si="65">SUM(CC74:CC80)</f>
        <v>0</v>
      </c>
      <c r="CD81" s="1261">
        <f t="shared" si="65"/>
        <v>0</v>
      </c>
      <c r="CE81" s="1207">
        <f t="shared" si="65"/>
        <v>0</v>
      </c>
      <c r="CF81" s="389">
        <f t="shared" si="65"/>
        <v>0</v>
      </c>
      <c r="CG81" s="389">
        <f t="shared" si="65"/>
        <v>0</v>
      </c>
      <c r="CH81" s="389">
        <f t="shared" si="65"/>
        <v>0</v>
      </c>
      <c r="CI81" s="389">
        <f t="shared" si="65"/>
        <v>0</v>
      </c>
      <c r="CJ81" s="389">
        <f t="shared" si="65"/>
        <v>0</v>
      </c>
      <c r="CK81" s="389">
        <f t="shared" ref="CK81:CM81" si="66">SUM(CK74:CK80)</f>
        <v>0</v>
      </c>
      <c r="CL81" s="389">
        <f t="shared" si="66"/>
        <v>0</v>
      </c>
      <c r="CM81" s="389">
        <f t="shared" si="66"/>
        <v>0</v>
      </c>
      <c r="CN81" s="391"/>
      <c r="CO81" s="389">
        <f t="shared" ref="CO81:DE81" si="67">SUM(CO74:CO80)</f>
        <v>0</v>
      </c>
      <c r="CP81" s="389">
        <f t="shared" si="67"/>
        <v>14.083333333333334</v>
      </c>
      <c r="CQ81" s="389">
        <f t="shared" si="67"/>
        <v>8</v>
      </c>
      <c r="CR81" s="1261">
        <f t="shared" si="67"/>
        <v>11.333333333333332</v>
      </c>
      <c r="CS81" s="1207">
        <f t="shared" si="67"/>
        <v>16.333333333333332</v>
      </c>
      <c r="CT81" s="389">
        <f t="shared" si="67"/>
        <v>18.583333333333336</v>
      </c>
      <c r="CU81" s="389">
        <f t="shared" si="67"/>
        <v>21.882352941176471</v>
      </c>
      <c r="CV81" s="389">
        <f t="shared" si="67"/>
        <v>16.25</v>
      </c>
      <c r="CW81" s="389">
        <f t="shared" si="67"/>
        <v>16.927899686520373</v>
      </c>
      <c r="CX81" s="389">
        <f t="shared" si="67"/>
        <v>18.166666666666664</v>
      </c>
      <c r="CY81" s="389">
        <f t="shared" si="67"/>
        <v>14.5</v>
      </c>
      <c r="CZ81" s="389">
        <f t="shared" si="67"/>
        <v>16.5</v>
      </c>
      <c r="DA81" s="1261">
        <f t="shared" si="67"/>
        <v>15</v>
      </c>
      <c r="DB81" s="1207">
        <f t="shared" si="67"/>
        <v>0</v>
      </c>
      <c r="DC81" s="389">
        <f t="shared" si="67"/>
        <v>0</v>
      </c>
      <c r="DD81" s="389">
        <f t="shared" si="67"/>
        <v>0</v>
      </c>
      <c r="DE81" s="389">
        <f t="shared" si="67"/>
        <v>0</v>
      </c>
      <c r="DF81" s="389">
        <f t="shared" ref="DF81:DM81" si="68">SUM(DF74:DF80)</f>
        <v>0</v>
      </c>
      <c r="DG81" s="1261">
        <f t="shared" si="68"/>
        <v>0</v>
      </c>
      <c r="DH81" s="1207">
        <f t="shared" si="68"/>
        <v>0</v>
      </c>
      <c r="DI81" s="389">
        <f t="shared" si="68"/>
        <v>0</v>
      </c>
      <c r="DJ81" s="389">
        <f t="shared" si="68"/>
        <v>0</v>
      </c>
      <c r="DK81" s="389">
        <f t="shared" si="68"/>
        <v>0</v>
      </c>
      <c r="DL81" s="389">
        <f t="shared" si="68"/>
        <v>0</v>
      </c>
      <c r="DM81" s="389">
        <f t="shared" si="68"/>
        <v>0</v>
      </c>
      <c r="DN81" s="389">
        <f t="shared" ref="DN81:DP81" si="69">SUM(DN74:DN80)</f>
        <v>0</v>
      </c>
      <c r="DO81" s="389">
        <f t="shared" si="69"/>
        <v>0</v>
      </c>
      <c r="DP81" s="389">
        <f t="shared" si="69"/>
        <v>0</v>
      </c>
      <c r="DQ81" s="344"/>
      <c r="DR81" s="345"/>
      <c r="DS81" s="225"/>
      <c r="DT81" s="225"/>
      <c r="DU81" s="225"/>
      <c r="DV81" s="1269"/>
      <c r="DW81" s="1214"/>
      <c r="DX81" s="225"/>
      <c r="DY81" s="225"/>
      <c r="DZ81" s="225"/>
      <c r="EA81" s="225"/>
      <c r="EB81" s="225"/>
      <c r="EC81" s="225"/>
      <c r="ED81" s="225"/>
      <c r="EE81" s="1269"/>
      <c r="EF81" s="1214"/>
      <c r="EG81" s="225"/>
      <c r="EH81" s="225"/>
      <c r="EI81" s="225"/>
      <c r="EJ81" s="225"/>
      <c r="EK81" s="1269"/>
      <c r="EL81" s="1214"/>
      <c r="EM81" s="225"/>
      <c r="EN81" s="225"/>
      <c r="EO81" s="225"/>
      <c r="EP81" s="225"/>
      <c r="EQ81" s="225"/>
      <c r="ER81" s="225"/>
      <c r="ES81" s="225"/>
      <c r="ET81" s="225"/>
      <c r="EU81" s="344"/>
      <c r="EV81" s="225"/>
      <c r="EW81" s="225"/>
      <c r="EX81" s="225"/>
      <c r="EY81" s="1269"/>
      <c r="EZ81" s="1214"/>
      <c r="FA81" s="225"/>
      <c r="FB81" s="225"/>
      <c r="FC81" s="225"/>
      <c r="FD81" s="225"/>
      <c r="FE81" s="225"/>
      <c r="FF81" s="392"/>
      <c r="FG81" s="392"/>
      <c r="FH81" s="1273"/>
      <c r="FI81" s="1214"/>
      <c r="FJ81" s="225"/>
      <c r="FK81" s="225"/>
      <c r="FL81" s="225"/>
      <c r="FM81" s="225"/>
      <c r="FN81" s="1269"/>
      <c r="FO81" s="1214"/>
      <c r="FP81" s="225"/>
      <c r="FQ81" s="225"/>
      <c r="FR81" s="225"/>
      <c r="FS81" s="225"/>
      <c r="FT81" s="225"/>
      <c r="FU81" s="225"/>
      <c r="FV81" s="225"/>
      <c r="FW81" s="225"/>
    </row>
    <row r="82" spans="3:179" s="299" customFormat="1" ht="15.5" thickTop="1" thickBot="1" x14ac:dyDescent="0.4">
      <c r="C82" s="305"/>
      <c r="D82" s="305"/>
      <c r="E82" s="305"/>
      <c r="F82" s="1031"/>
      <c r="G82" s="307"/>
      <c r="H82" s="307"/>
      <c r="I82" s="1239"/>
      <c r="J82" s="1186"/>
      <c r="K82" s="307"/>
      <c r="L82" s="307"/>
      <c r="M82" s="307"/>
      <c r="N82" s="307"/>
      <c r="O82" s="307"/>
      <c r="P82" s="307"/>
      <c r="Q82" s="307"/>
      <c r="R82" s="1239"/>
      <c r="S82" s="1186"/>
      <c r="T82" s="307"/>
      <c r="U82" s="307"/>
      <c r="V82" s="307"/>
      <c r="W82" s="307"/>
      <c r="X82" s="1239"/>
      <c r="Y82" s="1186"/>
      <c r="Z82" s="307"/>
      <c r="AA82" s="307"/>
      <c r="AB82" s="307"/>
      <c r="AC82" s="307"/>
      <c r="AD82" s="307"/>
      <c r="AE82" s="307"/>
      <c r="AF82" s="307"/>
      <c r="AG82" s="307"/>
      <c r="AH82" s="359"/>
      <c r="AI82" s="307"/>
      <c r="AJ82" s="307"/>
      <c r="AK82" s="307"/>
      <c r="AL82" s="1239"/>
      <c r="AM82" s="1186"/>
      <c r="AN82" s="307"/>
      <c r="AO82" s="307"/>
      <c r="AP82" s="307"/>
      <c r="AQ82" s="307"/>
      <c r="AR82" s="307"/>
      <c r="AS82" s="307"/>
      <c r="AT82" s="307"/>
      <c r="AU82" s="1239"/>
      <c r="AV82" s="1186"/>
      <c r="AW82" s="307"/>
      <c r="AX82" s="307"/>
      <c r="AY82" s="307"/>
      <c r="AZ82" s="307"/>
      <c r="BA82" s="1239"/>
      <c r="BB82" s="1186"/>
      <c r="BC82" s="307"/>
      <c r="BD82" s="307"/>
      <c r="BE82" s="307"/>
      <c r="BF82" s="307"/>
      <c r="BG82" s="307"/>
      <c r="BH82" s="307"/>
      <c r="BI82" s="307"/>
      <c r="BJ82" s="307"/>
      <c r="BK82" s="359"/>
      <c r="BL82" s="307"/>
      <c r="BM82" s="307"/>
      <c r="BN82" s="307"/>
      <c r="BO82" s="1239"/>
      <c r="BP82" s="1186"/>
      <c r="BQ82" s="307"/>
      <c r="BR82" s="307"/>
      <c r="BS82" s="307"/>
      <c r="BT82" s="307"/>
      <c r="BU82" s="307"/>
      <c r="BV82" s="307"/>
      <c r="BW82" s="307"/>
      <c r="BX82" s="1239"/>
      <c r="BY82" s="1186"/>
      <c r="BZ82" s="307"/>
      <c r="CA82" s="307"/>
      <c r="CB82" s="307"/>
      <c r="CC82" s="307"/>
      <c r="CD82" s="1239"/>
      <c r="CE82" s="1186"/>
      <c r="CF82" s="307"/>
      <c r="CG82" s="307"/>
      <c r="CH82" s="307"/>
      <c r="CI82" s="307"/>
      <c r="CJ82" s="307"/>
      <c r="CK82" s="307"/>
      <c r="CL82" s="307"/>
      <c r="CM82" s="307"/>
      <c r="CN82" s="359"/>
      <c r="CO82" s="307"/>
      <c r="CP82" s="307"/>
      <c r="CQ82" s="307"/>
      <c r="CR82" s="1239"/>
      <c r="CS82" s="1186"/>
      <c r="CT82" s="307"/>
      <c r="CU82" s="307"/>
      <c r="CV82" s="307"/>
      <c r="CW82" s="307"/>
      <c r="CX82" s="307"/>
      <c r="CY82" s="307"/>
      <c r="CZ82" s="307"/>
      <c r="DA82" s="1239"/>
      <c r="DB82" s="1186"/>
      <c r="DC82" s="307"/>
      <c r="DD82" s="307"/>
      <c r="DE82" s="307"/>
      <c r="DF82" s="307"/>
      <c r="DG82" s="1239"/>
      <c r="DH82" s="1186"/>
      <c r="DI82" s="307"/>
      <c r="DJ82" s="307"/>
      <c r="DK82" s="307"/>
      <c r="DL82" s="307"/>
      <c r="DM82" s="307"/>
      <c r="DN82" s="307"/>
      <c r="DO82" s="307"/>
      <c r="DP82" s="307"/>
      <c r="DQ82" s="359"/>
      <c r="DR82" s="361"/>
      <c r="DS82" s="307"/>
      <c r="DT82" s="307"/>
      <c r="DU82" s="307"/>
      <c r="DV82" s="1239"/>
      <c r="DW82" s="1186"/>
      <c r="DX82" s="307"/>
      <c r="DY82" s="307"/>
      <c r="DZ82" s="307"/>
      <c r="EA82" s="307"/>
      <c r="EB82" s="307"/>
      <c r="EC82" s="307"/>
      <c r="ED82" s="307"/>
      <c r="EE82" s="1239"/>
      <c r="EF82" s="1186"/>
      <c r="EG82" s="307"/>
      <c r="EH82" s="307"/>
      <c r="EI82" s="307"/>
      <c r="EJ82" s="307"/>
      <c r="EK82" s="1239"/>
      <c r="EL82" s="1186"/>
      <c r="EM82" s="307"/>
      <c r="EN82" s="307"/>
      <c r="EO82" s="307"/>
      <c r="EP82" s="307"/>
      <c r="EQ82" s="307"/>
      <c r="ER82" s="307"/>
      <c r="ES82" s="307"/>
      <c r="ET82" s="307"/>
      <c r="EU82" s="359"/>
      <c r="EV82" s="307"/>
      <c r="EW82" s="307"/>
      <c r="EX82" s="307"/>
      <c r="EY82" s="1239"/>
      <c r="EZ82" s="1186"/>
      <c r="FA82" s="307"/>
      <c r="FB82" s="307"/>
      <c r="FC82" s="307"/>
      <c r="FD82" s="307"/>
      <c r="FE82" s="307"/>
      <c r="FF82" s="1144"/>
      <c r="FG82" s="1144"/>
      <c r="FH82" s="1572"/>
      <c r="FI82" s="1186"/>
      <c r="FJ82" s="307"/>
      <c r="FK82" s="307"/>
      <c r="FL82" s="307"/>
      <c r="FM82" s="307"/>
      <c r="FN82" s="1239"/>
      <c r="FO82" s="1186"/>
      <c r="FP82" s="307"/>
      <c r="FQ82" s="307"/>
      <c r="FR82" s="307"/>
      <c r="FS82" s="307"/>
      <c r="FT82" s="307"/>
      <c r="FU82" s="307"/>
      <c r="FV82" s="307"/>
      <c r="FW82" s="307"/>
    </row>
    <row r="83" spans="3:179" ht="15" thickTop="1" x14ac:dyDescent="0.35">
      <c r="C83" s="1" t="s">
        <v>423</v>
      </c>
      <c r="F83" s="896">
        <f>F$18*F$55*10^-6</f>
        <v>0</v>
      </c>
      <c r="G83" s="895">
        <f t="shared" ref="G83:I83" si="70">G$18*G$55*10^-6</f>
        <v>0</v>
      </c>
      <c r="H83" s="894">
        <f t="shared" si="70"/>
        <v>0</v>
      </c>
      <c r="I83" s="1262">
        <f t="shared" si="70"/>
        <v>0</v>
      </c>
      <c r="J83" s="1208"/>
      <c r="K83" s="894"/>
      <c r="L83" s="894"/>
      <c r="M83" s="894"/>
      <c r="N83" s="894"/>
      <c r="O83" s="894"/>
      <c r="P83" s="894"/>
      <c r="Q83" s="894"/>
      <c r="R83" s="1262"/>
      <c r="S83" s="1208"/>
      <c r="T83" s="894"/>
      <c r="U83" s="894"/>
      <c r="V83" s="894"/>
      <c r="W83" s="894"/>
      <c r="X83" s="1262"/>
      <c r="Y83" s="1208"/>
      <c r="Z83" s="894"/>
      <c r="AA83" s="894"/>
      <c r="AB83" s="894"/>
      <c r="AC83" s="894"/>
      <c r="AD83" s="894"/>
      <c r="AE83" s="894"/>
      <c r="AF83" s="894"/>
      <c r="AG83" s="894"/>
      <c r="AH83" s="356"/>
      <c r="AI83" s="229"/>
      <c r="AJ83" s="229"/>
      <c r="AK83" s="229"/>
      <c r="AL83" s="1245"/>
      <c r="AM83" s="538"/>
      <c r="AN83" s="229"/>
      <c r="AO83" s="229"/>
      <c r="AP83" s="229"/>
      <c r="AQ83" s="229"/>
      <c r="AR83" s="229"/>
      <c r="AS83" s="229"/>
      <c r="AT83" s="229"/>
      <c r="AU83" s="1245"/>
      <c r="AV83" s="538"/>
      <c r="AW83" s="229"/>
      <c r="AX83" s="229"/>
      <c r="AY83" s="229"/>
      <c r="AZ83" s="229"/>
      <c r="BA83" s="1245"/>
      <c r="BB83" s="538"/>
      <c r="BC83" s="229"/>
      <c r="BD83" s="229"/>
      <c r="BE83" s="229"/>
      <c r="BF83" s="229"/>
      <c r="BG83" s="229"/>
      <c r="BH83" s="229"/>
      <c r="BI83" s="229"/>
      <c r="BJ83" s="229"/>
      <c r="BK83" s="356"/>
      <c r="BL83" s="229"/>
      <c r="BM83" s="229"/>
      <c r="BN83" s="229"/>
      <c r="BO83" s="1245"/>
      <c r="BP83" s="538"/>
      <c r="BQ83" s="229"/>
      <c r="BR83" s="229"/>
      <c r="BS83" s="229"/>
      <c r="BT83" s="229"/>
      <c r="BU83" s="229"/>
      <c r="BV83" s="229"/>
      <c r="BW83" s="229"/>
      <c r="BX83" s="1245"/>
      <c r="BY83" s="538"/>
      <c r="BZ83" s="229"/>
      <c r="CA83" s="229"/>
      <c r="CB83" s="229"/>
      <c r="CC83" s="229"/>
      <c r="CD83" s="1245"/>
      <c r="CE83" s="538"/>
      <c r="CF83" s="229"/>
      <c r="CG83" s="229"/>
      <c r="CH83" s="229"/>
      <c r="CI83" s="229"/>
      <c r="CJ83" s="229"/>
      <c r="CK83" s="229"/>
      <c r="CL83" s="229"/>
      <c r="CM83" s="229"/>
      <c r="CN83" s="356"/>
      <c r="CO83" s="229"/>
      <c r="CP83" s="229"/>
      <c r="CQ83" s="229"/>
      <c r="CR83" s="1245"/>
      <c r="CS83" s="538"/>
      <c r="CT83" s="229"/>
      <c r="CU83" s="229"/>
      <c r="CV83" s="229"/>
      <c r="CW83" s="229"/>
      <c r="CX83" s="229"/>
      <c r="CY83" s="229"/>
      <c r="CZ83" s="229"/>
      <c r="DA83" s="1245"/>
      <c r="DB83" s="538"/>
      <c r="DC83" s="229"/>
      <c r="DD83" s="229"/>
      <c r="DE83" s="229"/>
      <c r="DF83" s="229"/>
      <c r="DG83" s="1245"/>
      <c r="DH83" s="538"/>
      <c r="DI83" s="229"/>
      <c r="DJ83" s="229"/>
      <c r="DK83" s="229"/>
      <c r="DL83" s="229"/>
      <c r="DM83" s="229"/>
      <c r="DN83" s="229"/>
      <c r="DO83" s="229"/>
      <c r="DP83" s="229"/>
      <c r="DQ83" s="356"/>
      <c r="DR83" s="358"/>
      <c r="DS83" s="229"/>
      <c r="DT83" s="229"/>
      <c r="DU83" s="229"/>
      <c r="DV83" s="1245"/>
      <c r="DW83" s="538"/>
      <c r="DX83" s="229"/>
      <c r="DY83" s="229"/>
      <c r="DZ83" s="229"/>
      <c r="EA83" s="229"/>
      <c r="EB83" s="229"/>
      <c r="EC83" s="229"/>
      <c r="ED83" s="229"/>
      <c r="EE83" s="1245"/>
      <c r="EF83" s="538"/>
      <c r="EG83" s="229"/>
      <c r="EH83" s="229"/>
      <c r="EI83" s="229"/>
      <c r="EJ83" s="229"/>
      <c r="EK83" s="1245"/>
      <c r="EL83" s="538"/>
      <c r="EM83" s="229"/>
      <c r="EN83" s="229"/>
      <c r="EO83" s="229"/>
      <c r="EP83" s="229"/>
      <c r="EQ83" s="229"/>
      <c r="ER83" s="229"/>
      <c r="ES83" s="229"/>
      <c r="ET83" s="229"/>
      <c r="EU83" s="356"/>
      <c r="EV83" s="229"/>
      <c r="EW83" s="229"/>
      <c r="EX83" s="229"/>
      <c r="EY83" s="1245"/>
      <c r="EZ83" s="538"/>
      <c r="FA83" s="229"/>
      <c r="FB83" s="229"/>
      <c r="FC83" s="229"/>
      <c r="FD83" s="229"/>
      <c r="FE83" s="229"/>
      <c r="FF83" s="393"/>
      <c r="FG83" s="393"/>
      <c r="FH83" s="1266"/>
      <c r="FI83" s="538"/>
      <c r="FJ83" s="229"/>
      <c r="FK83" s="229"/>
      <c r="FL83" s="229"/>
      <c r="FM83" s="229"/>
      <c r="FN83" s="1245"/>
      <c r="FO83" s="538"/>
      <c r="FP83" s="229"/>
      <c r="FQ83" s="229"/>
      <c r="FR83" s="229"/>
      <c r="FS83" s="229"/>
      <c r="FT83" s="229"/>
      <c r="FU83" s="229"/>
      <c r="FV83" s="229"/>
      <c r="FW83" s="229"/>
    </row>
    <row r="84" spans="3:179" x14ac:dyDescent="0.35">
      <c r="C84" s="1" t="s">
        <v>422</v>
      </c>
      <c r="F84" s="1042">
        <f>F$57*F$18*10^-6</f>
        <v>0</v>
      </c>
      <c r="G84" s="232">
        <f t="shared" ref="G84:I84" si="71">G$57*G$18*10^-6</f>
        <v>0</v>
      </c>
      <c r="H84" s="232">
        <f t="shared" si="71"/>
        <v>0</v>
      </c>
      <c r="I84" s="1236">
        <f t="shared" si="71"/>
        <v>0</v>
      </c>
      <c r="J84" s="898"/>
      <c r="K84" s="465"/>
      <c r="L84" s="465"/>
      <c r="M84" s="465"/>
      <c r="N84" s="465"/>
      <c r="O84" s="465"/>
      <c r="P84" s="465"/>
      <c r="Q84" s="465"/>
      <c r="R84" s="1416"/>
      <c r="S84" s="898"/>
      <c r="T84" s="465"/>
      <c r="U84" s="465"/>
      <c r="FF84" s="251"/>
      <c r="FG84" s="251"/>
      <c r="FH84" s="1267"/>
    </row>
    <row r="85" spans="3:179" s="1147" customFormat="1" x14ac:dyDescent="0.35">
      <c r="C85" s="911" t="s">
        <v>129</v>
      </c>
      <c r="D85" s="911"/>
      <c r="E85" s="911"/>
      <c r="F85" s="1043">
        <f>F$59*F$18*(10^-6)</f>
        <v>0</v>
      </c>
      <c r="G85" s="912">
        <f t="shared" ref="G85:AG85" si="72">G$59*G$18*(10^-6)</f>
        <v>0</v>
      </c>
      <c r="H85" s="912">
        <f t="shared" si="72"/>
        <v>0</v>
      </c>
      <c r="I85" s="1263">
        <f>I$59*I$18*(10^-6)</f>
        <v>0</v>
      </c>
      <c r="J85" s="1209">
        <f>J$59*J$18*(10^-6)</f>
        <v>0</v>
      </c>
      <c r="K85" s="912">
        <f t="shared" si="72"/>
        <v>0</v>
      </c>
      <c r="L85" s="912">
        <f t="shared" si="72"/>
        <v>0</v>
      </c>
      <c r="M85" s="912">
        <f t="shared" si="72"/>
        <v>0</v>
      </c>
      <c r="N85" s="912">
        <f t="shared" si="72"/>
        <v>0</v>
      </c>
      <c r="O85" s="912">
        <f t="shared" si="72"/>
        <v>0</v>
      </c>
      <c r="P85" s="912">
        <f t="shared" si="72"/>
        <v>0</v>
      </c>
      <c r="Q85" s="912">
        <f t="shared" si="72"/>
        <v>0</v>
      </c>
      <c r="R85" s="1263">
        <f t="shared" si="72"/>
        <v>0</v>
      </c>
      <c r="S85" s="1209">
        <f t="shared" si="72"/>
        <v>0</v>
      </c>
      <c r="T85" s="912">
        <f t="shared" si="72"/>
        <v>0</v>
      </c>
      <c r="U85" s="912">
        <f t="shared" si="72"/>
        <v>0</v>
      </c>
      <c r="V85" s="912">
        <f t="shared" si="72"/>
        <v>0</v>
      </c>
      <c r="W85" s="912">
        <f t="shared" si="72"/>
        <v>0</v>
      </c>
      <c r="X85" s="1263">
        <f t="shared" si="72"/>
        <v>0</v>
      </c>
      <c r="Y85" s="1209">
        <f t="shared" si="72"/>
        <v>0</v>
      </c>
      <c r="Z85" s="912">
        <f t="shared" si="72"/>
        <v>0</v>
      </c>
      <c r="AA85" s="912">
        <f t="shared" si="72"/>
        <v>0</v>
      </c>
      <c r="AB85" s="912">
        <f t="shared" si="72"/>
        <v>0</v>
      </c>
      <c r="AC85" s="912">
        <f t="shared" si="72"/>
        <v>0</v>
      </c>
      <c r="AD85" s="912">
        <f t="shared" si="72"/>
        <v>0</v>
      </c>
      <c r="AE85" s="912">
        <f t="shared" si="72"/>
        <v>0</v>
      </c>
      <c r="AF85" s="912">
        <f t="shared" si="72"/>
        <v>0</v>
      </c>
      <c r="AG85" s="912">
        <f t="shared" si="72"/>
        <v>0</v>
      </c>
      <c r="AH85" s="323"/>
      <c r="AI85" s="912">
        <f>AI$59*AI$18*(10^-6)</f>
        <v>0</v>
      </c>
      <c r="AJ85" s="912">
        <f t="shared" ref="AJ85:BJ85" si="73">AJ$59*AJ$18*(10^-6)</f>
        <v>0</v>
      </c>
      <c r="AK85" s="912">
        <f t="shared" si="73"/>
        <v>0</v>
      </c>
      <c r="AL85" s="1263">
        <f t="shared" si="73"/>
        <v>0</v>
      </c>
      <c r="AM85" s="1209">
        <f t="shared" si="73"/>
        <v>0</v>
      </c>
      <c r="AN85" s="912">
        <f t="shared" si="73"/>
        <v>0</v>
      </c>
      <c r="AO85" s="912">
        <f t="shared" si="73"/>
        <v>0</v>
      </c>
      <c r="AP85" s="912">
        <f t="shared" si="73"/>
        <v>0</v>
      </c>
      <c r="AQ85" s="912">
        <f t="shared" si="73"/>
        <v>0</v>
      </c>
      <c r="AR85" s="912">
        <f t="shared" si="73"/>
        <v>0</v>
      </c>
      <c r="AS85" s="912">
        <f t="shared" si="73"/>
        <v>0</v>
      </c>
      <c r="AT85" s="912">
        <f t="shared" si="73"/>
        <v>0</v>
      </c>
      <c r="AU85" s="1263">
        <f t="shared" si="73"/>
        <v>0</v>
      </c>
      <c r="AV85" s="1209">
        <f t="shared" si="73"/>
        <v>0</v>
      </c>
      <c r="AW85" s="912">
        <f t="shared" si="73"/>
        <v>0</v>
      </c>
      <c r="AX85" s="912">
        <f t="shared" si="73"/>
        <v>0</v>
      </c>
      <c r="AY85" s="912">
        <f t="shared" si="73"/>
        <v>0</v>
      </c>
      <c r="AZ85" s="912">
        <f t="shared" si="73"/>
        <v>0</v>
      </c>
      <c r="BA85" s="1263">
        <f t="shared" si="73"/>
        <v>0</v>
      </c>
      <c r="BB85" s="1209">
        <f t="shared" si="73"/>
        <v>0</v>
      </c>
      <c r="BC85" s="912">
        <f t="shared" si="73"/>
        <v>0</v>
      </c>
      <c r="BD85" s="912">
        <f t="shared" si="73"/>
        <v>0</v>
      </c>
      <c r="BE85" s="912">
        <f t="shared" si="73"/>
        <v>0</v>
      </c>
      <c r="BF85" s="912">
        <f t="shared" si="73"/>
        <v>0</v>
      </c>
      <c r="BG85" s="912">
        <f t="shared" si="73"/>
        <v>0</v>
      </c>
      <c r="BH85" s="912">
        <f t="shared" si="73"/>
        <v>0</v>
      </c>
      <c r="BI85" s="912">
        <f t="shared" si="73"/>
        <v>0</v>
      </c>
      <c r="BJ85" s="912">
        <f t="shared" si="73"/>
        <v>0</v>
      </c>
      <c r="BK85" s="323"/>
      <c r="BL85" s="912">
        <f t="shared" ref="BL85:CM85" si="74">BL$59*BL$18*(10^-6)</f>
        <v>6.1160173329581607E-3</v>
      </c>
      <c r="BM85" s="912">
        <f t="shared" si="74"/>
        <v>5.8750113173957272E-3</v>
      </c>
      <c r="BN85" s="912">
        <f t="shared" si="74"/>
        <v>6.6804079857578844E-3</v>
      </c>
      <c r="BO85" s="1263">
        <f t="shared" si="74"/>
        <v>6.3239212614445584E-3</v>
      </c>
      <c r="BP85" s="1209" t="e">
        <f t="shared" si="74"/>
        <v>#REF!</v>
      </c>
      <c r="BQ85" s="912">
        <f t="shared" si="74"/>
        <v>6.8461851475076297E-4</v>
      </c>
      <c r="BR85" s="912">
        <f t="shared" si="74"/>
        <v>8.9104608859078916E-4</v>
      </c>
      <c r="BS85" s="912">
        <f t="shared" si="74"/>
        <v>9.8762319430315362E-4</v>
      </c>
      <c r="BT85" s="912">
        <f t="shared" si="74"/>
        <v>1.1042233348083335E-3</v>
      </c>
      <c r="BU85" s="912">
        <f t="shared" si="74"/>
        <v>1.2365457527975586E-3</v>
      </c>
      <c r="BV85" s="912">
        <f t="shared" si="74"/>
        <v>1.3892546795523908E-3</v>
      </c>
      <c r="BW85" s="912">
        <f t="shared" si="74"/>
        <v>1.3403220244150558E-3</v>
      </c>
      <c r="BX85" s="1263">
        <f t="shared" si="74"/>
        <v>1.4139979654120038E-3</v>
      </c>
      <c r="BY85" s="1209">
        <f t="shared" si="74"/>
        <v>0</v>
      </c>
      <c r="BZ85" s="912">
        <f t="shared" si="74"/>
        <v>0</v>
      </c>
      <c r="CA85" s="912">
        <f t="shared" si="74"/>
        <v>0</v>
      </c>
      <c r="CB85" s="912">
        <f t="shared" si="74"/>
        <v>0</v>
      </c>
      <c r="CC85" s="912">
        <f t="shared" si="74"/>
        <v>0</v>
      </c>
      <c r="CD85" s="1263">
        <f t="shared" si="74"/>
        <v>0</v>
      </c>
      <c r="CE85" s="1209">
        <f t="shared" si="74"/>
        <v>0</v>
      </c>
      <c r="CF85" s="912">
        <f t="shared" si="74"/>
        <v>0</v>
      </c>
      <c r="CG85" s="912">
        <f t="shared" si="74"/>
        <v>0</v>
      </c>
      <c r="CH85" s="912">
        <f t="shared" si="74"/>
        <v>0</v>
      </c>
      <c r="CI85" s="912">
        <f t="shared" si="74"/>
        <v>0</v>
      </c>
      <c r="CJ85" s="912">
        <f t="shared" si="74"/>
        <v>0</v>
      </c>
      <c r="CK85" s="912">
        <f t="shared" si="74"/>
        <v>0</v>
      </c>
      <c r="CL85" s="912">
        <f t="shared" si="74"/>
        <v>0</v>
      </c>
      <c r="CM85" s="912">
        <f t="shared" si="74"/>
        <v>0</v>
      </c>
      <c r="CN85" s="323"/>
      <c r="CO85" s="912"/>
      <c r="CP85" s="912"/>
      <c r="CQ85" s="912"/>
      <c r="CR85" s="1263"/>
      <c r="CS85" s="1209"/>
      <c r="CT85" s="912"/>
      <c r="CU85" s="912"/>
      <c r="CV85" s="912"/>
      <c r="CW85" s="912"/>
      <c r="CX85" s="912"/>
      <c r="CY85" s="912"/>
      <c r="CZ85" s="912"/>
      <c r="DA85" s="1263"/>
      <c r="DB85" s="1209"/>
      <c r="DC85" s="912"/>
      <c r="DD85" s="912"/>
      <c r="DE85" s="912"/>
      <c r="DF85" s="912"/>
      <c r="DG85" s="1263"/>
      <c r="DH85" s="1209"/>
      <c r="DI85" s="912"/>
      <c r="DJ85" s="912"/>
      <c r="DK85" s="912"/>
      <c r="DL85" s="912"/>
      <c r="DM85" s="912"/>
      <c r="DN85" s="912"/>
      <c r="DO85" s="912"/>
      <c r="DP85" s="912"/>
      <c r="DQ85" s="323"/>
      <c r="DR85" s="1145"/>
      <c r="DS85" s="912"/>
      <c r="DT85" s="912"/>
      <c r="DU85" s="912"/>
      <c r="DV85" s="1263"/>
      <c r="DW85" s="1209"/>
      <c r="DX85" s="912"/>
      <c r="DY85" s="912"/>
      <c r="DZ85" s="912"/>
      <c r="EA85" s="912"/>
      <c r="EB85" s="912"/>
      <c r="EC85" s="912"/>
      <c r="ED85" s="912"/>
      <c r="EE85" s="1263"/>
      <c r="EF85" s="1209"/>
      <c r="EG85" s="912"/>
      <c r="EH85" s="912"/>
      <c r="EI85" s="912"/>
      <c r="EJ85" s="912"/>
      <c r="EK85" s="1263"/>
      <c r="EL85" s="1209"/>
      <c r="EM85" s="912"/>
      <c r="EN85" s="912"/>
      <c r="EO85" s="912"/>
      <c r="EP85" s="912"/>
      <c r="EQ85" s="912"/>
      <c r="ER85" s="912"/>
      <c r="ES85" s="912"/>
      <c r="ET85" s="912"/>
      <c r="EU85" s="323"/>
      <c r="EV85" s="912"/>
      <c r="EW85" s="912"/>
      <c r="EX85" s="912"/>
      <c r="EY85" s="1263"/>
      <c r="EZ85" s="1209"/>
      <c r="FA85" s="912"/>
      <c r="FB85" s="912"/>
      <c r="FC85" s="912"/>
      <c r="FD85" s="912"/>
      <c r="FE85" s="912"/>
      <c r="FF85" s="912"/>
      <c r="FG85" s="912"/>
      <c r="FH85" s="1263"/>
      <c r="FI85" s="1209"/>
      <c r="FJ85" s="1146"/>
      <c r="FK85" s="912"/>
      <c r="FL85" s="912"/>
      <c r="FM85" s="912"/>
      <c r="FN85" s="1263"/>
      <c r="FO85" s="1209"/>
      <c r="FP85" s="912"/>
      <c r="FQ85" s="912"/>
      <c r="FR85" s="912"/>
      <c r="FS85" s="912"/>
      <c r="FT85" s="912"/>
      <c r="FU85" s="912"/>
      <c r="FV85" s="912"/>
      <c r="FW85" s="912"/>
    </row>
    <row r="86" spans="3:179" x14ac:dyDescent="0.35">
      <c r="C86" s="1" t="s">
        <v>417</v>
      </c>
      <c r="F86" s="1042">
        <f>F$55*F$20*10^-6</f>
        <v>0</v>
      </c>
      <c r="G86" s="232">
        <f t="shared" ref="G86:I86" si="75">G$55*G$20*10^-6</f>
        <v>0</v>
      </c>
      <c r="H86" s="232">
        <f t="shared" si="75"/>
        <v>0</v>
      </c>
      <c r="I86" s="1236">
        <f t="shared" si="75"/>
        <v>0</v>
      </c>
      <c r="AH86" s="337"/>
      <c r="AI86" s="266"/>
      <c r="AJ86" s="266"/>
      <c r="AK86" s="266"/>
      <c r="AL86" s="1479"/>
      <c r="AM86" s="1467"/>
      <c r="AN86" s="266"/>
      <c r="AO86" s="266"/>
      <c r="AP86" s="266"/>
      <c r="AQ86" s="266"/>
      <c r="AR86" s="266"/>
      <c r="AS86" s="266"/>
      <c r="AT86" s="266"/>
      <c r="AU86" s="1479"/>
      <c r="AV86" s="1467"/>
      <c r="AW86" s="266"/>
      <c r="AX86" s="266"/>
      <c r="AY86" s="266"/>
      <c r="AZ86" s="266"/>
      <c r="BA86" s="1479"/>
      <c r="BB86" s="1467"/>
      <c r="BC86" s="266"/>
      <c r="BD86" s="266"/>
      <c r="BE86" s="266"/>
      <c r="BF86" s="266"/>
      <c r="BG86" s="266"/>
      <c r="BH86" s="266"/>
      <c r="BI86" s="266"/>
      <c r="BJ86" s="266"/>
      <c r="BK86" s="337"/>
      <c r="BP86" s="898"/>
      <c r="BQ86" s="465"/>
      <c r="BR86" s="465"/>
      <c r="BS86" s="465"/>
      <c r="BT86" s="465"/>
      <c r="BU86" s="465"/>
      <c r="BV86" s="465"/>
      <c r="BW86" s="465"/>
      <c r="BX86" s="1416"/>
      <c r="BY86" s="898"/>
      <c r="BZ86" s="465"/>
      <c r="CA86" s="465"/>
      <c r="CB86" s="266"/>
      <c r="CC86" s="266"/>
      <c r="CD86" s="1479"/>
      <c r="CE86" s="1467"/>
      <c r="CF86" s="266"/>
      <c r="CG86" s="266"/>
      <c r="CH86" s="266"/>
      <c r="CI86" s="266"/>
      <c r="CJ86" s="266"/>
      <c r="CK86" s="266"/>
      <c r="CL86" s="266"/>
      <c r="CM86" s="266"/>
      <c r="CN86" s="337"/>
      <c r="CO86" s="266"/>
      <c r="CP86" s="266"/>
      <c r="CQ86" s="266"/>
      <c r="CR86" s="1479"/>
      <c r="CS86" s="1467"/>
      <c r="CT86" s="266"/>
      <c r="CU86" s="266"/>
      <c r="CV86" s="266"/>
      <c r="CW86" s="266"/>
      <c r="CX86" s="266"/>
      <c r="CY86" s="266"/>
      <c r="CZ86" s="266"/>
      <c r="DA86" s="1479"/>
      <c r="DB86" s="1467"/>
      <c r="DC86" s="266"/>
      <c r="DD86" s="266"/>
      <c r="FJ86" s="240"/>
    </row>
    <row r="87" spans="3:179" x14ac:dyDescent="0.35">
      <c r="C87" s="1" t="s">
        <v>418</v>
      </c>
      <c r="F87" s="1042">
        <f>F$57*F$20*10^-6</f>
        <v>0</v>
      </c>
      <c r="G87" s="232">
        <f t="shared" ref="G87:I87" si="76">G$57*G$20*10^-6</f>
        <v>0</v>
      </c>
      <c r="H87" s="232">
        <f t="shared" si="76"/>
        <v>0</v>
      </c>
      <c r="I87" s="1236">
        <f t="shared" si="76"/>
        <v>0</v>
      </c>
      <c r="J87" s="898"/>
      <c r="K87" s="465"/>
      <c r="L87" s="465"/>
      <c r="M87" s="465"/>
      <c r="N87" s="465"/>
      <c r="O87" s="465"/>
      <c r="P87" s="465"/>
      <c r="Q87" s="465"/>
      <c r="R87" s="1416"/>
      <c r="S87" s="898"/>
      <c r="T87" s="465"/>
      <c r="U87" s="465"/>
      <c r="V87" s="465"/>
      <c r="W87" s="465"/>
      <c r="X87" s="1416"/>
      <c r="Y87" s="898"/>
      <c r="Z87" s="465"/>
      <c r="AA87" s="465"/>
      <c r="AB87" s="465"/>
      <c r="AC87" s="465"/>
      <c r="AD87" s="465"/>
      <c r="AE87" s="465"/>
      <c r="AF87" s="465"/>
      <c r="AG87" s="465"/>
      <c r="AH87" s="337"/>
      <c r="AI87" s="266"/>
      <c r="AJ87" s="266"/>
      <c r="AK87" s="266"/>
      <c r="AL87" s="1479"/>
      <c r="AM87" s="1467"/>
      <c r="AN87" s="266"/>
      <c r="AO87" s="266"/>
      <c r="AP87" s="266"/>
      <c r="AQ87" s="266"/>
      <c r="AR87" s="266"/>
      <c r="AS87" s="266"/>
      <c r="AT87" s="266"/>
      <c r="AU87" s="1479"/>
      <c r="AV87" s="1467"/>
      <c r="AW87" s="266"/>
      <c r="AX87" s="266"/>
      <c r="AY87" s="266"/>
      <c r="AZ87" s="266"/>
      <c r="BA87" s="1479"/>
      <c r="BB87" s="1467"/>
      <c r="BC87" s="266"/>
      <c r="BD87" s="266"/>
      <c r="BE87" s="266"/>
      <c r="BF87" s="266"/>
      <c r="BG87" s="266"/>
      <c r="BH87" s="266"/>
      <c r="BI87" s="266"/>
      <c r="BJ87" s="266"/>
      <c r="BK87" s="337"/>
      <c r="BP87" s="898"/>
      <c r="BQ87" s="465"/>
      <c r="BR87" s="465"/>
      <c r="BS87" s="465"/>
      <c r="BT87" s="465"/>
      <c r="BU87" s="465"/>
      <c r="BV87" s="465"/>
      <c r="BW87" s="465"/>
      <c r="BX87" s="1416"/>
      <c r="BY87" s="898"/>
      <c r="BZ87" s="465"/>
      <c r="CA87" s="465"/>
      <c r="CB87" s="266"/>
      <c r="CC87" s="266"/>
      <c r="CD87" s="1479"/>
      <c r="CE87" s="1467"/>
      <c r="CF87" s="266"/>
      <c r="CG87" s="266"/>
      <c r="CH87" s="266"/>
      <c r="CI87" s="266"/>
      <c r="CJ87" s="266"/>
      <c r="CK87" s="266"/>
      <c r="CL87" s="266"/>
      <c r="CM87" s="266"/>
      <c r="CN87" s="337"/>
      <c r="CO87" s="266"/>
      <c r="CP87" s="266"/>
      <c r="CQ87" s="266"/>
      <c r="CR87" s="1479"/>
      <c r="CS87" s="1467"/>
      <c r="CT87" s="266"/>
      <c r="CU87" s="266"/>
      <c r="CV87" s="266"/>
      <c r="CW87" s="266"/>
      <c r="CX87" s="266"/>
      <c r="CY87" s="266"/>
      <c r="CZ87" s="266"/>
      <c r="DA87" s="1479"/>
      <c r="DB87" s="1467"/>
      <c r="DC87" s="266"/>
      <c r="DD87" s="266"/>
      <c r="FJ87" s="240"/>
    </row>
    <row r="88" spans="3:179" s="1148" customFormat="1" x14ac:dyDescent="0.35">
      <c r="C88" s="444" t="s">
        <v>130</v>
      </c>
      <c r="D88" s="444"/>
      <c r="E88" s="444"/>
      <c r="F88" s="1044">
        <f t="shared" ref="F88:AG88" si="77">F$59*F$20*(10^-6)</f>
        <v>0</v>
      </c>
      <c r="G88" s="468">
        <f t="shared" si="77"/>
        <v>0</v>
      </c>
      <c r="H88" s="468">
        <f t="shared" si="77"/>
        <v>0</v>
      </c>
      <c r="I88" s="1264">
        <f t="shared" si="77"/>
        <v>0</v>
      </c>
      <c r="J88" s="1210">
        <f t="shared" si="77"/>
        <v>0</v>
      </c>
      <c r="K88" s="468">
        <f t="shared" si="77"/>
        <v>0</v>
      </c>
      <c r="L88" s="468">
        <f t="shared" si="77"/>
        <v>0</v>
      </c>
      <c r="M88" s="468">
        <f t="shared" si="77"/>
        <v>0</v>
      </c>
      <c r="N88" s="468">
        <f t="shared" si="77"/>
        <v>0</v>
      </c>
      <c r="O88" s="468">
        <f t="shared" si="77"/>
        <v>0</v>
      </c>
      <c r="P88" s="468">
        <f t="shared" si="77"/>
        <v>0</v>
      </c>
      <c r="Q88" s="468">
        <f t="shared" si="77"/>
        <v>0</v>
      </c>
      <c r="R88" s="1264">
        <f t="shared" si="77"/>
        <v>0</v>
      </c>
      <c r="S88" s="1210">
        <f t="shared" si="77"/>
        <v>0</v>
      </c>
      <c r="T88" s="468">
        <f t="shared" si="77"/>
        <v>0</v>
      </c>
      <c r="U88" s="468">
        <f t="shared" si="77"/>
        <v>0</v>
      </c>
      <c r="V88" s="468">
        <f t="shared" si="77"/>
        <v>0</v>
      </c>
      <c r="W88" s="468">
        <f t="shared" si="77"/>
        <v>0</v>
      </c>
      <c r="X88" s="1264">
        <f t="shared" si="77"/>
        <v>0</v>
      </c>
      <c r="Y88" s="1210">
        <f t="shared" si="77"/>
        <v>0</v>
      </c>
      <c r="Z88" s="468">
        <f t="shared" si="77"/>
        <v>0</v>
      </c>
      <c r="AA88" s="468">
        <f t="shared" si="77"/>
        <v>0</v>
      </c>
      <c r="AB88" s="468">
        <f t="shared" si="77"/>
        <v>0</v>
      </c>
      <c r="AC88" s="468">
        <f t="shared" si="77"/>
        <v>0</v>
      </c>
      <c r="AD88" s="468">
        <f t="shared" si="77"/>
        <v>0</v>
      </c>
      <c r="AE88" s="468">
        <f t="shared" si="77"/>
        <v>0</v>
      </c>
      <c r="AF88" s="468">
        <f t="shared" si="77"/>
        <v>0</v>
      </c>
      <c r="AG88" s="468">
        <f t="shared" si="77"/>
        <v>0</v>
      </c>
      <c r="AH88" s="323"/>
      <c r="AI88" s="468">
        <f t="shared" ref="AI88:BJ88" si="78">AI$59*AI$20*(10^-6)</f>
        <v>0</v>
      </c>
      <c r="AJ88" s="468">
        <f t="shared" si="78"/>
        <v>0</v>
      </c>
      <c r="AK88" s="468">
        <f t="shared" si="78"/>
        <v>0</v>
      </c>
      <c r="AL88" s="1264">
        <f t="shared" si="78"/>
        <v>0</v>
      </c>
      <c r="AM88" s="1210">
        <f t="shared" si="78"/>
        <v>0</v>
      </c>
      <c r="AN88" s="468">
        <f t="shared" si="78"/>
        <v>0</v>
      </c>
      <c r="AO88" s="468">
        <f t="shared" si="78"/>
        <v>0</v>
      </c>
      <c r="AP88" s="468">
        <f t="shared" si="78"/>
        <v>0</v>
      </c>
      <c r="AQ88" s="468">
        <f t="shared" si="78"/>
        <v>0</v>
      </c>
      <c r="AR88" s="468">
        <f t="shared" si="78"/>
        <v>0</v>
      </c>
      <c r="AS88" s="468">
        <f t="shared" si="78"/>
        <v>0</v>
      </c>
      <c r="AT88" s="468">
        <f t="shared" si="78"/>
        <v>0</v>
      </c>
      <c r="AU88" s="1264">
        <f t="shared" si="78"/>
        <v>0</v>
      </c>
      <c r="AV88" s="1210">
        <f t="shared" si="78"/>
        <v>0</v>
      </c>
      <c r="AW88" s="468">
        <f t="shared" si="78"/>
        <v>0</v>
      </c>
      <c r="AX88" s="468">
        <f t="shared" si="78"/>
        <v>0</v>
      </c>
      <c r="AY88" s="468">
        <f t="shared" si="78"/>
        <v>0</v>
      </c>
      <c r="AZ88" s="468">
        <f t="shared" si="78"/>
        <v>0</v>
      </c>
      <c r="BA88" s="1264">
        <f t="shared" si="78"/>
        <v>0</v>
      </c>
      <c r="BB88" s="1210">
        <f t="shared" si="78"/>
        <v>0</v>
      </c>
      <c r="BC88" s="468">
        <f t="shared" si="78"/>
        <v>0</v>
      </c>
      <c r="BD88" s="468">
        <f t="shared" si="78"/>
        <v>0</v>
      </c>
      <c r="BE88" s="468">
        <f t="shared" si="78"/>
        <v>0</v>
      </c>
      <c r="BF88" s="468">
        <f t="shared" si="78"/>
        <v>0</v>
      </c>
      <c r="BG88" s="468">
        <f t="shared" si="78"/>
        <v>0</v>
      </c>
      <c r="BH88" s="468">
        <f t="shared" si="78"/>
        <v>0</v>
      </c>
      <c r="BI88" s="468">
        <f t="shared" si="78"/>
        <v>0</v>
      </c>
      <c r="BJ88" s="468">
        <f t="shared" si="78"/>
        <v>0</v>
      </c>
      <c r="BK88" s="323"/>
      <c r="BL88" s="468">
        <f t="shared" ref="BL88:CM88" si="79">BL$59*BL$20*(10^-6)</f>
        <v>7.8169604113903692E-3</v>
      </c>
      <c r="BM88" s="468">
        <f t="shared" si="79"/>
        <v>8.407021148036254E-3</v>
      </c>
      <c r="BN88" s="468">
        <f t="shared" si="79"/>
        <v>1.0713626465256797E-2</v>
      </c>
      <c r="BO88" s="1264">
        <f t="shared" si="79"/>
        <v>1.052721160120846E-2</v>
      </c>
      <c r="BP88" s="1210" t="e">
        <f t="shared" si="79"/>
        <v>#REF!</v>
      </c>
      <c r="BQ88" s="468">
        <f t="shared" si="79"/>
        <v>1.1912378650553877E-4</v>
      </c>
      <c r="BR88" s="468">
        <f t="shared" si="79"/>
        <v>1.8111895130319011E-4</v>
      </c>
      <c r="BS88" s="468">
        <f t="shared" si="79"/>
        <v>2.4849788519637462E-4</v>
      </c>
      <c r="BT88" s="468">
        <f t="shared" si="79"/>
        <v>3.8601649032013322E-4</v>
      </c>
      <c r="BU88" s="468">
        <f t="shared" si="79"/>
        <v>4.1394996978851961E-4</v>
      </c>
      <c r="BV88" s="468">
        <f t="shared" si="79"/>
        <v>5.1137643504531717E-4</v>
      </c>
      <c r="BW88" s="468">
        <f t="shared" si="79"/>
        <v>4.9285413897280953E-4</v>
      </c>
      <c r="BX88" s="1264">
        <f t="shared" si="79"/>
        <v>5.5523746223564959E-4</v>
      </c>
      <c r="BY88" s="1210">
        <f t="shared" si="79"/>
        <v>0</v>
      </c>
      <c r="BZ88" s="468">
        <f t="shared" si="79"/>
        <v>0</v>
      </c>
      <c r="CA88" s="468">
        <f t="shared" si="79"/>
        <v>0</v>
      </c>
      <c r="CB88" s="468">
        <f t="shared" si="79"/>
        <v>0</v>
      </c>
      <c r="CC88" s="468">
        <f t="shared" si="79"/>
        <v>0</v>
      </c>
      <c r="CD88" s="1264">
        <f t="shared" si="79"/>
        <v>0</v>
      </c>
      <c r="CE88" s="1210">
        <f t="shared" si="79"/>
        <v>0</v>
      </c>
      <c r="CF88" s="468">
        <f t="shared" si="79"/>
        <v>0</v>
      </c>
      <c r="CG88" s="468">
        <f t="shared" si="79"/>
        <v>0</v>
      </c>
      <c r="CH88" s="468">
        <f t="shared" si="79"/>
        <v>0</v>
      </c>
      <c r="CI88" s="468">
        <f t="shared" si="79"/>
        <v>0</v>
      </c>
      <c r="CJ88" s="468">
        <f t="shared" si="79"/>
        <v>0</v>
      </c>
      <c r="CK88" s="468">
        <f t="shared" si="79"/>
        <v>0</v>
      </c>
      <c r="CL88" s="468">
        <f t="shared" si="79"/>
        <v>0</v>
      </c>
      <c r="CM88" s="468">
        <f t="shared" si="79"/>
        <v>0</v>
      </c>
      <c r="CN88" s="323"/>
      <c r="CO88" s="468"/>
      <c r="CP88" s="468"/>
      <c r="CQ88" s="468"/>
      <c r="CR88" s="1264"/>
      <c r="CS88" s="1210"/>
      <c r="CT88" s="468"/>
      <c r="CU88" s="468"/>
      <c r="CV88" s="468"/>
      <c r="CW88" s="468"/>
      <c r="CX88" s="468"/>
      <c r="CY88" s="468"/>
      <c r="CZ88" s="468"/>
      <c r="DA88" s="1264"/>
      <c r="DB88" s="1210"/>
      <c r="DC88" s="468"/>
      <c r="DD88" s="468"/>
      <c r="DE88" s="468"/>
      <c r="DF88" s="468"/>
      <c r="DG88" s="1264"/>
      <c r="DH88" s="1210"/>
      <c r="DI88" s="468"/>
      <c r="DJ88" s="468"/>
      <c r="DK88" s="468"/>
      <c r="DL88" s="468"/>
      <c r="DM88" s="468"/>
      <c r="DN88" s="468"/>
      <c r="DO88" s="468"/>
      <c r="DP88" s="468"/>
      <c r="DQ88" s="323"/>
      <c r="DR88" s="471"/>
      <c r="DS88" s="468"/>
      <c r="DT88" s="468"/>
      <c r="DU88" s="468"/>
      <c r="DV88" s="1264"/>
      <c r="DW88" s="1210"/>
      <c r="DX88" s="468"/>
      <c r="DY88" s="468"/>
      <c r="DZ88" s="468"/>
      <c r="EA88" s="468"/>
      <c r="EB88" s="468"/>
      <c r="EC88" s="468"/>
      <c r="ED88" s="468"/>
      <c r="EE88" s="1264"/>
      <c r="EF88" s="1210"/>
      <c r="EG88" s="468"/>
      <c r="EH88" s="468"/>
      <c r="EI88" s="468"/>
      <c r="EJ88" s="468"/>
      <c r="EK88" s="1264"/>
      <c r="EL88" s="1210"/>
      <c r="EM88" s="468"/>
      <c r="EN88" s="468"/>
      <c r="EO88" s="468"/>
      <c r="EP88" s="468"/>
      <c r="EQ88" s="468"/>
      <c r="ER88" s="468"/>
      <c r="ES88" s="468"/>
      <c r="ET88" s="468"/>
      <c r="EU88" s="323"/>
      <c r="EV88" s="468"/>
      <c r="EW88" s="468"/>
      <c r="EX88" s="468"/>
      <c r="EY88" s="1264"/>
      <c r="EZ88" s="1210"/>
      <c r="FA88" s="468"/>
      <c r="FB88" s="468"/>
      <c r="FC88" s="468"/>
      <c r="FD88" s="468"/>
      <c r="FE88" s="468"/>
      <c r="FF88" s="468"/>
      <c r="FG88" s="468"/>
      <c r="FH88" s="1264"/>
      <c r="FI88" s="1210"/>
      <c r="FJ88" s="473"/>
      <c r="FK88" s="468"/>
      <c r="FL88" s="468"/>
      <c r="FM88" s="468"/>
      <c r="FN88" s="1264"/>
      <c r="FO88" s="1210"/>
      <c r="FP88" s="468"/>
      <c r="FQ88" s="468"/>
      <c r="FR88" s="468"/>
      <c r="FS88" s="468"/>
      <c r="FT88" s="468"/>
      <c r="FU88" s="468"/>
      <c r="FV88" s="468"/>
      <c r="FW88" s="468"/>
    </row>
    <row r="89" spans="3:179" x14ac:dyDescent="0.35">
      <c r="C89" s="1" t="s">
        <v>131</v>
      </c>
      <c r="F89" s="1042">
        <f t="shared" ref="F89:AG89" si="80">F$59*F$22*(10^-6)</f>
        <v>0</v>
      </c>
      <c r="G89" s="232">
        <f t="shared" si="80"/>
        <v>0</v>
      </c>
      <c r="H89" s="232">
        <f t="shared" si="80"/>
        <v>0</v>
      </c>
      <c r="I89" s="1236">
        <f t="shared" si="80"/>
        <v>0</v>
      </c>
      <c r="J89" s="898">
        <f t="shared" si="80"/>
        <v>0</v>
      </c>
      <c r="K89" s="465">
        <f t="shared" si="80"/>
        <v>0</v>
      </c>
      <c r="L89" s="465">
        <f t="shared" si="80"/>
        <v>0</v>
      </c>
      <c r="M89" s="465">
        <f t="shared" si="80"/>
        <v>0</v>
      </c>
      <c r="N89" s="465">
        <f t="shared" si="80"/>
        <v>0</v>
      </c>
      <c r="O89" s="465">
        <f t="shared" si="80"/>
        <v>0</v>
      </c>
      <c r="P89" s="465">
        <f t="shared" si="80"/>
        <v>0</v>
      </c>
      <c r="Q89" s="465">
        <f t="shared" si="80"/>
        <v>0</v>
      </c>
      <c r="R89" s="1416">
        <f t="shared" si="80"/>
        <v>0</v>
      </c>
      <c r="S89" s="898">
        <f t="shared" si="80"/>
        <v>0</v>
      </c>
      <c r="T89" s="465">
        <f t="shared" si="80"/>
        <v>0</v>
      </c>
      <c r="U89" s="465">
        <f t="shared" si="80"/>
        <v>0</v>
      </c>
      <c r="V89" s="465">
        <f t="shared" si="80"/>
        <v>0</v>
      </c>
      <c r="W89" s="465">
        <f t="shared" si="80"/>
        <v>0</v>
      </c>
      <c r="X89" s="1416">
        <f t="shared" si="80"/>
        <v>0</v>
      </c>
      <c r="Y89" s="898">
        <f t="shared" si="80"/>
        <v>0</v>
      </c>
      <c r="Z89" s="465">
        <f t="shared" si="80"/>
        <v>0</v>
      </c>
      <c r="AA89" s="465">
        <f t="shared" si="80"/>
        <v>0</v>
      </c>
      <c r="AB89" s="465">
        <f t="shared" si="80"/>
        <v>0</v>
      </c>
      <c r="AC89" s="465">
        <f t="shared" si="80"/>
        <v>0</v>
      </c>
      <c r="AD89" s="465">
        <f t="shared" si="80"/>
        <v>0</v>
      </c>
      <c r="AE89" s="465">
        <f t="shared" si="80"/>
        <v>0</v>
      </c>
      <c r="AF89" s="465">
        <f t="shared" si="80"/>
        <v>0</v>
      </c>
      <c r="AG89" s="465">
        <f t="shared" si="80"/>
        <v>0</v>
      </c>
      <c r="AH89" s="337"/>
      <c r="AI89" s="465">
        <f t="shared" ref="AI89:BJ89" si="81">AI$59*AI$22*(10^-6)</f>
        <v>0</v>
      </c>
      <c r="AJ89" s="465">
        <f t="shared" si="81"/>
        <v>0</v>
      </c>
      <c r="AK89" s="465">
        <f t="shared" si="81"/>
        <v>0</v>
      </c>
      <c r="AL89" s="1416">
        <f t="shared" si="81"/>
        <v>0</v>
      </c>
      <c r="AM89" s="898">
        <f t="shared" si="81"/>
        <v>0</v>
      </c>
      <c r="AN89" s="465">
        <f t="shared" si="81"/>
        <v>0</v>
      </c>
      <c r="AO89" s="465">
        <f t="shared" si="81"/>
        <v>0</v>
      </c>
      <c r="AP89" s="465">
        <f t="shared" si="81"/>
        <v>0</v>
      </c>
      <c r="AQ89" s="465">
        <f t="shared" si="81"/>
        <v>0</v>
      </c>
      <c r="AR89" s="465">
        <f t="shared" si="81"/>
        <v>0</v>
      </c>
      <c r="AS89" s="465">
        <f t="shared" si="81"/>
        <v>0</v>
      </c>
      <c r="AT89" s="465">
        <f t="shared" si="81"/>
        <v>0</v>
      </c>
      <c r="AU89" s="1416">
        <f t="shared" si="81"/>
        <v>0</v>
      </c>
      <c r="AV89" s="898">
        <f t="shared" si="81"/>
        <v>0</v>
      </c>
      <c r="AW89" s="465">
        <f t="shared" si="81"/>
        <v>0</v>
      </c>
      <c r="AX89" s="465">
        <f t="shared" si="81"/>
        <v>0</v>
      </c>
      <c r="AY89" s="465">
        <f t="shared" si="81"/>
        <v>0</v>
      </c>
      <c r="AZ89" s="465">
        <f t="shared" si="81"/>
        <v>0</v>
      </c>
      <c r="BA89" s="1416">
        <f t="shared" si="81"/>
        <v>0</v>
      </c>
      <c r="BB89" s="898">
        <f t="shared" si="81"/>
        <v>0</v>
      </c>
      <c r="BC89" s="465">
        <f t="shared" si="81"/>
        <v>0</v>
      </c>
      <c r="BD89" s="465">
        <f t="shared" si="81"/>
        <v>0</v>
      </c>
      <c r="BE89" s="465">
        <f t="shared" si="81"/>
        <v>0</v>
      </c>
      <c r="BF89" s="465">
        <f t="shared" si="81"/>
        <v>0</v>
      </c>
      <c r="BG89" s="465">
        <f t="shared" si="81"/>
        <v>0</v>
      </c>
      <c r="BH89" s="465">
        <f t="shared" si="81"/>
        <v>0</v>
      </c>
      <c r="BI89" s="465">
        <f t="shared" si="81"/>
        <v>0</v>
      </c>
      <c r="BJ89" s="465">
        <f t="shared" si="81"/>
        <v>0</v>
      </c>
      <c r="BK89" s="337"/>
      <c r="BL89" s="232">
        <f t="shared" ref="BL89:CM89" si="82">BL$59*BL$22*(10^-6)</f>
        <v>6.1537838297872332E-3</v>
      </c>
      <c r="BM89" s="232">
        <f t="shared" si="82"/>
        <v>6.0474666666666659E-3</v>
      </c>
      <c r="BN89" s="232">
        <f t="shared" si="82"/>
        <v>4.2075949999999997E-3</v>
      </c>
      <c r="BO89" s="1236">
        <f t="shared" si="82"/>
        <v>4.1290716666666661E-3</v>
      </c>
      <c r="BP89" s="898">
        <f t="shared" si="82"/>
        <v>9.3573333333333317E-4</v>
      </c>
      <c r="BQ89" s="465">
        <f t="shared" si="82"/>
        <v>2.2897777777777778E-4</v>
      </c>
      <c r="BR89" s="465">
        <f t="shared" si="82"/>
        <v>2.0938983050847456E-4</v>
      </c>
      <c r="BS89" s="465">
        <f t="shared" si="82"/>
        <v>1.7424000000000001E-4</v>
      </c>
      <c r="BT89" s="465">
        <f t="shared" si="82"/>
        <v>2.6926995515695064E-4</v>
      </c>
      <c r="BU89" s="465">
        <f t="shared" si="82"/>
        <v>2.3344500000000001E-4</v>
      </c>
      <c r="BV89" s="465">
        <f t="shared" si="82"/>
        <v>1.9261666666666667E-4</v>
      </c>
      <c r="BW89" s="465">
        <f t="shared" si="82"/>
        <v>1.7195499999999998E-4</v>
      </c>
      <c r="BX89" s="1416">
        <f t="shared" si="82"/>
        <v>1.9305E-4</v>
      </c>
      <c r="BY89" s="898">
        <f t="shared" si="82"/>
        <v>2.3247000000000003E-4</v>
      </c>
      <c r="BZ89" s="465">
        <f t="shared" si="82"/>
        <v>0</v>
      </c>
      <c r="CA89" s="465">
        <f t="shared" si="82"/>
        <v>0</v>
      </c>
      <c r="CB89" s="465">
        <f t="shared" si="82"/>
        <v>0</v>
      </c>
      <c r="CC89" s="465">
        <f t="shared" si="82"/>
        <v>0</v>
      </c>
      <c r="CD89" s="1416">
        <f t="shared" si="82"/>
        <v>0</v>
      </c>
      <c r="CE89" s="898">
        <f t="shared" si="82"/>
        <v>0</v>
      </c>
      <c r="CF89" s="465">
        <f t="shared" si="82"/>
        <v>0</v>
      </c>
      <c r="CG89" s="465">
        <f t="shared" si="82"/>
        <v>0</v>
      </c>
      <c r="CH89" s="465">
        <f t="shared" si="82"/>
        <v>0</v>
      </c>
      <c r="CI89" s="465">
        <f t="shared" si="82"/>
        <v>0</v>
      </c>
      <c r="CJ89" s="465">
        <f t="shared" si="82"/>
        <v>0</v>
      </c>
      <c r="CK89" s="465">
        <f t="shared" si="82"/>
        <v>0</v>
      </c>
      <c r="CL89" s="465">
        <f t="shared" si="82"/>
        <v>0</v>
      </c>
      <c r="CM89" s="465">
        <f t="shared" si="82"/>
        <v>0</v>
      </c>
      <c r="CN89" s="337"/>
      <c r="CO89" s="266"/>
      <c r="CP89" s="266"/>
      <c r="CQ89" s="266"/>
      <c r="CR89" s="1479"/>
      <c r="CS89" s="1467"/>
      <c r="CT89" s="266"/>
      <c r="CU89" s="266"/>
      <c r="CV89" s="266"/>
      <c r="CW89" s="266"/>
      <c r="CX89" s="266"/>
      <c r="CY89" s="266"/>
      <c r="CZ89" s="266"/>
      <c r="DA89" s="1479"/>
      <c r="DB89" s="1467"/>
      <c r="DC89" s="266"/>
      <c r="DD89" s="266"/>
    </row>
    <row r="90" spans="3:179" ht="15" thickBot="1" x14ac:dyDescent="0.4">
      <c r="C90" s="1" t="s">
        <v>389</v>
      </c>
      <c r="F90" s="1168">
        <f>F$85+F$88</f>
        <v>0</v>
      </c>
      <c r="G90" s="403">
        <f t="shared" ref="G90:AG90" si="83">G$85+G$88</f>
        <v>0</v>
      </c>
      <c r="H90" s="403">
        <f t="shared" si="83"/>
        <v>0</v>
      </c>
      <c r="I90" s="1265">
        <f t="shared" si="83"/>
        <v>0</v>
      </c>
      <c r="J90" s="892">
        <f t="shared" si="83"/>
        <v>0</v>
      </c>
      <c r="K90" s="403">
        <f t="shared" si="83"/>
        <v>0</v>
      </c>
      <c r="L90" s="403">
        <f t="shared" si="83"/>
        <v>0</v>
      </c>
      <c r="M90" s="403">
        <f t="shared" si="83"/>
        <v>0</v>
      </c>
      <c r="N90" s="403">
        <f t="shared" si="83"/>
        <v>0</v>
      </c>
      <c r="O90" s="403">
        <f t="shared" si="83"/>
        <v>0</v>
      </c>
      <c r="P90" s="403">
        <f t="shared" si="83"/>
        <v>0</v>
      </c>
      <c r="Q90" s="403">
        <f t="shared" si="83"/>
        <v>0</v>
      </c>
      <c r="R90" s="1265">
        <f t="shared" si="83"/>
        <v>0</v>
      </c>
      <c r="S90" s="892">
        <f t="shared" si="83"/>
        <v>0</v>
      </c>
      <c r="T90" s="403">
        <f t="shared" si="83"/>
        <v>0</v>
      </c>
      <c r="U90" s="403">
        <f t="shared" si="83"/>
        <v>0</v>
      </c>
      <c r="V90" s="403">
        <f t="shared" si="83"/>
        <v>0</v>
      </c>
      <c r="W90" s="403">
        <f t="shared" si="83"/>
        <v>0</v>
      </c>
      <c r="X90" s="1265">
        <f t="shared" si="83"/>
        <v>0</v>
      </c>
      <c r="Y90" s="892">
        <f t="shared" si="83"/>
        <v>0</v>
      </c>
      <c r="Z90" s="403">
        <f t="shared" si="83"/>
        <v>0</v>
      </c>
      <c r="AA90" s="403">
        <f t="shared" si="83"/>
        <v>0</v>
      </c>
      <c r="AB90" s="403">
        <f t="shared" si="83"/>
        <v>0</v>
      </c>
      <c r="AC90" s="403">
        <f t="shared" si="83"/>
        <v>0</v>
      </c>
      <c r="AD90" s="403">
        <f t="shared" si="83"/>
        <v>0</v>
      </c>
      <c r="AE90" s="403">
        <f t="shared" si="83"/>
        <v>0</v>
      </c>
      <c r="AF90" s="403">
        <f t="shared" si="83"/>
        <v>0</v>
      </c>
      <c r="AG90" s="403">
        <f t="shared" si="83"/>
        <v>0</v>
      </c>
      <c r="AH90" s="893"/>
      <c r="AI90" s="403">
        <f t="shared" ref="AI90:CA90" si="84">SUM(AI85:AI89)</f>
        <v>0</v>
      </c>
      <c r="AJ90" s="403">
        <f t="shared" si="84"/>
        <v>0</v>
      </c>
      <c r="AK90" s="403">
        <f t="shared" si="84"/>
        <v>0</v>
      </c>
      <c r="AL90" s="1265">
        <f t="shared" si="84"/>
        <v>0</v>
      </c>
      <c r="AM90" s="892">
        <f t="shared" si="84"/>
        <v>0</v>
      </c>
      <c r="AN90" s="403">
        <f t="shared" si="84"/>
        <v>0</v>
      </c>
      <c r="AO90" s="403">
        <f t="shared" si="84"/>
        <v>0</v>
      </c>
      <c r="AP90" s="403">
        <f t="shared" si="84"/>
        <v>0</v>
      </c>
      <c r="AQ90" s="403">
        <f t="shared" si="84"/>
        <v>0</v>
      </c>
      <c r="AR90" s="403">
        <f t="shared" si="84"/>
        <v>0</v>
      </c>
      <c r="AS90" s="403">
        <f t="shared" si="84"/>
        <v>0</v>
      </c>
      <c r="AT90" s="403">
        <f t="shared" si="84"/>
        <v>0</v>
      </c>
      <c r="AU90" s="1265">
        <f t="shared" si="84"/>
        <v>0</v>
      </c>
      <c r="AV90" s="892">
        <f t="shared" si="84"/>
        <v>0</v>
      </c>
      <c r="AW90" s="403">
        <f t="shared" si="84"/>
        <v>0</v>
      </c>
      <c r="AX90" s="403">
        <f t="shared" ref="AX90" si="85">SUM(AX85:AX89)</f>
        <v>0</v>
      </c>
      <c r="AY90" s="403">
        <f t="shared" ref="AY90:BG90" si="86">SUM(AY85:AY89)</f>
        <v>0</v>
      </c>
      <c r="AZ90" s="403">
        <f t="shared" si="86"/>
        <v>0</v>
      </c>
      <c r="BA90" s="1265">
        <f t="shared" si="86"/>
        <v>0</v>
      </c>
      <c r="BB90" s="892">
        <f t="shared" si="86"/>
        <v>0</v>
      </c>
      <c r="BC90" s="403">
        <f t="shared" si="86"/>
        <v>0</v>
      </c>
      <c r="BD90" s="403">
        <f t="shared" si="86"/>
        <v>0</v>
      </c>
      <c r="BE90" s="403">
        <f t="shared" si="86"/>
        <v>0</v>
      </c>
      <c r="BF90" s="403">
        <f t="shared" si="86"/>
        <v>0</v>
      </c>
      <c r="BG90" s="403">
        <f t="shared" si="86"/>
        <v>0</v>
      </c>
      <c r="BH90" s="403">
        <f t="shared" ref="BH90:BJ90" si="87">SUM(BH85:BH89)</f>
        <v>0</v>
      </c>
      <c r="BI90" s="403">
        <f t="shared" si="87"/>
        <v>0</v>
      </c>
      <c r="BJ90" s="403">
        <f t="shared" si="87"/>
        <v>0</v>
      </c>
      <c r="BK90" s="893"/>
      <c r="BL90" s="403">
        <f t="shared" si="84"/>
        <v>2.0086761574135761E-2</v>
      </c>
      <c r="BM90" s="403">
        <f t="shared" si="84"/>
        <v>2.0329499132098645E-2</v>
      </c>
      <c r="BN90" s="403">
        <f t="shared" si="84"/>
        <v>2.1601629451014681E-2</v>
      </c>
      <c r="BO90" s="1265">
        <f t="shared" si="84"/>
        <v>2.0980204529319681E-2</v>
      </c>
      <c r="BP90" s="892" t="e">
        <f t="shared" si="84"/>
        <v>#REF!</v>
      </c>
      <c r="BQ90" s="403">
        <f t="shared" si="84"/>
        <v>1.0327200790340796E-3</v>
      </c>
      <c r="BR90" s="403">
        <f t="shared" si="84"/>
        <v>1.281554870402454E-3</v>
      </c>
      <c r="BS90" s="403">
        <f t="shared" si="84"/>
        <v>1.4103610794995282E-3</v>
      </c>
      <c r="BT90" s="403">
        <f t="shared" si="84"/>
        <v>1.7595097802854175E-3</v>
      </c>
      <c r="BU90" s="403">
        <f t="shared" si="84"/>
        <v>1.8839407225860784E-3</v>
      </c>
      <c r="BV90" s="403">
        <f t="shared" si="84"/>
        <v>2.0932477812643747E-3</v>
      </c>
      <c r="BW90" s="403">
        <f t="shared" si="84"/>
        <v>2.0051311633878656E-3</v>
      </c>
      <c r="BX90" s="1265">
        <f t="shared" si="84"/>
        <v>2.1622854276476533E-3</v>
      </c>
      <c r="BY90" s="892">
        <f t="shared" si="84"/>
        <v>2.3247000000000003E-4</v>
      </c>
      <c r="BZ90" s="403">
        <f t="shared" si="84"/>
        <v>0</v>
      </c>
      <c r="CA90" s="403">
        <f t="shared" si="84"/>
        <v>0</v>
      </c>
      <c r="CB90" s="403">
        <f t="shared" ref="CB90:CC90" si="88">SUM(CB85:CB89)</f>
        <v>0</v>
      </c>
      <c r="CC90" s="403">
        <f t="shared" si="88"/>
        <v>0</v>
      </c>
      <c r="CD90" s="1265">
        <f t="shared" ref="CD90:CJ90" si="89">SUM(CD85:CD89)</f>
        <v>0</v>
      </c>
      <c r="CE90" s="892">
        <f t="shared" si="89"/>
        <v>0</v>
      </c>
      <c r="CF90" s="403">
        <f t="shared" si="89"/>
        <v>0</v>
      </c>
      <c r="CG90" s="403">
        <f t="shared" si="89"/>
        <v>0</v>
      </c>
      <c r="CH90" s="403">
        <f t="shared" si="89"/>
        <v>0</v>
      </c>
      <c r="CI90" s="403">
        <f t="shared" si="89"/>
        <v>0</v>
      </c>
      <c r="CJ90" s="403">
        <f t="shared" si="89"/>
        <v>0</v>
      </c>
      <c r="CK90" s="403">
        <f t="shared" ref="CK90:CM90" si="90">SUM(CK85:CK89)</f>
        <v>0</v>
      </c>
      <c r="CL90" s="403">
        <f t="shared" si="90"/>
        <v>0</v>
      </c>
      <c r="CM90" s="403">
        <f t="shared" si="90"/>
        <v>0</v>
      </c>
      <c r="CN90" s="395"/>
      <c r="CO90" s="394"/>
      <c r="CP90" s="394"/>
      <c r="CQ90" s="394"/>
      <c r="CR90" s="1480"/>
      <c r="CS90" s="1468"/>
      <c r="CT90" s="394"/>
      <c r="CU90" s="394"/>
      <c r="CV90" s="394"/>
      <c r="CW90" s="394"/>
      <c r="CX90" s="394"/>
      <c r="CY90" s="394"/>
      <c r="CZ90" s="394"/>
      <c r="DA90" s="1480"/>
      <c r="DB90" s="1468"/>
      <c r="DC90" s="394"/>
      <c r="DD90" s="394"/>
      <c r="DE90" s="225"/>
      <c r="DF90" s="225"/>
      <c r="DG90" s="1269"/>
      <c r="DH90" s="1214"/>
      <c r="DI90" s="225"/>
      <c r="DJ90" s="225"/>
      <c r="DK90" s="225"/>
      <c r="DL90" s="225"/>
      <c r="DM90" s="225"/>
      <c r="DN90" s="225"/>
      <c r="DO90" s="225"/>
      <c r="DP90" s="225"/>
      <c r="DQ90" s="344"/>
      <c r="DR90" s="345"/>
      <c r="DS90" s="225"/>
      <c r="DT90" s="225"/>
      <c r="DU90" s="225"/>
      <c r="DV90" s="1269"/>
      <c r="DW90" s="1214"/>
      <c r="DX90" s="225"/>
      <c r="DY90" s="225"/>
      <c r="DZ90" s="225"/>
      <c r="EA90" s="225"/>
      <c r="EB90" s="225"/>
      <c r="EC90" s="225"/>
      <c r="ED90" s="225"/>
      <c r="EE90" s="1269"/>
      <c r="EF90" s="1214"/>
      <c r="EG90" s="225"/>
      <c r="EH90" s="225"/>
      <c r="EI90" s="225"/>
      <c r="EJ90" s="225"/>
      <c r="EK90" s="1269"/>
      <c r="EL90" s="1214"/>
      <c r="EM90" s="225"/>
      <c r="EN90" s="225"/>
      <c r="EO90" s="225"/>
      <c r="EP90" s="225"/>
      <c r="EQ90" s="225"/>
      <c r="ER90" s="225"/>
      <c r="ES90" s="225"/>
      <c r="ET90" s="225"/>
      <c r="EU90" s="344"/>
      <c r="EV90" s="225"/>
      <c r="EW90" s="225"/>
      <c r="EX90" s="225"/>
      <c r="EY90" s="1269"/>
      <c r="EZ90" s="1214"/>
      <c r="FA90" s="225"/>
      <c r="FB90" s="225"/>
      <c r="FC90" s="225"/>
      <c r="FD90" s="225"/>
      <c r="FE90" s="225"/>
      <c r="FF90" s="225"/>
      <c r="FG90" s="225"/>
      <c r="FH90" s="1269"/>
      <c r="FI90" s="1214"/>
      <c r="FJ90" s="225"/>
      <c r="FK90" s="225"/>
      <c r="FL90" s="225"/>
      <c r="FM90" s="225"/>
      <c r="FN90" s="1269"/>
      <c r="FO90" s="1214"/>
      <c r="FP90" s="225"/>
      <c r="FQ90" s="225"/>
      <c r="FR90" s="225"/>
      <c r="FS90" s="225"/>
      <c r="FT90" s="225"/>
      <c r="FU90" s="225"/>
      <c r="FV90" s="225"/>
      <c r="FW90" s="225"/>
    </row>
    <row r="91" spans="3:179" s="299" customFormat="1" ht="15.5" thickTop="1" thickBot="1" x14ac:dyDescent="0.4">
      <c r="C91" s="305"/>
      <c r="D91" s="305"/>
      <c r="E91" s="305"/>
      <c r="F91" s="1031"/>
      <c r="G91" s="307"/>
      <c r="H91" s="307"/>
      <c r="I91" s="1239"/>
      <c r="J91" s="1186"/>
      <c r="K91" s="307"/>
      <c r="L91" s="307"/>
      <c r="M91" s="307"/>
      <c r="N91" s="307"/>
      <c r="O91" s="307"/>
      <c r="P91" s="307"/>
      <c r="Q91" s="307"/>
      <c r="R91" s="1239"/>
      <c r="S91" s="1186"/>
      <c r="T91" s="307"/>
      <c r="U91" s="307"/>
      <c r="V91" s="307"/>
      <c r="W91" s="307"/>
      <c r="X91" s="1239"/>
      <c r="Y91" s="1186"/>
      <c r="Z91" s="307"/>
      <c r="AA91" s="307"/>
      <c r="AB91" s="307"/>
      <c r="AC91" s="307"/>
      <c r="AD91" s="307"/>
      <c r="AE91" s="307"/>
      <c r="AF91" s="307"/>
      <c r="AG91" s="307"/>
      <c r="AH91" s="359"/>
      <c r="AI91" s="307"/>
      <c r="AJ91" s="307"/>
      <c r="AK91" s="307"/>
      <c r="AL91" s="1239"/>
      <c r="AM91" s="1186"/>
      <c r="AN91" s="307"/>
      <c r="AO91" s="307"/>
      <c r="AP91" s="307"/>
      <c r="AQ91" s="307"/>
      <c r="AR91" s="307"/>
      <c r="AS91" s="307"/>
      <c r="AT91" s="307"/>
      <c r="AU91" s="1239"/>
      <c r="AV91" s="1186"/>
      <c r="AW91" s="307"/>
      <c r="AX91" s="307"/>
      <c r="AY91" s="307"/>
      <c r="AZ91" s="307"/>
      <c r="BA91" s="1239"/>
      <c r="BB91" s="1186"/>
      <c r="BC91" s="307"/>
      <c r="BD91" s="307"/>
      <c r="BE91" s="307"/>
      <c r="BF91" s="307"/>
      <c r="BG91" s="307"/>
      <c r="BH91" s="307"/>
      <c r="BI91" s="307"/>
      <c r="BJ91" s="307"/>
      <c r="BK91" s="359"/>
      <c r="BL91" s="307"/>
      <c r="BM91" s="307"/>
      <c r="BN91" s="307"/>
      <c r="BO91" s="1239"/>
      <c r="BP91" s="1186"/>
      <c r="BQ91" s="307"/>
      <c r="BR91" s="307"/>
      <c r="BS91" s="307"/>
      <c r="BT91" s="307"/>
      <c r="BU91" s="307"/>
      <c r="BV91" s="307"/>
      <c r="BW91" s="307"/>
      <c r="BX91" s="1239"/>
      <c r="BY91" s="1186"/>
      <c r="BZ91" s="307"/>
      <c r="CA91" s="307"/>
      <c r="CB91" s="307"/>
      <c r="CC91" s="307"/>
      <c r="CD91" s="1239"/>
      <c r="CE91" s="1186"/>
      <c r="CF91" s="307"/>
      <c r="CG91" s="307"/>
      <c r="CH91" s="307"/>
      <c r="CI91" s="307"/>
      <c r="CJ91" s="307"/>
      <c r="CK91" s="307"/>
      <c r="CL91" s="307"/>
      <c r="CM91" s="307"/>
      <c r="CN91" s="359"/>
      <c r="CO91" s="307"/>
      <c r="CP91" s="307"/>
      <c r="CQ91" s="307"/>
      <c r="CR91" s="1239"/>
      <c r="CS91" s="1186"/>
      <c r="CT91" s="307"/>
      <c r="CU91" s="307"/>
      <c r="CV91" s="307"/>
      <c r="CW91" s="307"/>
      <c r="CX91" s="307"/>
      <c r="CY91" s="307"/>
      <c r="CZ91" s="307"/>
      <c r="DA91" s="1239"/>
      <c r="DB91" s="1186"/>
      <c r="DC91" s="307"/>
      <c r="DD91" s="307"/>
      <c r="DE91" s="307"/>
      <c r="DF91" s="307"/>
      <c r="DG91" s="1239"/>
      <c r="DH91" s="1186"/>
      <c r="DI91" s="307"/>
      <c r="DJ91" s="307"/>
      <c r="DK91" s="307"/>
      <c r="DL91" s="307"/>
      <c r="DM91" s="307"/>
      <c r="DN91" s="307"/>
      <c r="DO91" s="307"/>
      <c r="DP91" s="307"/>
      <c r="DQ91" s="359"/>
      <c r="DR91" s="361"/>
      <c r="DS91" s="307"/>
      <c r="DT91" s="307"/>
      <c r="DU91" s="307"/>
      <c r="DV91" s="1239"/>
      <c r="DW91" s="1186"/>
      <c r="DX91" s="307"/>
      <c r="DY91" s="307"/>
      <c r="DZ91" s="307"/>
      <c r="EA91" s="307"/>
      <c r="EB91" s="307"/>
      <c r="EC91" s="307"/>
      <c r="ED91" s="307"/>
      <c r="EE91" s="1239"/>
      <c r="EF91" s="1186"/>
      <c r="EG91" s="307"/>
      <c r="EH91" s="307"/>
      <c r="EI91" s="307"/>
      <c r="EJ91" s="307"/>
      <c r="EK91" s="1239"/>
      <c r="EL91" s="1186"/>
      <c r="EM91" s="307"/>
      <c r="EN91" s="307"/>
      <c r="EO91" s="307"/>
      <c r="EP91" s="307"/>
      <c r="EQ91" s="307"/>
      <c r="ER91" s="307"/>
      <c r="ES91" s="307"/>
      <c r="ET91" s="307"/>
      <c r="EU91" s="359"/>
      <c r="EV91" s="307"/>
      <c r="EW91" s="307"/>
      <c r="EX91" s="307"/>
      <c r="EY91" s="1239"/>
      <c r="EZ91" s="1186"/>
      <c r="FA91" s="307"/>
      <c r="FB91" s="307"/>
      <c r="FC91" s="307"/>
      <c r="FD91" s="307"/>
      <c r="FE91" s="307"/>
      <c r="FF91" s="307"/>
      <c r="FG91" s="307"/>
      <c r="FH91" s="1239"/>
      <c r="FI91" s="1186"/>
      <c r="FJ91" s="307"/>
      <c r="FK91" s="307"/>
      <c r="FL91" s="307"/>
      <c r="FM91" s="307"/>
      <c r="FN91" s="1239"/>
      <c r="FO91" s="1186"/>
      <c r="FP91" s="307"/>
      <c r="FQ91" s="307"/>
      <c r="FR91" s="307"/>
      <c r="FS91" s="307"/>
      <c r="FT91" s="307"/>
      <c r="FU91" s="307"/>
      <c r="FV91" s="307"/>
      <c r="FW91" s="307"/>
    </row>
    <row r="92" spans="3:179" ht="15" thickTop="1" x14ac:dyDescent="0.35">
      <c r="C92" s="1" t="s">
        <v>170</v>
      </c>
      <c r="F92" s="1045">
        <f t="shared" ref="F92:AG92" si="91">F$59*F$26/100</f>
        <v>0</v>
      </c>
      <c r="G92" s="393">
        <f t="shared" si="91"/>
        <v>0</v>
      </c>
      <c r="H92" s="393">
        <f t="shared" si="91"/>
        <v>0</v>
      </c>
      <c r="I92" s="1266">
        <f t="shared" si="91"/>
        <v>0</v>
      </c>
      <c r="J92" s="1211">
        <f t="shared" si="91"/>
        <v>0</v>
      </c>
      <c r="K92" s="393">
        <f t="shared" si="91"/>
        <v>0</v>
      </c>
      <c r="L92" s="393">
        <f t="shared" si="91"/>
        <v>0</v>
      </c>
      <c r="M92" s="393">
        <f t="shared" si="91"/>
        <v>0</v>
      </c>
      <c r="N92" s="393">
        <f t="shared" si="91"/>
        <v>0</v>
      </c>
      <c r="O92" s="393">
        <f t="shared" si="91"/>
        <v>0</v>
      </c>
      <c r="P92" s="393">
        <f t="shared" si="91"/>
        <v>0</v>
      </c>
      <c r="Q92" s="393">
        <f t="shared" si="91"/>
        <v>0</v>
      </c>
      <c r="R92" s="1266">
        <f t="shared" si="91"/>
        <v>0</v>
      </c>
      <c r="S92" s="1211">
        <f t="shared" si="91"/>
        <v>0</v>
      </c>
      <c r="T92" s="393">
        <f t="shared" si="91"/>
        <v>0</v>
      </c>
      <c r="U92" s="393">
        <f t="shared" si="91"/>
        <v>0</v>
      </c>
      <c r="V92" s="393">
        <f t="shared" si="91"/>
        <v>0</v>
      </c>
      <c r="W92" s="393">
        <f t="shared" si="91"/>
        <v>0</v>
      </c>
      <c r="X92" s="1266">
        <f t="shared" si="91"/>
        <v>0</v>
      </c>
      <c r="Y92" s="1211">
        <f t="shared" si="91"/>
        <v>0</v>
      </c>
      <c r="Z92" s="393">
        <f t="shared" si="91"/>
        <v>0</v>
      </c>
      <c r="AA92" s="393">
        <f t="shared" si="91"/>
        <v>0</v>
      </c>
      <c r="AB92" s="393">
        <f t="shared" si="91"/>
        <v>0</v>
      </c>
      <c r="AC92" s="393">
        <f t="shared" si="91"/>
        <v>0</v>
      </c>
      <c r="AD92" s="393">
        <f t="shared" si="91"/>
        <v>0</v>
      </c>
      <c r="AE92" s="393">
        <f t="shared" si="91"/>
        <v>0</v>
      </c>
      <c r="AF92" s="393">
        <f t="shared" si="91"/>
        <v>0</v>
      </c>
      <c r="AG92" s="393">
        <f t="shared" si="91"/>
        <v>0</v>
      </c>
      <c r="AH92" s="396"/>
      <c r="AI92" s="393">
        <f t="shared" ref="AI92:BJ92" si="92">AI$59*AI$26/100</f>
        <v>0</v>
      </c>
      <c r="AJ92" s="393">
        <f t="shared" si="92"/>
        <v>0</v>
      </c>
      <c r="AK92" s="393">
        <f t="shared" si="92"/>
        <v>0</v>
      </c>
      <c r="AL92" s="1266">
        <f t="shared" si="92"/>
        <v>0</v>
      </c>
      <c r="AM92" s="1211">
        <f t="shared" si="92"/>
        <v>0</v>
      </c>
      <c r="AN92" s="393">
        <f t="shared" si="92"/>
        <v>0</v>
      </c>
      <c r="AO92" s="393">
        <f t="shared" si="92"/>
        <v>0</v>
      </c>
      <c r="AP92" s="393">
        <f t="shared" si="92"/>
        <v>0</v>
      </c>
      <c r="AQ92" s="393">
        <f t="shared" si="92"/>
        <v>0</v>
      </c>
      <c r="AR92" s="393">
        <f t="shared" si="92"/>
        <v>0</v>
      </c>
      <c r="AS92" s="393">
        <f t="shared" si="92"/>
        <v>0</v>
      </c>
      <c r="AT92" s="393">
        <f t="shared" si="92"/>
        <v>0</v>
      </c>
      <c r="AU92" s="1266">
        <f t="shared" si="92"/>
        <v>0</v>
      </c>
      <c r="AV92" s="1211">
        <f t="shared" si="92"/>
        <v>0</v>
      </c>
      <c r="AW92" s="393">
        <f t="shared" si="92"/>
        <v>0</v>
      </c>
      <c r="AX92" s="393">
        <f t="shared" si="92"/>
        <v>0</v>
      </c>
      <c r="AY92" s="393">
        <f t="shared" si="92"/>
        <v>0</v>
      </c>
      <c r="AZ92" s="393">
        <f t="shared" si="92"/>
        <v>0</v>
      </c>
      <c r="BA92" s="1266">
        <f t="shared" si="92"/>
        <v>0</v>
      </c>
      <c r="BB92" s="1211">
        <f t="shared" si="92"/>
        <v>0</v>
      </c>
      <c r="BC92" s="393">
        <f t="shared" si="92"/>
        <v>0</v>
      </c>
      <c r="BD92" s="393">
        <f t="shared" si="92"/>
        <v>0</v>
      </c>
      <c r="BE92" s="393">
        <f t="shared" si="92"/>
        <v>0</v>
      </c>
      <c r="BF92" s="393">
        <f t="shared" si="92"/>
        <v>0</v>
      </c>
      <c r="BG92" s="393">
        <f t="shared" si="92"/>
        <v>0</v>
      </c>
      <c r="BH92" s="393">
        <f t="shared" si="92"/>
        <v>0</v>
      </c>
      <c r="BI92" s="393">
        <f t="shared" si="92"/>
        <v>0</v>
      </c>
      <c r="BJ92" s="393">
        <f t="shared" si="92"/>
        <v>0</v>
      </c>
      <c r="BK92" s="396"/>
      <c r="BL92" s="393">
        <f t="shared" ref="BL92:CM92" si="93">BL$59*BL$26/100</f>
        <v>6.3297595463990408</v>
      </c>
      <c r="BM92" s="393">
        <f t="shared" si="93"/>
        <v>6.1289084703574819</v>
      </c>
      <c r="BN92" s="393">
        <f t="shared" si="93"/>
        <v>7.0525631822766579</v>
      </c>
      <c r="BO92" s="1266">
        <f t="shared" si="93"/>
        <v>6.8693292315161694</v>
      </c>
      <c r="BP92" s="1211">
        <f t="shared" si="93"/>
        <v>1.3688013772836101</v>
      </c>
      <c r="BQ92" s="393">
        <f t="shared" si="93"/>
        <v>1.4466624573524713</v>
      </c>
      <c r="BR92" s="393">
        <f t="shared" si="93"/>
        <v>1.6388167731839984</v>
      </c>
      <c r="BS92" s="393">
        <f t="shared" si="93"/>
        <v>1.7268643134663737</v>
      </c>
      <c r="BT92" s="393">
        <f t="shared" si="93"/>
        <v>1.7909291254910549</v>
      </c>
      <c r="BU92" s="393">
        <f t="shared" si="93"/>
        <v>1.9153340555904483</v>
      </c>
      <c r="BV92" s="393">
        <f t="shared" si="93"/>
        <v>2.0026707041997249</v>
      </c>
      <c r="BW92" s="393">
        <f t="shared" si="93"/>
        <v>1.9892790789467865</v>
      </c>
      <c r="BX92" s="1266">
        <f t="shared" si="93"/>
        <v>2.0499670779534158</v>
      </c>
      <c r="BY92" s="1211">
        <f t="shared" si="93"/>
        <v>0</v>
      </c>
      <c r="BZ92" s="393">
        <f t="shared" si="93"/>
        <v>0</v>
      </c>
      <c r="CA92" s="393">
        <f t="shared" si="93"/>
        <v>0</v>
      </c>
      <c r="CB92" s="393">
        <f t="shared" si="93"/>
        <v>0</v>
      </c>
      <c r="CC92" s="393">
        <f t="shared" si="93"/>
        <v>0</v>
      </c>
      <c r="CD92" s="1266">
        <f t="shared" si="93"/>
        <v>0</v>
      </c>
      <c r="CE92" s="1211">
        <f t="shared" si="93"/>
        <v>0</v>
      </c>
      <c r="CF92" s="393">
        <f t="shared" si="93"/>
        <v>0</v>
      </c>
      <c r="CG92" s="393">
        <f t="shared" si="93"/>
        <v>0</v>
      </c>
      <c r="CH92" s="393">
        <f t="shared" si="93"/>
        <v>0</v>
      </c>
      <c r="CI92" s="393">
        <f t="shared" si="93"/>
        <v>0</v>
      </c>
      <c r="CJ92" s="393">
        <f t="shared" si="93"/>
        <v>0</v>
      </c>
      <c r="CK92" s="393">
        <f t="shared" si="93"/>
        <v>0</v>
      </c>
      <c r="CL92" s="393">
        <f t="shared" si="93"/>
        <v>0</v>
      </c>
      <c r="CM92" s="393">
        <f t="shared" si="93"/>
        <v>0</v>
      </c>
      <c r="CN92" s="396"/>
      <c r="CO92" s="393">
        <f t="shared" ref="CO92:DP92" si="94">CO$59*CO$26/100</f>
        <v>0</v>
      </c>
      <c r="CP92" s="393">
        <f t="shared" si="94"/>
        <v>2.5123031137816061E-2</v>
      </c>
      <c r="CQ92" s="393">
        <f t="shared" si="94"/>
        <v>1.4955775826947973E-2</v>
      </c>
      <c r="CR92" s="1266">
        <f t="shared" si="94"/>
        <v>1.9368093458810205E-2</v>
      </c>
      <c r="CS92" s="1211">
        <f t="shared" si="94"/>
        <v>2.3670452705780335E-2</v>
      </c>
      <c r="CT92" s="393">
        <f t="shared" si="94"/>
        <v>1.8463677571979149E-2</v>
      </c>
      <c r="CU92" s="393">
        <f t="shared" si="94"/>
        <v>2.4709028848066361E-2</v>
      </c>
      <c r="CV92" s="393">
        <f t="shared" si="94"/>
        <v>1.9223899558954254E-2</v>
      </c>
      <c r="CW92" s="393">
        <f t="shared" si="94"/>
        <v>3.0499018937298294E-2</v>
      </c>
      <c r="CX92" s="393">
        <f t="shared" si="94"/>
        <v>2.8829133359086493E-2</v>
      </c>
      <c r="CY92" s="393">
        <f t="shared" si="94"/>
        <v>2.1625015333812368E-2</v>
      </c>
      <c r="CZ92" s="393">
        <f t="shared" si="94"/>
        <v>2.2441575327395456E-2</v>
      </c>
      <c r="DA92" s="1266">
        <f t="shared" si="94"/>
        <v>2.0169393299636861E-2</v>
      </c>
      <c r="DB92" s="1211">
        <f t="shared" si="94"/>
        <v>0</v>
      </c>
      <c r="DC92" s="393">
        <f t="shared" si="94"/>
        <v>0</v>
      </c>
      <c r="DD92" s="393">
        <f t="shared" si="94"/>
        <v>0</v>
      </c>
      <c r="DE92" s="393">
        <f t="shared" si="94"/>
        <v>0</v>
      </c>
      <c r="DF92" s="393">
        <f t="shared" si="94"/>
        <v>0</v>
      </c>
      <c r="DG92" s="1266">
        <f t="shared" si="94"/>
        <v>0</v>
      </c>
      <c r="DH92" s="1211">
        <f t="shared" si="94"/>
        <v>0</v>
      </c>
      <c r="DI92" s="393">
        <f t="shared" si="94"/>
        <v>0</v>
      </c>
      <c r="DJ92" s="393">
        <f t="shared" si="94"/>
        <v>0</v>
      </c>
      <c r="DK92" s="393">
        <f t="shared" si="94"/>
        <v>0</v>
      </c>
      <c r="DL92" s="393">
        <f t="shared" si="94"/>
        <v>0</v>
      </c>
      <c r="DM92" s="393">
        <f t="shared" si="94"/>
        <v>0</v>
      </c>
      <c r="DN92" s="393">
        <f t="shared" si="94"/>
        <v>0</v>
      </c>
      <c r="DO92" s="393">
        <f t="shared" si="94"/>
        <v>0</v>
      </c>
      <c r="DP92" s="393">
        <f t="shared" si="94"/>
        <v>0</v>
      </c>
      <c r="DQ92" s="397"/>
      <c r="DR92" s="398"/>
      <c r="DS92" s="229"/>
      <c r="DT92" s="229"/>
      <c r="DU92" s="229"/>
      <c r="DV92" s="1245"/>
      <c r="DW92" s="538"/>
      <c r="DX92" s="229"/>
      <c r="DY92" s="229"/>
      <c r="DZ92" s="229"/>
      <c r="EA92" s="229"/>
      <c r="EB92" s="229"/>
      <c r="EC92" s="229"/>
      <c r="ED92" s="229"/>
      <c r="EE92" s="1245"/>
      <c r="EF92" s="538"/>
      <c r="EG92" s="229"/>
      <c r="EH92" s="229"/>
      <c r="EI92" s="229"/>
      <c r="EJ92" s="229"/>
      <c r="EK92" s="1245"/>
      <c r="EL92" s="538"/>
      <c r="EM92" s="229"/>
      <c r="EN92" s="229"/>
      <c r="EO92" s="229"/>
      <c r="EP92" s="229"/>
      <c r="EQ92" s="229"/>
      <c r="ER92" s="229"/>
      <c r="ES92" s="229"/>
      <c r="ET92" s="229"/>
      <c r="EU92" s="356"/>
      <c r="EV92" s="229"/>
      <c r="EW92" s="229"/>
      <c r="EX92" s="229"/>
      <c r="EY92" s="1245"/>
      <c r="EZ92" s="538"/>
      <c r="FA92" s="229"/>
      <c r="FB92" s="229"/>
      <c r="FC92" s="229"/>
      <c r="FD92" s="229"/>
      <c r="FE92" s="229"/>
      <c r="FF92" s="229"/>
      <c r="FG92" s="229"/>
      <c r="FH92" s="1245"/>
      <c r="FI92" s="538"/>
      <c r="FJ92" s="229"/>
      <c r="FK92" s="229"/>
      <c r="FL92" s="229"/>
      <c r="FM92" s="229"/>
      <c r="FN92" s="1245"/>
      <c r="FO92" s="538"/>
      <c r="FP92" s="229"/>
      <c r="FQ92" s="229"/>
      <c r="FR92" s="229"/>
      <c r="FS92" s="229"/>
      <c r="FT92" s="229"/>
      <c r="FU92" s="229"/>
      <c r="FV92" s="229"/>
      <c r="FW92" s="229"/>
    </row>
    <row r="93" spans="3:179" x14ac:dyDescent="0.35">
      <c r="C93" s="1" t="s">
        <v>171</v>
      </c>
      <c r="F93" s="604">
        <f t="shared" ref="F93:AG93" si="95">F$59*F$24/100</f>
        <v>0</v>
      </c>
      <c r="G93" s="251">
        <f t="shared" si="95"/>
        <v>0</v>
      </c>
      <c r="H93" s="251">
        <f t="shared" si="95"/>
        <v>0</v>
      </c>
      <c r="I93" s="1267">
        <f t="shared" si="95"/>
        <v>0</v>
      </c>
      <c r="J93" s="1212">
        <f t="shared" si="95"/>
        <v>0</v>
      </c>
      <c r="K93" s="251">
        <f t="shared" si="95"/>
        <v>0</v>
      </c>
      <c r="L93" s="251">
        <f t="shared" si="95"/>
        <v>0</v>
      </c>
      <c r="M93" s="251">
        <f t="shared" si="95"/>
        <v>0</v>
      </c>
      <c r="N93" s="251">
        <f t="shared" si="95"/>
        <v>0</v>
      </c>
      <c r="O93" s="251">
        <f t="shared" si="95"/>
        <v>0</v>
      </c>
      <c r="P93" s="251">
        <f t="shared" si="95"/>
        <v>0</v>
      </c>
      <c r="Q93" s="251">
        <f t="shared" si="95"/>
        <v>0</v>
      </c>
      <c r="R93" s="1267">
        <f t="shared" si="95"/>
        <v>0</v>
      </c>
      <c r="S93" s="1212">
        <f t="shared" si="95"/>
        <v>0</v>
      </c>
      <c r="T93" s="251">
        <f t="shared" si="95"/>
        <v>0</v>
      </c>
      <c r="U93" s="251">
        <f t="shared" si="95"/>
        <v>0</v>
      </c>
      <c r="V93" s="251">
        <f t="shared" si="95"/>
        <v>0</v>
      </c>
      <c r="W93" s="251">
        <f t="shared" si="95"/>
        <v>0</v>
      </c>
      <c r="X93" s="1267">
        <f t="shared" si="95"/>
        <v>0</v>
      </c>
      <c r="Y93" s="1212">
        <f t="shared" si="95"/>
        <v>0</v>
      </c>
      <c r="Z93" s="251">
        <f t="shared" si="95"/>
        <v>0</v>
      </c>
      <c r="AA93" s="251">
        <f t="shared" si="95"/>
        <v>0</v>
      </c>
      <c r="AB93" s="251">
        <f t="shared" si="95"/>
        <v>0</v>
      </c>
      <c r="AC93" s="251">
        <f t="shared" si="95"/>
        <v>0</v>
      </c>
      <c r="AD93" s="251">
        <f t="shared" si="95"/>
        <v>0</v>
      </c>
      <c r="AE93" s="251">
        <f t="shared" si="95"/>
        <v>0</v>
      </c>
      <c r="AF93" s="251">
        <f t="shared" si="95"/>
        <v>0</v>
      </c>
      <c r="AG93" s="251">
        <f t="shared" si="95"/>
        <v>0</v>
      </c>
      <c r="AH93" s="338"/>
      <c r="AI93" s="251">
        <f t="shared" ref="AI93:BJ93" si="96">AI$59*AI$24/100</f>
        <v>0</v>
      </c>
      <c r="AJ93" s="251">
        <f t="shared" si="96"/>
        <v>0</v>
      </c>
      <c r="AK93" s="251">
        <f t="shared" si="96"/>
        <v>0</v>
      </c>
      <c r="AL93" s="1267">
        <f t="shared" si="96"/>
        <v>0</v>
      </c>
      <c r="AM93" s="1212">
        <f t="shared" si="96"/>
        <v>0</v>
      </c>
      <c r="AN93" s="251">
        <f t="shared" si="96"/>
        <v>0</v>
      </c>
      <c r="AO93" s="251">
        <f t="shared" si="96"/>
        <v>0</v>
      </c>
      <c r="AP93" s="251">
        <f t="shared" si="96"/>
        <v>0</v>
      </c>
      <c r="AQ93" s="251">
        <f t="shared" si="96"/>
        <v>0</v>
      </c>
      <c r="AR93" s="251">
        <f t="shared" si="96"/>
        <v>0</v>
      </c>
      <c r="AS93" s="251">
        <f t="shared" si="96"/>
        <v>0</v>
      </c>
      <c r="AT93" s="251">
        <f t="shared" si="96"/>
        <v>0</v>
      </c>
      <c r="AU93" s="1267">
        <f t="shared" si="96"/>
        <v>0</v>
      </c>
      <c r="AV93" s="1212">
        <f t="shared" si="96"/>
        <v>0</v>
      </c>
      <c r="AW93" s="251">
        <f t="shared" si="96"/>
        <v>0</v>
      </c>
      <c r="AX93" s="251">
        <f t="shared" si="96"/>
        <v>0</v>
      </c>
      <c r="AY93" s="251">
        <f t="shared" si="96"/>
        <v>0</v>
      </c>
      <c r="AZ93" s="251">
        <f t="shared" si="96"/>
        <v>0</v>
      </c>
      <c r="BA93" s="1267">
        <f t="shared" si="96"/>
        <v>0</v>
      </c>
      <c r="BB93" s="1212">
        <f t="shared" si="96"/>
        <v>0</v>
      </c>
      <c r="BC93" s="251">
        <f t="shared" si="96"/>
        <v>0</v>
      </c>
      <c r="BD93" s="251">
        <f t="shared" si="96"/>
        <v>0</v>
      </c>
      <c r="BE93" s="251">
        <f t="shared" si="96"/>
        <v>0</v>
      </c>
      <c r="BF93" s="251">
        <f t="shared" si="96"/>
        <v>0</v>
      </c>
      <c r="BG93" s="251">
        <f t="shared" si="96"/>
        <v>0</v>
      </c>
      <c r="BH93" s="251">
        <f t="shared" si="96"/>
        <v>0</v>
      </c>
      <c r="BI93" s="251">
        <f t="shared" si="96"/>
        <v>0</v>
      </c>
      <c r="BJ93" s="251">
        <f t="shared" si="96"/>
        <v>0</v>
      </c>
      <c r="BK93" s="338"/>
      <c r="BL93" s="251">
        <f t="shared" ref="BL93:CM93" si="97">BL$59*BL$24/100</f>
        <v>0.93608406536170219</v>
      </c>
      <c r="BM93" s="251">
        <f t="shared" si="97"/>
        <v>0.88966949160625008</v>
      </c>
      <c r="BN93" s="251">
        <f t="shared" si="97"/>
        <v>0.98795429738833318</v>
      </c>
      <c r="BO93" s="1267">
        <f t="shared" si="97"/>
        <v>0.95195821267499992</v>
      </c>
      <c r="BP93" s="1212">
        <f t="shared" si="97"/>
        <v>0.38533425333333332</v>
      </c>
      <c r="BQ93" s="251">
        <f t="shared" si="97"/>
        <v>0.39788347025777776</v>
      </c>
      <c r="BR93" s="251">
        <f t="shared" si="97"/>
        <v>0.42709123550847461</v>
      </c>
      <c r="BS93" s="251">
        <f t="shared" si="97"/>
        <v>0.40102473599999994</v>
      </c>
      <c r="BT93" s="251">
        <f t="shared" si="97"/>
        <v>0.40642924833094168</v>
      </c>
      <c r="BU93" s="251">
        <f t="shared" si="97"/>
        <v>0.40841660774999999</v>
      </c>
      <c r="BV93" s="251">
        <f t="shared" si="97"/>
        <v>0.44707617309250003</v>
      </c>
      <c r="BW93" s="251">
        <f t="shared" si="97"/>
        <v>0.40731153094</v>
      </c>
      <c r="BX93" s="1267">
        <f t="shared" si="97"/>
        <v>0.42438837431250009</v>
      </c>
      <c r="BY93" s="1212">
        <f t="shared" si="97"/>
        <v>0</v>
      </c>
      <c r="BZ93" s="251">
        <f t="shared" si="97"/>
        <v>0</v>
      </c>
      <c r="CA93" s="251">
        <f t="shared" si="97"/>
        <v>0</v>
      </c>
      <c r="CB93" s="251">
        <f t="shared" si="97"/>
        <v>0</v>
      </c>
      <c r="CC93" s="251">
        <f t="shared" si="97"/>
        <v>0</v>
      </c>
      <c r="CD93" s="1267">
        <f t="shared" si="97"/>
        <v>0</v>
      </c>
      <c r="CE93" s="1212">
        <f t="shared" si="97"/>
        <v>0</v>
      </c>
      <c r="CF93" s="251">
        <f t="shared" si="97"/>
        <v>0</v>
      </c>
      <c r="CG93" s="251">
        <f t="shared" si="97"/>
        <v>0</v>
      </c>
      <c r="CH93" s="251">
        <f t="shared" si="97"/>
        <v>0</v>
      </c>
      <c r="CI93" s="251">
        <f t="shared" si="97"/>
        <v>0</v>
      </c>
      <c r="CJ93" s="251">
        <f t="shared" si="97"/>
        <v>0</v>
      </c>
      <c r="CK93" s="251">
        <f t="shared" si="97"/>
        <v>0</v>
      </c>
      <c r="CL93" s="251">
        <f t="shared" si="97"/>
        <v>0</v>
      </c>
      <c r="CM93" s="251">
        <f t="shared" si="97"/>
        <v>0</v>
      </c>
      <c r="CN93" s="338"/>
      <c r="CO93" s="251">
        <f t="shared" ref="CO93:DP93" si="98">CO$59*CO$24/100</f>
        <v>0</v>
      </c>
      <c r="CP93" s="251">
        <f t="shared" si="98"/>
        <v>7.0154644841666667E-3</v>
      </c>
      <c r="CQ93" s="251">
        <f t="shared" si="98"/>
        <v>4.2784319999999995E-3</v>
      </c>
      <c r="CR93" s="1267">
        <f t="shared" si="98"/>
        <v>6.6975287599999999E-3</v>
      </c>
      <c r="CS93" s="1212">
        <f t="shared" si="98"/>
        <v>9.9161502533333321E-3</v>
      </c>
      <c r="CT93" s="251">
        <f t="shared" si="98"/>
        <v>9.587969554166664E-3</v>
      </c>
      <c r="CU93" s="251">
        <f t="shared" si="98"/>
        <v>1.3053821364705882E-2</v>
      </c>
      <c r="CV93" s="251">
        <f t="shared" si="98"/>
        <v>9.6762022499999982E-3</v>
      </c>
      <c r="CW93" s="251">
        <f t="shared" si="98"/>
        <v>1.0274376475862068E-2</v>
      </c>
      <c r="CX93" s="251">
        <f t="shared" si="98"/>
        <v>1.1313941670000001E-2</v>
      </c>
      <c r="CY93" s="251">
        <f t="shared" si="98"/>
        <v>9.6458803849999997E-3</v>
      </c>
      <c r="CZ93" s="251">
        <f t="shared" si="98"/>
        <v>1.0831069095E-2</v>
      </c>
      <c r="DA93" s="1267">
        <f t="shared" si="98"/>
        <v>1.00611633E-2</v>
      </c>
      <c r="DB93" s="1212">
        <f t="shared" si="98"/>
        <v>0</v>
      </c>
      <c r="DC93" s="251">
        <f t="shared" si="98"/>
        <v>0</v>
      </c>
      <c r="DD93" s="251">
        <f t="shared" si="98"/>
        <v>0</v>
      </c>
      <c r="DE93" s="251">
        <f t="shared" si="98"/>
        <v>0</v>
      </c>
      <c r="DF93" s="251">
        <f t="shared" si="98"/>
        <v>0</v>
      </c>
      <c r="DG93" s="1267">
        <f t="shared" si="98"/>
        <v>0</v>
      </c>
      <c r="DH93" s="1212">
        <f t="shared" si="98"/>
        <v>0</v>
      </c>
      <c r="DI93" s="251">
        <f t="shared" si="98"/>
        <v>0</v>
      </c>
      <c r="DJ93" s="251">
        <f t="shared" si="98"/>
        <v>0</v>
      </c>
      <c r="DK93" s="251">
        <f t="shared" si="98"/>
        <v>0</v>
      </c>
      <c r="DL93" s="251">
        <f t="shared" si="98"/>
        <v>0</v>
      </c>
      <c r="DM93" s="251">
        <f t="shared" si="98"/>
        <v>0</v>
      </c>
      <c r="DN93" s="251">
        <f t="shared" si="98"/>
        <v>0</v>
      </c>
      <c r="DO93" s="251">
        <f t="shared" si="98"/>
        <v>0</v>
      </c>
      <c r="DP93" s="251">
        <f t="shared" si="98"/>
        <v>0</v>
      </c>
      <c r="DQ93" s="339"/>
      <c r="DR93" s="268"/>
    </row>
    <row r="94" spans="3:179" x14ac:dyDescent="0.35">
      <c r="C94" s="1" t="s">
        <v>387</v>
      </c>
      <c r="F94" s="1046">
        <f t="shared" ref="F94" si="99">SUM(F92:F93)</f>
        <v>0</v>
      </c>
      <c r="G94" s="269">
        <f t="shared" ref="G94:CZ94" si="100">SUM(G92:G93)</f>
        <v>0</v>
      </c>
      <c r="H94" s="269">
        <f t="shared" si="100"/>
        <v>0</v>
      </c>
      <c r="I94" s="1268">
        <f t="shared" si="100"/>
        <v>0</v>
      </c>
      <c r="J94" s="1213">
        <f t="shared" si="100"/>
        <v>0</v>
      </c>
      <c r="K94" s="269">
        <f t="shared" si="100"/>
        <v>0</v>
      </c>
      <c r="L94" s="269">
        <f t="shared" si="100"/>
        <v>0</v>
      </c>
      <c r="M94" s="269">
        <f t="shared" si="100"/>
        <v>0</v>
      </c>
      <c r="N94" s="269">
        <f t="shared" si="100"/>
        <v>0</v>
      </c>
      <c r="O94" s="269">
        <f t="shared" si="100"/>
        <v>0</v>
      </c>
      <c r="P94" s="269">
        <f t="shared" si="100"/>
        <v>0</v>
      </c>
      <c r="Q94" s="269">
        <f t="shared" si="100"/>
        <v>0</v>
      </c>
      <c r="R94" s="1268">
        <f t="shared" si="100"/>
        <v>0</v>
      </c>
      <c r="S94" s="1213">
        <f t="shared" si="100"/>
        <v>0</v>
      </c>
      <c r="T94" s="269">
        <f t="shared" si="100"/>
        <v>0</v>
      </c>
      <c r="U94" s="269">
        <f t="shared" si="100"/>
        <v>0</v>
      </c>
      <c r="V94" s="269">
        <f t="shared" si="100"/>
        <v>0</v>
      </c>
      <c r="W94" s="269">
        <f t="shared" ref="W94:X94" si="101">SUM(W92:W93)</f>
        <v>0</v>
      </c>
      <c r="X94" s="1268">
        <f t="shared" si="101"/>
        <v>0</v>
      </c>
      <c r="Y94" s="1213">
        <f t="shared" ref="Y94:AD94" si="102">SUM(Y92:Y93)</f>
        <v>0</v>
      </c>
      <c r="Z94" s="269">
        <f t="shared" si="102"/>
        <v>0</v>
      </c>
      <c r="AA94" s="269">
        <f t="shared" si="102"/>
        <v>0</v>
      </c>
      <c r="AB94" s="269">
        <f t="shared" si="102"/>
        <v>0</v>
      </c>
      <c r="AC94" s="269">
        <f t="shared" si="102"/>
        <v>0</v>
      </c>
      <c r="AD94" s="269">
        <f t="shared" si="102"/>
        <v>0</v>
      </c>
      <c r="AE94" s="269">
        <f t="shared" ref="AE94:AG94" si="103">SUM(AE92:AE93)</f>
        <v>0</v>
      </c>
      <c r="AF94" s="269">
        <f t="shared" si="103"/>
        <v>0</v>
      </c>
      <c r="AG94" s="269">
        <f t="shared" si="103"/>
        <v>0</v>
      </c>
      <c r="AH94" s="340"/>
      <c r="AI94" s="269">
        <f t="shared" si="100"/>
        <v>0</v>
      </c>
      <c r="AJ94" s="269">
        <f t="shared" si="100"/>
        <v>0</v>
      </c>
      <c r="AK94" s="269">
        <f t="shared" si="100"/>
        <v>0</v>
      </c>
      <c r="AL94" s="1268">
        <f t="shared" si="100"/>
        <v>0</v>
      </c>
      <c r="AM94" s="1213">
        <f t="shared" si="100"/>
        <v>0</v>
      </c>
      <c r="AN94" s="269">
        <f t="shared" si="100"/>
        <v>0</v>
      </c>
      <c r="AO94" s="269">
        <f t="shared" si="100"/>
        <v>0</v>
      </c>
      <c r="AP94" s="269">
        <f t="shared" si="100"/>
        <v>0</v>
      </c>
      <c r="AQ94" s="269">
        <f t="shared" si="100"/>
        <v>0</v>
      </c>
      <c r="AR94" s="269">
        <f t="shared" si="100"/>
        <v>0</v>
      </c>
      <c r="AS94" s="269">
        <f t="shared" si="100"/>
        <v>0</v>
      </c>
      <c r="AT94" s="269">
        <f t="shared" si="100"/>
        <v>0</v>
      </c>
      <c r="AU94" s="1268">
        <f t="shared" si="100"/>
        <v>0</v>
      </c>
      <c r="AV94" s="1213">
        <f t="shared" si="100"/>
        <v>0</v>
      </c>
      <c r="AW94" s="269">
        <f t="shared" si="100"/>
        <v>0</v>
      </c>
      <c r="AX94" s="269">
        <f t="shared" si="100"/>
        <v>0</v>
      </c>
      <c r="AY94" s="269">
        <f t="shared" ref="AY94:BG94" si="104">SUM(AY92:AY93)</f>
        <v>0</v>
      </c>
      <c r="AZ94" s="269">
        <f t="shared" si="104"/>
        <v>0</v>
      </c>
      <c r="BA94" s="1268">
        <f t="shared" si="104"/>
        <v>0</v>
      </c>
      <c r="BB94" s="1213">
        <f t="shared" si="104"/>
        <v>0</v>
      </c>
      <c r="BC94" s="269">
        <f t="shared" si="104"/>
        <v>0</v>
      </c>
      <c r="BD94" s="269">
        <f t="shared" si="104"/>
        <v>0</v>
      </c>
      <c r="BE94" s="269">
        <f t="shared" si="104"/>
        <v>0</v>
      </c>
      <c r="BF94" s="269">
        <f t="shared" si="104"/>
        <v>0</v>
      </c>
      <c r="BG94" s="269">
        <f t="shared" si="104"/>
        <v>0</v>
      </c>
      <c r="BH94" s="269">
        <f t="shared" ref="BH94:BJ94" si="105">SUM(BH92:BH93)</f>
        <v>0</v>
      </c>
      <c r="BI94" s="269">
        <f t="shared" si="105"/>
        <v>0</v>
      </c>
      <c r="BJ94" s="269">
        <f t="shared" si="105"/>
        <v>0</v>
      </c>
      <c r="BK94" s="340"/>
      <c r="BL94" s="269">
        <f t="shared" si="100"/>
        <v>7.2658436117607428</v>
      </c>
      <c r="BM94" s="269">
        <f t="shared" si="100"/>
        <v>7.0185779619637323</v>
      </c>
      <c r="BN94" s="269">
        <f t="shared" si="100"/>
        <v>8.0405174796649916</v>
      </c>
      <c r="BO94" s="1268">
        <f t="shared" si="100"/>
        <v>7.8212874441911691</v>
      </c>
      <c r="BP94" s="1213">
        <f t="shared" si="100"/>
        <v>1.7541356306169433</v>
      </c>
      <c r="BQ94" s="269">
        <f t="shared" si="100"/>
        <v>1.8445459276102492</v>
      </c>
      <c r="BR94" s="269">
        <f t="shared" si="100"/>
        <v>2.0659080086924728</v>
      </c>
      <c r="BS94" s="269">
        <f t="shared" si="100"/>
        <v>2.1278890494663738</v>
      </c>
      <c r="BT94" s="269">
        <f t="shared" si="100"/>
        <v>2.1973583738219964</v>
      </c>
      <c r="BU94" s="269">
        <f t="shared" si="100"/>
        <v>2.3237506633404483</v>
      </c>
      <c r="BV94" s="269">
        <f t="shared" si="100"/>
        <v>2.4497468772922248</v>
      </c>
      <c r="BW94" s="269">
        <f t="shared" si="100"/>
        <v>2.3965906098867866</v>
      </c>
      <c r="BX94" s="1268">
        <f t="shared" si="100"/>
        <v>2.4743554522659159</v>
      </c>
      <c r="BY94" s="1213">
        <f t="shared" si="100"/>
        <v>0</v>
      </c>
      <c r="BZ94" s="269">
        <f t="shared" si="100"/>
        <v>0</v>
      </c>
      <c r="CA94" s="269">
        <f t="shared" si="100"/>
        <v>0</v>
      </c>
      <c r="CB94" s="269">
        <f t="shared" si="100"/>
        <v>0</v>
      </c>
      <c r="CC94" s="269">
        <f t="shared" ref="CC94:CJ94" si="106">SUM(CC92:CC93)</f>
        <v>0</v>
      </c>
      <c r="CD94" s="1268">
        <f t="shared" si="106"/>
        <v>0</v>
      </c>
      <c r="CE94" s="1213">
        <f t="shared" si="106"/>
        <v>0</v>
      </c>
      <c r="CF94" s="269">
        <f t="shared" si="106"/>
        <v>0</v>
      </c>
      <c r="CG94" s="269">
        <f t="shared" si="106"/>
        <v>0</v>
      </c>
      <c r="CH94" s="269">
        <f t="shared" si="106"/>
        <v>0</v>
      </c>
      <c r="CI94" s="269">
        <f t="shared" si="106"/>
        <v>0</v>
      </c>
      <c r="CJ94" s="269">
        <f t="shared" si="106"/>
        <v>0</v>
      </c>
      <c r="CK94" s="269">
        <f t="shared" ref="CK94:CM94" si="107">SUM(CK92:CK93)</f>
        <v>0</v>
      </c>
      <c r="CL94" s="269">
        <f t="shared" si="107"/>
        <v>0</v>
      </c>
      <c r="CM94" s="269">
        <f t="shared" si="107"/>
        <v>0</v>
      </c>
      <c r="CN94" s="340"/>
      <c r="CO94" s="269">
        <f t="shared" si="100"/>
        <v>0</v>
      </c>
      <c r="CP94" s="269">
        <f t="shared" si="100"/>
        <v>3.2138495621982725E-2</v>
      </c>
      <c r="CQ94" s="269">
        <f t="shared" si="100"/>
        <v>1.9234207826947972E-2</v>
      </c>
      <c r="CR94" s="1268">
        <f t="shared" si="100"/>
        <v>2.6065622218810203E-2</v>
      </c>
      <c r="CS94" s="1213">
        <f t="shared" si="100"/>
        <v>3.3586602959113671E-2</v>
      </c>
      <c r="CT94" s="269">
        <f t="shared" si="100"/>
        <v>2.8051647126145815E-2</v>
      </c>
      <c r="CU94" s="269">
        <f t="shared" si="100"/>
        <v>3.7762850212772245E-2</v>
      </c>
      <c r="CV94" s="269">
        <f t="shared" si="100"/>
        <v>2.8900101808954252E-2</v>
      </c>
      <c r="CW94" s="269">
        <f t="shared" si="100"/>
        <v>4.0773395413160364E-2</v>
      </c>
      <c r="CX94" s="269">
        <f t="shared" si="100"/>
        <v>4.0143075029086497E-2</v>
      </c>
      <c r="CY94" s="269">
        <f t="shared" si="100"/>
        <v>3.1270895718812364E-2</v>
      </c>
      <c r="CZ94" s="269">
        <f t="shared" si="100"/>
        <v>3.3272644422395456E-2</v>
      </c>
      <c r="DA94" s="1268">
        <f t="shared" ref="DA94:DE94" si="108">SUM(DA92:DA93)</f>
        <v>3.023055659963686E-2</v>
      </c>
      <c r="DB94" s="1213">
        <f t="shared" si="108"/>
        <v>0</v>
      </c>
      <c r="DC94" s="269">
        <f t="shared" si="108"/>
        <v>0</v>
      </c>
      <c r="DD94" s="269">
        <f t="shared" si="108"/>
        <v>0</v>
      </c>
      <c r="DE94" s="269">
        <f t="shared" si="108"/>
        <v>0</v>
      </c>
      <c r="DF94" s="269">
        <f t="shared" ref="DF94:DM94" si="109">SUM(DF92:DF93)</f>
        <v>0</v>
      </c>
      <c r="DG94" s="1268">
        <f t="shared" si="109"/>
        <v>0</v>
      </c>
      <c r="DH94" s="1213">
        <f t="shared" si="109"/>
        <v>0</v>
      </c>
      <c r="DI94" s="269">
        <f t="shared" si="109"/>
        <v>0</v>
      </c>
      <c r="DJ94" s="269">
        <f t="shared" si="109"/>
        <v>0</v>
      </c>
      <c r="DK94" s="269">
        <f t="shared" si="109"/>
        <v>0</v>
      </c>
      <c r="DL94" s="269">
        <f t="shared" si="109"/>
        <v>0</v>
      </c>
      <c r="DM94" s="269">
        <f t="shared" si="109"/>
        <v>0</v>
      </c>
      <c r="DN94" s="269">
        <f t="shared" ref="DN94:DP94" si="110">SUM(DN92:DN93)</f>
        <v>0</v>
      </c>
      <c r="DO94" s="269">
        <f t="shared" si="110"/>
        <v>0</v>
      </c>
      <c r="DP94" s="269">
        <f t="shared" si="110"/>
        <v>0</v>
      </c>
      <c r="DQ94" s="339"/>
      <c r="DR94" s="268"/>
    </row>
    <row r="95" spans="3:179" ht="15" thickBot="1" x14ac:dyDescent="0.4">
      <c r="F95" s="1047"/>
      <c r="G95" s="225"/>
      <c r="H95" s="225"/>
      <c r="I95" s="1269"/>
      <c r="J95" s="1214"/>
      <c r="K95" s="225"/>
      <c r="L95" s="225"/>
      <c r="M95" s="225"/>
      <c r="N95" s="225"/>
      <c r="O95" s="225"/>
      <c r="P95" s="225"/>
      <c r="Q95" s="225"/>
      <c r="R95" s="1269"/>
      <c r="S95" s="1214"/>
      <c r="T95" s="225"/>
      <c r="U95" s="225"/>
      <c r="V95" s="225"/>
      <c r="W95" s="225"/>
      <c r="X95" s="1269"/>
      <c r="Y95" s="1214"/>
      <c r="Z95" s="225"/>
      <c r="AA95" s="225"/>
      <c r="AB95" s="225"/>
      <c r="AC95" s="225"/>
      <c r="AD95" s="225"/>
      <c r="AE95" s="225"/>
      <c r="AF95" s="225"/>
      <c r="AG95" s="225"/>
      <c r="AH95" s="344"/>
      <c r="AI95" s="225"/>
      <c r="AJ95" s="225"/>
      <c r="AK95" s="225"/>
      <c r="AL95" s="1269"/>
      <c r="AM95" s="1214"/>
      <c r="AN95" s="225"/>
      <c r="AO95" s="225"/>
      <c r="AP95" s="225"/>
      <c r="AQ95" s="225"/>
      <c r="AR95" s="225"/>
      <c r="AS95" s="225"/>
      <c r="AT95" s="225"/>
      <c r="AU95" s="1269"/>
      <c r="AV95" s="1214"/>
      <c r="AW95" s="225"/>
      <c r="AX95" s="225"/>
      <c r="AY95" s="225"/>
      <c r="AZ95" s="225"/>
      <c r="BA95" s="1269"/>
      <c r="BB95" s="1214"/>
      <c r="BC95" s="225"/>
      <c r="BD95" s="225"/>
      <c r="BE95" s="225"/>
      <c r="BF95" s="225"/>
      <c r="BG95" s="225"/>
      <c r="BH95" s="225"/>
      <c r="BI95" s="225"/>
      <c r="BJ95" s="225"/>
      <c r="BK95" s="344"/>
      <c r="BL95" s="225"/>
      <c r="BM95" s="225"/>
      <c r="BN95" s="225"/>
      <c r="BO95" s="1269"/>
      <c r="BP95" s="1214"/>
      <c r="BQ95" s="225"/>
      <c r="BR95" s="225"/>
      <c r="BS95" s="225"/>
      <c r="BT95" s="225"/>
      <c r="BU95" s="225"/>
      <c r="BV95" s="225"/>
      <c r="BW95" s="225"/>
      <c r="BX95" s="1269"/>
      <c r="BY95" s="1214"/>
      <c r="BZ95" s="225"/>
      <c r="CA95" s="225"/>
      <c r="CB95" s="225"/>
      <c r="CC95" s="225"/>
      <c r="CD95" s="1269"/>
      <c r="CE95" s="1214"/>
      <c r="CF95" s="225"/>
      <c r="CG95" s="225"/>
      <c r="CH95" s="225"/>
      <c r="CI95" s="225"/>
      <c r="CJ95" s="225"/>
      <c r="CK95" s="225"/>
      <c r="CL95" s="225"/>
      <c r="CM95" s="225"/>
      <c r="CN95" s="344"/>
      <c r="CO95" s="225"/>
      <c r="CP95" s="225"/>
      <c r="CQ95" s="225"/>
      <c r="CR95" s="1269"/>
      <c r="CS95" s="1214"/>
      <c r="CT95" s="225"/>
      <c r="CU95" s="225"/>
      <c r="CV95" s="225"/>
      <c r="CW95" s="225"/>
      <c r="CX95" s="225"/>
      <c r="CY95" s="225"/>
      <c r="CZ95" s="225"/>
      <c r="DA95" s="1269"/>
      <c r="DB95" s="1214"/>
      <c r="DC95" s="225"/>
      <c r="DD95" s="225"/>
      <c r="DE95" s="225"/>
      <c r="DF95" s="225"/>
      <c r="DG95" s="1269"/>
      <c r="DH95" s="1214"/>
      <c r="DI95" s="225"/>
      <c r="DJ95" s="225"/>
      <c r="DK95" s="225"/>
      <c r="DL95" s="225"/>
      <c r="DM95" s="225"/>
      <c r="DN95" s="225"/>
      <c r="DO95" s="225"/>
      <c r="DP95" s="225"/>
      <c r="DQ95" s="344"/>
      <c r="DR95" s="345"/>
      <c r="DS95" s="225"/>
      <c r="DT95" s="225"/>
      <c r="DU95" s="225"/>
      <c r="DV95" s="1269"/>
      <c r="DW95" s="1214"/>
      <c r="DX95" s="225"/>
      <c r="DY95" s="225"/>
      <c r="DZ95" s="225"/>
      <c r="EA95" s="225"/>
      <c r="EB95" s="225"/>
      <c r="EC95" s="225"/>
      <c r="ED95" s="225"/>
      <c r="EE95" s="1269"/>
      <c r="EF95" s="1214"/>
      <c r="EG95" s="225"/>
      <c r="EH95" s="225"/>
      <c r="EI95" s="225"/>
      <c r="EJ95" s="225"/>
      <c r="EK95" s="1269"/>
      <c r="EL95" s="1214"/>
      <c r="EM95" s="225"/>
      <c r="EN95" s="225"/>
      <c r="EO95" s="225"/>
      <c r="EP95" s="225"/>
      <c r="EQ95" s="225"/>
      <c r="ER95" s="225"/>
      <c r="ES95" s="225"/>
      <c r="ET95" s="225"/>
      <c r="EU95" s="344"/>
      <c r="EV95" s="225"/>
      <c r="EW95" s="225"/>
      <c r="EX95" s="225"/>
      <c r="EY95" s="1269"/>
      <c r="EZ95" s="1214"/>
      <c r="FA95" s="225"/>
      <c r="FB95" s="225"/>
      <c r="FC95" s="225"/>
      <c r="FD95" s="225"/>
      <c r="FE95" s="225"/>
      <c r="FF95" s="225"/>
      <c r="FG95" s="225"/>
      <c r="FH95" s="1269"/>
      <c r="FI95" s="1214"/>
      <c r="FJ95" s="225"/>
      <c r="FK95" s="225"/>
      <c r="FL95" s="225"/>
      <c r="FM95" s="225"/>
      <c r="FN95" s="1269"/>
      <c r="FO95" s="1214"/>
      <c r="FP95" s="225"/>
      <c r="FQ95" s="225"/>
      <c r="FR95" s="225"/>
      <c r="FS95" s="225"/>
      <c r="FT95" s="225"/>
      <c r="FU95" s="225"/>
      <c r="FV95" s="225"/>
      <c r="FW95" s="225"/>
    </row>
    <row r="96" spans="3:179" s="377" customFormat="1" ht="15" thickTop="1" x14ac:dyDescent="0.35">
      <c r="C96" s="375" t="s">
        <v>132</v>
      </c>
      <c r="D96" s="375"/>
      <c r="E96" s="375"/>
      <c r="F96" s="1048">
        <f t="shared" ref="F96:AG96" si="111">F$59*F$28/100</f>
        <v>0</v>
      </c>
      <c r="G96" s="376">
        <f>G$59*G$28/100</f>
        <v>0</v>
      </c>
      <c r="H96" s="371">
        <f t="shared" si="111"/>
        <v>0</v>
      </c>
      <c r="I96" s="1270">
        <f t="shared" si="111"/>
        <v>0</v>
      </c>
      <c r="J96" s="1215">
        <f t="shared" si="111"/>
        <v>0</v>
      </c>
      <c r="K96" s="376">
        <f t="shared" si="111"/>
        <v>0</v>
      </c>
      <c r="L96" s="376">
        <f t="shared" si="111"/>
        <v>0</v>
      </c>
      <c r="M96" s="376">
        <f t="shared" si="111"/>
        <v>0</v>
      </c>
      <c r="N96" s="376">
        <f t="shared" si="111"/>
        <v>0</v>
      </c>
      <c r="O96" s="376">
        <f t="shared" si="111"/>
        <v>0</v>
      </c>
      <c r="P96" s="376">
        <f t="shared" si="111"/>
        <v>0</v>
      </c>
      <c r="Q96" s="376">
        <f t="shared" si="111"/>
        <v>0</v>
      </c>
      <c r="R96" s="1270">
        <f t="shared" si="111"/>
        <v>0</v>
      </c>
      <c r="S96" s="1215">
        <f t="shared" si="111"/>
        <v>0</v>
      </c>
      <c r="T96" s="376">
        <f t="shared" si="111"/>
        <v>0</v>
      </c>
      <c r="U96" s="376">
        <f t="shared" si="111"/>
        <v>0</v>
      </c>
      <c r="V96" s="376">
        <f t="shared" si="111"/>
        <v>0</v>
      </c>
      <c r="W96" s="376">
        <f t="shared" si="111"/>
        <v>0</v>
      </c>
      <c r="X96" s="1270">
        <f t="shared" si="111"/>
        <v>0</v>
      </c>
      <c r="Y96" s="1215">
        <f t="shared" si="111"/>
        <v>0</v>
      </c>
      <c r="Z96" s="376">
        <f t="shared" si="111"/>
        <v>0</v>
      </c>
      <c r="AA96" s="376">
        <f t="shared" si="111"/>
        <v>0</v>
      </c>
      <c r="AB96" s="376">
        <f t="shared" si="111"/>
        <v>0</v>
      </c>
      <c r="AC96" s="376">
        <f t="shared" si="111"/>
        <v>0</v>
      </c>
      <c r="AD96" s="376">
        <f t="shared" si="111"/>
        <v>0</v>
      </c>
      <c r="AE96" s="376">
        <f t="shared" si="111"/>
        <v>0</v>
      </c>
      <c r="AF96" s="376">
        <f t="shared" si="111"/>
        <v>0</v>
      </c>
      <c r="AG96" s="376">
        <f t="shared" si="111"/>
        <v>0</v>
      </c>
      <c r="AH96" s="399"/>
      <c r="AI96" s="376">
        <f t="shared" ref="AI96:BJ96" si="112">AI$59*AI$28/100</f>
        <v>0</v>
      </c>
      <c r="AJ96" s="376">
        <f t="shared" si="112"/>
        <v>0</v>
      </c>
      <c r="AK96" s="376">
        <f t="shared" si="112"/>
        <v>0</v>
      </c>
      <c r="AL96" s="1270">
        <f t="shared" si="112"/>
        <v>0</v>
      </c>
      <c r="AM96" s="1215">
        <f t="shared" si="112"/>
        <v>0</v>
      </c>
      <c r="AN96" s="376">
        <f t="shared" si="112"/>
        <v>0</v>
      </c>
      <c r="AO96" s="376">
        <f t="shared" si="112"/>
        <v>0</v>
      </c>
      <c r="AP96" s="376">
        <f t="shared" si="112"/>
        <v>0</v>
      </c>
      <c r="AQ96" s="376">
        <f t="shared" si="112"/>
        <v>0</v>
      </c>
      <c r="AR96" s="376">
        <f t="shared" si="112"/>
        <v>0</v>
      </c>
      <c r="AS96" s="376">
        <f t="shared" si="112"/>
        <v>0</v>
      </c>
      <c r="AT96" s="376">
        <f t="shared" si="112"/>
        <v>0</v>
      </c>
      <c r="AU96" s="1270">
        <f t="shared" si="112"/>
        <v>0</v>
      </c>
      <c r="AV96" s="1215">
        <f t="shared" si="112"/>
        <v>0</v>
      </c>
      <c r="AW96" s="376">
        <f t="shared" si="112"/>
        <v>0</v>
      </c>
      <c r="AX96" s="376">
        <f t="shared" si="112"/>
        <v>0</v>
      </c>
      <c r="AY96" s="376">
        <f t="shared" si="112"/>
        <v>0</v>
      </c>
      <c r="AZ96" s="376">
        <f t="shared" si="112"/>
        <v>0</v>
      </c>
      <c r="BA96" s="1270">
        <f t="shared" si="112"/>
        <v>0</v>
      </c>
      <c r="BB96" s="1215">
        <f t="shared" si="112"/>
        <v>0</v>
      </c>
      <c r="BC96" s="376">
        <f t="shared" si="112"/>
        <v>0</v>
      </c>
      <c r="BD96" s="376">
        <f t="shared" si="112"/>
        <v>0</v>
      </c>
      <c r="BE96" s="376">
        <f t="shared" si="112"/>
        <v>0</v>
      </c>
      <c r="BF96" s="376">
        <f t="shared" si="112"/>
        <v>0</v>
      </c>
      <c r="BG96" s="376">
        <f t="shared" si="112"/>
        <v>0</v>
      </c>
      <c r="BH96" s="376">
        <f t="shared" si="112"/>
        <v>0</v>
      </c>
      <c r="BI96" s="376">
        <f t="shared" si="112"/>
        <v>0</v>
      </c>
      <c r="BJ96" s="376">
        <f t="shared" si="112"/>
        <v>0</v>
      </c>
      <c r="BK96" s="399"/>
      <c r="BL96" s="376">
        <f t="shared" ref="BL96:CM96" si="113">BL$59*BL$28/100</f>
        <v>79.363329361702114</v>
      </c>
      <c r="BM96" s="376">
        <f t="shared" si="113"/>
        <v>25.618358333333337</v>
      </c>
      <c r="BN96" s="376">
        <f t="shared" si="113"/>
        <v>27.735210416666668</v>
      </c>
      <c r="BO96" s="1270">
        <f t="shared" si="113"/>
        <v>30.246973333333337</v>
      </c>
      <c r="BP96" s="1215">
        <f t="shared" si="113"/>
        <v>15.578933333333332</v>
      </c>
      <c r="BQ96" s="376">
        <f t="shared" si="113"/>
        <v>5.5956444444444449</v>
      </c>
      <c r="BR96" s="376">
        <f t="shared" si="113"/>
        <v>6.2227118644067794</v>
      </c>
      <c r="BS96" s="376">
        <f t="shared" si="113"/>
        <v>7.1135999999999999</v>
      </c>
      <c r="BT96" s="376">
        <f t="shared" si="113"/>
        <v>7.3333094170403577</v>
      </c>
      <c r="BU96" s="376">
        <f t="shared" si="113"/>
        <v>8.392199999999999</v>
      </c>
      <c r="BV96" s="376">
        <f t="shared" si="113"/>
        <v>8.4603166666666656</v>
      </c>
      <c r="BW96" s="376">
        <f t="shared" si="113"/>
        <v>8.6121999999999996</v>
      </c>
      <c r="BX96" s="1270">
        <f t="shared" si="113"/>
        <v>8.5263749999999998</v>
      </c>
      <c r="BY96" s="1215">
        <f t="shared" si="113"/>
        <v>8.7104500000000016</v>
      </c>
      <c r="BZ96" s="376">
        <f t="shared" si="113"/>
        <v>0</v>
      </c>
      <c r="CA96" s="376">
        <f t="shared" si="113"/>
        <v>0</v>
      </c>
      <c r="CB96" s="376">
        <f t="shared" si="113"/>
        <v>0</v>
      </c>
      <c r="CC96" s="376">
        <f t="shared" si="113"/>
        <v>0</v>
      </c>
      <c r="CD96" s="1270">
        <f t="shared" si="113"/>
        <v>0</v>
      </c>
      <c r="CE96" s="1215">
        <f t="shared" si="113"/>
        <v>0</v>
      </c>
      <c r="CF96" s="376">
        <f t="shared" si="113"/>
        <v>0</v>
      </c>
      <c r="CG96" s="376">
        <f t="shared" si="113"/>
        <v>0</v>
      </c>
      <c r="CH96" s="376">
        <f t="shared" si="113"/>
        <v>0</v>
      </c>
      <c r="CI96" s="376">
        <f t="shared" si="113"/>
        <v>0</v>
      </c>
      <c r="CJ96" s="376">
        <f t="shared" si="113"/>
        <v>0</v>
      </c>
      <c r="CK96" s="376">
        <f t="shared" si="113"/>
        <v>0</v>
      </c>
      <c r="CL96" s="376">
        <f t="shared" si="113"/>
        <v>0</v>
      </c>
      <c r="CM96" s="376">
        <f t="shared" si="113"/>
        <v>0</v>
      </c>
      <c r="CN96" s="354"/>
      <c r="CO96" s="376"/>
      <c r="CP96" s="376"/>
      <c r="CQ96" s="376"/>
      <c r="CR96" s="1270"/>
      <c r="CS96" s="1215"/>
      <c r="CT96" s="376"/>
      <c r="CU96" s="376"/>
      <c r="CV96" s="376"/>
      <c r="CW96" s="376"/>
      <c r="CX96" s="376"/>
      <c r="CY96" s="376"/>
      <c r="CZ96" s="376"/>
      <c r="DA96" s="1270"/>
      <c r="DB96" s="1215"/>
      <c r="DC96" s="376"/>
      <c r="DD96" s="376"/>
      <c r="DE96" s="376"/>
      <c r="DF96" s="376"/>
      <c r="DG96" s="1270"/>
      <c r="DH96" s="1215"/>
      <c r="DI96" s="376"/>
      <c r="DJ96" s="376"/>
      <c r="DK96" s="376"/>
      <c r="DL96" s="376"/>
      <c r="DM96" s="376"/>
      <c r="DN96" s="376"/>
      <c r="DO96" s="376"/>
      <c r="DP96" s="376"/>
      <c r="DQ96" s="352"/>
      <c r="DR96" s="355"/>
      <c r="DS96" s="347"/>
      <c r="DT96" s="347"/>
      <c r="DU96" s="347"/>
      <c r="DV96" s="1278"/>
      <c r="DW96" s="1222"/>
      <c r="DX96" s="347"/>
      <c r="DY96" s="347"/>
      <c r="DZ96" s="347"/>
      <c r="EA96" s="347"/>
      <c r="EB96" s="347"/>
      <c r="EC96" s="347"/>
      <c r="ED96" s="347"/>
      <c r="EE96" s="1278"/>
      <c r="EF96" s="1222"/>
      <c r="EG96" s="347"/>
      <c r="EH96" s="347"/>
      <c r="EI96" s="347"/>
      <c r="EJ96" s="347"/>
      <c r="EK96" s="1278"/>
      <c r="EL96" s="1222"/>
      <c r="EM96" s="347"/>
      <c r="EN96" s="347"/>
      <c r="EO96" s="347"/>
      <c r="EP96" s="347"/>
      <c r="EQ96" s="347"/>
      <c r="ER96" s="347"/>
      <c r="ES96" s="347"/>
      <c r="ET96" s="347"/>
      <c r="EU96" s="352"/>
      <c r="EV96" s="347"/>
      <c r="EW96" s="347"/>
      <c r="EX96" s="347"/>
      <c r="EY96" s="1278"/>
      <c r="EZ96" s="1222"/>
      <c r="FA96" s="347"/>
      <c r="FB96" s="347"/>
      <c r="FC96" s="347"/>
      <c r="FD96" s="347"/>
      <c r="FE96" s="347"/>
      <c r="FF96" s="347"/>
      <c r="FG96" s="347"/>
      <c r="FH96" s="1278"/>
      <c r="FI96" s="1222"/>
      <c r="FJ96" s="347"/>
      <c r="FK96" s="347"/>
      <c r="FL96" s="347"/>
      <c r="FM96" s="347"/>
      <c r="FN96" s="1278"/>
      <c r="FO96" s="1222"/>
      <c r="FP96" s="347"/>
      <c r="FQ96" s="347"/>
      <c r="FR96" s="347"/>
      <c r="FS96" s="347"/>
      <c r="FT96" s="347"/>
      <c r="FU96" s="347"/>
      <c r="FV96" s="347"/>
      <c r="FW96" s="347"/>
    </row>
    <row r="97" spans="3:180" s="368" customFormat="1" ht="15" thickBot="1" x14ac:dyDescent="0.4">
      <c r="C97" s="364" t="s">
        <v>133</v>
      </c>
      <c r="D97" s="364"/>
      <c r="E97" s="364"/>
      <c r="F97" s="1049">
        <f t="shared" ref="F97:AG97" si="114">F$59*F$30/100</f>
        <v>0</v>
      </c>
      <c r="G97" s="400">
        <f t="shared" si="114"/>
        <v>0</v>
      </c>
      <c r="H97" s="374">
        <f t="shared" si="114"/>
        <v>0</v>
      </c>
      <c r="I97" s="1271">
        <f t="shared" si="114"/>
        <v>0</v>
      </c>
      <c r="J97" s="1216">
        <f t="shared" si="114"/>
        <v>0</v>
      </c>
      <c r="K97" s="400">
        <f t="shared" si="114"/>
        <v>0</v>
      </c>
      <c r="L97" s="400">
        <f t="shared" si="114"/>
        <v>0</v>
      </c>
      <c r="M97" s="400">
        <f t="shared" si="114"/>
        <v>0</v>
      </c>
      <c r="N97" s="400">
        <f t="shared" si="114"/>
        <v>0</v>
      </c>
      <c r="O97" s="400">
        <f t="shared" si="114"/>
        <v>0</v>
      </c>
      <c r="P97" s="400">
        <f t="shared" si="114"/>
        <v>0</v>
      </c>
      <c r="Q97" s="400">
        <f t="shared" si="114"/>
        <v>0</v>
      </c>
      <c r="R97" s="1271">
        <f t="shared" si="114"/>
        <v>0</v>
      </c>
      <c r="S97" s="1216">
        <f t="shared" si="114"/>
        <v>0</v>
      </c>
      <c r="T97" s="400">
        <f t="shared" si="114"/>
        <v>0</v>
      </c>
      <c r="U97" s="400">
        <f t="shared" si="114"/>
        <v>0</v>
      </c>
      <c r="V97" s="400">
        <f t="shared" si="114"/>
        <v>0</v>
      </c>
      <c r="W97" s="400">
        <f t="shared" si="114"/>
        <v>0</v>
      </c>
      <c r="X97" s="1271">
        <f t="shared" si="114"/>
        <v>0</v>
      </c>
      <c r="Y97" s="1216">
        <f t="shared" si="114"/>
        <v>0</v>
      </c>
      <c r="Z97" s="400">
        <f t="shared" si="114"/>
        <v>0</v>
      </c>
      <c r="AA97" s="400">
        <f t="shared" si="114"/>
        <v>0</v>
      </c>
      <c r="AB97" s="400">
        <f t="shared" si="114"/>
        <v>0</v>
      </c>
      <c r="AC97" s="400">
        <f t="shared" si="114"/>
        <v>0</v>
      </c>
      <c r="AD97" s="400">
        <f t="shared" si="114"/>
        <v>0</v>
      </c>
      <c r="AE97" s="400">
        <f t="shared" si="114"/>
        <v>0</v>
      </c>
      <c r="AF97" s="400">
        <f t="shared" si="114"/>
        <v>0</v>
      </c>
      <c r="AG97" s="400">
        <f t="shared" si="114"/>
        <v>0</v>
      </c>
      <c r="AH97" s="401"/>
      <c r="AI97" s="400">
        <f t="shared" ref="AI97:BJ97" si="115">AI$59*AI$30/100</f>
        <v>0</v>
      </c>
      <c r="AJ97" s="400">
        <f t="shared" si="115"/>
        <v>0</v>
      </c>
      <c r="AK97" s="400">
        <f t="shared" si="115"/>
        <v>0</v>
      </c>
      <c r="AL97" s="1271">
        <f t="shared" si="115"/>
        <v>0</v>
      </c>
      <c r="AM97" s="1216">
        <f t="shared" si="115"/>
        <v>0</v>
      </c>
      <c r="AN97" s="400">
        <f t="shared" si="115"/>
        <v>0</v>
      </c>
      <c r="AO97" s="400">
        <f t="shared" si="115"/>
        <v>0</v>
      </c>
      <c r="AP97" s="400">
        <f t="shared" si="115"/>
        <v>0</v>
      </c>
      <c r="AQ97" s="400">
        <f t="shared" si="115"/>
        <v>0</v>
      </c>
      <c r="AR97" s="400">
        <f t="shared" si="115"/>
        <v>0</v>
      </c>
      <c r="AS97" s="400">
        <f t="shared" si="115"/>
        <v>0</v>
      </c>
      <c r="AT97" s="400">
        <f t="shared" si="115"/>
        <v>0</v>
      </c>
      <c r="AU97" s="1271">
        <f t="shared" si="115"/>
        <v>0</v>
      </c>
      <c r="AV97" s="1216">
        <f t="shared" si="115"/>
        <v>0</v>
      </c>
      <c r="AW97" s="400">
        <f t="shared" si="115"/>
        <v>0</v>
      </c>
      <c r="AX97" s="400">
        <f t="shared" si="115"/>
        <v>0</v>
      </c>
      <c r="AY97" s="400">
        <f t="shared" si="115"/>
        <v>0</v>
      </c>
      <c r="AZ97" s="400">
        <f t="shared" si="115"/>
        <v>0</v>
      </c>
      <c r="BA97" s="1271">
        <f t="shared" si="115"/>
        <v>0</v>
      </c>
      <c r="BB97" s="1216">
        <f t="shared" si="115"/>
        <v>0</v>
      </c>
      <c r="BC97" s="400">
        <f t="shared" si="115"/>
        <v>0</v>
      </c>
      <c r="BD97" s="400">
        <f t="shared" si="115"/>
        <v>0</v>
      </c>
      <c r="BE97" s="400">
        <f t="shared" si="115"/>
        <v>0</v>
      </c>
      <c r="BF97" s="400">
        <f t="shared" si="115"/>
        <v>0</v>
      </c>
      <c r="BG97" s="400">
        <f t="shared" si="115"/>
        <v>0</v>
      </c>
      <c r="BH97" s="400">
        <f t="shared" si="115"/>
        <v>0</v>
      </c>
      <c r="BI97" s="400">
        <f t="shared" si="115"/>
        <v>0</v>
      </c>
      <c r="BJ97" s="400">
        <f t="shared" si="115"/>
        <v>0</v>
      </c>
      <c r="BK97" s="401"/>
      <c r="BL97" s="400">
        <f t="shared" ref="BL97:CM97" si="116">BL$59*BL$30/100</f>
        <v>20.060173617021274</v>
      </c>
      <c r="BM97" s="400">
        <f t="shared" si="116"/>
        <v>19.298533333333332</v>
      </c>
      <c r="BN97" s="400">
        <f t="shared" si="116"/>
        <v>24.089508333333335</v>
      </c>
      <c r="BO97" s="1271">
        <f t="shared" si="116"/>
        <v>23.654386666666664</v>
      </c>
      <c r="BP97" s="1216">
        <f t="shared" si="116"/>
        <v>6.0221333333333327</v>
      </c>
      <c r="BQ97" s="400">
        <f t="shared" si="116"/>
        <v>6.0679111111111119</v>
      </c>
      <c r="BR97" s="400">
        <f t="shared" si="116"/>
        <v>6.2522033898305089</v>
      </c>
      <c r="BS97" s="400">
        <f t="shared" si="116"/>
        <v>7.3727999999999989</v>
      </c>
      <c r="BT97" s="400">
        <f t="shared" si="116"/>
        <v>8.1353901345291462</v>
      </c>
      <c r="BU97" s="400">
        <f t="shared" si="116"/>
        <v>7.6682249999999987</v>
      </c>
      <c r="BV97" s="400">
        <f t="shared" si="116"/>
        <v>8.4751333333333321</v>
      </c>
      <c r="BW97" s="400">
        <f t="shared" si="116"/>
        <v>8.2220499999999994</v>
      </c>
      <c r="BX97" s="1271">
        <f t="shared" si="116"/>
        <v>7.7512499999999998</v>
      </c>
      <c r="BY97" s="1216">
        <f t="shared" si="116"/>
        <v>3.9892999999999996</v>
      </c>
      <c r="BZ97" s="400">
        <f t="shared" si="116"/>
        <v>0</v>
      </c>
      <c r="CA97" s="400">
        <f t="shared" si="116"/>
        <v>0</v>
      </c>
      <c r="CB97" s="400">
        <f t="shared" si="116"/>
        <v>0</v>
      </c>
      <c r="CC97" s="400">
        <f t="shared" si="116"/>
        <v>0</v>
      </c>
      <c r="CD97" s="1271">
        <f t="shared" si="116"/>
        <v>0</v>
      </c>
      <c r="CE97" s="1216">
        <f t="shared" si="116"/>
        <v>0</v>
      </c>
      <c r="CF97" s="400">
        <f t="shared" si="116"/>
        <v>0</v>
      </c>
      <c r="CG97" s="400">
        <f t="shared" si="116"/>
        <v>0</v>
      </c>
      <c r="CH97" s="400">
        <f t="shared" si="116"/>
        <v>0</v>
      </c>
      <c r="CI97" s="400">
        <f t="shared" si="116"/>
        <v>0</v>
      </c>
      <c r="CJ97" s="400">
        <f t="shared" si="116"/>
        <v>0</v>
      </c>
      <c r="CK97" s="400">
        <f t="shared" si="116"/>
        <v>0</v>
      </c>
      <c r="CL97" s="400">
        <f t="shared" si="116"/>
        <v>0</v>
      </c>
      <c r="CM97" s="400">
        <f t="shared" si="116"/>
        <v>0</v>
      </c>
      <c r="CN97" s="369"/>
      <c r="CO97" s="400"/>
      <c r="CP97" s="400"/>
      <c r="CQ97" s="400"/>
      <c r="CR97" s="1271"/>
      <c r="CS97" s="1216"/>
      <c r="CT97" s="400"/>
      <c r="CU97" s="400"/>
      <c r="CV97" s="400"/>
      <c r="CW97" s="400"/>
      <c r="CX97" s="400"/>
      <c r="CY97" s="400"/>
      <c r="CZ97" s="400"/>
      <c r="DA97" s="1271"/>
      <c r="DB97" s="1216"/>
      <c r="DC97" s="400"/>
      <c r="DD97" s="400"/>
      <c r="DE97" s="400"/>
      <c r="DF97" s="400"/>
      <c r="DG97" s="1271"/>
      <c r="DH97" s="1216"/>
      <c r="DI97" s="400"/>
      <c r="DJ97" s="400"/>
      <c r="DK97" s="400"/>
      <c r="DL97" s="400"/>
      <c r="DM97" s="400"/>
      <c r="DN97" s="400"/>
      <c r="DO97" s="400"/>
      <c r="DP97" s="400"/>
      <c r="DQ97" s="366"/>
      <c r="DR97" s="367"/>
      <c r="DS97" s="365"/>
      <c r="DT97" s="365"/>
      <c r="DU97" s="365"/>
      <c r="DV97" s="1234"/>
      <c r="DW97" s="1182"/>
      <c r="DX97" s="365"/>
      <c r="DY97" s="365"/>
      <c r="DZ97" s="365"/>
      <c r="EA97" s="365"/>
      <c r="EB97" s="365"/>
      <c r="EC97" s="365"/>
      <c r="ED97" s="365"/>
      <c r="EE97" s="1234"/>
      <c r="EF97" s="1182"/>
      <c r="EG97" s="365"/>
      <c r="EH97" s="365"/>
      <c r="EI97" s="365"/>
      <c r="EJ97" s="365"/>
      <c r="EK97" s="1234"/>
      <c r="EL97" s="1182"/>
      <c r="EM97" s="365"/>
      <c r="EN97" s="365"/>
      <c r="EO97" s="365"/>
      <c r="EP97" s="365"/>
      <c r="EQ97" s="365"/>
      <c r="ER97" s="365"/>
      <c r="ES97" s="365"/>
      <c r="ET97" s="365"/>
      <c r="EU97" s="366"/>
      <c r="EV97" s="365"/>
      <c r="EW97" s="365"/>
      <c r="EX97" s="365"/>
      <c r="EY97" s="1234"/>
      <c r="EZ97" s="1182"/>
      <c r="FA97" s="365"/>
      <c r="FB97" s="365"/>
      <c r="FC97" s="365"/>
      <c r="FD97" s="365"/>
      <c r="FE97" s="365"/>
      <c r="FF97" s="365"/>
      <c r="FG97" s="365"/>
      <c r="FH97" s="1234"/>
      <c r="FI97" s="1182"/>
      <c r="FJ97" s="365"/>
      <c r="FK97" s="365"/>
      <c r="FL97" s="365"/>
      <c r="FM97" s="365"/>
      <c r="FN97" s="1234"/>
      <c r="FO97" s="1182"/>
      <c r="FP97" s="365"/>
      <c r="FQ97" s="365"/>
      <c r="FR97" s="365"/>
      <c r="FS97" s="365"/>
      <c r="FT97" s="365"/>
      <c r="FU97" s="365"/>
      <c r="FV97" s="365"/>
      <c r="FW97" s="365"/>
    </row>
    <row r="98" spans="3:180" s="377" customFormat="1" ht="15" thickTop="1" x14ac:dyDescent="0.35">
      <c r="C98" s="375"/>
      <c r="D98" s="375"/>
      <c r="E98" s="375"/>
      <c r="F98" s="1166"/>
      <c r="G98" s="370"/>
      <c r="H98" s="371"/>
      <c r="I98" s="1272"/>
      <c r="J98" s="1217"/>
      <c r="K98" s="370"/>
      <c r="L98" s="370"/>
      <c r="M98" s="370"/>
      <c r="N98" s="370"/>
      <c r="O98" s="370"/>
      <c r="P98" s="370"/>
      <c r="Q98" s="370"/>
      <c r="R98" s="1272"/>
      <c r="S98" s="1217"/>
      <c r="T98" s="370"/>
      <c r="U98" s="370"/>
      <c r="V98" s="370"/>
      <c r="W98" s="370"/>
      <c r="X98" s="1272"/>
      <c r="Y98" s="1217"/>
      <c r="Z98" s="370"/>
      <c r="AA98" s="370"/>
      <c r="AB98" s="370"/>
      <c r="AC98" s="370"/>
      <c r="AD98" s="370"/>
      <c r="AE98" s="370"/>
      <c r="AF98" s="370"/>
      <c r="AG98" s="370"/>
      <c r="AH98" s="354"/>
      <c r="AI98" s="370"/>
      <c r="AJ98" s="370"/>
      <c r="AK98" s="370"/>
      <c r="AL98" s="1272"/>
      <c r="AM98" s="1217"/>
      <c r="AN98" s="370"/>
      <c r="AO98" s="370"/>
      <c r="AP98" s="370"/>
      <c r="AQ98" s="370"/>
      <c r="AR98" s="370"/>
      <c r="AS98" s="370"/>
      <c r="AT98" s="370"/>
      <c r="AU98" s="1272"/>
      <c r="AV98" s="1217"/>
      <c r="AW98" s="370"/>
      <c r="AX98" s="370"/>
      <c r="AY98" s="370"/>
      <c r="AZ98" s="370"/>
      <c r="BA98" s="1272"/>
      <c r="BB98" s="1217"/>
      <c r="BC98" s="370"/>
      <c r="BD98" s="370"/>
      <c r="BE98" s="370"/>
      <c r="BF98" s="370"/>
      <c r="BG98" s="370"/>
      <c r="BH98" s="370"/>
      <c r="BI98" s="370"/>
      <c r="BJ98" s="370"/>
      <c r="BK98" s="354"/>
      <c r="BL98" s="370"/>
      <c r="BM98" s="370"/>
      <c r="BN98" s="370"/>
      <c r="BO98" s="1272"/>
      <c r="BP98" s="1217"/>
      <c r="BQ98" s="370"/>
      <c r="BR98" s="370"/>
      <c r="BS98" s="370"/>
      <c r="BT98" s="370"/>
      <c r="BU98" s="370"/>
      <c r="BV98" s="370"/>
      <c r="BW98" s="370"/>
      <c r="BX98" s="1272"/>
      <c r="BY98" s="1217"/>
      <c r="BZ98" s="370"/>
      <c r="CA98" s="370"/>
      <c r="CB98" s="370"/>
      <c r="CC98" s="370"/>
      <c r="CD98" s="1272"/>
      <c r="CE98" s="1217"/>
      <c r="CF98" s="370"/>
      <c r="CG98" s="370"/>
      <c r="CH98" s="370"/>
      <c r="CI98" s="370"/>
      <c r="CJ98" s="370"/>
      <c r="CK98" s="370"/>
      <c r="CL98" s="370"/>
      <c r="CM98" s="370"/>
      <c r="CN98" s="354"/>
      <c r="CO98" s="370"/>
      <c r="CP98" s="370"/>
      <c r="CQ98" s="370"/>
      <c r="CR98" s="1272"/>
      <c r="CS98" s="1217"/>
      <c r="CT98" s="370"/>
      <c r="CU98" s="370"/>
      <c r="CV98" s="370"/>
      <c r="CW98" s="370"/>
      <c r="CX98" s="370"/>
      <c r="CY98" s="370"/>
      <c r="CZ98" s="370"/>
      <c r="DA98" s="1272"/>
      <c r="DB98" s="1217"/>
      <c r="DC98" s="370"/>
      <c r="DD98" s="370"/>
      <c r="DE98" s="370"/>
      <c r="DF98" s="370"/>
      <c r="DG98" s="1272"/>
      <c r="DH98" s="1217"/>
      <c r="DI98" s="370"/>
      <c r="DJ98" s="370"/>
      <c r="DK98" s="370"/>
      <c r="DL98" s="370"/>
      <c r="DM98" s="370"/>
      <c r="DN98" s="370"/>
      <c r="DO98" s="370"/>
      <c r="DP98" s="370"/>
      <c r="DQ98" s="352"/>
      <c r="DR98" s="355"/>
      <c r="DS98" s="347"/>
      <c r="DT98" s="347"/>
      <c r="DU98" s="347"/>
      <c r="DV98" s="1278"/>
      <c r="DW98" s="1222"/>
      <c r="DX98" s="347"/>
      <c r="DY98" s="347"/>
      <c r="DZ98" s="347"/>
      <c r="EA98" s="347"/>
      <c r="EB98" s="347"/>
      <c r="EC98" s="347"/>
      <c r="ED98" s="347"/>
      <c r="EE98" s="1278"/>
      <c r="EF98" s="1222"/>
      <c r="EG98" s="347"/>
      <c r="EH98" s="347"/>
      <c r="EI98" s="347"/>
      <c r="EJ98" s="347"/>
      <c r="EK98" s="1278"/>
      <c r="EL98" s="1222"/>
      <c r="EM98" s="347"/>
      <c r="EN98" s="347"/>
      <c r="EO98" s="347"/>
      <c r="EP98" s="347"/>
      <c r="EQ98" s="347"/>
      <c r="ER98" s="347"/>
      <c r="ES98" s="347"/>
      <c r="ET98" s="347"/>
      <c r="EU98" s="352"/>
      <c r="EV98" s="347"/>
      <c r="EW98" s="347"/>
      <c r="EX98" s="347"/>
      <c r="EY98" s="1278"/>
      <c r="EZ98" s="1222"/>
      <c r="FA98" s="347"/>
      <c r="FB98" s="347"/>
      <c r="FC98" s="347"/>
      <c r="FD98" s="347"/>
      <c r="FE98" s="347"/>
      <c r="FF98" s="347"/>
      <c r="FG98" s="347"/>
      <c r="FH98" s="1278"/>
      <c r="FI98" s="1222"/>
      <c r="FJ98" s="347"/>
      <c r="FK98" s="347"/>
      <c r="FL98" s="347"/>
      <c r="FM98" s="347"/>
      <c r="FN98" s="1278"/>
      <c r="FO98" s="1222"/>
      <c r="FP98" s="347"/>
      <c r="FQ98" s="347"/>
      <c r="FR98" s="347"/>
      <c r="FS98" s="347"/>
      <c r="FT98" s="347"/>
      <c r="FU98" s="347"/>
      <c r="FV98" s="347"/>
      <c r="FW98" s="347"/>
    </row>
    <row r="99" spans="3:180" x14ac:dyDescent="0.35">
      <c r="C99" s="1" t="s">
        <v>134</v>
      </c>
      <c r="F99" s="604">
        <f t="shared" ref="F99:AG99" si="117">F$59*F$33/100</f>
        <v>0</v>
      </c>
      <c r="G99" s="251">
        <f t="shared" si="117"/>
        <v>0</v>
      </c>
      <c r="H99" s="249">
        <f t="shared" si="117"/>
        <v>0</v>
      </c>
      <c r="I99" s="1267">
        <f t="shared" si="117"/>
        <v>0</v>
      </c>
      <c r="J99" s="1212">
        <f t="shared" si="117"/>
        <v>0</v>
      </c>
      <c r="K99" s="251">
        <f t="shared" si="117"/>
        <v>0</v>
      </c>
      <c r="L99" s="251">
        <f t="shared" si="117"/>
        <v>0</v>
      </c>
      <c r="M99" s="251">
        <f t="shared" si="117"/>
        <v>0</v>
      </c>
      <c r="N99" s="251">
        <f t="shared" si="117"/>
        <v>0</v>
      </c>
      <c r="O99" s="251">
        <f t="shared" si="117"/>
        <v>0</v>
      </c>
      <c r="P99" s="251">
        <f t="shared" si="117"/>
        <v>0</v>
      </c>
      <c r="Q99" s="251">
        <f t="shared" si="117"/>
        <v>0</v>
      </c>
      <c r="R99" s="1267">
        <f t="shared" si="117"/>
        <v>0</v>
      </c>
      <c r="S99" s="1212">
        <f t="shared" si="117"/>
        <v>0</v>
      </c>
      <c r="T99" s="251">
        <f t="shared" si="117"/>
        <v>0</v>
      </c>
      <c r="U99" s="251">
        <f t="shared" si="117"/>
        <v>0</v>
      </c>
      <c r="V99" s="251">
        <f t="shared" si="117"/>
        <v>0</v>
      </c>
      <c r="W99" s="251">
        <f t="shared" si="117"/>
        <v>0</v>
      </c>
      <c r="X99" s="1267">
        <f t="shared" si="117"/>
        <v>0</v>
      </c>
      <c r="Y99" s="1212">
        <f t="shared" si="117"/>
        <v>0</v>
      </c>
      <c r="Z99" s="251">
        <f t="shared" si="117"/>
        <v>0</v>
      </c>
      <c r="AA99" s="251">
        <f t="shared" si="117"/>
        <v>0</v>
      </c>
      <c r="AB99" s="251">
        <f t="shared" si="117"/>
        <v>0</v>
      </c>
      <c r="AC99" s="251">
        <f t="shared" si="117"/>
        <v>0</v>
      </c>
      <c r="AD99" s="251">
        <f t="shared" si="117"/>
        <v>0</v>
      </c>
      <c r="AE99" s="251">
        <f t="shared" si="117"/>
        <v>0</v>
      </c>
      <c r="AF99" s="251">
        <f t="shared" si="117"/>
        <v>0</v>
      </c>
      <c r="AG99" s="251">
        <f t="shared" si="117"/>
        <v>0</v>
      </c>
      <c r="AH99" s="338"/>
      <c r="AI99" s="251">
        <f t="shared" ref="AI99:AW99" si="118">AI$59*AI$33/100</f>
        <v>0</v>
      </c>
      <c r="AJ99" s="251">
        <f t="shared" si="118"/>
        <v>0</v>
      </c>
      <c r="AK99" s="251">
        <f t="shared" si="118"/>
        <v>0</v>
      </c>
      <c r="AL99" s="1267">
        <f t="shared" si="118"/>
        <v>0</v>
      </c>
      <c r="AM99" s="1212">
        <f t="shared" si="118"/>
        <v>0</v>
      </c>
      <c r="AN99" s="251">
        <f t="shared" si="118"/>
        <v>0</v>
      </c>
      <c r="AO99" s="251">
        <f t="shared" si="118"/>
        <v>0</v>
      </c>
      <c r="AP99" s="251">
        <f t="shared" si="118"/>
        <v>0</v>
      </c>
      <c r="AQ99" s="251">
        <f t="shared" si="118"/>
        <v>0</v>
      </c>
      <c r="AR99" s="251">
        <f t="shared" si="118"/>
        <v>0</v>
      </c>
      <c r="AS99" s="251">
        <f t="shared" si="118"/>
        <v>0</v>
      </c>
      <c r="AT99" s="251">
        <f t="shared" si="118"/>
        <v>0</v>
      </c>
      <c r="AU99" s="1267">
        <f t="shared" si="118"/>
        <v>0</v>
      </c>
      <c r="AV99" s="1212">
        <f t="shared" si="118"/>
        <v>0</v>
      </c>
      <c r="AW99" s="251">
        <f t="shared" si="118"/>
        <v>0</v>
      </c>
      <c r="AX99" s="251"/>
      <c r="AY99" s="251"/>
      <c r="AZ99" s="251"/>
      <c r="BA99" s="1267"/>
      <c r="BB99" s="1212"/>
      <c r="BC99" s="251"/>
      <c r="BD99" s="251"/>
      <c r="BE99" s="251"/>
      <c r="BF99" s="251"/>
      <c r="BG99" s="251"/>
      <c r="BH99" s="251"/>
      <c r="BI99" s="251"/>
      <c r="BJ99" s="251"/>
      <c r="BK99" s="338"/>
      <c r="BL99" s="251">
        <f t="shared" ref="BL99:CM99" si="119">BL$59*BL$33/100</f>
        <v>40.76681567625532</v>
      </c>
      <c r="BM99" s="251">
        <f t="shared" si="119"/>
        <v>41.701762683333335</v>
      </c>
      <c r="BN99" s="251">
        <f t="shared" si="119"/>
        <v>44.795436895416671</v>
      </c>
      <c r="BO99" s="1267">
        <f t="shared" si="119"/>
        <v>44.451139458333337</v>
      </c>
      <c r="BP99" s="1212">
        <f t="shared" si="119"/>
        <v>10.907153693333333</v>
      </c>
      <c r="BQ99" s="251">
        <f t="shared" si="119"/>
        <v>10.987301173333332</v>
      </c>
      <c r="BR99" s="251">
        <f t="shared" si="119"/>
        <v>12.370652094915254</v>
      </c>
      <c r="BS99" s="251">
        <f t="shared" si="119"/>
        <v>12.71369232</v>
      </c>
      <c r="BT99" s="251">
        <f t="shared" si="119"/>
        <v>13.170360888340806</v>
      </c>
      <c r="BU99" s="251">
        <f t="shared" si="119"/>
        <v>13.879975416000001</v>
      </c>
      <c r="BV99" s="251">
        <f t="shared" si="119"/>
        <v>14.337894383166665</v>
      </c>
      <c r="BW99" s="251">
        <f t="shared" si="119"/>
        <v>14.996544951000001</v>
      </c>
      <c r="BX99" s="1267">
        <f t="shared" si="119"/>
        <v>14.749495312500001</v>
      </c>
      <c r="BY99" s="1212">
        <f t="shared" si="119"/>
        <v>0.20151705</v>
      </c>
      <c r="BZ99" s="251">
        <f t="shared" si="119"/>
        <v>0</v>
      </c>
      <c r="CA99" s="251">
        <f t="shared" si="119"/>
        <v>0</v>
      </c>
      <c r="CB99" s="251">
        <f t="shared" si="119"/>
        <v>0</v>
      </c>
      <c r="CC99" s="251">
        <f t="shared" si="119"/>
        <v>0</v>
      </c>
      <c r="CD99" s="1267">
        <f t="shared" si="119"/>
        <v>0</v>
      </c>
      <c r="CE99" s="1212">
        <f t="shared" si="119"/>
        <v>0</v>
      </c>
      <c r="CF99" s="251">
        <f t="shared" si="119"/>
        <v>0</v>
      </c>
      <c r="CG99" s="251">
        <f t="shared" si="119"/>
        <v>0</v>
      </c>
      <c r="CH99" s="251">
        <f t="shared" si="119"/>
        <v>0</v>
      </c>
      <c r="CI99" s="251">
        <f t="shared" si="119"/>
        <v>0</v>
      </c>
      <c r="CJ99" s="251">
        <f t="shared" si="119"/>
        <v>0</v>
      </c>
      <c r="CK99" s="251">
        <f t="shared" si="119"/>
        <v>0</v>
      </c>
      <c r="CL99" s="251">
        <f t="shared" si="119"/>
        <v>0</v>
      </c>
      <c r="CM99" s="251">
        <f t="shared" si="119"/>
        <v>0</v>
      </c>
      <c r="CN99" s="338"/>
      <c r="CO99" s="251"/>
      <c r="CP99" s="251"/>
      <c r="CQ99" s="251"/>
      <c r="CR99" s="1267"/>
      <c r="CS99" s="1212"/>
      <c r="CT99" s="251"/>
      <c r="CU99" s="251"/>
      <c r="CV99" s="251"/>
      <c r="CW99" s="251"/>
      <c r="CX99" s="251"/>
      <c r="CY99" s="251"/>
      <c r="CZ99" s="251"/>
      <c r="DA99" s="1267"/>
      <c r="DB99" s="1212"/>
      <c r="DC99" s="251"/>
      <c r="DD99" s="251"/>
      <c r="DE99" s="251"/>
      <c r="DF99" s="251"/>
      <c r="DG99" s="1267"/>
      <c r="DH99" s="1212"/>
      <c r="DI99" s="251"/>
      <c r="DJ99" s="251"/>
      <c r="DK99" s="251"/>
      <c r="DL99" s="251"/>
      <c r="DM99" s="251"/>
      <c r="DN99" s="251"/>
      <c r="DO99" s="251"/>
      <c r="DP99" s="251"/>
    </row>
    <row r="100" spans="3:180" s="368" customFormat="1" ht="15" thickBot="1" x14ac:dyDescent="0.4">
      <c r="C100" s="364"/>
      <c r="D100" s="364"/>
      <c r="E100" s="364"/>
      <c r="F100" s="1027"/>
      <c r="G100" s="365"/>
      <c r="H100" s="1167"/>
      <c r="I100" s="1234"/>
      <c r="J100" s="1182"/>
      <c r="K100" s="365"/>
      <c r="L100" s="365"/>
      <c r="M100" s="365"/>
      <c r="N100" s="365"/>
      <c r="O100" s="365"/>
      <c r="P100" s="365"/>
      <c r="Q100" s="365"/>
      <c r="R100" s="1234"/>
      <c r="S100" s="1182"/>
      <c r="T100" s="365"/>
      <c r="U100" s="365"/>
      <c r="V100" s="365"/>
      <c r="W100" s="365"/>
      <c r="X100" s="1234"/>
      <c r="Y100" s="1182"/>
      <c r="Z100" s="365"/>
      <c r="AA100" s="365"/>
      <c r="AB100" s="365"/>
      <c r="AC100" s="365"/>
      <c r="AD100" s="365"/>
      <c r="AE100" s="365"/>
      <c r="AF100" s="365"/>
      <c r="AG100" s="365"/>
      <c r="AH100" s="366"/>
      <c r="AI100" s="365"/>
      <c r="AJ100" s="365"/>
      <c r="AK100" s="365"/>
      <c r="AL100" s="1234"/>
      <c r="AM100" s="1182"/>
      <c r="AN100" s="365"/>
      <c r="AO100" s="365"/>
      <c r="AP100" s="365"/>
      <c r="AQ100" s="365"/>
      <c r="AR100" s="365"/>
      <c r="AS100" s="365"/>
      <c r="AT100" s="365"/>
      <c r="AU100" s="1234"/>
      <c r="AV100" s="1182"/>
      <c r="AW100" s="365"/>
      <c r="AX100" s="365"/>
      <c r="AY100" s="365"/>
      <c r="AZ100" s="365"/>
      <c r="BA100" s="1234"/>
      <c r="BB100" s="1182"/>
      <c r="BC100" s="365"/>
      <c r="BD100" s="365"/>
      <c r="BE100" s="365"/>
      <c r="BF100" s="365"/>
      <c r="BG100" s="365"/>
      <c r="BH100" s="365"/>
      <c r="BI100" s="365"/>
      <c r="BJ100" s="365"/>
      <c r="BK100" s="366"/>
      <c r="BL100" s="365"/>
      <c r="BM100" s="365"/>
      <c r="BN100" s="365"/>
      <c r="BO100" s="1234"/>
      <c r="BP100" s="1182"/>
      <c r="BQ100" s="365"/>
      <c r="BR100" s="365"/>
      <c r="BS100" s="365"/>
      <c r="BT100" s="365"/>
      <c r="BU100" s="365"/>
      <c r="BV100" s="365"/>
      <c r="BW100" s="365"/>
      <c r="BX100" s="1234"/>
      <c r="BY100" s="1182"/>
      <c r="BZ100" s="365"/>
      <c r="CA100" s="365"/>
      <c r="CB100" s="365"/>
      <c r="CC100" s="365"/>
      <c r="CD100" s="1234"/>
      <c r="CE100" s="1182"/>
      <c r="CF100" s="365"/>
      <c r="CG100" s="365"/>
      <c r="CH100" s="365"/>
      <c r="CI100" s="365"/>
      <c r="CJ100" s="365"/>
      <c r="CK100" s="365"/>
      <c r="CL100" s="365"/>
      <c r="CM100" s="365"/>
      <c r="CN100" s="366"/>
      <c r="CO100" s="365"/>
      <c r="CP100" s="365"/>
      <c r="CQ100" s="365"/>
      <c r="CR100" s="1234"/>
      <c r="CS100" s="1182"/>
      <c r="CT100" s="365"/>
      <c r="CU100" s="365"/>
      <c r="CV100" s="365"/>
      <c r="CW100" s="365"/>
      <c r="CX100" s="365"/>
      <c r="CY100" s="365"/>
      <c r="CZ100" s="365"/>
      <c r="DA100" s="1234"/>
      <c r="DB100" s="1182"/>
      <c r="DC100" s="365"/>
      <c r="DD100" s="365"/>
      <c r="DE100" s="365"/>
      <c r="DF100" s="365"/>
      <c r="DG100" s="1234"/>
      <c r="DH100" s="1182"/>
      <c r="DI100" s="365"/>
      <c r="DJ100" s="365"/>
      <c r="DK100" s="365"/>
      <c r="DL100" s="365"/>
      <c r="DM100" s="365"/>
      <c r="DN100" s="365"/>
      <c r="DO100" s="365"/>
      <c r="DP100" s="365"/>
      <c r="DQ100" s="366"/>
      <c r="DR100" s="367"/>
      <c r="DS100" s="365"/>
      <c r="DT100" s="365"/>
      <c r="DU100" s="365"/>
      <c r="DV100" s="1234"/>
      <c r="DW100" s="1182"/>
      <c r="DX100" s="365"/>
      <c r="DY100" s="365"/>
      <c r="DZ100" s="365"/>
      <c r="EA100" s="365"/>
      <c r="EB100" s="365"/>
      <c r="EC100" s="365"/>
      <c r="ED100" s="365"/>
      <c r="EE100" s="1234"/>
      <c r="EF100" s="1182"/>
      <c r="EG100" s="365"/>
      <c r="EH100" s="365"/>
      <c r="EI100" s="365"/>
      <c r="EJ100" s="365"/>
      <c r="EK100" s="1234"/>
      <c r="EL100" s="1182"/>
      <c r="EM100" s="365"/>
      <c r="EN100" s="365"/>
      <c r="EO100" s="365"/>
      <c r="EP100" s="365"/>
      <c r="EQ100" s="365"/>
      <c r="ER100" s="365"/>
      <c r="ES100" s="365"/>
      <c r="ET100" s="365"/>
      <c r="EU100" s="366"/>
      <c r="EV100" s="365"/>
      <c r="EW100" s="365"/>
      <c r="EX100" s="365"/>
      <c r="EY100" s="1234"/>
      <c r="EZ100" s="1182"/>
      <c r="FA100" s="365"/>
      <c r="FB100" s="365"/>
      <c r="FC100" s="365"/>
      <c r="FD100" s="365"/>
      <c r="FE100" s="365"/>
      <c r="FF100" s="365"/>
      <c r="FG100" s="365"/>
      <c r="FH100" s="1234"/>
      <c r="FI100" s="1182"/>
      <c r="FJ100" s="365"/>
      <c r="FK100" s="365"/>
      <c r="FL100" s="365"/>
      <c r="FM100" s="365"/>
      <c r="FN100" s="1234"/>
      <c r="FO100" s="1182"/>
      <c r="FP100" s="365"/>
      <c r="FQ100" s="365"/>
      <c r="FR100" s="365"/>
      <c r="FS100" s="365"/>
      <c r="FT100" s="365"/>
      <c r="FU100" s="365"/>
      <c r="FV100" s="365"/>
      <c r="FW100" s="365"/>
    </row>
    <row r="101" spans="3:180" ht="17" thickTop="1" x14ac:dyDescent="0.45">
      <c r="C101" s="1" t="s">
        <v>147</v>
      </c>
      <c r="F101" s="1045">
        <f t="shared" ref="F101:AG101" si="120">F$59*F$41/100</f>
        <v>0</v>
      </c>
      <c r="G101" s="393">
        <f t="shared" si="120"/>
        <v>0</v>
      </c>
      <c r="H101" s="362">
        <f t="shared" si="120"/>
        <v>0</v>
      </c>
      <c r="I101" s="1266">
        <f t="shared" si="120"/>
        <v>0</v>
      </c>
      <c r="J101" s="1211">
        <f t="shared" si="120"/>
        <v>0</v>
      </c>
      <c r="K101" s="393">
        <f t="shared" si="120"/>
        <v>0</v>
      </c>
      <c r="L101" s="393">
        <f t="shared" si="120"/>
        <v>0</v>
      </c>
      <c r="M101" s="393">
        <f t="shared" si="120"/>
        <v>0</v>
      </c>
      <c r="N101" s="393">
        <f t="shared" si="120"/>
        <v>0</v>
      </c>
      <c r="O101" s="393">
        <f t="shared" si="120"/>
        <v>0</v>
      </c>
      <c r="P101" s="1165">
        <f t="shared" si="120"/>
        <v>0</v>
      </c>
      <c r="Q101" s="1165">
        <f t="shared" si="120"/>
        <v>0</v>
      </c>
      <c r="R101" s="1417">
        <f t="shared" si="120"/>
        <v>0</v>
      </c>
      <c r="S101" s="1410">
        <f t="shared" si="120"/>
        <v>0</v>
      </c>
      <c r="T101" s="1165">
        <f t="shared" si="120"/>
        <v>0</v>
      </c>
      <c r="U101" s="393">
        <f t="shared" si="120"/>
        <v>0</v>
      </c>
      <c r="V101" s="393">
        <f t="shared" si="120"/>
        <v>0</v>
      </c>
      <c r="W101" s="393">
        <f t="shared" si="120"/>
        <v>0</v>
      </c>
      <c r="X101" s="1266">
        <f t="shared" si="120"/>
        <v>0</v>
      </c>
      <c r="Y101" s="1211">
        <f t="shared" si="120"/>
        <v>0</v>
      </c>
      <c r="Z101" s="393">
        <f t="shared" si="120"/>
        <v>0</v>
      </c>
      <c r="AA101" s="393">
        <f t="shared" si="120"/>
        <v>0</v>
      </c>
      <c r="AB101" s="393">
        <f t="shared" si="120"/>
        <v>0</v>
      </c>
      <c r="AC101" s="393">
        <f t="shared" si="120"/>
        <v>0</v>
      </c>
      <c r="AD101" s="393">
        <f t="shared" si="120"/>
        <v>0</v>
      </c>
      <c r="AE101" s="393">
        <f t="shared" si="120"/>
        <v>0</v>
      </c>
      <c r="AF101" s="393">
        <f t="shared" si="120"/>
        <v>0</v>
      </c>
      <c r="AG101" s="393">
        <f t="shared" si="120"/>
        <v>0</v>
      </c>
      <c r="AH101" s="396"/>
      <c r="AI101" s="393">
        <f>AI$59*AI$41/100</f>
        <v>0</v>
      </c>
      <c r="AJ101" s="393">
        <f t="shared" ref="AJ101:BJ101" si="121">AJ$59*AJ$41/100</f>
        <v>0</v>
      </c>
      <c r="AK101" s="393">
        <f>AK$59*AK$41/100</f>
        <v>0</v>
      </c>
      <c r="AL101" s="1266">
        <f t="shared" si="121"/>
        <v>0</v>
      </c>
      <c r="AM101" s="1211">
        <f t="shared" si="121"/>
        <v>0</v>
      </c>
      <c r="AN101" s="393">
        <f t="shared" si="121"/>
        <v>0</v>
      </c>
      <c r="AO101" s="393">
        <f t="shared" si="121"/>
        <v>0</v>
      </c>
      <c r="AP101" s="393">
        <f t="shared" si="121"/>
        <v>0</v>
      </c>
      <c r="AQ101" s="393">
        <f t="shared" si="121"/>
        <v>0</v>
      </c>
      <c r="AR101" s="393">
        <f t="shared" si="121"/>
        <v>0</v>
      </c>
      <c r="AS101" s="393">
        <f t="shared" si="121"/>
        <v>0</v>
      </c>
      <c r="AT101" s="393">
        <f>AT$59*AT$41/100</f>
        <v>0</v>
      </c>
      <c r="AU101" s="1266">
        <f t="shared" si="121"/>
        <v>0</v>
      </c>
      <c r="AV101" s="1211">
        <f t="shared" si="121"/>
        <v>0</v>
      </c>
      <c r="AW101" s="393">
        <f t="shared" si="121"/>
        <v>0</v>
      </c>
      <c r="AX101" s="393">
        <f t="shared" si="121"/>
        <v>0</v>
      </c>
      <c r="AY101" s="393">
        <f t="shared" si="121"/>
        <v>0</v>
      </c>
      <c r="AZ101" s="393">
        <f t="shared" si="121"/>
        <v>0</v>
      </c>
      <c r="BA101" s="1266">
        <f t="shared" si="121"/>
        <v>0</v>
      </c>
      <c r="BB101" s="1211">
        <f t="shared" si="121"/>
        <v>0</v>
      </c>
      <c r="BC101" s="393">
        <f t="shared" si="121"/>
        <v>0</v>
      </c>
      <c r="BD101" s="393">
        <f t="shared" si="121"/>
        <v>0</v>
      </c>
      <c r="BE101" s="393">
        <f t="shared" si="121"/>
        <v>0</v>
      </c>
      <c r="BF101" s="393">
        <f t="shared" si="121"/>
        <v>0</v>
      </c>
      <c r="BG101" s="393">
        <f t="shared" si="121"/>
        <v>0</v>
      </c>
      <c r="BH101" s="393">
        <f t="shared" si="121"/>
        <v>0</v>
      </c>
      <c r="BI101" s="393">
        <f t="shared" si="121"/>
        <v>0</v>
      </c>
      <c r="BJ101" s="393">
        <f t="shared" si="121"/>
        <v>0</v>
      </c>
      <c r="BK101" s="396"/>
      <c r="BL101" s="309">
        <f t="shared" ref="BL101:CM101" si="122">BL$59*BL$41/100</f>
        <v>261.78615491191329</v>
      </c>
      <c r="BM101" s="309">
        <f t="shared" si="122"/>
        <v>238.24764619921069</v>
      </c>
      <c r="BN101" s="309">
        <f t="shared" si="122"/>
        <v>251.01852395297774</v>
      </c>
      <c r="BO101" s="422">
        <f t="shared" si="122"/>
        <v>248.33776646544459</v>
      </c>
      <c r="BP101" s="421">
        <f t="shared" si="122"/>
        <v>126.71229412592744</v>
      </c>
      <c r="BQ101" s="309">
        <f t="shared" si="122"/>
        <v>123.57690828790264</v>
      </c>
      <c r="BR101" s="309">
        <f t="shared" si="122"/>
        <v>127.55228873093593</v>
      </c>
      <c r="BS101" s="309">
        <f t="shared" si="122"/>
        <v>124.67058937255985</v>
      </c>
      <c r="BT101" s="309">
        <f t="shared" si="122"/>
        <v>123.88848506908204</v>
      </c>
      <c r="BU101" s="309">
        <f t="shared" si="122"/>
        <v>127.8630672775932</v>
      </c>
      <c r="BV101" s="309">
        <f t="shared" si="122"/>
        <v>128.03869674461265</v>
      </c>
      <c r="BW101" s="309">
        <f t="shared" si="122"/>
        <v>125.01973972138232</v>
      </c>
      <c r="BX101" s="422">
        <f t="shared" si="122"/>
        <v>126.16039001694122</v>
      </c>
      <c r="BY101" s="421">
        <f t="shared" si="122"/>
        <v>143.5</v>
      </c>
      <c r="BZ101" s="309">
        <f t="shared" si="122"/>
        <v>0</v>
      </c>
      <c r="CA101" s="309">
        <f t="shared" si="122"/>
        <v>0</v>
      </c>
      <c r="CB101" s="309">
        <f t="shared" si="122"/>
        <v>0</v>
      </c>
      <c r="CC101" s="309">
        <f t="shared" si="122"/>
        <v>0</v>
      </c>
      <c r="CD101" s="422">
        <f t="shared" si="122"/>
        <v>0</v>
      </c>
      <c r="CE101" s="421">
        <f t="shared" si="122"/>
        <v>0</v>
      </c>
      <c r="CF101" s="309">
        <f t="shared" si="122"/>
        <v>0</v>
      </c>
      <c r="CG101" s="309">
        <f t="shared" si="122"/>
        <v>0</v>
      </c>
      <c r="CH101" s="309">
        <f t="shared" si="122"/>
        <v>0</v>
      </c>
      <c r="CI101" s="309">
        <f t="shared" si="122"/>
        <v>0</v>
      </c>
      <c r="CJ101" s="309">
        <f t="shared" si="122"/>
        <v>0</v>
      </c>
      <c r="CK101" s="309">
        <f t="shared" si="122"/>
        <v>0</v>
      </c>
      <c r="CL101" s="309">
        <f t="shared" si="122"/>
        <v>0</v>
      </c>
      <c r="CM101" s="309">
        <f t="shared" si="122"/>
        <v>0</v>
      </c>
      <c r="CN101" s="396"/>
      <c r="CO101" s="309" t="e">
        <f t="shared" ref="CO101:DP101" si="123">CO$59*CO$41/100</f>
        <v>#DIV/0!</v>
      </c>
      <c r="CP101" s="309">
        <f t="shared" si="123"/>
        <v>12.17315254543267</v>
      </c>
      <c r="CQ101" s="309">
        <f t="shared" si="123"/>
        <v>6.9054398083893123</v>
      </c>
      <c r="CR101" s="422">
        <f t="shared" si="123"/>
        <v>9.8011176618071811</v>
      </c>
      <c r="CS101" s="421">
        <f t="shared" si="123"/>
        <v>14.171786864918234</v>
      </c>
      <c r="CT101" s="309">
        <f t="shared" si="123"/>
        <v>16.063521319820953</v>
      </c>
      <c r="CU101" s="309">
        <f t="shared" si="123"/>
        <v>19.007667452576914</v>
      </c>
      <c r="CV101" s="309">
        <f t="shared" si="123"/>
        <v>14.070480897273415</v>
      </c>
      <c r="CW101" s="309">
        <f t="shared" si="123"/>
        <v>14.701314359104529</v>
      </c>
      <c r="CX101" s="309">
        <f t="shared" si="123"/>
        <v>15.743751537007499</v>
      </c>
      <c r="CY101" s="309">
        <f t="shared" si="123"/>
        <v>12.538990275139167</v>
      </c>
      <c r="CZ101" s="309">
        <f t="shared" si="123"/>
        <v>14.301927337842505</v>
      </c>
      <c r="DA101" s="422">
        <f t="shared" si="123"/>
        <v>13.006892325648334</v>
      </c>
      <c r="DB101" s="421" t="e">
        <f t="shared" si="123"/>
        <v>#DIV/0!</v>
      </c>
      <c r="DC101" s="309" t="e">
        <f t="shared" si="123"/>
        <v>#DIV/0!</v>
      </c>
      <c r="DD101" s="309" t="e">
        <f t="shared" si="123"/>
        <v>#DIV/0!</v>
      </c>
      <c r="DE101" s="309" t="e">
        <f t="shared" si="123"/>
        <v>#DIV/0!</v>
      </c>
      <c r="DF101" s="309" t="e">
        <f t="shared" si="123"/>
        <v>#DIV/0!</v>
      </c>
      <c r="DG101" s="422" t="e">
        <f t="shared" si="123"/>
        <v>#DIV/0!</v>
      </c>
      <c r="DH101" s="421" t="e">
        <f t="shared" si="123"/>
        <v>#DIV/0!</v>
      </c>
      <c r="DI101" s="309" t="e">
        <f t="shared" si="123"/>
        <v>#DIV/0!</v>
      </c>
      <c r="DJ101" s="309" t="e">
        <f t="shared" si="123"/>
        <v>#DIV/0!</v>
      </c>
      <c r="DK101" s="309" t="e">
        <f t="shared" si="123"/>
        <v>#DIV/0!</v>
      </c>
      <c r="DL101" s="309" t="e">
        <f t="shared" si="123"/>
        <v>#DIV/0!</v>
      </c>
      <c r="DM101" s="309" t="e">
        <f t="shared" si="123"/>
        <v>#DIV/0!</v>
      </c>
      <c r="DN101" s="309" t="e">
        <f t="shared" si="123"/>
        <v>#DIV/0!</v>
      </c>
      <c r="DO101" s="309" t="e">
        <f t="shared" si="123"/>
        <v>#DIV/0!</v>
      </c>
      <c r="DP101" s="309" t="e">
        <f t="shared" si="123"/>
        <v>#DIV/0!</v>
      </c>
      <c r="DQ101" s="356"/>
      <c r="DR101" s="358"/>
      <c r="DS101" s="229"/>
      <c r="DT101" s="229"/>
      <c r="DU101" s="229"/>
      <c r="DV101" s="1245"/>
      <c r="DW101" s="538"/>
      <c r="DX101" s="229"/>
      <c r="DY101" s="229"/>
      <c r="DZ101" s="229"/>
      <c r="EA101" s="229"/>
      <c r="EB101" s="229"/>
      <c r="EC101" s="229"/>
      <c r="ED101" s="229"/>
      <c r="EE101" s="1245"/>
      <c r="EF101" s="538"/>
      <c r="EG101" s="229"/>
      <c r="EH101" s="229"/>
      <c r="EI101" s="229"/>
      <c r="EJ101" s="229"/>
      <c r="EK101" s="1245"/>
      <c r="EL101" s="538"/>
      <c r="EM101" s="229"/>
      <c r="EN101" s="229"/>
      <c r="EO101" s="229"/>
      <c r="EP101" s="229"/>
      <c r="EQ101" s="229"/>
      <c r="ER101" s="229"/>
      <c r="ES101" s="229"/>
      <c r="ET101" s="229"/>
      <c r="EU101" s="356"/>
      <c r="EV101" s="229"/>
      <c r="EW101" s="229"/>
      <c r="EX101" s="229"/>
      <c r="EY101" s="1245"/>
      <c r="EZ101" s="538"/>
      <c r="FA101" s="229"/>
      <c r="FB101" s="229"/>
      <c r="FC101" s="229"/>
      <c r="FD101" s="229"/>
      <c r="FE101" s="229"/>
      <c r="FF101" s="229"/>
      <c r="FG101" s="229"/>
      <c r="FH101" s="1245"/>
      <c r="FI101" s="538"/>
      <c r="FJ101" s="229"/>
      <c r="FK101" s="229"/>
      <c r="FL101" s="229"/>
      <c r="FM101" s="229"/>
      <c r="FN101" s="1245"/>
      <c r="FO101" s="538"/>
      <c r="FP101" s="229"/>
      <c r="FQ101" s="229"/>
      <c r="FR101" s="229"/>
      <c r="FS101" s="229"/>
      <c r="FT101" s="229"/>
      <c r="FU101" s="229"/>
      <c r="FV101" s="229"/>
      <c r="FW101" s="229"/>
    </row>
    <row r="102" spans="3:180" ht="17" thickBot="1" x14ac:dyDescent="0.5">
      <c r="C102" s="1" t="s">
        <v>148</v>
      </c>
      <c r="F102" s="1050">
        <f t="shared" ref="F102:AG102" si="124">F$59*F$42/100</f>
        <v>0</v>
      </c>
      <c r="G102" s="392">
        <f t="shared" si="124"/>
        <v>0</v>
      </c>
      <c r="H102" s="311">
        <f t="shared" si="124"/>
        <v>0</v>
      </c>
      <c r="I102" s="1273">
        <f t="shared" si="124"/>
        <v>0</v>
      </c>
      <c r="J102" s="1218">
        <f t="shared" si="124"/>
        <v>0</v>
      </c>
      <c r="K102" s="392">
        <f t="shared" si="124"/>
        <v>0</v>
      </c>
      <c r="L102" s="392">
        <f t="shared" si="124"/>
        <v>0</v>
      </c>
      <c r="M102" s="392">
        <f t="shared" si="124"/>
        <v>0</v>
      </c>
      <c r="N102" s="392">
        <f t="shared" si="124"/>
        <v>0</v>
      </c>
      <c r="O102" s="392">
        <f t="shared" si="124"/>
        <v>0</v>
      </c>
      <c r="P102" s="466">
        <f t="shared" si="124"/>
        <v>0</v>
      </c>
      <c r="Q102" s="466">
        <f t="shared" si="124"/>
        <v>0</v>
      </c>
      <c r="R102" s="1418">
        <f t="shared" si="124"/>
        <v>0</v>
      </c>
      <c r="S102" s="1411">
        <f t="shared" si="124"/>
        <v>0</v>
      </c>
      <c r="T102" s="466">
        <f t="shared" si="124"/>
        <v>0</v>
      </c>
      <c r="U102" s="392">
        <f t="shared" si="124"/>
        <v>0</v>
      </c>
      <c r="V102" s="392">
        <f t="shared" si="124"/>
        <v>0</v>
      </c>
      <c r="W102" s="392">
        <f t="shared" si="124"/>
        <v>0</v>
      </c>
      <c r="X102" s="1273">
        <f t="shared" si="124"/>
        <v>0</v>
      </c>
      <c r="Y102" s="1218">
        <f t="shared" si="124"/>
        <v>0</v>
      </c>
      <c r="Z102" s="392">
        <f t="shared" si="124"/>
        <v>0</v>
      </c>
      <c r="AA102" s="392">
        <f t="shared" si="124"/>
        <v>0</v>
      </c>
      <c r="AB102" s="392">
        <f t="shared" si="124"/>
        <v>0</v>
      </c>
      <c r="AC102" s="392">
        <f t="shared" si="124"/>
        <v>0</v>
      </c>
      <c r="AD102" s="392">
        <f t="shared" si="124"/>
        <v>0</v>
      </c>
      <c r="AE102" s="392">
        <f t="shared" si="124"/>
        <v>0</v>
      </c>
      <c r="AF102" s="392">
        <f t="shared" si="124"/>
        <v>0</v>
      </c>
      <c r="AG102" s="392">
        <f t="shared" si="124"/>
        <v>0</v>
      </c>
      <c r="AH102" s="402"/>
      <c r="AI102" s="392">
        <f t="shared" ref="AI102:BJ102" si="125">AI$59*AI$42/100</f>
        <v>0</v>
      </c>
      <c r="AJ102" s="392">
        <f t="shared" si="125"/>
        <v>0</v>
      </c>
      <c r="AK102" s="392">
        <f t="shared" si="125"/>
        <v>0</v>
      </c>
      <c r="AL102" s="1273">
        <f t="shared" si="125"/>
        <v>0</v>
      </c>
      <c r="AM102" s="1218">
        <f t="shared" si="125"/>
        <v>0</v>
      </c>
      <c r="AN102" s="392">
        <f t="shared" si="125"/>
        <v>0</v>
      </c>
      <c r="AO102" s="392">
        <f t="shared" si="125"/>
        <v>0</v>
      </c>
      <c r="AP102" s="392">
        <f t="shared" si="125"/>
        <v>0</v>
      </c>
      <c r="AQ102" s="392">
        <f t="shared" si="125"/>
        <v>0</v>
      </c>
      <c r="AR102" s="392">
        <f t="shared" si="125"/>
        <v>0</v>
      </c>
      <c r="AS102" s="392">
        <f t="shared" si="125"/>
        <v>0</v>
      </c>
      <c r="AT102" s="392">
        <f t="shared" si="125"/>
        <v>0</v>
      </c>
      <c r="AU102" s="1273">
        <f t="shared" si="125"/>
        <v>0</v>
      </c>
      <c r="AV102" s="1218">
        <f t="shared" si="125"/>
        <v>0</v>
      </c>
      <c r="AW102" s="392">
        <f t="shared" si="125"/>
        <v>0</v>
      </c>
      <c r="AX102" s="392">
        <f t="shared" si="125"/>
        <v>0</v>
      </c>
      <c r="AY102" s="392">
        <f t="shared" si="125"/>
        <v>0</v>
      </c>
      <c r="AZ102" s="392">
        <f t="shared" si="125"/>
        <v>0</v>
      </c>
      <c r="BA102" s="1273">
        <f t="shared" si="125"/>
        <v>0</v>
      </c>
      <c r="BB102" s="1218">
        <f t="shared" si="125"/>
        <v>0</v>
      </c>
      <c r="BC102" s="392">
        <f t="shared" si="125"/>
        <v>0</v>
      </c>
      <c r="BD102" s="392">
        <f t="shared" si="125"/>
        <v>0</v>
      </c>
      <c r="BE102" s="392">
        <f t="shared" si="125"/>
        <v>0</v>
      </c>
      <c r="BF102" s="392">
        <f t="shared" si="125"/>
        <v>0</v>
      </c>
      <c r="BG102" s="392">
        <f t="shared" si="125"/>
        <v>0</v>
      </c>
      <c r="BH102" s="392">
        <f t="shared" si="125"/>
        <v>0</v>
      </c>
      <c r="BI102" s="392">
        <f t="shared" si="125"/>
        <v>0</v>
      </c>
      <c r="BJ102" s="392">
        <f t="shared" si="125"/>
        <v>0</v>
      </c>
      <c r="BK102" s="402"/>
      <c r="BL102" s="392">
        <f t="shared" ref="BL102:CM102" si="126">BL$59*BL$42/100</f>
        <v>36.839424904079799</v>
      </c>
      <c r="BM102" s="392">
        <f t="shared" si="126"/>
        <v>32.763806056367386</v>
      </c>
      <c r="BN102" s="392">
        <f t="shared" si="126"/>
        <v>34.641966050627616</v>
      </c>
      <c r="BO102" s="1273">
        <f t="shared" si="126"/>
        <v>34.25121389386026</v>
      </c>
      <c r="BP102" s="1218">
        <f t="shared" si="126"/>
        <v>18.247492889979142</v>
      </c>
      <c r="BQ102" s="392">
        <f t="shared" si="126"/>
        <v>17.736823731875017</v>
      </c>
      <c r="BR102" s="392">
        <f t="shared" si="126"/>
        <v>17.90659601912856</v>
      </c>
      <c r="BS102" s="392">
        <f t="shared" si="126"/>
        <v>17.27877790918664</v>
      </c>
      <c r="BT102" s="392">
        <f t="shared" si="126"/>
        <v>17.22033212066745</v>
      </c>
      <c r="BU102" s="392">
        <f t="shared" si="126"/>
        <v>17.647748382084657</v>
      </c>
      <c r="BV102" s="392">
        <f t="shared" si="126"/>
        <v>17.759153182369552</v>
      </c>
      <c r="BW102" s="392">
        <f t="shared" si="126"/>
        <v>17.174027660108941</v>
      </c>
      <c r="BX102" s="1273">
        <f t="shared" si="126"/>
        <v>17.692062783847668</v>
      </c>
      <c r="BY102" s="1218">
        <f t="shared" si="126"/>
        <v>0</v>
      </c>
      <c r="BZ102" s="392">
        <f t="shared" si="126"/>
        <v>0</v>
      </c>
      <c r="CA102" s="392">
        <f t="shared" si="126"/>
        <v>0</v>
      </c>
      <c r="CB102" s="392">
        <f t="shared" si="126"/>
        <v>0</v>
      </c>
      <c r="CC102" s="392">
        <f t="shared" si="126"/>
        <v>0</v>
      </c>
      <c r="CD102" s="1273">
        <f t="shared" si="126"/>
        <v>0</v>
      </c>
      <c r="CE102" s="1218">
        <f t="shared" si="126"/>
        <v>0</v>
      </c>
      <c r="CF102" s="392">
        <f t="shared" si="126"/>
        <v>0</v>
      </c>
      <c r="CG102" s="392">
        <f t="shared" si="126"/>
        <v>0</v>
      </c>
      <c r="CH102" s="392">
        <f t="shared" si="126"/>
        <v>0</v>
      </c>
      <c r="CI102" s="392">
        <f t="shared" si="126"/>
        <v>0</v>
      </c>
      <c r="CJ102" s="392">
        <f t="shared" si="126"/>
        <v>0</v>
      </c>
      <c r="CK102" s="392">
        <f t="shared" si="126"/>
        <v>0</v>
      </c>
      <c r="CL102" s="392">
        <f t="shared" si="126"/>
        <v>0</v>
      </c>
      <c r="CM102" s="392">
        <f t="shared" si="126"/>
        <v>0</v>
      </c>
      <c r="CN102" s="402"/>
      <c r="CO102" s="392" t="e">
        <f>CO$59*CO$42/100</f>
        <v>#DIV/0!</v>
      </c>
      <c r="CP102" s="392">
        <f t="shared" ref="CP102:DP102" si="127">CP$59*CP$42/100</f>
        <v>1.8806005206261935</v>
      </c>
      <c r="CQ102" s="392">
        <f t="shared" si="127"/>
        <v>1.077017027655069</v>
      </c>
      <c r="CR102" s="1273">
        <f t="shared" si="127"/>
        <v>1.5082994508414884</v>
      </c>
      <c r="CS102" s="1218">
        <f t="shared" si="127"/>
        <v>2.1308880123761673</v>
      </c>
      <c r="CT102" s="392">
        <f t="shared" si="127"/>
        <v>2.4943356086678503</v>
      </c>
      <c r="CU102" s="392">
        <f t="shared" si="127"/>
        <v>2.8404008943185888</v>
      </c>
      <c r="CV102" s="392">
        <f t="shared" si="127"/>
        <v>2.1532832163524955</v>
      </c>
      <c r="CW102" s="392">
        <f t="shared" si="127"/>
        <v>2.1896461634058473</v>
      </c>
      <c r="CX102" s="392">
        <f t="shared" si="127"/>
        <v>2.3863985525916713</v>
      </c>
      <c r="CY102" s="392">
        <f t="shared" si="127"/>
        <v>1.9321085644082365</v>
      </c>
      <c r="CZ102" s="392">
        <f t="shared" si="127"/>
        <v>2.1678504400982126</v>
      </c>
      <c r="DA102" s="1273">
        <f t="shared" si="127"/>
        <v>1.9657622633960381</v>
      </c>
      <c r="DB102" s="1218" t="e">
        <f t="shared" si="127"/>
        <v>#DIV/0!</v>
      </c>
      <c r="DC102" s="392" t="e">
        <f t="shared" si="127"/>
        <v>#DIV/0!</v>
      </c>
      <c r="DD102" s="392" t="e">
        <f t="shared" si="127"/>
        <v>#DIV/0!</v>
      </c>
      <c r="DE102" s="392" t="e">
        <f t="shared" si="127"/>
        <v>#DIV/0!</v>
      </c>
      <c r="DF102" s="392" t="e">
        <f t="shared" si="127"/>
        <v>#DIV/0!</v>
      </c>
      <c r="DG102" s="1273" t="e">
        <f t="shared" si="127"/>
        <v>#DIV/0!</v>
      </c>
      <c r="DH102" s="1218" t="e">
        <f t="shared" si="127"/>
        <v>#DIV/0!</v>
      </c>
      <c r="DI102" s="392" t="e">
        <f t="shared" si="127"/>
        <v>#DIV/0!</v>
      </c>
      <c r="DJ102" s="392" t="e">
        <f t="shared" si="127"/>
        <v>#DIV/0!</v>
      </c>
      <c r="DK102" s="392" t="e">
        <f t="shared" si="127"/>
        <v>#DIV/0!</v>
      </c>
      <c r="DL102" s="392" t="e">
        <f t="shared" si="127"/>
        <v>#DIV/0!</v>
      </c>
      <c r="DM102" s="392" t="e">
        <f t="shared" si="127"/>
        <v>#DIV/0!</v>
      </c>
      <c r="DN102" s="392" t="e">
        <f t="shared" si="127"/>
        <v>#DIV/0!</v>
      </c>
      <c r="DO102" s="392" t="e">
        <f t="shared" si="127"/>
        <v>#DIV/0!</v>
      </c>
      <c r="DP102" s="392" t="e">
        <f t="shared" si="127"/>
        <v>#DIV/0!</v>
      </c>
      <c r="DQ102" s="344"/>
      <c r="DR102" s="345"/>
      <c r="DS102" s="225"/>
      <c r="DT102" s="225"/>
      <c r="DU102" s="225"/>
      <c r="DV102" s="1269"/>
      <c r="DW102" s="1214"/>
      <c r="DX102" s="225"/>
      <c r="DY102" s="225"/>
      <c r="DZ102" s="225"/>
      <c r="EA102" s="225"/>
      <c r="EB102" s="225"/>
      <c r="EC102" s="225"/>
      <c r="ED102" s="225"/>
      <c r="EE102" s="1269"/>
      <c r="EF102" s="1214"/>
      <c r="EG102" s="225"/>
      <c r="EH102" s="225"/>
      <c r="EI102" s="225"/>
      <c r="EJ102" s="225"/>
      <c r="EK102" s="1269"/>
      <c r="EL102" s="1214"/>
      <c r="EM102" s="225"/>
      <c r="EN102" s="225"/>
      <c r="EO102" s="225"/>
      <c r="EP102" s="225"/>
      <c r="EQ102" s="225"/>
      <c r="ER102" s="225"/>
      <c r="ES102" s="225"/>
      <c r="ET102" s="225"/>
      <c r="EU102" s="344"/>
      <c r="EV102" s="225"/>
      <c r="EW102" s="225"/>
      <c r="EX102" s="403" t="s">
        <v>209</v>
      </c>
      <c r="EY102" s="1265"/>
      <c r="EZ102" s="892">
        <f>273.15+30</f>
        <v>303.14999999999998</v>
      </c>
      <c r="FA102" s="403" t="s">
        <v>208</v>
      </c>
      <c r="FB102" s="225"/>
      <c r="FC102" s="225"/>
      <c r="FD102" s="225"/>
      <c r="FE102" s="225"/>
      <c r="FF102" s="225"/>
      <c r="FG102" s="225"/>
      <c r="FH102" s="1269"/>
      <c r="FI102" s="1214"/>
      <c r="FJ102" s="225"/>
      <c r="FK102" s="225"/>
      <c r="FL102" s="225"/>
      <c r="FM102" s="225"/>
      <c r="FN102" s="1269"/>
      <c r="FO102" s="1214"/>
      <c r="FP102" s="225"/>
      <c r="FQ102" s="225"/>
      <c r="FR102" s="225"/>
      <c r="FS102" s="225"/>
      <c r="FT102" s="225"/>
      <c r="FU102" s="225"/>
      <c r="FV102" s="225"/>
      <c r="FW102" s="225"/>
    </row>
    <row r="103" spans="3:180" s="1151" customFormat="1" ht="15" thickTop="1" x14ac:dyDescent="0.35">
      <c r="C103" s="1152" t="s">
        <v>273</v>
      </c>
      <c r="D103" s="1152"/>
      <c r="E103" s="1152"/>
      <c r="F103" s="1153" t="e">
        <f t="shared" ref="F103:CY103" si="128">F$102/F$101</f>
        <v>#DIV/0!</v>
      </c>
      <c r="G103" s="1153" t="e">
        <f t="shared" si="128"/>
        <v>#DIV/0!</v>
      </c>
      <c r="H103" s="1153" t="e">
        <f t="shared" si="128"/>
        <v>#DIV/0!</v>
      </c>
      <c r="I103" s="1274" t="e">
        <f t="shared" si="128"/>
        <v>#DIV/0!</v>
      </c>
      <c r="J103" s="1219" t="e">
        <f t="shared" si="128"/>
        <v>#DIV/0!</v>
      </c>
      <c r="K103" s="1153" t="e">
        <f t="shared" si="128"/>
        <v>#DIV/0!</v>
      </c>
      <c r="L103" s="1153" t="e">
        <f t="shared" si="128"/>
        <v>#DIV/0!</v>
      </c>
      <c r="M103" s="1153" t="e">
        <f t="shared" si="128"/>
        <v>#DIV/0!</v>
      </c>
      <c r="N103" s="1153" t="e">
        <f t="shared" si="128"/>
        <v>#DIV/0!</v>
      </c>
      <c r="O103" s="1153" t="e">
        <f t="shared" si="128"/>
        <v>#DIV/0!</v>
      </c>
      <c r="P103" s="1153" t="e">
        <f>P$102/P$101</f>
        <v>#DIV/0!</v>
      </c>
      <c r="Q103" s="1153" t="e">
        <f>Q$102/Q$101</f>
        <v>#DIV/0!</v>
      </c>
      <c r="R103" s="1274" t="e">
        <f t="shared" si="128"/>
        <v>#DIV/0!</v>
      </c>
      <c r="S103" s="1219" t="e">
        <f t="shared" si="128"/>
        <v>#DIV/0!</v>
      </c>
      <c r="T103" s="1153" t="e">
        <f t="shared" si="128"/>
        <v>#DIV/0!</v>
      </c>
      <c r="U103" s="1153" t="e">
        <f t="shared" si="128"/>
        <v>#DIV/0!</v>
      </c>
      <c r="V103" s="1153" t="e">
        <f t="shared" si="128"/>
        <v>#DIV/0!</v>
      </c>
      <c r="W103" s="1153" t="e">
        <f t="shared" si="128"/>
        <v>#DIV/0!</v>
      </c>
      <c r="X103" s="1274" t="e">
        <f t="shared" si="128"/>
        <v>#DIV/0!</v>
      </c>
      <c r="Y103" s="1219" t="e">
        <f t="shared" si="128"/>
        <v>#DIV/0!</v>
      </c>
      <c r="Z103" s="1153" t="e">
        <f t="shared" si="128"/>
        <v>#DIV/0!</v>
      </c>
      <c r="AA103" s="1153" t="e">
        <f t="shared" si="128"/>
        <v>#DIV/0!</v>
      </c>
      <c r="AB103" s="1153" t="e">
        <f t="shared" si="128"/>
        <v>#DIV/0!</v>
      </c>
      <c r="AC103" s="1153" t="e">
        <f t="shared" si="128"/>
        <v>#DIV/0!</v>
      </c>
      <c r="AD103" s="1153" t="e">
        <f t="shared" si="128"/>
        <v>#DIV/0!</v>
      </c>
      <c r="AE103" s="1153" t="e">
        <f t="shared" si="128"/>
        <v>#DIV/0!</v>
      </c>
      <c r="AF103" s="1153" t="e">
        <f t="shared" si="128"/>
        <v>#DIV/0!</v>
      </c>
      <c r="AG103" s="1153" t="e">
        <f t="shared" si="128"/>
        <v>#DIV/0!</v>
      </c>
      <c r="AH103" s="1154"/>
      <c r="AI103" s="1153" t="e">
        <f t="shared" si="128"/>
        <v>#DIV/0!</v>
      </c>
      <c r="AJ103" s="1153" t="e">
        <f t="shared" si="128"/>
        <v>#DIV/0!</v>
      </c>
      <c r="AK103" s="1153" t="e">
        <f t="shared" si="128"/>
        <v>#DIV/0!</v>
      </c>
      <c r="AL103" s="1274" t="e">
        <f t="shared" si="128"/>
        <v>#DIV/0!</v>
      </c>
      <c r="AM103" s="1219" t="e">
        <f t="shared" si="128"/>
        <v>#DIV/0!</v>
      </c>
      <c r="AN103" s="1153" t="e">
        <f t="shared" si="128"/>
        <v>#DIV/0!</v>
      </c>
      <c r="AO103" s="1153" t="e">
        <f t="shared" si="128"/>
        <v>#DIV/0!</v>
      </c>
      <c r="AP103" s="1153" t="e">
        <f t="shared" si="128"/>
        <v>#DIV/0!</v>
      </c>
      <c r="AQ103" s="1153" t="e">
        <f t="shared" si="128"/>
        <v>#DIV/0!</v>
      </c>
      <c r="AR103" s="1153" t="e">
        <f t="shared" si="128"/>
        <v>#DIV/0!</v>
      </c>
      <c r="AS103" s="1153" t="e">
        <f t="shared" si="128"/>
        <v>#DIV/0!</v>
      </c>
      <c r="AT103" s="1153" t="e">
        <f t="shared" si="128"/>
        <v>#DIV/0!</v>
      </c>
      <c r="AU103" s="1274" t="e">
        <f t="shared" si="128"/>
        <v>#DIV/0!</v>
      </c>
      <c r="AV103" s="1219" t="e">
        <f t="shared" si="128"/>
        <v>#DIV/0!</v>
      </c>
      <c r="AW103" s="1153" t="e">
        <f t="shared" si="128"/>
        <v>#DIV/0!</v>
      </c>
      <c r="AX103" s="1153" t="e">
        <f t="shared" si="128"/>
        <v>#DIV/0!</v>
      </c>
      <c r="AY103" s="1153" t="e">
        <f t="shared" si="128"/>
        <v>#DIV/0!</v>
      </c>
      <c r="AZ103" s="1153" t="e">
        <f t="shared" si="128"/>
        <v>#DIV/0!</v>
      </c>
      <c r="BA103" s="1274" t="e">
        <f t="shared" si="128"/>
        <v>#DIV/0!</v>
      </c>
      <c r="BB103" s="1219" t="e">
        <f t="shared" si="128"/>
        <v>#DIV/0!</v>
      </c>
      <c r="BC103" s="1153" t="e">
        <f t="shared" si="128"/>
        <v>#DIV/0!</v>
      </c>
      <c r="BD103" s="1153" t="e">
        <f t="shared" si="128"/>
        <v>#DIV/0!</v>
      </c>
      <c r="BE103" s="1153" t="e">
        <f t="shared" si="128"/>
        <v>#DIV/0!</v>
      </c>
      <c r="BF103" s="1153" t="e">
        <f t="shared" si="128"/>
        <v>#DIV/0!</v>
      </c>
      <c r="BG103" s="1153" t="e">
        <f t="shared" si="128"/>
        <v>#DIV/0!</v>
      </c>
      <c r="BH103" s="1153" t="e">
        <f t="shared" si="128"/>
        <v>#DIV/0!</v>
      </c>
      <c r="BI103" s="1153" t="e">
        <f t="shared" si="128"/>
        <v>#DIV/0!</v>
      </c>
      <c r="BJ103" s="1153" t="e">
        <f t="shared" si="128"/>
        <v>#DIV/0!</v>
      </c>
      <c r="BK103" s="1154"/>
      <c r="BL103" s="1153">
        <f t="shared" si="128"/>
        <v>0.1407233507687817</v>
      </c>
      <c r="BM103" s="1153">
        <f t="shared" si="128"/>
        <v>0.13751995698195457</v>
      </c>
      <c r="BN103" s="1153">
        <f t="shared" si="128"/>
        <v>0.1380056160999375</v>
      </c>
      <c r="BO103" s="1274">
        <f t="shared" si="128"/>
        <v>0.13792188913250217</v>
      </c>
      <c r="BP103" s="1219">
        <f t="shared" si="128"/>
        <v>0.14400728055515019</v>
      </c>
      <c r="BQ103" s="1153">
        <f t="shared" si="128"/>
        <v>0.14352862502881805</v>
      </c>
      <c r="BR103" s="1153">
        <f t="shared" si="128"/>
        <v>0.140386316837493</v>
      </c>
      <c r="BS103" s="1153">
        <f t="shared" si="128"/>
        <v>0.1385954618177952</v>
      </c>
      <c r="BT103" s="1153">
        <f t="shared" si="128"/>
        <v>0.13899864956024879</v>
      </c>
      <c r="BU103" s="1153">
        <f t="shared" si="128"/>
        <v>0.13802068695701669</v>
      </c>
      <c r="BV103" s="1153">
        <f t="shared" si="128"/>
        <v>0.13870145224761346</v>
      </c>
      <c r="BW103" s="1153">
        <f t="shared" si="128"/>
        <v>0.13737052803327537</v>
      </c>
      <c r="BX103" s="1274">
        <f t="shared" si="128"/>
        <v>0.14023468682580897</v>
      </c>
      <c r="BY103" s="1219">
        <f t="shared" si="128"/>
        <v>0</v>
      </c>
      <c r="BZ103" s="1153" t="e">
        <f t="shared" si="128"/>
        <v>#DIV/0!</v>
      </c>
      <c r="CA103" s="1153" t="e">
        <f t="shared" si="128"/>
        <v>#DIV/0!</v>
      </c>
      <c r="CB103" s="1153" t="e">
        <f t="shared" si="128"/>
        <v>#DIV/0!</v>
      </c>
      <c r="CC103" s="1153" t="e">
        <f t="shared" si="128"/>
        <v>#DIV/0!</v>
      </c>
      <c r="CD103" s="1274" t="e">
        <f t="shared" si="128"/>
        <v>#DIV/0!</v>
      </c>
      <c r="CE103" s="1219" t="e">
        <f t="shared" si="128"/>
        <v>#DIV/0!</v>
      </c>
      <c r="CF103" s="1153" t="e">
        <f t="shared" si="128"/>
        <v>#DIV/0!</v>
      </c>
      <c r="CG103" s="1153" t="e">
        <f t="shared" si="128"/>
        <v>#DIV/0!</v>
      </c>
      <c r="CH103" s="1153" t="e">
        <f t="shared" si="128"/>
        <v>#DIV/0!</v>
      </c>
      <c r="CI103" s="1153" t="e">
        <f t="shared" si="128"/>
        <v>#DIV/0!</v>
      </c>
      <c r="CJ103" s="1153" t="e">
        <f t="shared" si="128"/>
        <v>#DIV/0!</v>
      </c>
      <c r="CK103" s="1153" t="e">
        <f t="shared" si="128"/>
        <v>#DIV/0!</v>
      </c>
      <c r="CL103" s="1153" t="e">
        <f t="shared" si="128"/>
        <v>#DIV/0!</v>
      </c>
      <c r="CM103" s="1153" t="e">
        <f t="shared" si="128"/>
        <v>#DIV/0!</v>
      </c>
      <c r="CN103" s="1154"/>
      <c r="CO103" s="1153" t="e">
        <f>CO$102/CO$101</f>
        <v>#DIV/0!</v>
      </c>
      <c r="CP103" s="1153">
        <f t="shared" si="128"/>
        <v>0.15448755066589462</v>
      </c>
      <c r="CQ103" s="1153">
        <f t="shared" si="128"/>
        <v>0.15596646376478696</v>
      </c>
      <c r="CR103" s="1274">
        <f t="shared" si="128"/>
        <v>0.15389055645347496</v>
      </c>
      <c r="CS103" s="1219">
        <f t="shared" si="128"/>
        <v>0.15036127996329854</v>
      </c>
      <c r="CT103" s="1153">
        <f t="shared" si="128"/>
        <v>0.15527950310559008</v>
      </c>
      <c r="CU103" s="1153">
        <f t="shared" si="128"/>
        <v>0.14943447960699191</v>
      </c>
      <c r="CV103" s="1153">
        <f t="shared" si="128"/>
        <v>0.1530355097365407</v>
      </c>
      <c r="CW103" s="1153">
        <f t="shared" si="128"/>
        <v>0.14894220407237252</v>
      </c>
      <c r="CX103" s="1153">
        <f t="shared" si="128"/>
        <v>0.15157750342935525</v>
      </c>
      <c r="CY103" s="1153">
        <f t="shared" si="128"/>
        <v>0.15408805031446543</v>
      </c>
      <c r="CZ103" s="1153">
        <f t="shared" ref="CZ103:DP103" si="129">CZ$102/CZ$101</f>
        <v>0.1515775034293553</v>
      </c>
      <c r="DA103" s="1274">
        <f t="shared" si="129"/>
        <v>0.15113235461477181</v>
      </c>
      <c r="DB103" s="1219" t="e">
        <f t="shared" si="129"/>
        <v>#DIV/0!</v>
      </c>
      <c r="DC103" s="1153" t="e">
        <f t="shared" si="129"/>
        <v>#DIV/0!</v>
      </c>
      <c r="DD103" s="1153" t="e">
        <f t="shared" si="129"/>
        <v>#DIV/0!</v>
      </c>
      <c r="DE103" s="1153" t="e">
        <f t="shared" si="129"/>
        <v>#DIV/0!</v>
      </c>
      <c r="DF103" s="1153" t="e">
        <f t="shared" si="129"/>
        <v>#DIV/0!</v>
      </c>
      <c r="DG103" s="1274" t="e">
        <f t="shared" si="129"/>
        <v>#DIV/0!</v>
      </c>
      <c r="DH103" s="1219" t="e">
        <f t="shared" si="129"/>
        <v>#DIV/0!</v>
      </c>
      <c r="DI103" s="1153" t="e">
        <f t="shared" si="129"/>
        <v>#DIV/0!</v>
      </c>
      <c r="DJ103" s="1153" t="e">
        <f t="shared" si="129"/>
        <v>#DIV/0!</v>
      </c>
      <c r="DK103" s="1153" t="e">
        <f t="shared" si="129"/>
        <v>#DIV/0!</v>
      </c>
      <c r="DL103" s="1153" t="e">
        <f t="shared" si="129"/>
        <v>#DIV/0!</v>
      </c>
      <c r="DM103" s="1153" t="e">
        <f t="shared" si="129"/>
        <v>#DIV/0!</v>
      </c>
      <c r="DN103" s="1153" t="e">
        <f t="shared" si="129"/>
        <v>#DIV/0!</v>
      </c>
      <c r="DO103" s="1153" t="e">
        <f t="shared" si="129"/>
        <v>#DIV/0!</v>
      </c>
      <c r="DP103" s="1153" t="e">
        <f t="shared" si="129"/>
        <v>#DIV/0!</v>
      </c>
      <c r="DQ103" s="1155"/>
      <c r="DR103" s="1156"/>
      <c r="DV103" s="1573"/>
      <c r="DW103" s="1567"/>
      <c r="EE103" s="1573"/>
      <c r="EF103" s="1567"/>
      <c r="EK103" s="1573"/>
      <c r="EL103" s="1567"/>
      <c r="EU103" s="1155"/>
      <c r="EX103" s="1152"/>
      <c r="EY103" s="1555"/>
      <c r="EZ103" s="1538"/>
      <c r="FA103" s="1152"/>
      <c r="FH103" s="1573"/>
      <c r="FI103" s="1567"/>
      <c r="FN103" s="1573"/>
      <c r="FO103" s="1567"/>
    </row>
    <row r="104" spans="3:180" s="1157" customFormat="1" ht="15" thickBot="1" x14ac:dyDescent="0.4">
      <c r="C104" s="1158" t="s">
        <v>274</v>
      </c>
      <c r="D104" s="1158"/>
      <c r="E104" s="1158"/>
      <c r="F104" s="1159">
        <v>0.113</v>
      </c>
      <c r="G104" s="1159">
        <v>0.113</v>
      </c>
      <c r="H104" s="1159">
        <v>0.113</v>
      </c>
      <c r="I104" s="1275">
        <v>0.113</v>
      </c>
      <c r="J104" s="1220">
        <v>0.113</v>
      </c>
      <c r="K104" s="1160">
        <v>0.113</v>
      </c>
      <c r="L104" s="1160">
        <v>0.113</v>
      </c>
      <c r="M104" s="1160">
        <v>0.113</v>
      </c>
      <c r="N104" s="1160">
        <v>0.113</v>
      </c>
      <c r="O104" s="1160">
        <v>0.113</v>
      </c>
      <c r="P104" s="1160">
        <v>0.11600000000000001</v>
      </c>
      <c r="Q104" s="1160">
        <v>0.11600000000000001</v>
      </c>
      <c r="R104" s="1275">
        <v>0.11600000000000001</v>
      </c>
      <c r="S104" s="1220">
        <v>0.11600000000000001</v>
      </c>
      <c r="T104" s="1160">
        <v>0.11600000000000001</v>
      </c>
      <c r="U104" s="1160">
        <v>0.11600000000000001</v>
      </c>
      <c r="V104" s="1160"/>
      <c r="W104" s="1160"/>
      <c r="X104" s="1275"/>
      <c r="Y104" s="1220"/>
      <c r="Z104" s="1160"/>
      <c r="AA104" s="1160"/>
      <c r="AB104" s="1160"/>
      <c r="AC104" s="1160"/>
      <c r="AD104" s="1160"/>
      <c r="AE104" s="1160"/>
      <c r="AF104" s="1160"/>
      <c r="AG104" s="1160"/>
      <c r="AH104" s="1161"/>
      <c r="AI104" s="1159"/>
      <c r="AJ104" s="1159"/>
      <c r="AK104" s="1159"/>
      <c r="AL104" s="1481"/>
      <c r="AM104" s="1469"/>
      <c r="AN104" s="1159"/>
      <c r="AO104" s="1159"/>
      <c r="AP104" s="1159"/>
      <c r="AQ104" s="1159"/>
      <c r="AR104" s="1159"/>
      <c r="AS104" s="1159"/>
      <c r="AT104" s="1159"/>
      <c r="AU104" s="1481"/>
      <c r="AV104" s="1469"/>
      <c r="AW104" s="1159"/>
      <c r="AX104" s="1159"/>
      <c r="AY104" s="1159"/>
      <c r="AZ104" s="1159"/>
      <c r="BA104" s="1481"/>
      <c r="BB104" s="1469"/>
      <c r="BC104" s="1159"/>
      <c r="BD104" s="1159"/>
      <c r="BE104" s="1159"/>
      <c r="BF104" s="1159"/>
      <c r="BG104" s="1159"/>
      <c r="BH104" s="1159"/>
      <c r="BI104" s="1159"/>
      <c r="BJ104" s="1159"/>
      <c r="BK104" s="1161"/>
      <c r="BL104" s="1159">
        <v>0.125</v>
      </c>
      <c r="BM104" s="1159">
        <v>0.123</v>
      </c>
      <c r="BN104" s="1159">
        <v>0.122</v>
      </c>
      <c r="BO104" s="1481">
        <v>0.121</v>
      </c>
      <c r="BP104" s="1469">
        <v>0.1275</v>
      </c>
      <c r="BQ104" s="1159">
        <v>0.122</v>
      </c>
      <c r="BR104" s="1159">
        <v>0.128</v>
      </c>
      <c r="BS104" s="1159">
        <v>0.125</v>
      </c>
      <c r="BT104" s="1159">
        <v>0.127</v>
      </c>
      <c r="BU104" s="1159">
        <v>0.123</v>
      </c>
      <c r="BV104" s="1159">
        <v>0.121</v>
      </c>
      <c r="BW104" s="1159">
        <v>0.123</v>
      </c>
      <c r="BX104" s="1481">
        <v>0.126</v>
      </c>
      <c r="BY104" s="1469">
        <v>0.123</v>
      </c>
      <c r="BZ104" s="1159">
        <v>0.124</v>
      </c>
      <c r="CA104" s="1159">
        <v>0.123</v>
      </c>
      <c r="CB104" s="1159"/>
      <c r="CC104" s="1159"/>
      <c r="CD104" s="1481"/>
      <c r="CE104" s="1469"/>
      <c r="CF104" s="1159"/>
      <c r="CG104" s="1159"/>
      <c r="CH104" s="1159"/>
      <c r="CI104" s="1159"/>
      <c r="CJ104" s="1159"/>
      <c r="CK104" s="1159"/>
      <c r="CL104" s="1159"/>
      <c r="CM104" s="1159"/>
      <c r="CN104" s="1161"/>
      <c r="CO104" s="1159">
        <v>0.155</v>
      </c>
      <c r="CP104" s="1159">
        <v>0.155</v>
      </c>
      <c r="CQ104" s="1159">
        <v>0.156</v>
      </c>
      <c r="CR104" s="1481">
        <v>0.157</v>
      </c>
      <c r="CS104" s="1469">
        <v>0.156</v>
      </c>
      <c r="CT104" s="1159">
        <v>0.157</v>
      </c>
      <c r="CU104" s="1159">
        <v>0.1565</v>
      </c>
      <c r="CV104" s="1159">
        <v>0.156</v>
      </c>
      <c r="CW104" s="1159">
        <v>0.155</v>
      </c>
      <c r="CX104" s="1159">
        <v>0.159</v>
      </c>
      <c r="CY104" s="1159">
        <v>0.156</v>
      </c>
      <c r="CZ104" s="1159">
        <v>0.1555</v>
      </c>
      <c r="DA104" s="1481">
        <v>0.158</v>
      </c>
      <c r="DB104" s="1469">
        <v>0.158</v>
      </c>
      <c r="DC104" s="1159">
        <v>0.156</v>
      </c>
      <c r="DD104" s="1159">
        <v>0.157</v>
      </c>
      <c r="DG104" s="1514"/>
      <c r="DH104" s="1508"/>
      <c r="DQ104" s="1162"/>
      <c r="DR104" s="1163"/>
      <c r="DV104" s="1514"/>
      <c r="DW104" s="1508"/>
      <c r="EE104" s="1514"/>
      <c r="EF104" s="1508"/>
      <c r="EK104" s="1514"/>
      <c r="EL104" s="1508"/>
      <c r="EU104" s="1162"/>
      <c r="EX104" s="1164"/>
      <c r="EY104" s="1556"/>
      <c r="EZ104" s="1539"/>
      <c r="FA104" s="1164"/>
      <c r="FH104" s="1514"/>
      <c r="FI104" s="1508"/>
      <c r="FN104" s="1514"/>
      <c r="FO104" s="1508"/>
    </row>
    <row r="105" spans="3:180" ht="15" thickTop="1" x14ac:dyDescent="0.35">
      <c r="F105" s="1051"/>
      <c r="G105" s="229"/>
      <c r="H105" s="229"/>
      <c r="I105" s="1245"/>
      <c r="J105" s="538"/>
      <c r="K105" s="229"/>
      <c r="L105" s="229"/>
      <c r="M105" s="229"/>
      <c r="N105" s="229"/>
      <c r="O105" s="229"/>
      <c r="P105" s="229"/>
      <c r="Q105" s="229"/>
      <c r="R105" s="1245"/>
      <c r="S105" s="538"/>
      <c r="T105" s="229"/>
      <c r="U105" s="229"/>
      <c r="V105" s="229"/>
      <c r="W105" s="229"/>
      <c r="X105" s="1245"/>
      <c r="Y105" s="538"/>
      <c r="Z105" s="229"/>
      <c r="AA105" s="229"/>
      <c r="AB105" s="229"/>
      <c r="AC105" s="229"/>
      <c r="AD105" s="229"/>
      <c r="AE105" s="229"/>
      <c r="AF105" s="229"/>
      <c r="AG105" s="229"/>
      <c r="AH105" s="356"/>
      <c r="AI105" s="229"/>
      <c r="AJ105" s="229"/>
      <c r="AK105" s="229"/>
      <c r="AL105" s="1245"/>
      <c r="AM105" s="538"/>
      <c r="AN105" s="229"/>
      <c r="AO105" s="229"/>
      <c r="AP105" s="229"/>
      <c r="AQ105" s="229"/>
      <c r="AR105" s="229"/>
      <c r="AS105" s="229"/>
      <c r="AT105" s="229"/>
      <c r="AU105" s="1245"/>
      <c r="AV105" s="538"/>
      <c r="AW105" s="229"/>
      <c r="AX105" s="229"/>
      <c r="AY105" s="229"/>
      <c r="AZ105" s="229"/>
      <c r="BA105" s="1245"/>
      <c r="BB105" s="538"/>
      <c r="BC105" s="229"/>
      <c r="BD105" s="229"/>
      <c r="BE105" s="229"/>
      <c r="BF105" s="229"/>
      <c r="BG105" s="229"/>
      <c r="BH105" s="229"/>
      <c r="BI105" s="229"/>
      <c r="BJ105" s="229"/>
      <c r="BK105" s="356"/>
      <c r="BL105" s="229"/>
      <c r="BM105" s="229"/>
      <c r="BN105" s="229"/>
      <c r="BO105" s="1245"/>
      <c r="BP105" s="538"/>
      <c r="BQ105" s="229"/>
      <c r="BR105" s="229"/>
      <c r="BS105" s="229"/>
      <c r="BT105" s="229"/>
      <c r="BU105" s="229"/>
      <c r="BV105" s="229"/>
      <c r="BW105" s="229"/>
      <c r="BX105" s="1245"/>
      <c r="BY105" s="538"/>
      <c r="BZ105" s="229"/>
      <c r="CA105" s="229"/>
      <c r="CB105" s="229"/>
      <c r="CC105" s="229"/>
      <c r="CD105" s="1245"/>
      <c r="CE105" s="538"/>
      <c r="CF105" s="229"/>
      <c r="CG105" s="229"/>
      <c r="CH105" s="229"/>
      <c r="CI105" s="229"/>
      <c r="CJ105" s="229"/>
      <c r="CK105" s="229"/>
      <c r="CL105" s="229"/>
      <c r="CM105" s="229"/>
      <c r="CN105" s="356"/>
      <c r="CO105" s="229"/>
      <c r="CP105" s="229"/>
      <c r="CQ105" s="229"/>
      <c r="CR105" s="1245"/>
      <c r="CS105" s="538"/>
      <c r="CT105" s="229"/>
      <c r="CU105" s="229"/>
      <c r="CV105" s="229"/>
      <c r="CW105" s="229"/>
      <c r="CX105" s="229"/>
      <c r="CY105" s="229"/>
      <c r="CZ105" s="229"/>
      <c r="DA105" s="1245"/>
      <c r="DB105" s="538"/>
      <c r="DC105" s="229"/>
      <c r="DD105" s="229"/>
      <c r="DE105" s="229"/>
      <c r="DF105" s="229"/>
      <c r="DG105" s="1245"/>
      <c r="DH105" s="538"/>
      <c r="DI105" s="229"/>
      <c r="DJ105" s="229"/>
      <c r="DK105" s="229"/>
      <c r="DL105" s="229"/>
      <c r="DM105" s="229"/>
      <c r="DN105" s="229"/>
      <c r="DO105" s="229"/>
      <c r="DP105" s="229"/>
      <c r="DQ105" s="356"/>
      <c r="DR105" s="358"/>
      <c r="DS105" s="229"/>
      <c r="DT105" s="229"/>
      <c r="DU105" s="229"/>
      <c r="DV105" s="1245"/>
      <c r="DW105" s="1547" t="s">
        <v>224</v>
      </c>
      <c r="DX105" s="229"/>
      <c r="DY105" s="229"/>
      <c r="DZ105" s="229"/>
      <c r="EA105" s="229"/>
      <c r="EB105" s="229"/>
      <c r="EC105" s="229"/>
      <c r="ED105" s="229"/>
      <c r="EE105" s="1245"/>
      <c r="EF105" s="538"/>
      <c r="EG105" s="229"/>
      <c r="EH105" s="229"/>
      <c r="EI105" s="229"/>
      <c r="EJ105" s="229"/>
      <c r="EK105" s="1245"/>
      <c r="EL105" s="538"/>
      <c r="EM105" s="229"/>
      <c r="EN105" s="229"/>
      <c r="EO105" s="229"/>
      <c r="EP105" s="229"/>
      <c r="EQ105" s="229"/>
      <c r="ER105" s="229"/>
      <c r="ES105" s="229"/>
      <c r="ET105" s="229"/>
      <c r="EU105" s="356"/>
      <c r="EV105" s="2714" t="s">
        <v>225</v>
      </c>
      <c r="EW105" s="2714"/>
      <c r="EX105" s="2714"/>
      <c r="EY105" s="2714"/>
      <c r="EZ105" s="2714"/>
      <c r="FA105" s="2714"/>
      <c r="FB105" s="2714"/>
      <c r="FC105" s="2714"/>
      <c r="FD105" s="2714"/>
      <c r="FE105" s="2714"/>
      <c r="FF105" s="297"/>
      <c r="FG105" s="297"/>
      <c r="FH105" s="1475"/>
      <c r="FI105" s="538"/>
      <c r="FJ105" s="229"/>
      <c r="FK105" s="229"/>
      <c r="FL105" s="229"/>
      <c r="FM105" s="229"/>
      <c r="FN105" s="1245"/>
      <c r="FO105" s="538"/>
      <c r="FP105" s="229"/>
      <c r="FQ105" s="229"/>
      <c r="FR105" s="229"/>
      <c r="FS105" s="229"/>
      <c r="FT105" s="229"/>
      <c r="FU105" s="229"/>
      <c r="FV105" s="229"/>
      <c r="FW105" s="229"/>
    </row>
    <row r="106" spans="3:180" x14ac:dyDescent="0.35">
      <c r="C106" s="1" t="s">
        <v>384</v>
      </c>
      <c r="CY106" s="241"/>
      <c r="CZ106" s="241"/>
      <c r="DA106" s="1496"/>
      <c r="DB106" s="1487"/>
      <c r="DC106" s="241"/>
      <c r="DD106" s="241"/>
      <c r="DR106" s="241"/>
      <c r="DS106" s="270"/>
      <c r="DT106" s="270"/>
      <c r="DU106" s="270"/>
      <c r="DV106" s="1283"/>
      <c r="DW106" s="1224"/>
      <c r="DX106" s="270"/>
      <c r="DY106" s="270"/>
      <c r="DZ106" s="270"/>
      <c r="EA106" s="270"/>
      <c r="EB106" s="270"/>
      <c r="EC106" s="270"/>
      <c r="ED106" s="270"/>
      <c r="EE106" s="1283"/>
      <c r="EF106" s="1224"/>
      <c r="EG106" s="270"/>
      <c r="EH106" s="270"/>
      <c r="EI106" s="270"/>
      <c r="EJ106" s="270"/>
      <c r="EK106" s="1283"/>
      <c r="EL106" s="1224"/>
      <c r="EM106" s="270"/>
      <c r="EN106" s="270"/>
      <c r="EO106" s="270"/>
      <c r="EP106" s="270"/>
      <c r="EQ106" s="270"/>
      <c r="ER106" s="270"/>
      <c r="ES106" s="270"/>
      <c r="ET106" s="270"/>
      <c r="EV106" s="244"/>
      <c r="EW106" s="251"/>
      <c r="EX106" s="244"/>
      <c r="EY106" s="1237"/>
      <c r="EZ106" s="606"/>
      <c r="FA106" s="244"/>
      <c r="FB106" s="244"/>
      <c r="FC106" s="244"/>
      <c r="FD106" s="244"/>
      <c r="FE106" s="244"/>
      <c r="FF106" s="244"/>
      <c r="FG106" s="244"/>
      <c r="FH106" s="1237"/>
      <c r="FX106" s="1"/>
    </row>
    <row r="107" spans="3:180" x14ac:dyDescent="0.35">
      <c r="C107" s="1" t="s">
        <v>178</v>
      </c>
      <c r="F107" s="1052" t="s">
        <v>186</v>
      </c>
      <c r="G107" s="271">
        <v>12</v>
      </c>
      <c r="H107" s="247" t="s">
        <v>192</v>
      </c>
      <c r="I107" s="1276">
        <v>4</v>
      </c>
      <c r="J107" s="1195" t="s">
        <v>199</v>
      </c>
      <c r="K107" s="271">
        <f>G107+I107</f>
        <v>16</v>
      </c>
      <c r="CY107" s="241"/>
      <c r="CZ107" s="241"/>
      <c r="DA107" s="1496"/>
      <c r="DB107" s="1487"/>
      <c r="DC107" s="241"/>
      <c r="DD107" s="241"/>
      <c r="DR107" s="241" t="s">
        <v>199</v>
      </c>
      <c r="DS107" s="251">
        <f t="shared" ref="DS107:ET107" si="130">DS$59*DS$9/100</f>
        <v>3.27555</v>
      </c>
      <c r="DT107" s="251">
        <f t="shared" si="130"/>
        <v>3.7628866666666672</v>
      </c>
      <c r="DU107" s="251">
        <f t="shared" si="130"/>
        <v>1.3193408333333332</v>
      </c>
      <c r="DV107" s="1267">
        <f t="shared" si="130"/>
        <v>1.3812187500000002</v>
      </c>
      <c r="DW107" s="1212">
        <f t="shared" si="130"/>
        <v>2.0396965217391303</v>
      </c>
      <c r="DX107" s="251">
        <f t="shared" si="130"/>
        <v>2.0883666666666669</v>
      </c>
      <c r="DY107" s="251">
        <f t="shared" si="130"/>
        <v>2.0756178260869564</v>
      </c>
      <c r="DZ107" s="251">
        <f t="shared" si="130"/>
        <v>2.1016633333333332</v>
      </c>
      <c r="EA107" s="251">
        <f t="shared" si="130"/>
        <v>2.0166483333333334</v>
      </c>
      <c r="EB107" s="251">
        <f t="shared" si="130"/>
        <v>2.008386666666667</v>
      </c>
      <c r="EC107" s="251">
        <f t="shared" si="130"/>
        <v>2.14812</v>
      </c>
      <c r="ED107" s="251">
        <f t="shared" si="130"/>
        <v>2.1119700000000003</v>
      </c>
      <c r="EE107" s="1267">
        <f t="shared" si="130"/>
        <v>2.1320625</v>
      </c>
      <c r="EF107" s="1212">
        <f t="shared" si="130"/>
        <v>0</v>
      </c>
      <c r="EG107" s="251">
        <f t="shared" si="130"/>
        <v>0</v>
      </c>
      <c r="EH107" s="251">
        <f t="shared" si="130"/>
        <v>0</v>
      </c>
      <c r="EI107" s="270">
        <f t="shared" si="130"/>
        <v>0</v>
      </c>
      <c r="EJ107" s="270">
        <f t="shared" si="130"/>
        <v>0</v>
      </c>
      <c r="EK107" s="1283">
        <f t="shared" si="130"/>
        <v>0</v>
      </c>
      <c r="EL107" s="1224">
        <f t="shared" si="130"/>
        <v>0</v>
      </c>
      <c r="EM107" s="270">
        <f t="shared" si="130"/>
        <v>0</v>
      </c>
      <c r="EN107" s="270">
        <f t="shared" si="130"/>
        <v>0</v>
      </c>
      <c r="EO107" s="270">
        <f t="shared" si="130"/>
        <v>0</v>
      </c>
      <c r="EP107" s="270">
        <f t="shared" si="130"/>
        <v>0</v>
      </c>
      <c r="EQ107" s="270">
        <f t="shared" si="130"/>
        <v>0</v>
      </c>
      <c r="ER107" s="270">
        <f t="shared" si="130"/>
        <v>0</v>
      </c>
      <c r="ES107" s="270">
        <f t="shared" si="130"/>
        <v>0</v>
      </c>
      <c r="ET107" s="270">
        <f t="shared" si="130"/>
        <v>0</v>
      </c>
      <c r="EU107" s="341"/>
      <c r="EV107" s="270">
        <f t="shared" ref="EV107:FK107" si="131">EV$59*EV$9/100</f>
        <v>8.1030000000000019E-2</v>
      </c>
      <c r="EW107" s="270">
        <f t="shared" si="131"/>
        <v>3.2164999999999992E-2</v>
      </c>
      <c r="EX107" s="270">
        <f t="shared" si="131"/>
        <v>5.7500000000000008E-3</v>
      </c>
      <c r="EY107" s="1283">
        <f t="shared" si="131"/>
        <v>2.7812500000000003E-3</v>
      </c>
      <c r="EZ107" s="1224">
        <f t="shared" si="131"/>
        <v>6.4233043478260865E-2</v>
      </c>
      <c r="FA107" s="270">
        <f t="shared" si="131"/>
        <v>0.18239583333333337</v>
      </c>
      <c r="FB107" s="270">
        <f t="shared" si="131"/>
        <v>0.19129764705882352</v>
      </c>
      <c r="FC107" s="270">
        <f t="shared" si="131"/>
        <v>5.8643750000000008E-2</v>
      </c>
      <c r="FD107" s="270">
        <f t="shared" si="131"/>
        <v>0.11516166666666669</v>
      </c>
      <c r="FE107" s="270">
        <f t="shared" si="131"/>
        <v>9.0476666666666677E-2</v>
      </c>
      <c r="FF107" s="270">
        <f t="shared" si="131"/>
        <v>2.9874999999999999E-2</v>
      </c>
      <c r="FG107" s="270">
        <f t="shared" si="131"/>
        <v>4.2563333333333342E-2</v>
      </c>
      <c r="FH107" s="1283">
        <f t="shared" si="131"/>
        <v>0.12062750000000003</v>
      </c>
      <c r="FI107" s="1224">
        <f t="shared" si="131"/>
        <v>0</v>
      </c>
      <c r="FJ107" s="270">
        <f t="shared" si="131"/>
        <v>0</v>
      </c>
      <c r="FK107" s="270">
        <f t="shared" si="131"/>
        <v>0</v>
      </c>
      <c r="FL107" s="270"/>
      <c r="FM107" s="270"/>
      <c r="FN107" s="1283"/>
      <c r="FO107" s="1224"/>
      <c r="FP107" s="270"/>
      <c r="FQ107" s="270"/>
      <c r="FR107" s="270"/>
      <c r="FS107" s="270"/>
      <c r="FT107" s="270"/>
      <c r="FU107" s="270"/>
      <c r="FV107" s="270"/>
      <c r="FW107" s="270"/>
      <c r="FX107" s="1" t="s">
        <v>178</v>
      </c>
    </row>
    <row r="108" spans="3:180" x14ac:dyDescent="0.35">
      <c r="C108" s="1" t="s">
        <v>179</v>
      </c>
      <c r="F108" s="1052" t="s">
        <v>187</v>
      </c>
      <c r="G108" s="271">
        <v>24</v>
      </c>
      <c r="H108" s="247" t="s">
        <v>195</v>
      </c>
      <c r="I108" s="1276">
        <v>6</v>
      </c>
      <c r="J108" s="1195" t="s">
        <v>200</v>
      </c>
      <c r="K108" s="271">
        <f t="shared" ref="K108:K114" si="132">G108+I108</f>
        <v>30</v>
      </c>
      <c r="CY108" s="241"/>
      <c r="CZ108" s="241"/>
      <c r="DA108" s="1496"/>
      <c r="DB108" s="1487"/>
      <c r="DC108" s="241"/>
      <c r="DD108" s="241"/>
      <c r="DR108" s="241" t="s">
        <v>200</v>
      </c>
      <c r="DS108" s="251">
        <f t="shared" ref="DS108:ET108" si="133">DS$59*DS$10/100</f>
        <v>2.6856999999999998</v>
      </c>
      <c r="DT108" s="251">
        <f t="shared" si="133"/>
        <v>2.8960266666666667</v>
      </c>
      <c r="DU108" s="251">
        <f t="shared" si="133"/>
        <v>1.0848366666666667</v>
      </c>
      <c r="DV108" s="1267">
        <f t="shared" si="133"/>
        <v>1.1397612500000003</v>
      </c>
      <c r="DW108" s="1212">
        <f t="shared" si="133"/>
        <v>1.6224234782608695</v>
      </c>
      <c r="DX108" s="251">
        <f t="shared" si="133"/>
        <v>1.6626666666666667</v>
      </c>
      <c r="DY108" s="251">
        <f t="shared" si="133"/>
        <v>1.6281430434782607</v>
      </c>
      <c r="DZ108" s="251">
        <f t="shared" si="133"/>
        <v>1.6731541666666667</v>
      </c>
      <c r="EA108" s="251">
        <f t="shared" si="133"/>
        <v>1.6054729166666666</v>
      </c>
      <c r="EB108" s="251">
        <f t="shared" si="133"/>
        <v>1.6362399999999999</v>
      </c>
      <c r="EC108" s="251">
        <f t="shared" si="133"/>
        <v>1.7128800000000002</v>
      </c>
      <c r="ED108" s="251">
        <f t="shared" si="133"/>
        <v>1.6789850000000002</v>
      </c>
      <c r="EE108" s="1267">
        <f t="shared" si="133"/>
        <v>1.6745249999999998</v>
      </c>
      <c r="EF108" s="1212">
        <f t="shared" si="133"/>
        <v>0</v>
      </c>
      <c r="EG108" s="251">
        <f t="shared" si="133"/>
        <v>0</v>
      </c>
      <c r="EH108" s="251">
        <f t="shared" si="133"/>
        <v>0</v>
      </c>
      <c r="EI108" s="270">
        <f t="shared" si="133"/>
        <v>0</v>
      </c>
      <c r="EJ108" s="270">
        <f t="shared" si="133"/>
        <v>0</v>
      </c>
      <c r="EK108" s="1283">
        <f t="shared" si="133"/>
        <v>0</v>
      </c>
      <c r="EL108" s="1224">
        <f t="shared" si="133"/>
        <v>0</v>
      </c>
      <c r="EM108" s="270">
        <f t="shared" si="133"/>
        <v>0</v>
      </c>
      <c r="EN108" s="270">
        <f t="shared" si="133"/>
        <v>0</v>
      </c>
      <c r="EO108" s="270">
        <f t="shared" si="133"/>
        <v>0</v>
      </c>
      <c r="EP108" s="270">
        <f t="shared" si="133"/>
        <v>0</v>
      </c>
      <c r="EQ108" s="270">
        <f t="shared" si="133"/>
        <v>0</v>
      </c>
      <c r="ER108" s="270">
        <f t="shared" si="133"/>
        <v>0</v>
      </c>
      <c r="ES108" s="270">
        <f t="shared" si="133"/>
        <v>0</v>
      </c>
      <c r="ET108" s="270">
        <f t="shared" si="133"/>
        <v>0</v>
      </c>
      <c r="EU108" s="341"/>
      <c r="EV108" s="270">
        <f t="shared" ref="EV108:FK108" si="134">EV$59*EV$10/100</f>
        <v>5.9130000000000009E-2</v>
      </c>
      <c r="EW108" s="270">
        <f t="shared" si="134"/>
        <v>5.8969166666666656E-2</v>
      </c>
      <c r="EX108" s="270">
        <f t="shared" si="134"/>
        <v>1.0541666666666666E-2</v>
      </c>
      <c r="EY108" s="1283">
        <f t="shared" si="134"/>
        <v>4.635416666666667E-3</v>
      </c>
      <c r="EZ108" s="1224">
        <f t="shared" si="134"/>
        <v>0.11240782608695653</v>
      </c>
      <c r="FA108" s="270">
        <f t="shared" si="134"/>
        <v>0.28968750000000004</v>
      </c>
      <c r="FB108" s="270">
        <f t="shared" si="134"/>
        <v>0.31882941176470586</v>
      </c>
      <c r="FC108" s="270">
        <f t="shared" si="134"/>
        <v>0.11728750000000002</v>
      </c>
      <c r="FD108" s="270">
        <f t="shared" si="134"/>
        <v>0.18508125</v>
      </c>
      <c r="FE108" s="270">
        <f t="shared" si="134"/>
        <v>0.15833416666666669</v>
      </c>
      <c r="FF108" s="270">
        <f t="shared" si="134"/>
        <v>4.9791666666666672E-2</v>
      </c>
      <c r="FG108" s="270">
        <f t="shared" si="134"/>
        <v>6.3844999999999999E-2</v>
      </c>
      <c r="FH108" s="1283">
        <f t="shared" si="134"/>
        <v>0.22402250000000001</v>
      </c>
      <c r="FI108" s="1224">
        <f t="shared" si="134"/>
        <v>0</v>
      </c>
      <c r="FJ108" s="270">
        <f t="shared" si="134"/>
        <v>0</v>
      </c>
      <c r="FK108" s="270">
        <f t="shared" si="134"/>
        <v>0</v>
      </c>
      <c r="FL108" s="270"/>
      <c r="FM108" s="270"/>
      <c r="FN108" s="1283"/>
      <c r="FO108" s="1224"/>
      <c r="FP108" s="270"/>
      <c r="FQ108" s="270"/>
      <c r="FR108" s="270"/>
      <c r="FS108" s="270"/>
      <c r="FT108" s="270"/>
      <c r="FU108" s="270"/>
      <c r="FV108" s="270"/>
      <c r="FW108" s="270"/>
      <c r="FX108" s="1" t="s">
        <v>179</v>
      </c>
    </row>
    <row r="109" spans="3:180" x14ac:dyDescent="0.35">
      <c r="C109" s="1" t="s">
        <v>180</v>
      </c>
      <c r="F109" s="1052" t="s">
        <v>99</v>
      </c>
      <c r="G109" s="271">
        <v>36</v>
      </c>
      <c r="H109" s="247" t="s">
        <v>194</v>
      </c>
      <c r="I109" s="1276">
        <v>8</v>
      </c>
      <c r="J109" s="1195" t="s">
        <v>201</v>
      </c>
      <c r="K109" s="271">
        <f t="shared" si="132"/>
        <v>44</v>
      </c>
      <c r="CY109" s="241"/>
      <c r="CZ109" s="241"/>
      <c r="DA109" s="1496"/>
      <c r="DB109" s="1487"/>
      <c r="DC109" s="241"/>
      <c r="DD109" s="241"/>
      <c r="DR109" s="241" t="s">
        <v>201</v>
      </c>
      <c r="DS109" s="251">
        <f t="shared" ref="DS109:ET109" si="135">DS$59*DS$11/100</f>
        <v>3.0433749999999997</v>
      </c>
      <c r="DT109" s="251">
        <f t="shared" si="135"/>
        <v>3.0745933333333335</v>
      </c>
      <c r="DU109" s="251">
        <f t="shared" si="135"/>
        <v>1.0991108333333333</v>
      </c>
      <c r="DV109" s="1267">
        <f t="shared" si="135"/>
        <v>1.1499925000000002</v>
      </c>
      <c r="DW109" s="1212">
        <f t="shared" si="135"/>
        <v>1.5441847826086956</v>
      </c>
      <c r="DX109" s="251">
        <f t="shared" si="135"/>
        <v>1.5967333333333336</v>
      </c>
      <c r="DY109" s="251">
        <f t="shared" si="135"/>
        <v>1.6296547826086953</v>
      </c>
      <c r="DZ109" s="251">
        <f t="shared" si="135"/>
        <v>1.6534699999999998</v>
      </c>
      <c r="EA109" s="251">
        <f t="shared" si="135"/>
        <v>1.5865850000000001</v>
      </c>
      <c r="EB109" s="251">
        <f t="shared" si="135"/>
        <v>1.7160933333333335</v>
      </c>
      <c r="EC109" s="251">
        <f t="shared" si="135"/>
        <v>1.7050799999999997</v>
      </c>
      <c r="ED109" s="251">
        <f t="shared" si="135"/>
        <v>1.6789850000000002</v>
      </c>
      <c r="EE109" s="1267">
        <f t="shared" si="135"/>
        <v>1.6714125000000002</v>
      </c>
      <c r="EF109" s="1212">
        <f t="shared" si="135"/>
        <v>0</v>
      </c>
      <c r="EG109" s="251">
        <f t="shared" si="135"/>
        <v>0</v>
      </c>
      <c r="EH109" s="251">
        <f t="shared" si="135"/>
        <v>0</v>
      </c>
      <c r="EI109" s="270">
        <f t="shared" si="135"/>
        <v>0</v>
      </c>
      <c r="EJ109" s="270">
        <f t="shared" si="135"/>
        <v>0</v>
      </c>
      <c r="EK109" s="1283">
        <f t="shared" si="135"/>
        <v>0</v>
      </c>
      <c r="EL109" s="1224">
        <f t="shared" si="135"/>
        <v>0</v>
      </c>
      <c r="EM109" s="270">
        <f t="shared" si="135"/>
        <v>0</v>
      </c>
      <c r="EN109" s="270">
        <f t="shared" si="135"/>
        <v>0</v>
      </c>
      <c r="EO109" s="270">
        <f t="shared" si="135"/>
        <v>0</v>
      </c>
      <c r="EP109" s="270">
        <f t="shared" si="135"/>
        <v>0</v>
      </c>
      <c r="EQ109" s="270">
        <f t="shared" si="135"/>
        <v>0</v>
      </c>
      <c r="ER109" s="270">
        <f t="shared" si="135"/>
        <v>0</v>
      </c>
      <c r="ES109" s="270">
        <f t="shared" si="135"/>
        <v>0</v>
      </c>
      <c r="ET109" s="270">
        <f t="shared" si="135"/>
        <v>0</v>
      </c>
      <c r="EU109" s="341"/>
      <c r="EV109" s="270">
        <f t="shared" ref="EV109:FK109" si="136">EV$59*EV$11/100</f>
        <v>0.12921000000000002</v>
      </c>
      <c r="EW109" s="270">
        <f t="shared" si="136"/>
        <v>8.5773333333333313E-2</v>
      </c>
      <c r="EX109" s="270">
        <f t="shared" si="136"/>
        <v>1.5333333333333334E-2</v>
      </c>
      <c r="EY109" s="1283">
        <f t="shared" si="136"/>
        <v>7.4166666666666669E-3</v>
      </c>
      <c r="EZ109" s="1224">
        <f t="shared" si="136"/>
        <v>0.1926991304347826</v>
      </c>
      <c r="FA109" s="270">
        <f t="shared" si="136"/>
        <v>0.43989583333333337</v>
      </c>
      <c r="FB109" s="270">
        <f t="shared" si="136"/>
        <v>0.47824411764705888</v>
      </c>
      <c r="FC109" s="270">
        <f t="shared" si="136"/>
        <v>0.28149000000000002</v>
      </c>
      <c r="FD109" s="270">
        <f t="shared" si="136"/>
        <v>0.3125816666666667</v>
      </c>
      <c r="FE109" s="270">
        <f t="shared" si="136"/>
        <v>0.31666833333333338</v>
      </c>
      <c r="FF109" s="270">
        <f t="shared" si="136"/>
        <v>8.9624999999999982E-2</v>
      </c>
      <c r="FG109" s="270">
        <f t="shared" si="136"/>
        <v>0.15961250000000002</v>
      </c>
      <c r="FH109" s="1283">
        <f t="shared" si="136"/>
        <v>0.40496375000000001</v>
      </c>
      <c r="FI109" s="1224">
        <f t="shared" si="136"/>
        <v>0</v>
      </c>
      <c r="FJ109" s="270">
        <f t="shared" si="136"/>
        <v>0</v>
      </c>
      <c r="FK109" s="270">
        <f t="shared" si="136"/>
        <v>0</v>
      </c>
      <c r="FL109" s="270"/>
      <c r="FM109" s="270"/>
      <c r="FN109" s="1283"/>
      <c r="FO109" s="1224"/>
      <c r="FP109" s="270"/>
      <c r="FQ109" s="270"/>
      <c r="FR109" s="270"/>
      <c r="FS109" s="270"/>
      <c r="FT109" s="270"/>
      <c r="FU109" s="270"/>
      <c r="FV109" s="270"/>
      <c r="FW109" s="270"/>
      <c r="FX109" s="1" t="s">
        <v>180</v>
      </c>
    </row>
    <row r="110" spans="3:180" x14ac:dyDescent="0.35">
      <c r="C110" s="1" t="s">
        <v>385</v>
      </c>
      <c r="F110" s="1052" t="s">
        <v>188</v>
      </c>
      <c r="G110" s="271">
        <v>48</v>
      </c>
      <c r="H110" s="247" t="s">
        <v>196</v>
      </c>
      <c r="I110" s="1276">
        <v>10</v>
      </c>
      <c r="J110" s="1195" t="s">
        <v>202</v>
      </c>
      <c r="K110" s="271">
        <f t="shared" si="132"/>
        <v>58</v>
      </c>
      <c r="CY110" s="241"/>
      <c r="CZ110" s="241"/>
      <c r="DA110" s="1496"/>
      <c r="DB110" s="1487"/>
      <c r="DC110" s="241"/>
      <c r="DD110" s="241"/>
      <c r="DR110" s="241" t="s">
        <v>376</v>
      </c>
      <c r="DS110" s="251">
        <f t="shared" ref="DS110:ET110" si="137">DS$59*DS$12/100</f>
        <v>3.6708749999999997</v>
      </c>
      <c r="DT110" s="251">
        <f t="shared" si="137"/>
        <v>3.3862733333333335</v>
      </c>
      <c r="DU110" s="251">
        <f t="shared" si="137"/>
        <v>0.87072416666666652</v>
      </c>
      <c r="DV110" s="1267">
        <f t="shared" si="137"/>
        <v>0.90239625000000023</v>
      </c>
      <c r="DW110" s="1212">
        <f t="shared" si="137"/>
        <v>0.97729739130434778</v>
      </c>
      <c r="DX110" s="251">
        <f t="shared" si="137"/>
        <v>1.0534999999999999</v>
      </c>
      <c r="DY110" s="251">
        <f t="shared" si="137"/>
        <v>1.1141517391304347</v>
      </c>
      <c r="DZ110" s="251">
        <f t="shared" si="137"/>
        <v>1.0917141666666665</v>
      </c>
      <c r="EA110" s="251">
        <f t="shared" si="137"/>
        <v>1.0475529166666666</v>
      </c>
      <c r="EB110" s="251">
        <f t="shared" si="137"/>
        <v>1.1978000000000002</v>
      </c>
      <c r="EC110" s="251">
        <f t="shared" si="137"/>
        <v>1.13256</v>
      </c>
      <c r="ED110" s="251">
        <f t="shared" si="137"/>
        <v>1.1276300000000001</v>
      </c>
      <c r="EE110" s="1267">
        <f t="shared" si="137"/>
        <v>1.11271875</v>
      </c>
      <c r="EF110" s="1212">
        <f t="shared" si="137"/>
        <v>0</v>
      </c>
      <c r="EG110" s="251">
        <f t="shared" si="137"/>
        <v>0</v>
      </c>
      <c r="EH110" s="251">
        <f t="shared" si="137"/>
        <v>0</v>
      </c>
      <c r="EI110" s="270">
        <f t="shared" si="137"/>
        <v>0</v>
      </c>
      <c r="EJ110" s="270">
        <f t="shared" si="137"/>
        <v>0</v>
      </c>
      <c r="EK110" s="1283">
        <f t="shared" si="137"/>
        <v>0</v>
      </c>
      <c r="EL110" s="1224">
        <f t="shared" si="137"/>
        <v>0</v>
      </c>
      <c r="EM110" s="270">
        <f t="shared" si="137"/>
        <v>0</v>
      </c>
      <c r="EN110" s="270">
        <f t="shared" si="137"/>
        <v>0</v>
      </c>
      <c r="EO110" s="270">
        <f t="shared" si="137"/>
        <v>0</v>
      </c>
      <c r="EP110" s="270">
        <f t="shared" si="137"/>
        <v>0</v>
      </c>
      <c r="EQ110" s="270">
        <f t="shared" si="137"/>
        <v>0</v>
      </c>
      <c r="ER110" s="270">
        <f t="shared" si="137"/>
        <v>0</v>
      </c>
      <c r="ES110" s="270">
        <f t="shared" si="137"/>
        <v>0</v>
      </c>
      <c r="ET110" s="270">
        <f t="shared" si="137"/>
        <v>0</v>
      </c>
      <c r="EU110" s="341"/>
      <c r="EV110" s="270">
        <f t="shared" ref="EV110:FK110" si="138">EV$59*EV$12/100</f>
        <v>0.16096500000000002</v>
      </c>
      <c r="EW110" s="270">
        <f t="shared" si="138"/>
        <v>9.1134166666666655E-2</v>
      </c>
      <c r="EX110" s="270">
        <f t="shared" si="138"/>
        <v>1.629166666666667E-2</v>
      </c>
      <c r="EY110" s="1283">
        <f t="shared" si="138"/>
        <v>1.0197916666666666E-2</v>
      </c>
      <c r="EZ110" s="1224">
        <f t="shared" si="138"/>
        <v>0.32919434782608692</v>
      </c>
      <c r="FA110" s="270">
        <f t="shared" si="138"/>
        <v>0.49354166666666671</v>
      </c>
      <c r="FB110" s="270">
        <f t="shared" si="138"/>
        <v>0.53138235294117653</v>
      </c>
      <c r="FC110" s="270">
        <f t="shared" si="138"/>
        <v>0.59816625000000001</v>
      </c>
      <c r="FD110" s="270">
        <f t="shared" si="138"/>
        <v>0.44830791666666664</v>
      </c>
      <c r="FE110" s="270">
        <f t="shared" si="138"/>
        <v>0.54286000000000001</v>
      </c>
      <c r="FF110" s="270">
        <f t="shared" si="138"/>
        <v>0.19916666666666669</v>
      </c>
      <c r="FG110" s="270">
        <f t="shared" si="138"/>
        <v>0.32986583333333336</v>
      </c>
      <c r="FH110" s="1283">
        <f t="shared" si="138"/>
        <v>0.58590500000000012</v>
      </c>
      <c r="FI110" s="1224">
        <f t="shared" si="138"/>
        <v>0</v>
      </c>
      <c r="FJ110" s="270">
        <f t="shared" si="138"/>
        <v>0</v>
      </c>
      <c r="FK110" s="270">
        <f t="shared" si="138"/>
        <v>0</v>
      </c>
      <c r="FL110" s="270"/>
      <c r="FM110" s="270"/>
      <c r="FN110" s="1283"/>
      <c r="FO110" s="1224"/>
      <c r="FP110" s="270"/>
      <c r="FQ110" s="270"/>
      <c r="FR110" s="270"/>
      <c r="FS110" s="270"/>
      <c r="FT110" s="270"/>
      <c r="FU110" s="270"/>
      <c r="FV110" s="270"/>
      <c r="FW110" s="270"/>
      <c r="FX110" s="1" t="s">
        <v>181</v>
      </c>
    </row>
    <row r="111" spans="3:180" x14ac:dyDescent="0.35">
      <c r="C111" s="1" t="s">
        <v>182</v>
      </c>
      <c r="F111" s="1052" t="s">
        <v>189</v>
      </c>
      <c r="G111" s="271">
        <v>60</v>
      </c>
      <c r="H111" s="247" t="s">
        <v>197</v>
      </c>
      <c r="I111" s="1276">
        <v>12</v>
      </c>
      <c r="J111" s="1195" t="s">
        <v>203</v>
      </c>
      <c r="K111" s="271">
        <f t="shared" si="132"/>
        <v>72</v>
      </c>
      <c r="CY111" s="241"/>
      <c r="CZ111" s="241"/>
      <c r="DA111" s="1496"/>
      <c r="DB111" s="1487"/>
      <c r="DC111" s="241"/>
      <c r="DD111" s="241"/>
      <c r="DR111" s="241" t="s">
        <v>203</v>
      </c>
      <c r="DS111" s="251">
        <f t="shared" ref="DS111:ET111" si="139">DS$59*DS$13/100</f>
        <v>1.951525</v>
      </c>
      <c r="DT111" s="251">
        <f t="shared" si="139"/>
        <v>1.4187933333333334</v>
      </c>
      <c r="DU111" s="251">
        <f t="shared" si="139"/>
        <v>0.62398500000000001</v>
      </c>
      <c r="DV111" s="1267">
        <f t="shared" si="139"/>
        <v>0.62819875000000003</v>
      </c>
      <c r="DW111" s="1212">
        <f t="shared" si="139"/>
        <v>0.41864565217391303</v>
      </c>
      <c r="DX111" s="251">
        <f t="shared" si="139"/>
        <v>0.50596666666666668</v>
      </c>
      <c r="DY111" s="251">
        <f t="shared" si="139"/>
        <v>0.55178478260869557</v>
      </c>
      <c r="DZ111" s="251">
        <f t="shared" si="139"/>
        <v>0.54207166666666662</v>
      </c>
      <c r="EA111" s="251">
        <f t="shared" si="139"/>
        <v>0.52014416666666674</v>
      </c>
      <c r="EB111" s="251">
        <f t="shared" si="139"/>
        <v>0.57102666666666668</v>
      </c>
      <c r="EC111" s="251">
        <f t="shared" si="139"/>
        <v>0.59123999999999999</v>
      </c>
      <c r="ED111" s="251">
        <f t="shared" si="139"/>
        <v>0.5902925</v>
      </c>
      <c r="EE111" s="1267">
        <f t="shared" si="139"/>
        <v>0.57736874999999999</v>
      </c>
      <c r="EF111" s="1212">
        <f t="shared" si="139"/>
        <v>0</v>
      </c>
      <c r="EG111" s="251">
        <f t="shared" si="139"/>
        <v>0</v>
      </c>
      <c r="EH111" s="251">
        <f t="shared" si="139"/>
        <v>0</v>
      </c>
      <c r="EI111" s="270">
        <f t="shared" si="139"/>
        <v>0</v>
      </c>
      <c r="EJ111" s="270">
        <f t="shared" si="139"/>
        <v>0</v>
      </c>
      <c r="EK111" s="1283">
        <f t="shared" si="139"/>
        <v>0</v>
      </c>
      <c r="EL111" s="1224">
        <f t="shared" si="139"/>
        <v>0</v>
      </c>
      <c r="EM111" s="270">
        <f t="shared" si="139"/>
        <v>0</v>
      </c>
      <c r="EN111" s="270">
        <f t="shared" si="139"/>
        <v>0</v>
      </c>
      <c r="EO111" s="270">
        <f t="shared" si="139"/>
        <v>0</v>
      </c>
      <c r="EP111" s="270">
        <f t="shared" si="139"/>
        <v>0</v>
      </c>
      <c r="EQ111" s="270">
        <f t="shared" si="139"/>
        <v>0</v>
      </c>
      <c r="ER111" s="270">
        <f t="shared" si="139"/>
        <v>0</v>
      </c>
      <c r="ES111" s="270">
        <f t="shared" si="139"/>
        <v>0</v>
      </c>
      <c r="ET111" s="270">
        <f t="shared" si="139"/>
        <v>0</v>
      </c>
      <c r="EU111" s="341"/>
      <c r="EV111" s="270">
        <f t="shared" ref="EV111:FK111" si="140">EV$59*EV$13/100</f>
        <v>0.10293000000000001</v>
      </c>
      <c r="EW111" s="270">
        <f t="shared" si="140"/>
        <v>5.8969166666666656E-2</v>
      </c>
      <c r="EX111" s="270">
        <f t="shared" si="140"/>
        <v>1.0541666666666666E-2</v>
      </c>
      <c r="EY111" s="1283">
        <f t="shared" si="140"/>
        <v>1.1125000000000001E-2</v>
      </c>
      <c r="EZ111" s="1224">
        <f t="shared" si="140"/>
        <v>0.39342739130434778</v>
      </c>
      <c r="FA111" s="270">
        <f t="shared" si="140"/>
        <v>0.41843750000000002</v>
      </c>
      <c r="FB111" s="270">
        <f t="shared" si="140"/>
        <v>0.40385058823529413</v>
      </c>
      <c r="FC111" s="270">
        <f t="shared" si="140"/>
        <v>0.80928375000000008</v>
      </c>
      <c r="FD111" s="270">
        <f t="shared" si="140"/>
        <v>0.48121124999999998</v>
      </c>
      <c r="FE111" s="270">
        <f t="shared" si="140"/>
        <v>0.56547916666666675</v>
      </c>
      <c r="FF111" s="270">
        <f t="shared" si="140"/>
        <v>0.39833333333333337</v>
      </c>
      <c r="FG111" s="270">
        <f t="shared" si="140"/>
        <v>0.51075999999999999</v>
      </c>
      <c r="FH111" s="1283">
        <f t="shared" si="140"/>
        <v>0.59452125</v>
      </c>
      <c r="FI111" s="1224">
        <f t="shared" si="140"/>
        <v>0</v>
      </c>
      <c r="FJ111" s="270">
        <f t="shared" si="140"/>
        <v>0</v>
      </c>
      <c r="FK111" s="270">
        <f t="shared" si="140"/>
        <v>0</v>
      </c>
      <c r="FL111" s="270"/>
      <c r="FM111" s="270"/>
      <c r="FN111" s="1283"/>
      <c r="FO111" s="1224"/>
      <c r="FP111" s="270"/>
      <c r="FQ111" s="270"/>
      <c r="FR111" s="270"/>
      <c r="FS111" s="270"/>
      <c r="FT111" s="270"/>
      <c r="FU111" s="270"/>
      <c r="FV111" s="270"/>
      <c r="FW111" s="270"/>
      <c r="FX111" s="1" t="s">
        <v>182</v>
      </c>
    </row>
    <row r="112" spans="3:180" ht="15" thickBot="1" x14ac:dyDescent="0.4">
      <c r="C112" s="1" t="s">
        <v>351</v>
      </c>
      <c r="F112" s="1052" t="s">
        <v>190</v>
      </c>
      <c r="G112" s="271">
        <v>72</v>
      </c>
      <c r="H112" s="247" t="s">
        <v>198</v>
      </c>
      <c r="I112" s="1276">
        <v>14</v>
      </c>
      <c r="J112" s="1195" t="s">
        <v>204</v>
      </c>
      <c r="K112" s="271">
        <f t="shared" si="132"/>
        <v>86</v>
      </c>
      <c r="CY112" s="241"/>
      <c r="CZ112" s="241"/>
      <c r="DA112" s="1496"/>
      <c r="DB112" s="1487"/>
      <c r="DC112" s="241"/>
      <c r="DD112" s="241"/>
      <c r="DR112" s="241" t="s">
        <v>403</v>
      </c>
      <c r="DS112" s="251">
        <f t="shared" ref="DS112:ET112" si="141">DS$59*DS$14/100</f>
        <v>1.4871749999999999</v>
      </c>
      <c r="DT112" s="251">
        <f t="shared" si="141"/>
        <v>2.7304466666666669</v>
      </c>
      <c r="DU112" s="251">
        <f t="shared" si="141"/>
        <v>0.60767166666666661</v>
      </c>
      <c r="DV112" s="1267">
        <f t="shared" si="141"/>
        <v>0.29056750000000003</v>
      </c>
      <c r="DW112" s="1212">
        <f t="shared" si="141"/>
        <v>0.27040391304347827</v>
      </c>
      <c r="DX112" s="251">
        <f t="shared" si="141"/>
        <v>0.24510000000000001</v>
      </c>
      <c r="DY112" s="251">
        <f t="shared" si="141"/>
        <v>0.26606608695652167</v>
      </c>
      <c r="DZ112" s="251">
        <f t="shared" si="141"/>
        <v>0.17261499999999999</v>
      </c>
      <c r="EA112" s="251">
        <f t="shared" si="141"/>
        <v>0.16563249999999999</v>
      </c>
      <c r="EB112" s="251">
        <f t="shared" si="141"/>
        <v>0.42186666666666667</v>
      </c>
      <c r="EC112" s="251">
        <f t="shared" si="141"/>
        <v>0.45396000000000003</v>
      </c>
      <c r="ED112" s="251">
        <f t="shared" si="141"/>
        <v>0.507745</v>
      </c>
      <c r="EE112" s="1267">
        <f t="shared" si="141"/>
        <v>0.45753749999999999</v>
      </c>
      <c r="EF112" s="1212">
        <f t="shared" si="141"/>
        <v>0</v>
      </c>
      <c r="EG112" s="251">
        <f t="shared" si="141"/>
        <v>0</v>
      </c>
      <c r="EH112" s="251">
        <f t="shared" si="141"/>
        <v>0</v>
      </c>
      <c r="EI112" s="270">
        <f t="shared" si="141"/>
        <v>0</v>
      </c>
      <c r="EJ112" s="270">
        <f t="shared" si="141"/>
        <v>0</v>
      </c>
      <c r="EK112" s="1283">
        <f t="shared" si="141"/>
        <v>0</v>
      </c>
      <c r="EL112" s="1224">
        <f t="shared" si="141"/>
        <v>0</v>
      </c>
      <c r="EM112" s="270">
        <f t="shared" si="141"/>
        <v>0</v>
      </c>
      <c r="EN112" s="270">
        <f t="shared" si="141"/>
        <v>0</v>
      </c>
      <c r="EO112" s="270">
        <f t="shared" si="141"/>
        <v>0</v>
      </c>
      <c r="EP112" s="270">
        <f t="shared" si="141"/>
        <v>0</v>
      </c>
      <c r="EQ112" s="270">
        <f t="shared" si="141"/>
        <v>0</v>
      </c>
      <c r="ER112" s="270">
        <f t="shared" si="141"/>
        <v>0</v>
      </c>
      <c r="ES112" s="270">
        <f t="shared" si="141"/>
        <v>0</v>
      </c>
      <c r="ET112" s="270">
        <f t="shared" si="141"/>
        <v>0</v>
      </c>
      <c r="EU112" s="341"/>
      <c r="EV112" s="270">
        <f t="shared" ref="EV112:FK112" si="142">EV$59*EV$14/100</f>
        <v>4.5990000000000003E-2</v>
      </c>
      <c r="EW112" s="270">
        <f t="shared" si="142"/>
        <v>6.4329999999999984E-2</v>
      </c>
      <c r="EX112" s="270">
        <f t="shared" si="142"/>
        <v>1.1500000000000002E-2</v>
      </c>
      <c r="EY112" s="1283">
        <f t="shared" si="142"/>
        <v>3.89375E-2</v>
      </c>
      <c r="EZ112" s="1224">
        <f t="shared" si="142"/>
        <v>0.73868</v>
      </c>
      <c r="FA112" s="270">
        <f t="shared" si="142"/>
        <v>0.75104166666666672</v>
      </c>
      <c r="FB112" s="270">
        <f t="shared" si="142"/>
        <v>0.66954176470588234</v>
      </c>
      <c r="FC112" s="270">
        <f t="shared" si="142"/>
        <v>0.52779375000000006</v>
      </c>
      <c r="FD112" s="270">
        <f t="shared" si="142"/>
        <v>0.43185625000000011</v>
      </c>
      <c r="FE112" s="270">
        <f t="shared" si="142"/>
        <v>0.59940791666666682</v>
      </c>
      <c r="FF112" s="270">
        <f t="shared" si="142"/>
        <v>0.47799999999999998</v>
      </c>
      <c r="FG112" s="270">
        <f t="shared" si="142"/>
        <v>0.87254833333333337</v>
      </c>
      <c r="FH112" s="1283">
        <f t="shared" si="142"/>
        <v>0.80131125000000014</v>
      </c>
      <c r="FI112" s="1224">
        <f t="shared" si="142"/>
        <v>0</v>
      </c>
      <c r="FJ112" s="270">
        <f t="shared" si="142"/>
        <v>0</v>
      </c>
      <c r="FK112" s="270">
        <f t="shared" si="142"/>
        <v>0</v>
      </c>
      <c r="FL112" s="270"/>
      <c r="FM112" s="270"/>
      <c r="FN112" s="1283"/>
      <c r="FO112" s="1224"/>
      <c r="FP112" s="270"/>
      <c r="FQ112" s="270"/>
      <c r="FR112" s="270"/>
      <c r="FS112" s="270"/>
      <c r="FT112" s="270"/>
      <c r="FU112" s="270"/>
      <c r="FV112" s="270"/>
      <c r="FW112" s="270"/>
      <c r="FX112" s="1" t="s">
        <v>405</v>
      </c>
    </row>
    <row r="113" spans="3:180" s="377" customFormat="1" ht="15" thickTop="1" x14ac:dyDescent="0.35">
      <c r="C113" s="375" t="s">
        <v>183</v>
      </c>
      <c r="D113" s="375"/>
      <c r="E113" s="375"/>
      <c r="F113" s="1052" t="s">
        <v>157</v>
      </c>
      <c r="G113" s="271">
        <v>32</v>
      </c>
      <c r="H113" s="247" t="s">
        <v>191</v>
      </c>
      <c r="I113" s="1276">
        <v>2</v>
      </c>
      <c r="J113" s="1195" t="s">
        <v>135</v>
      </c>
      <c r="K113" s="271">
        <f t="shared" si="132"/>
        <v>34</v>
      </c>
      <c r="L113" s="232"/>
      <c r="M113" s="232"/>
      <c r="N113" s="232"/>
      <c r="O113" s="232"/>
      <c r="P113" s="232"/>
      <c r="Q113" s="232"/>
      <c r="R113" s="1236"/>
      <c r="S113" s="643"/>
      <c r="T113" s="232"/>
      <c r="U113" s="232"/>
      <c r="V113" s="232"/>
      <c r="W113" s="232"/>
      <c r="X113" s="1236"/>
      <c r="Y113" s="643"/>
      <c r="Z113" s="232"/>
      <c r="AA113" s="232"/>
      <c r="AB113" s="232"/>
      <c r="AC113" s="232"/>
      <c r="AD113" s="232"/>
      <c r="AE113" s="232"/>
      <c r="AF113" s="232"/>
      <c r="AG113" s="232"/>
      <c r="AH113" s="323"/>
      <c r="AI113" s="232"/>
      <c r="AJ113" s="232"/>
      <c r="AK113" s="232"/>
      <c r="AL113" s="1236"/>
      <c r="AM113" s="643"/>
      <c r="AN113" s="232"/>
      <c r="AO113" s="232"/>
      <c r="AP113" s="232"/>
      <c r="AQ113" s="232"/>
      <c r="AR113" s="232"/>
      <c r="AS113" s="232"/>
      <c r="AT113" s="232"/>
      <c r="AU113" s="1236"/>
      <c r="AV113" s="643"/>
      <c r="AW113" s="232"/>
      <c r="AX113" s="232"/>
      <c r="AY113" s="232"/>
      <c r="AZ113" s="232"/>
      <c r="BA113" s="1236"/>
      <c r="BB113" s="643"/>
      <c r="BC113" s="232"/>
      <c r="BD113" s="232"/>
      <c r="BE113" s="232"/>
      <c r="BF113" s="232"/>
      <c r="BG113" s="232"/>
      <c r="BH113" s="232"/>
      <c r="BI113" s="232"/>
      <c r="BJ113" s="232"/>
      <c r="BK113" s="323"/>
      <c r="BL113" s="232"/>
      <c r="BM113" s="232"/>
      <c r="BN113" s="232"/>
      <c r="BO113" s="1236"/>
      <c r="BP113" s="643"/>
      <c r="BQ113" s="232"/>
      <c r="BR113" s="232"/>
      <c r="BS113" s="232"/>
      <c r="BT113" s="232"/>
      <c r="BU113" s="232"/>
      <c r="BV113" s="232"/>
      <c r="BW113" s="232"/>
      <c r="BX113" s="1236"/>
      <c r="BY113" s="643"/>
      <c r="BZ113" s="232"/>
      <c r="CA113" s="232"/>
      <c r="CB113" s="232"/>
      <c r="CC113" s="232"/>
      <c r="CD113" s="1236"/>
      <c r="CE113" s="643"/>
      <c r="CF113" s="232"/>
      <c r="CG113" s="232"/>
      <c r="CH113" s="232"/>
      <c r="CI113" s="232"/>
      <c r="CJ113" s="232"/>
      <c r="CK113" s="232"/>
      <c r="CL113" s="232"/>
      <c r="CM113" s="232"/>
      <c r="CN113" s="323"/>
      <c r="CO113" s="232"/>
      <c r="CP113" s="232"/>
      <c r="CQ113" s="232"/>
      <c r="CR113" s="1236"/>
      <c r="CS113" s="643"/>
      <c r="CT113" s="232"/>
      <c r="CU113" s="232"/>
      <c r="CV113" s="232"/>
      <c r="CW113" s="232"/>
      <c r="CX113" s="232"/>
      <c r="CY113" s="241"/>
      <c r="CZ113" s="241"/>
      <c r="DA113" s="1496"/>
      <c r="DB113" s="1487"/>
      <c r="DC113" s="241"/>
      <c r="DD113" s="241"/>
      <c r="DE113" s="232"/>
      <c r="DF113" s="232"/>
      <c r="DG113" s="1236"/>
      <c r="DH113" s="643"/>
      <c r="DI113" s="232"/>
      <c r="DJ113" s="232"/>
      <c r="DK113" s="232"/>
      <c r="DL113" s="232"/>
      <c r="DM113" s="232"/>
      <c r="DN113" s="232"/>
      <c r="DO113" s="232"/>
      <c r="DP113" s="232"/>
      <c r="DQ113" s="323"/>
      <c r="DR113" s="238"/>
      <c r="DS113" s="232"/>
      <c r="DT113" s="232"/>
      <c r="DU113" s="232"/>
      <c r="DV113" s="1236"/>
      <c r="DW113" s="643"/>
      <c r="DX113" s="232"/>
      <c r="DY113" s="232"/>
      <c r="DZ113" s="232"/>
      <c r="EA113" s="232"/>
      <c r="EB113" s="232"/>
      <c r="EC113" s="232"/>
      <c r="ED113" s="232"/>
      <c r="EE113" s="1236"/>
      <c r="EF113" s="643"/>
      <c r="EG113" s="232"/>
      <c r="EH113" s="232"/>
      <c r="EI113" s="232"/>
      <c r="EJ113" s="232"/>
      <c r="EK113" s="1236"/>
      <c r="EL113" s="643"/>
      <c r="EM113" s="232"/>
      <c r="EN113" s="232"/>
      <c r="EO113" s="232"/>
      <c r="EP113" s="232"/>
      <c r="EQ113" s="232"/>
      <c r="ER113" s="232"/>
      <c r="ES113" s="232"/>
      <c r="ET113" s="232"/>
      <c r="EU113" s="323"/>
      <c r="EV113" s="232"/>
      <c r="EW113" s="232"/>
      <c r="EX113" s="232"/>
      <c r="EY113" s="1236"/>
      <c r="EZ113" s="643"/>
      <c r="FA113" s="232"/>
      <c r="FB113" s="232"/>
      <c r="FC113" s="232"/>
      <c r="FD113" s="232"/>
      <c r="FE113" s="232"/>
      <c r="FF113" s="232"/>
      <c r="FG113" s="232"/>
      <c r="FH113" s="1236"/>
      <c r="FI113" s="643"/>
      <c r="FJ113" s="232"/>
      <c r="FK113" s="232"/>
      <c r="FL113" s="232"/>
      <c r="FM113" s="232"/>
      <c r="FN113" s="1236"/>
      <c r="FO113" s="643"/>
      <c r="FP113" s="232"/>
      <c r="FQ113" s="232"/>
      <c r="FR113" s="232"/>
      <c r="FS113" s="232"/>
      <c r="FT113" s="232"/>
      <c r="FU113" s="232"/>
      <c r="FV113" s="232"/>
      <c r="FW113" s="232"/>
    </row>
    <row r="114" spans="3:180" s="368" customFormat="1" ht="15" thickBot="1" x14ac:dyDescent="0.4">
      <c r="C114" s="364" t="s">
        <v>184</v>
      </c>
      <c r="D114" s="364"/>
      <c r="E114" s="364"/>
      <c r="F114" s="1052" t="s">
        <v>156</v>
      </c>
      <c r="G114" s="271">
        <v>14</v>
      </c>
      <c r="H114" s="247" t="s">
        <v>193</v>
      </c>
      <c r="I114" s="1276">
        <v>3</v>
      </c>
      <c r="J114" s="1195" t="s">
        <v>136</v>
      </c>
      <c r="K114" s="271">
        <f t="shared" si="132"/>
        <v>17</v>
      </c>
      <c r="L114" s="232"/>
      <c r="M114" s="232"/>
      <c r="N114" s="232"/>
      <c r="O114" s="232"/>
      <c r="P114" s="232"/>
      <c r="Q114" s="232"/>
      <c r="R114" s="1236"/>
      <c r="S114" s="643"/>
      <c r="T114" s="232"/>
      <c r="U114" s="232"/>
      <c r="V114" s="232"/>
      <c r="W114" s="232"/>
      <c r="X114" s="1236"/>
      <c r="Y114" s="643"/>
      <c r="Z114" s="232"/>
      <c r="AA114" s="232"/>
      <c r="AB114" s="232"/>
      <c r="AC114" s="232"/>
      <c r="AD114" s="232"/>
      <c r="AE114" s="232"/>
      <c r="AF114" s="232"/>
      <c r="AG114" s="232"/>
      <c r="AH114" s="323"/>
      <c r="AI114" s="232"/>
      <c r="AJ114" s="232"/>
      <c r="AK114" s="232"/>
      <c r="AL114" s="1236"/>
      <c r="AM114" s="643"/>
      <c r="AN114" s="232"/>
      <c r="AO114" s="232"/>
      <c r="AP114" s="232"/>
      <c r="AQ114" s="232"/>
      <c r="AR114" s="232"/>
      <c r="AS114" s="232"/>
      <c r="AT114" s="232"/>
      <c r="AU114" s="1236"/>
      <c r="AV114" s="643"/>
      <c r="AW114" s="232"/>
      <c r="AX114" s="232"/>
      <c r="AY114" s="232"/>
      <c r="AZ114" s="232"/>
      <c r="BA114" s="1236"/>
      <c r="BB114" s="643"/>
      <c r="BC114" s="232"/>
      <c r="BD114" s="232"/>
      <c r="BE114" s="232"/>
      <c r="BF114" s="232"/>
      <c r="BG114" s="232"/>
      <c r="BH114" s="232"/>
      <c r="BI114" s="232"/>
      <c r="BJ114" s="232"/>
      <c r="BK114" s="323"/>
      <c r="BL114" s="232"/>
      <c r="BM114" s="232"/>
      <c r="BN114" s="232"/>
      <c r="BO114" s="1236"/>
      <c r="BP114" s="643"/>
      <c r="BQ114" s="232"/>
      <c r="BR114" s="232"/>
      <c r="BS114" s="232"/>
      <c r="BT114" s="232"/>
      <c r="BU114" s="232"/>
      <c r="BV114" s="232"/>
      <c r="BW114" s="232"/>
      <c r="BX114" s="1236"/>
      <c r="BY114" s="643"/>
      <c r="BZ114" s="232"/>
      <c r="CA114" s="232"/>
      <c r="CB114" s="232"/>
      <c r="CC114" s="232"/>
      <c r="CD114" s="1236"/>
      <c r="CE114" s="643"/>
      <c r="CF114" s="232"/>
      <c r="CG114" s="232"/>
      <c r="CH114" s="232"/>
      <c r="CI114" s="232"/>
      <c r="CJ114" s="232"/>
      <c r="CK114" s="232"/>
      <c r="CL114" s="232"/>
      <c r="CM114" s="232"/>
      <c r="CN114" s="323"/>
      <c r="CO114" s="232"/>
      <c r="CP114" s="232"/>
      <c r="CQ114" s="232"/>
      <c r="CR114" s="1236"/>
      <c r="CS114" s="643"/>
      <c r="CT114" s="232"/>
      <c r="CU114" s="232"/>
      <c r="CV114" s="232"/>
      <c r="CW114" s="232"/>
      <c r="CX114" s="232"/>
      <c r="CY114" s="238"/>
      <c r="CZ114" s="238"/>
      <c r="DA114" s="1497"/>
      <c r="DB114" s="1488"/>
      <c r="DC114" s="238"/>
      <c r="DD114" s="238"/>
      <c r="DE114" s="232"/>
      <c r="DF114" s="232"/>
      <c r="DG114" s="1236"/>
      <c r="DH114" s="643"/>
      <c r="DI114" s="232"/>
      <c r="DJ114" s="232"/>
      <c r="DK114" s="232"/>
      <c r="DL114" s="232"/>
      <c r="DM114" s="232"/>
      <c r="DN114" s="232"/>
      <c r="DO114" s="232"/>
      <c r="DP114" s="232"/>
      <c r="DQ114" s="323"/>
      <c r="DR114" s="238"/>
      <c r="DS114" s="232"/>
      <c r="DT114" s="232"/>
      <c r="DU114" s="232"/>
      <c r="DV114" s="1236"/>
      <c r="DW114" s="643"/>
      <c r="DX114" s="232"/>
      <c r="DY114" s="232"/>
      <c r="DZ114" s="232"/>
      <c r="EA114" s="232"/>
      <c r="EB114" s="232"/>
      <c r="EC114" s="232"/>
      <c r="ED114" s="232"/>
      <c r="EE114" s="1236"/>
      <c r="EF114" s="643"/>
      <c r="EG114" s="232"/>
      <c r="EH114" s="232"/>
      <c r="EI114" s="232"/>
      <c r="EJ114" s="232"/>
      <c r="EK114" s="1236"/>
      <c r="EL114" s="643"/>
      <c r="EM114" s="232"/>
      <c r="EN114" s="232"/>
      <c r="EO114" s="232"/>
      <c r="EP114" s="232"/>
      <c r="EQ114" s="232"/>
      <c r="ER114" s="232"/>
      <c r="ES114" s="232"/>
      <c r="ET114" s="232"/>
      <c r="EU114" s="323"/>
      <c r="EV114" s="232"/>
      <c r="EW114" s="232"/>
      <c r="EX114" s="232"/>
      <c r="EY114" s="1236"/>
      <c r="EZ114" s="643"/>
      <c r="FA114" s="232"/>
      <c r="FB114" s="232"/>
      <c r="FC114" s="232"/>
      <c r="FD114" s="232"/>
      <c r="FE114" s="232"/>
      <c r="FF114" s="232"/>
      <c r="FG114" s="232"/>
      <c r="FH114" s="1236"/>
      <c r="FI114" s="643"/>
      <c r="FJ114" s="232"/>
      <c r="FK114" s="232"/>
      <c r="FL114" s="232"/>
      <c r="FM114" s="232"/>
      <c r="FN114" s="1236"/>
      <c r="FO114" s="643"/>
      <c r="FP114" s="232"/>
      <c r="FQ114" s="232"/>
      <c r="FR114" s="232"/>
      <c r="FS114" s="232"/>
      <c r="FT114" s="232"/>
      <c r="FU114" s="232"/>
      <c r="FV114" s="232"/>
      <c r="FW114" s="232"/>
    </row>
    <row r="115" spans="3:180" s="228" customFormat="1" ht="15" thickTop="1" x14ac:dyDescent="0.35">
      <c r="C115" s="227"/>
      <c r="D115" s="227"/>
      <c r="E115" s="227"/>
      <c r="F115" s="1029"/>
      <c r="G115" s="232"/>
      <c r="H115" s="232"/>
      <c r="I115" s="1236"/>
      <c r="J115" s="643"/>
      <c r="K115" s="232"/>
      <c r="L115" s="239"/>
      <c r="M115" s="239"/>
      <c r="N115" s="239"/>
      <c r="O115" s="239"/>
      <c r="P115" s="239"/>
      <c r="Q115" s="239"/>
      <c r="R115" s="1277"/>
      <c r="S115" s="1221"/>
      <c r="T115" s="239"/>
      <c r="U115" s="239"/>
      <c r="V115" s="232"/>
      <c r="W115" s="232"/>
      <c r="X115" s="1236"/>
      <c r="Y115" s="643"/>
      <c r="Z115" s="232"/>
      <c r="AA115" s="232"/>
      <c r="AB115" s="232"/>
      <c r="AC115" s="232"/>
      <c r="AD115" s="232"/>
      <c r="AE115" s="232"/>
      <c r="AF115" s="232"/>
      <c r="AG115" s="232"/>
      <c r="AH115" s="323"/>
      <c r="AI115" s="232"/>
      <c r="AJ115" s="232"/>
      <c r="AK115" s="232"/>
      <c r="AL115" s="1236"/>
      <c r="AM115" s="643"/>
      <c r="AN115" s="232"/>
      <c r="AO115" s="232"/>
      <c r="AP115" s="232"/>
      <c r="AQ115" s="232"/>
      <c r="AR115" s="232"/>
      <c r="AS115" s="232"/>
      <c r="AT115" s="232"/>
      <c r="AU115" s="1236"/>
      <c r="AV115" s="643"/>
      <c r="AW115" s="232"/>
      <c r="AX115" s="232"/>
      <c r="AY115" s="232"/>
      <c r="AZ115" s="232"/>
      <c r="BA115" s="1236"/>
      <c r="BB115" s="643"/>
      <c r="BC115" s="232"/>
      <c r="BD115" s="232"/>
      <c r="BE115" s="232"/>
      <c r="BF115" s="232"/>
      <c r="BG115" s="232"/>
      <c r="BH115" s="232"/>
      <c r="BI115" s="232"/>
      <c r="BJ115" s="232"/>
      <c r="BK115" s="323"/>
      <c r="BL115" s="232"/>
      <c r="BM115" s="232"/>
      <c r="BN115" s="232"/>
      <c r="BO115" s="1236"/>
      <c r="BP115" s="643"/>
      <c r="BQ115" s="232"/>
      <c r="BR115" s="232"/>
      <c r="BS115" s="232"/>
      <c r="BT115" s="232"/>
      <c r="BU115" s="232"/>
      <c r="BV115" s="232"/>
      <c r="BW115" s="232"/>
      <c r="BX115" s="1236"/>
      <c r="BY115" s="643"/>
      <c r="BZ115" s="232"/>
      <c r="CA115" s="232"/>
      <c r="CB115" s="232"/>
      <c r="CC115" s="232"/>
      <c r="CD115" s="1236"/>
      <c r="CE115" s="643"/>
      <c r="CF115" s="232"/>
      <c r="CG115" s="232"/>
      <c r="CH115" s="232"/>
      <c r="CI115" s="232"/>
      <c r="CJ115" s="232"/>
      <c r="CK115" s="232"/>
      <c r="CL115" s="232"/>
      <c r="CM115" s="232"/>
      <c r="CN115" s="323"/>
      <c r="CO115" s="232"/>
      <c r="CP115" s="232"/>
      <c r="CQ115" s="232"/>
      <c r="CR115" s="1236"/>
      <c r="CS115" s="643"/>
      <c r="CT115" s="232"/>
      <c r="CU115" s="232"/>
      <c r="CV115" s="232"/>
      <c r="CW115" s="232"/>
      <c r="CX115" s="232"/>
      <c r="CY115" s="232"/>
      <c r="CZ115" s="241"/>
      <c r="DA115" s="1496"/>
      <c r="DB115" s="1487"/>
      <c r="DC115" s="241"/>
      <c r="DD115" s="241"/>
      <c r="DE115" s="232"/>
      <c r="DF115" s="232"/>
      <c r="DG115" s="1236"/>
      <c r="DH115" s="643"/>
      <c r="DI115" s="232"/>
      <c r="DJ115" s="232"/>
      <c r="DK115" s="232"/>
      <c r="DL115" s="232"/>
      <c r="DM115" s="232"/>
      <c r="DN115" s="232"/>
      <c r="DO115" s="232"/>
      <c r="DP115" s="232"/>
      <c r="DQ115" s="323"/>
      <c r="DR115" s="238"/>
      <c r="DS115" s="2713" t="s">
        <v>409</v>
      </c>
      <c r="DT115" s="2713"/>
      <c r="DU115" s="2713"/>
      <c r="DV115" s="2713"/>
      <c r="DW115" s="2713" t="s">
        <v>409</v>
      </c>
      <c r="DX115" s="2713"/>
      <c r="DY115" s="2713"/>
      <c r="DZ115" s="2713"/>
      <c r="EA115" s="2713"/>
      <c r="EB115" s="2713"/>
      <c r="EC115" s="2713" t="s">
        <v>409</v>
      </c>
      <c r="ED115" s="2713"/>
      <c r="EE115" s="2713"/>
      <c r="EF115" s="2713"/>
      <c r="EG115" s="2713"/>
      <c r="EH115" s="2713"/>
      <c r="EI115" s="1063"/>
      <c r="EJ115" s="1063"/>
      <c r="EK115" s="1577"/>
      <c r="EL115" s="1575"/>
      <c r="EM115" s="1063"/>
      <c r="EN115" s="1063"/>
      <c r="EO115" s="1063"/>
      <c r="EP115" s="1063"/>
      <c r="EQ115" s="1063"/>
      <c r="ER115" s="1063"/>
      <c r="ES115" s="1063"/>
      <c r="ET115" s="1063"/>
      <c r="EU115" s="338"/>
      <c r="EV115" s="2713" t="s">
        <v>410</v>
      </c>
      <c r="EW115" s="2713"/>
      <c r="EX115" s="2713"/>
      <c r="EY115" s="2713"/>
      <c r="EZ115" s="2713" t="s">
        <v>408</v>
      </c>
      <c r="FA115" s="2713"/>
      <c r="FB115" s="2713"/>
      <c r="FC115" s="2713"/>
      <c r="FD115" s="2713"/>
      <c r="FE115" s="2713"/>
      <c r="FF115" s="2713" t="s">
        <v>408</v>
      </c>
      <c r="FG115" s="2713"/>
      <c r="FH115" s="2713"/>
      <c r="FI115" s="2713"/>
      <c r="FJ115" s="2713"/>
      <c r="FK115" s="1063"/>
      <c r="FL115" s="1063"/>
      <c r="FM115" s="1063"/>
      <c r="FN115" s="1577"/>
      <c r="FO115" s="1575"/>
      <c r="FP115" s="1063"/>
      <c r="FQ115" s="1063"/>
      <c r="FR115" s="1063"/>
      <c r="FS115" s="1063"/>
      <c r="FT115" s="1063"/>
      <c r="FU115" s="1063"/>
      <c r="FV115" s="1063"/>
      <c r="FW115" s="1063"/>
    </row>
    <row r="116" spans="3:180" x14ac:dyDescent="0.35">
      <c r="F116" s="1053"/>
      <c r="G116" s="239"/>
      <c r="H116" s="239"/>
      <c r="I116" s="1277"/>
      <c r="J116" s="1221"/>
      <c r="K116" s="239"/>
      <c r="L116" s="239"/>
      <c r="M116" s="239"/>
      <c r="N116" s="239"/>
      <c r="O116" s="239"/>
      <c r="P116" s="239"/>
      <c r="Q116" s="239"/>
      <c r="R116" s="1277"/>
      <c r="S116" s="1221"/>
      <c r="T116" s="239"/>
      <c r="U116" s="239"/>
      <c r="CZ116" s="241"/>
      <c r="DA116" s="1496"/>
      <c r="DB116" s="1487"/>
      <c r="DC116" s="241"/>
      <c r="DD116" s="241"/>
      <c r="DR116" s="241" t="s">
        <v>219</v>
      </c>
      <c r="DS116" s="272"/>
      <c r="DT116" s="272"/>
      <c r="DU116" s="272"/>
      <c r="DV116" s="1557"/>
      <c r="DW116" s="1540"/>
      <c r="DX116" s="272"/>
      <c r="DY116" s="272"/>
      <c r="DZ116" s="272"/>
      <c r="EA116" s="272"/>
      <c r="EB116" s="272"/>
      <c r="EC116" s="272"/>
      <c r="ED116" s="272"/>
      <c r="EE116" s="1557"/>
      <c r="EF116" s="1540"/>
      <c r="EG116" s="272"/>
      <c r="EH116" s="272"/>
      <c r="EI116" s="272"/>
      <c r="EJ116" s="272"/>
      <c r="EK116" s="1557"/>
      <c r="EL116" s="1540"/>
      <c r="EM116" s="272"/>
      <c r="EN116" s="272"/>
      <c r="EO116" s="272"/>
      <c r="EP116" s="272"/>
      <c r="EQ116" s="272"/>
      <c r="ER116" s="272"/>
      <c r="ES116" s="272"/>
      <c r="ET116" s="272"/>
      <c r="EU116" s="342"/>
      <c r="EV116" s="272"/>
      <c r="EW116" s="272"/>
      <c r="EX116" s="272"/>
      <c r="EY116" s="1557"/>
      <c r="EZ116" s="1540"/>
      <c r="FA116" s="272"/>
      <c r="FB116" s="272"/>
      <c r="FC116" s="272"/>
      <c r="FD116" s="272"/>
      <c r="FE116" s="272"/>
      <c r="FF116" s="272"/>
      <c r="FG116" s="272"/>
      <c r="FH116" s="1557"/>
      <c r="FI116" s="1540"/>
      <c r="FJ116" s="272"/>
      <c r="FK116" s="272"/>
      <c r="FL116" s="272"/>
      <c r="FM116" s="272"/>
      <c r="FN116" s="1557"/>
      <c r="FO116" s="1540"/>
      <c r="FP116" s="272"/>
      <c r="FQ116" s="272"/>
      <c r="FR116" s="272"/>
      <c r="FS116" s="272"/>
      <c r="FT116" s="272"/>
      <c r="FU116" s="272"/>
      <c r="FV116" s="272"/>
      <c r="FW116" s="272"/>
      <c r="FX116" s="1" t="s">
        <v>220</v>
      </c>
    </row>
    <row r="117" spans="3:180" x14ac:dyDescent="0.35">
      <c r="CZ117" s="241"/>
      <c r="DA117" s="1496"/>
      <c r="DB117" s="1487"/>
      <c r="DC117" s="241"/>
      <c r="DD117" s="241"/>
      <c r="DR117" s="241" t="s">
        <v>137</v>
      </c>
      <c r="DS117" s="273">
        <f>($G$108/$K$108)*DS$107</f>
        <v>2.6204400000000003</v>
      </c>
      <c r="DT117" s="273">
        <f t="shared" ref="DT117:FK117" si="143">($G$108/$K$108)*DT$107</f>
        <v>3.0103093333333337</v>
      </c>
      <c r="DU117" s="273">
        <f t="shared" si="143"/>
        <v>1.0554726666666665</v>
      </c>
      <c r="DV117" s="1323">
        <f t="shared" si="143"/>
        <v>1.1049750000000003</v>
      </c>
      <c r="DW117" s="1324">
        <f t="shared" si="143"/>
        <v>1.6317572173913044</v>
      </c>
      <c r="DX117" s="273">
        <f t="shared" si="143"/>
        <v>1.6706933333333336</v>
      </c>
      <c r="DY117" s="273">
        <f t="shared" si="143"/>
        <v>1.6604942608695652</v>
      </c>
      <c r="DZ117" s="273">
        <f t="shared" si="143"/>
        <v>1.6813306666666668</v>
      </c>
      <c r="EA117" s="273">
        <f t="shared" si="143"/>
        <v>1.6133186666666668</v>
      </c>
      <c r="EB117" s="273">
        <f t="shared" si="143"/>
        <v>1.6067093333333338</v>
      </c>
      <c r="EC117" s="273">
        <f t="shared" si="143"/>
        <v>1.718496</v>
      </c>
      <c r="ED117" s="273">
        <f t="shared" si="143"/>
        <v>1.6895760000000004</v>
      </c>
      <c r="EE117" s="1323">
        <f t="shared" si="143"/>
        <v>1.7056500000000001</v>
      </c>
      <c r="EF117" s="1324">
        <f t="shared" si="143"/>
        <v>0</v>
      </c>
      <c r="EG117" s="273">
        <f t="shared" si="143"/>
        <v>0</v>
      </c>
      <c r="EH117" s="273">
        <f t="shared" si="143"/>
        <v>0</v>
      </c>
      <c r="EI117" s="272">
        <f t="shared" si="143"/>
        <v>0</v>
      </c>
      <c r="EJ117" s="272">
        <f t="shared" si="143"/>
        <v>0</v>
      </c>
      <c r="EK117" s="1557">
        <f t="shared" si="143"/>
        <v>0</v>
      </c>
      <c r="EL117" s="1540">
        <f t="shared" si="143"/>
        <v>0</v>
      </c>
      <c r="EM117" s="272">
        <f t="shared" si="143"/>
        <v>0</v>
      </c>
      <c r="EN117" s="272">
        <f t="shared" si="143"/>
        <v>0</v>
      </c>
      <c r="EO117" s="272">
        <f t="shared" si="143"/>
        <v>0</v>
      </c>
      <c r="EP117" s="272">
        <f t="shared" si="143"/>
        <v>0</v>
      </c>
      <c r="EQ117" s="272">
        <f t="shared" si="143"/>
        <v>0</v>
      </c>
      <c r="ER117" s="272">
        <f t="shared" si="143"/>
        <v>0</v>
      </c>
      <c r="ES117" s="272">
        <f t="shared" si="143"/>
        <v>0</v>
      </c>
      <c r="ET117" s="272">
        <f t="shared" si="143"/>
        <v>0</v>
      </c>
      <c r="EU117" s="342"/>
      <c r="EV117" s="272">
        <f t="shared" si="143"/>
        <v>6.482400000000002E-2</v>
      </c>
      <c r="EW117" s="272">
        <f t="shared" si="143"/>
        <v>2.5731999999999994E-2</v>
      </c>
      <c r="EX117" s="272">
        <f t="shared" si="143"/>
        <v>4.6000000000000008E-3</v>
      </c>
      <c r="EY117" s="1557">
        <f>($G$108/$K$108)*EY$107</f>
        <v>2.2250000000000004E-3</v>
      </c>
      <c r="EZ117" s="1540">
        <f t="shared" si="143"/>
        <v>5.1386434782608695E-2</v>
      </c>
      <c r="FA117" s="272">
        <f t="shared" si="143"/>
        <v>0.14591666666666669</v>
      </c>
      <c r="FB117" s="272">
        <f t="shared" si="143"/>
        <v>0.15303811764705882</v>
      </c>
      <c r="FC117" s="272">
        <f t="shared" si="143"/>
        <v>4.6915000000000012E-2</v>
      </c>
      <c r="FD117" s="272">
        <f t="shared" si="143"/>
        <v>9.2129333333333355E-2</v>
      </c>
      <c r="FE117" s="272">
        <f t="shared" si="143"/>
        <v>7.2381333333333339E-2</v>
      </c>
      <c r="FF117" s="272">
        <f t="shared" si="143"/>
        <v>2.3900000000000001E-2</v>
      </c>
      <c r="FG117" s="272">
        <f t="shared" si="143"/>
        <v>3.4050666666666674E-2</v>
      </c>
      <c r="FH117" s="1557">
        <f t="shared" si="143"/>
        <v>9.6502000000000032E-2</v>
      </c>
      <c r="FI117" s="1540">
        <f t="shared" si="143"/>
        <v>0</v>
      </c>
      <c r="FJ117" s="272">
        <f t="shared" si="143"/>
        <v>0</v>
      </c>
      <c r="FK117" s="272">
        <f t="shared" si="143"/>
        <v>0</v>
      </c>
      <c r="FL117" s="272"/>
      <c r="FM117" s="272"/>
      <c r="FN117" s="1557"/>
      <c r="FO117" s="1540"/>
      <c r="FP117" s="272"/>
      <c r="FQ117" s="272"/>
      <c r="FR117" s="272"/>
      <c r="FS117" s="272"/>
      <c r="FT117" s="272"/>
      <c r="FU117" s="272"/>
      <c r="FV117" s="272"/>
      <c r="FW117" s="272"/>
      <c r="FX117" s="1" t="s">
        <v>137</v>
      </c>
    </row>
    <row r="118" spans="3:180" x14ac:dyDescent="0.35">
      <c r="CZ118" s="241"/>
      <c r="DA118" s="1496"/>
      <c r="DB118" s="1487"/>
      <c r="DC118" s="241"/>
      <c r="DD118" s="241"/>
      <c r="DR118" s="241" t="s">
        <v>138</v>
      </c>
      <c r="DS118" s="273">
        <f>($G$109/$K$109)*DS$108</f>
        <v>2.1973909090909092</v>
      </c>
      <c r="DT118" s="273">
        <f t="shared" ref="DT118:FK118" si="144">($G$109/$K$109)*DT$108</f>
        <v>2.3694763636363638</v>
      </c>
      <c r="DU118" s="273">
        <f t="shared" si="144"/>
        <v>0.88759363636363642</v>
      </c>
      <c r="DV118" s="1323">
        <f t="shared" si="144"/>
        <v>0.93253193181818206</v>
      </c>
      <c r="DW118" s="1324">
        <f t="shared" si="144"/>
        <v>1.3274373913043478</v>
      </c>
      <c r="DX118" s="273">
        <f t="shared" si="144"/>
        <v>1.3603636363636364</v>
      </c>
      <c r="DY118" s="273">
        <f t="shared" si="144"/>
        <v>1.3321170355731224</v>
      </c>
      <c r="DZ118" s="273">
        <f t="shared" si="144"/>
        <v>1.3689443181818184</v>
      </c>
      <c r="EA118" s="273">
        <f t="shared" si="144"/>
        <v>1.31356875</v>
      </c>
      <c r="EB118" s="273">
        <f t="shared" si="144"/>
        <v>1.3387418181818183</v>
      </c>
      <c r="EC118" s="273">
        <f t="shared" si="144"/>
        <v>1.4014472727272729</v>
      </c>
      <c r="ED118" s="273">
        <f t="shared" si="144"/>
        <v>1.3737150000000002</v>
      </c>
      <c r="EE118" s="1323">
        <f t="shared" si="144"/>
        <v>1.3700659090909091</v>
      </c>
      <c r="EF118" s="1324">
        <f t="shared" si="144"/>
        <v>0</v>
      </c>
      <c r="EG118" s="273">
        <f t="shared" si="144"/>
        <v>0</v>
      </c>
      <c r="EH118" s="273">
        <f t="shared" si="144"/>
        <v>0</v>
      </c>
      <c r="EI118" s="272">
        <f t="shared" si="144"/>
        <v>0</v>
      </c>
      <c r="EJ118" s="272">
        <f t="shared" si="144"/>
        <v>0</v>
      </c>
      <c r="EK118" s="1557">
        <f t="shared" si="144"/>
        <v>0</v>
      </c>
      <c r="EL118" s="1540">
        <f t="shared" si="144"/>
        <v>0</v>
      </c>
      <c r="EM118" s="272">
        <f t="shared" si="144"/>
        <v>0</v>
      </c>
      <c r="EN118" s="272">
        <f t="shared" si="144"/>
        <v>0</v>
      </c>
      <c r="EO118" s="272">
        <f t="shared" si="144"/>
        <v>0</v>
      </c>
      <c r="EP118" s="272">
        <f t="shared" si="144"/>
        <v>0</v>
      </c>
      <c r="EQ118" s="272">
        <f t="shared" si="144"/>
        <v>0</v>
      </c>
      <c r="ER118" s="272">
        <f t="shared" si="144"/>
        <v>0</v>
      </c>
      <c r="ES118" s="272">
        <f t="shared" si="144"/>
        <v>0</v>
      </c>
      <c r="ET118" s="272">
        <f t="shared" si="144"/>
        <v>0</v>
      </c>
      <c r="EU118" s="342"/>
      <c r="EV118" s="272">
        <f t="shared" si="144"/>
        <v>4.837909090909092E-2</v>
      </c>
      <c r="EW118" s="272">
        <f t="shared" si="144"/>
        <v>4.8247499999999992E-2</v>
      </c>
      <c r="EX118" s="272">
        <f t="shared" si="144"/>
        <v>8.6250000000000007E-3</v>
      </c>
      <c r="EY118" s="1557">
        <f t="shared" si="144"/>
        <v>3.7926136363636369E-3</v>
      </c>
      <c r="EZ118" s="1540">
        <f t="shared" si="144"/>
        <v>9.1970039525691716E-2</v>
      </c>
      <c r="FA118" s="272">
        <f t="shared" si="144"/>
        <v>0.23701704545454549</v>
      </c>
      <c r="FB118" s="272">
        <f t="shared" si="144"/>
        <v>0.26086042780748664</v>
      </c>
      <c r="FC118" s="272">
        <f t="shared" si="144"/>
        <v>9.596250000000002E-2</v>
      </c>
      <c r="FD118" s="272">
        <f t="shared" si="144"/>
        <v>0.15143011363636366</v>
      </c>
      <c r="FE118" s="272">
        <f t="shared" si="144"/>
        <v>0.1295461363636364</v>
      </c>
      <c r="FF118" s="272">
        <f t="shared" si="144"/>
        <v>4.0738636363636373E-2</v>
      </c>
      <c r="FG118" s="272">
        <f t="shared" si="144"/>
        <v>5.2236818181818183E-2</v>
      </c>
      <c r="FH118" s="1557">
        <f t="shared" si="144"/>
        <v>0.18329113636363639</v>
      </c>
      <c r="FI118" s="1540">
        <f t="shared" si="144"/>
        <v>0</v>
      </c>
      <c r="FJ118" s="272">
        <f t="shared" si="144"/>
        <v>0</v>
      </c>
      <c r="FK118" s="272">
        <f t="shared" si="144"/>
        <v>0</v>
      </c>
      <c r="FL118" s="272"/>
      <c r="FM118" s="272"/>
      <c r="FN118" s="1557"/>
      <c r="FO118" s="1540"/>
      <c r="FP118" s="272"/>
      <c r="FQ118" s="272"/>
      <c r="FR118" s="272"/>
      <c r="FS118" s="272"/>
      <c r="FT118" s="272"/>
      <c r="FU118" s="272"/>
      <c r="FV118" s="272"/>
      <c r="FW118" s="272"/>
      <c r="FX118" s="1" t="s">
        <v>138</v>
      </c>
    </row>
    <row r="119" spans="3:180" x14ac:dyDescent="0.35">
      <c r="CZ119" s="241"/>
      <c r="DA119" s="1496"/>
      <c r="DB119" s="1487"/>
      <c r="DC119" s="241"/>
      <c r="DD119" s="241"/>
      <c r="DR119" s="241" t="s">
        <v>139</v>
      </c>
      <c r="DS119" s="273">
        <f>($G$110/$K$110)*DS$109</f>
        <v>2.5186551724137929</v>
      </c>
      <c r="DT119" s="273">
        <f t="shared" ref="DT119:FK119" si="145">($G$110/$K$110)*DT$109</f>
        <v>2.5444910344827587</v>
      </c>
      <c r="DU119" s="273">
        <f t="shared" si="145"/>
        <v>0.90960896551724135</v>
      </c>
      <c r="DV119" s="1323">
        <f t="shared" si="145"/>
        <v>0.95171793103448288</v>
      </c>
      <c r="DW119" s="1324">
        <f t="shared" si="145"/>
        <v>1.2779460269865066</v>
      </c>
      <c r="DX119" s="273">
        <f t="shared" si="145"/>
        <v>1.3214344827586209</v>
      </c>
      <c r="DY119" s="273">
        <f t="shared" si="145"/>
        <v>1.3486798200899548</v>
      </c>
      <c r="DZ119" s="273">
        <f t="shared" si="145"/>
        <v>1.3683889655172412</v>
      </c>
      <c r="EA119" s="273">
        <f t="shared" si="145"/>
        <v>1.3130358620689657</v>
      </c>
      <c r="EB119" s="273">
        <f t="shared" si="145"/>
        <v>1.4202151724137932</v>
      </c>
      <c r="EC119" s="273">
        <f t="shared" si="145"/>
        <v>1.4111006896551721</v>
      </c>
      <c r="ED119" s="273">
        <f t="shared" si="145"/>
        <v>1.389504827586207</v>
      </c>
      <c r="EE119" s="1323">
        <f t="shared" si="145"/>
        <v>1.3832379310344829</v>
      </c>
      <c r="EF119" s="1324">
        <f t="shared" si="145"/>
        <v>0</v>
      </c>
      <c r="EG119" s="273">
        <f t="shared" si="145"/>
        <v>0</v>
      </c>
      <c r="EH119" s="273">
        <f t="shared" si="145"/>
        <v>0</v>
      </c>
      <c r="EI119" s="272">
        <f t="shared" si="145"/>
        <v>0</v>
      </c>
      <c r="EJ119" s="272">
        <f t="shared" si="145"/>
        <v>0</v>
      </c>
      <c r="EK119" s="1557">
        <f t="shared" si="145"/>
        <v>0</v>
      </c>
      <c r="EL119" s="1540">
        <f t="shared" si="145"/>
        <v>0</v>
      </c>
      <c r="EM119" s="272">
        <f t="shared" si="145"/>
        <v>0</v>
      </c>
      <c r="EN119" s="272">
        <f t="shared" si="145"/>
        <v>0</v>
      </c>
      <c r="EO119" s="272">
        <f t="shared" si="145"/>
        <v>0</v>
      </c>
      <c r="EP119" s="272">
        <f t="shared" si="145"/>
        <v>0</v>
      </c>
      <c r="EQ119" s="272">
        <f t="shared" si="145"/>
        <v>0</v>
      </c>
      <c r="ER119" s="272">
        <f t="shared" si="145"/>
        <v>0</v>
      </c>
      <c r="ES119" s="272">
        <f t="shared" si="145"/>
        <v>0</v>
      </c>
      <c r="ET119" s="272">
        <f t="shared" si="145"/>
        <v>0</v>
      </c>
      <c r="EU119" s="342"/>
      <c r="EV119" s="272">
        <f t="shared" si="145"/>
        <v>0.10693241379310346</v>
      </c>
      <c r="EW119" s="272">
        <f t="shared" si="145"/>
        <v>7.0984827586206875E-2</v>
      </c>
      <c r="EX119" s="272">
        <f t="shared" si="145"/>
        <v>1.2689655172413794E-2</v>
      </c>
      <c r="EY119" s="1557">
        <f t="shared" si="145"/>
        <v>6.1379310344827588E-3</v>
      </c>
      <c r="EZ119" s="1540">
        <f t="shared" si="145"/>
        <v>0.1594751424287856</v>
      </c>
      <c r="FA119" s="272">
        <f t="shared" si="145"/>
        <v>0.36405172413793108</v>
      </c>
      <c r="FB119" s="272">
        <f t="shared" si="145"/>
        <v>0.39578823529411766</v>
      </c>
      <c r="FC119" s="272">
        <f t="shared" si="145"/>
        <v>0.23295724137931037</v>
      </c>
      <c r="FD119" s="272">
        <f t="shared" si="145"/>
        <v>0.25868827586206899</v>
      </c>
      <c r="FE119" s="272">
        <f t="shared" si="145"/>
        <v>0.26207034482758623</v>
      </c>
      <c r="FF119" s="272">
        <f t="shared" si="145"/>
        <v>7.4172413793103437E-2</v>
      </c>
      <c r="FG119" s="272">
        <f t="shared" si="145"/>
        <v>0.13209310344827588</v>
      </c>
      <c r="FH119" s="1557">
        <f t="shared" si="145"/>
        <v>0.33514241379310344</v>
      </c>
      <c r="FI119" s="1540">
        <f t="shared" si="145"/>
        <v>0</v>
      </c>
      <c r="FJ119" s="272">
        <f t="shared" si="145"/>
        <v>0</v>
      </c>
      <c r="FK119" s="272">
        <f t="shared" si="145"/>
        <v>0</v>
      </c>
      <c r="FL119" s="272"/>
      <c r="FM119" s="272"/>
      <c r="FN119" s="1557"/>
      <c r="FO119" s="1540"/>
      <c r="FP119" s="272"/>
      <c r="FQ119" s="272"/>
      <c r="FR119" s="272"/>
      <c r="FS119" s="272"/>
      <c r="FT119" s="272"/>
      <c r="FU119" s="272"/>
      <c r="FV119" s="272"/>
      <c r="FW119" s="272"/>
      <c r="FX119" s="1" t="s">
        <v>139</v>
      </c>
    </row>
    <row r="120" spans="3:180" x14ac:dyDescent="0.35">
      <c r="CZ120" s="241"/>
      <c r="DA120" s="1496"/>
      <c r="DB120" s="1487"/>
      <c r="DC120" s="241"/>
      <c r="DD120" s="241"/>
      <c r="DR120" s="241" t="s">
        <v>140</v>
      </c>
      <c r="DS120" s="273">
        <f>($G$111/$K$111)*DS$110</f>
        <v>3.0590625</v>
      </c>
      <c r="DT120" s="273">
        <f t="shared" ref="DT120:FK120" si="146">($G$111/$K$111)*DT$110</f>
        <v>2.8218944444444447</v>
      </c>
      <c r="DU120" s="273">
        <f t="shared" si="146"/>
        <v>0.7256034722222221</v>
      </c>
      <c r="DV120" s="1323">
        <f t="shared" si="146"/>
        <v>0.75199687500000023</v>
      </c>
      <c r="DW120" s="1324">
        <f t="shared" si="146"/>
        <v>0.81441449275362321</v>
      </c>
      <c r="DX120" s="273">
        <f t="shared" si="146"/>
        <v>0.87791666666666657</v>
      </c>
      <c r="DY120" s="273">
        <f t="shared" si="146"/>
        <v>0.92845978260869566</v>
      </c>
      <c r="DZ120" s="273">
        <f t="shared" si="146"/>
        <v>0.90976180555555552</v>
      </c>
      <c r="EA120" s="273">
        <f t="shared" si="146"/>
        <v>0.87296076388888888</v>
      </c>
      <c r="EB120" s="273">
        <f t="shared" si="146"/>
        <v>0.99816666666666687</v>
      </c>
      <c r="EC120" s="273">
        <f t="shared" si="146"/>
        <v>0.94380000000000008</v>
      </c>
      <c r="ED120" s="273">
        <f t="shared" si="146"/>
        <v>0.93969166666666681</v>
      </c>
      <c r="EE120" s="1323">
        <f t="shared" si="146"/>
        <v>0.92726562499999998</v>
      </c>
      <c r="EF120" s="1324">
        <f t="shared" si="146"/>
        <v>0</v>
      </c>
      <c r="EG120" s="273">
        <f t="shared" si="146"/>
        <v>0</v>
      </c>
      <c r="EH120" s="273">
        <f t="shared" si="146"/>
        <v>0</v>
      </c>
      <c r="EI120" s="272">
        <f t="shared" si="146"/>
        <v>0</v>
      </c>
      <c r="EJ120" s="272">
        <f t="shared" si="146"/>
        <v>0</v>
      </c>
      <c r="EK120" s="1557">
        <f t="shared" si="146"/>
        <v>0</v>
      </c>
      <c r="EL120" s="1540">
        <f t="shared" si="146"/>
        <v>0</v>
      </c>
      <c r="EM120" s="272">
        <f t="shared" si="146"/>
        <v>0</v>
      </c>
      <c r="EN120" s="272">
        <f t="shared" si="146"/>
        <v>0</v>
      </c>
      <c r="EO120" s="272">
        <f t="shared" si="146"/>
        <v>0</v>
      </c>
      <c r="EP120" s="272">
        <f t="shared" si="146"/>
        <v>0</v>
      </c>
      <c r="EQ120" s="272">
        <f t="shared" si="146"/>
        <v>0</v>
      </c>
      <c r="ER120" s="272">
        <f t="shared" si="146"/>
        <v>0</v>
      </c>
      <c r="ES120" s="272">
        <f t="shared" si="146"/>
        <v>0</v>
      </c>
      <c r="ET120" s="272">
        <f t="shared" si="146"/>
        <v>0</v>
      </c>
      <c r="EU120" s="342"/>
      <c r="EV120" s="272">
        <f t="shared" si="146"/>
        <v>0.13413750000000002</v>
      </c>
      <c r="EW120" s="272">
        <f t="shared" si="146"/>
        <v>7.5945138888888888E-2</v>
      </c>
      <c r="EX120" s="272">
        <f t="shared" si="146"/>
        <v>1.3576388888888891E-2</v>
      </c>
      <c r="EY120" s="1557">
        <f t="shared" si="146"/>
        <v>8.4982638888888885E-3</v>
      </c>
      <c r="EZ120" s="1540">
        <f t="shared" si="146"/>
        <v>0.27432862318840578</v>
      </c>
      <c r="FA120" s="272">
        <f t="shared" si="146"/>
        <v>0.41128472222222229</v>
      </c>
      <c r="FB120" s="272">
        <f t="shared" si="146"/>
        <v>0.44281862745098044</v>
      </c>
      <c r="FC120" s="272">
        <f t="shared" si="146"/>
        <v>0.49847187500000001</v>
      </c>
      <c r="FD120" s="272">
        <f t="shared" si="146"/>
        <v>0.37358993055555556</v>
      </c>
      <c r="FE120" s="272">
        <f t="shared" si="146"/>
        <v>0.45238333333333336</v>
      </c>
      <c r="FF120" s="272">
        <f t="shared" si="146"/>
        <v>0.16597222222222224</v>
      </c>
      <c r="FG120" s="272">
        <f t="shared" si="146"/>
        <v>0.27488819444444446</v>
      </c>
      <c r="FH120" s="1557">
        <f t="shared" si="146"/>
        <v>0.48825416666666677</v>
      </c>
      <c r="FI120" s="1540">
        <f t="shared" si="146"/>
        <v>0</v>
      </c>
      <c r="FJ120" s="272">
        <f t="shared" si="146"/>
        <v>0</v>
      </c>
      <c r="FK120" s="272">
        <f t="shared" si="146"/>
        <v>0</v>
      </c>
      <c r="FL120" s="272"/>
      <c r="FM120" s="272"/>
      <c r="FN120" s="1557"/>
      <c r="FO120" s="1540"/>
      <c r="FP120" s="272"/>
      <c r="FQ120" s="272"/>
      <c r="FR120" s="272"/>
      <c r="FS120" s="272"/>
      <c r="FT120" s="272"/>
      <c r="FU120" s="272"/>
      <c r="FV120" s="272"/>
      <c r="FW120" s="272"/>
      <c r="FX120" s="1" t="s">
        <v>140</v>
      </c>
    </row>
    <row r="121" spans="3:180" x14ac:dyDescent="0.35">
      <c r="BP121" s="1470"/>
      <c r="CP121" s="240"/>
      <c r="CQ121" s="240"/>
      <c r="CR121" s="1482"/>
      <c r="CS121" s="1470"/>
      <c r="CZ121" s="241"/>
      <c r="DA121" s="1496"/>
      <c r="DB121" s="1487"/>
      <c r="DC121" s="241"/>
      <c r="DD121" s="241"/>
      <c r="DR121" s="241" t="s">
        <v>141</v>
      </c>
      <c r="DS121" s="273">
        <f>($G$112/$K$112)*DS$111</f>
        <v>1.6338348837209302</v>
      </c>
      <c r="DT121" s="273">
        <f t="shared" ref="DT121:FK121" si="147">($G$112/$K$112)*DT$111</f>
        <v>1.187826976744186</v>
      </c>
      <c r="DU121" s="273">
        <f t="shared" si="147"/>
        <v>0.52240604651162792</v>
      </c>
      <c r="DV121" s="1323">
        <f t="shared" si="147"/>
        <v>0.52593383720930242</v>
      </c>
      <c r="DW121" s="1324">
        <f t="shared" si="147"/>
        <v>0.35049403437815979</v>
      </c>
      <c r="DX121" s="273">
        <f t="shared" si="147"/>
        <v>0.42360000000000003</v>
      </c>
      <c r="DY121" s="273">
        <f t="shared" si="147"/>
        <v>0.46195935288169865</v>
      </c>
      <c r="DZ121" s="273">
        <f t="shared" si="147"/>
        <v>0.45382744186046509</v>
      </c>
      <c r="EA121" s="273">
        <f t="shared" si="147"/>
        <v>0.43546953488372103</v>
      </c>
      <c r="EB121" s="273">
        <f t="shared" si="147"/>
        <v>0.47806883720930238</v>
      </c>
      <c r="EC121" s="273">
        <f t="shared" si="147"/>
        <v>0.49499162790697676</v>
      </c>
      <c r="ED121" s="273">
        <f t="shared" si="147"/>
        <v>0.49419837209302325</v>
      </c>
      <c r="EE121" s="1323">
        <f t="shared" si="147"/>
        <v>0.48337848837209302</v>
      </c>
      <c r="EF121" s="1324">
        <f t="shared" si="147"/>
        <v>0</v>
      </c>
      <c r="EG121" s="273">
        <f t="shared" si="147"/>
        <v>0</v>
      </c>
      <c r="EH121" s="273">
        <f t="shared" si="147"/>
        <v>0</v>
      </c>
      <c r="EI121" s="272">
        <f t="shared" si="147"/>
        <v>0</v>
      </c>
      <c r="EJ121" s="272">
        <f t="shared" si="147"/>
        <v>0</v>
      </c>
      <c r="EK121" s="1557">
        <f t="shared" si="147"/>
        <v>0</v>
      </c>
      <c r="EL121" s="1540">
        <f t="shared" si="147"/>
        <v>0</v>
      </c>
      <c r="EM121" s="272">
        <f t="shared" si="147"/>
        <v>0</v>
      </c>
      <c r="EN121" s="272">
        <f t="shared" si="147"/>
        <v>0</v>
      </c>
      <c r="EO121" s="272">
        <f t="shared" si="147"/>
        <v>0</v>
      </c>
      <c r="EP121" s="272">
        <f t="shared" si="147"/>
        <v>0</v>
      </c>
      <c r="EQ121" s="272">
        <f t="shared" si="147"/>
        <v>0</v>
      </c>
      <c r="ER121" s="272">
        <f t="shared" si="147"/>
        <v>0</v>
      </c>
      <c r="ES121" s="272">
        <f t="shared" si="147"/>
        <v>0</v>
      </c>
      <c r="ET121" s="272">
        <f t="shared" si="147"/>
        <v>0</v>
      </c>
      <c r="EU121" s="342"/>
      <c r="EV121" s="272">
        <f t="shared" si="147"/>
        <v>8.6173953488372104E-2</v>
      </c>
      <c r="EW121" s="272">
        <f t="shared" si="147"/>
        <v>4.9369534883720922E-2</v>
      </c>
      <c r="EX121" s="272">
        <f t="shared" si="147"/>
        <v>8.8255813953488377E-3</v>
      </c>
      <c r="EY121" s="1557">
        <f t="shared" si="147"/>
        <v>9.3139534883720943E-3</v>
      </c>
      <c r="EZ121" s="1540">
        <f t="shared" si="147"/>
        <v>0.32938107178968651</v>
      </c>
      <c r="FA121" s="272">
        <f t="shared" si="147"/>
        <v>0.3503197674418605</v>
      </c>
      <c r="FB121" s="272">
        <f t="shared" si="147"/>
        <v>0.33810746922024626</v>
      </c>
      <c r="FC121" s="272">
        <f t="shared" si="147"/>
        <v>0.67753988372093032</v>
      </c>
      <c r="FD121" s="272">
        <f t="shared" si="147"/>
        <v>0.40287453488372094</v>
      </c>
      <c r="FE121" s="272">
        <f t="shared" si="147"/>
        <v>0.47342441860465129</v>
      </c>
      <c r="FF121" s="272">
        <f t="shared" si="147"/>
        <v>0.33348837209302329</v>
      </c>
      <c r="FG121" s="272">
        <f t="shared" si="147"/>
        <v>0.42761302325581396</v>
      </c>
      <c r="FH121" s="1557">
        <f t="shared" si="147"/>
        <v>0.49773872093023258</v>
      </c>
      <c r="FI121" s="1540">
        <f t="shared" si="147"/>
        <v>0</v>
      </c>
      <c r="FJ121" s="272">
        <f t="shared" si="147"/>
        <v>0</v>
      </c>
      <c r="FK121" s="272">
        <f t="shared" si="147"/>
        <v>0</v>
      </c>
      <c r="FL121" s="272"/>
      <c r="FM121" s="272"/>
      <c r="FN121" s="1557"/>
      <c r="FO121" s="1540"/>
      <c r="FP121" s="272"/>
      <c r="FQ121" s="272"/>
      <c r="FR121" s="272"/>
      <c r="FS121" s="272"/>
      <c r="FT121" s="272"/>
      <c r="FU121" s="272"/>
      <c r="FV121" s="272"/>
      <c r="FW121" s="272"/>
      <c r="FX121" s="1" t="s">
        <v>141</v>
      </c>
    </row>
    <row r="122" spans="3:180" x14ac:dyDescent="0.35">
      <c r="BL122" s="273"/>
      <c r="BM122" s="273"/>
      <c r="BN122" s="273"/>
      <c r="BO122" s="1323"/>
      <c r="BP122" s="1324"/>
      <c r="BQ122" s="273"/>
      <c r="BR122" s="273"/>
      <c r="BS122" s="273"/>
      <c r="BT122" s="273"/>
      <c r="BU122" s="273"/>
      <c r="BV122" s="273"/>
      <c r="BW122" s="273"/>
      <c r="BX122" s="1323"/>
      <c r="BY122" s="1324"/>
      <c r="BZ122" s="273"/>
      <c r="CA122" s="273"/>
      <c r="CB122" s="273"/>
      <c r="CC122" s="273"/>
      <c r="CD122" s="1323"/>
      <c r="CE122" s="1324"/>
      <c r="CF122" s="273"/>
      <c r="CG122" s="273"/>
      <c r="CH122" s="273"/>
      <c r="CI122" s="273"/>
      <c r="CJ122" s="273"/>
      <c r="CK122" s="273"/>
      <c r="CL122" s="273"/>
      <c r="CM122" s="273"/>
      <c r="CO122" s="251"/>
      <c r="CP122" s="251"/>
      <c r="CQ122" s="251"/>
      <c r="CR122" s="1267"/>
      <c r="CS122" s="1212"/>
      <c r="CT122" s="251"/>
      <c r="CU122" s="251"/>
      <c r="CV122" s="251"/>
      <c r="CW122" s="251"/>
      <c r="CX122" s="251"/>
      <c r="CY122" s="251"/>
      <c r="CZ122" s="251"/>
      <c r="DA122" s="1267"/>
      <c r="DB122" s="1212"/>
      <c r="DC122" s="251"/>
      <c r="DD122" s="251"/>
      <c r="DR122" s="241" t="s">
        <v>407</v>
      </c>
      <c r="DS122" s="467">
        <f>($G$112/$K$112)*DS$112</f>
        <v>1.2450767441860464</v>
      </c>
      <c r="DT122" s="467">
        <f t="shared" ref="DT122:FK122" si="148">($G$112/$K$112)*DT$112</f>
        <v>2.2859553488372097</v>
      </c>
      <c r="DU122" s="467">
        <f t="shared" si="148"/>
        <v>0.50874837209302326</v>
      </c>
      <c r="DV122" s="1582">
        <f t="shared" si="148"/>
        <v>0.24326581395348842</v>
      </c>
      <c r="DW122" s="659">
        <f t="shared" si="148"/>
        <v>0.22638467138523763</v>
      </c>
      <c r="DX122" s="467">
        <f t="shared" si="148"/>
        <v>0.20520000000000002</v>
      </c>
      <c r="DY122" s="467">
        <f t="shared" si="148"/>
        <v>0.22275300303336701</v>
      </c>
      <c r="DZ122" s="467">
        <f t="shared" si="148"/>
        <v>0.14451488372093024</v>
      </c>
      <c r="EA122" s="467">
        <f t="shared" si="148"/>
        <v>0.13866906976744187</v>
      </c>
      <c r="EB122" s="467">
        <f t="shared" si="148"/>
        <v>0.35319069767441863</v>
      </c>
      <c r="EC122" s="467">
        <f t="shared" si="148"/>
        <v>0.38005953488372096</v>
      </c>
      <c r="ED122" s="467">
        <f t="shared" si="148"/>
        <v>0.42508883720930235</v>
      </c>
      <c r="EE122" s="1582">
        <f t="shared" si="148"/>
        <v>0.38305465116279069</v>
      </c>
      <c r="EF122" s="659">
        <f t="shared" si="148"/>
        <v>0</v>
      </c>
      <c r="EG122" s="467">
        <f t="shared" si="148"/>
        <v>0</v>
      </c>
      <c r="EH122" s="467">
        <f t="shared" si="148"/>
        <v>0</v>
      </c>
      <c r="EI122" s="274">
        <f t="shared" si="148"/>
        <v>0</v>
      </c>
      <c r="EJ122" s="274">
        <f t="shared" si="148"/>
        <v>0</v>
      </c>
      <c r="EK122" s="1558">
        <f t="shared" si="148"/>
        <v>0</v>
      </c>
      <c r="EL122" s="1541">
        <f t="shared" si="148"/>
        <v>0</v>
      </c>
      <c r="EM122" s="274">
        <f t="shared" si="148"/>
        <v>0</v>
      </c>
      <c r="EN122" s="274">
        <f t="shared" si="148"/>
        <v>0</v>
      </c>
      <c r="EO122" s="274">
        <f t="shared" si="148"/>
        <v>0</v>
      </c>
      <c r="EP122" s="274">
        <f t="shared" si="148"/>
        <v>0</v>
      </c>
      <c r="EQ122" s="274">
        <f t="shared" si="148"/>
        <v>0</v>
      </c>
      <c r="ER122" s="274">
        <f t="shared" si="148"/>
        <v>0</v>
      </c>
      <c r="ES122" s="274">
        <f t="shared" si="148"/>
        <v>0</v>
      </c>
      <c r="ET122" s="274">
        <f t="shared" si="148"/>
        <v>0</v>
      </c>
      <c r="EU122" s="343"/>
      <c r="EV122" s="274">
        <f t="shared" si="148"/>
        <v>3.8503255813953495E-2</v>
      </c>
      <c r="EW122" s="274">
        <f t="shared" si="148"/>
        <v>5.3857674418604638E-2</v>
      </c>
      <c r="EX122" s="274">
        <f t="shared" si="148"/>
        <v>9.6279069767441876E-3</v>
      </c>
      <c r="EY122" s="1558">
        <f t="shared" si="148"/>
        <v>3.2598837209302324E-2</v>
      </c>
      <c r="EZ122" s="1541">
        <f t="shared" si="148"/>
        <v>0.61842976744186051</v>
      </c>
      <c r="FA122" s="274">
        <f t="shared" si="148"/>
        <v>0.62877906976744191</v>
      </c>
      <c r="FB122" s="274">
        <f t="shared" si="148"/>
        <v>0.56054659370725035</v>
      </c>
      <c r="FC122" s="274">
        <f t="shared" si="148"/>
        <v>0.4418738372093024</v>
      </c>
      <c r="FD122" s="274">
        <f t="shared" si="148"/>
        <v>0.36155406976744198</v>
      </c>
      <c r="FE122" s="274">
        <f t="shared" si="148"/>
        <v>0.5018298837209304</v>
      </c>
      <c r="FF122" s="274">
        <f t="shared" si="148"/>
        <v>0.40018604651162792</v>
      </c>
      <c r="FG122" s="274">
        <f t="shared" si="148"/>
        <v>0.73050558139534894</v>
      </c>
      <c r="FH122" s="1558">
        <f t="shared" si="148"/>
        <v>0.67086523255813968</v>
      </c>
      <c r="FI122" s="1541">
        <f t="shared" si="148"/>
        <v>0</v>
      </c>
      <c r="FJ122" s="274">
        <f t="shared" si="148"/>
        <v>0</v>
      </c>
      <c r="FK122" s="274">
        <f t="shared" si="148"/>
        <v>0</v>
      </c>
      <c r="FL122" s="274"/>
      <c r="FM122" s="274"/>
      <c r="FN122" s="1558"/>
      <c r="FO122" s="1541"/>
      <c r="FP122" s="274"/>
      <c r="FQ122" s="274"/>
      <c r="FR122" s="274"/>
      <c r="FS122" s="274"/>
      <c r="FT122" s="274"/>
      <c r="FU122" s="274"/>
      <c r="FV122" s="274"/>
      <c r="FW122" s="274"/>
      <c r="FX122" s="1" t="s">
        <v>347</v>
      </c>
    </row>
    <row r="123" spans="3:180" x14ac:dyDescent="0.35">
      <c r="BL123" s="273"/>
      <c r="BM123" s="273"/>
      <c r="BN123" s="273"/>
      <c r="BO123" s="1323"/>
      <c r="BP123" s="1324"/>
      <c r="BQ123" s="273"/>
      <c r="BR123" s="273"/>
      <c r="BS123" s="273"/>
      <c r="BT123" s="273"/>
      <c r="BU123" s="273"/>
      <c r="BV123" s="273"/>
      <c r="BW123" s="273"/>
      <c r="BX123" s="1323"/>
      <c r="BY123" s="1324"/>
      <c r="BZ123" s="273"/>
      <c r="CA123" s="273"/>
      <c r="CB123" s="273"/>
      <c r="CC123" s="273"/>
      <c r="CD123" s="1323"/>
      <c r="CE123" s="1324"/>
      <c r="CF123" s="273"/>
      <c r="CG123" s="273"/>
      <c r="CH123" s="273"/>
      <c r="CI123" s="273"/>
      <c r="CJ123" s="273"/>
      <c r="CK123" s="273"/>
      <c r="CL123" s="273"/>
      <c r="CM123" s="273"/>
      <c r="CO123" s="251"/>
      <c r="CP123" s="251"/>
      <c r="CQ123" s="251"/>
      <c r="CR123" s="1267"/>
      <c r="CS123" s="1212"/>
      <c r="CT123" s="251"/>
      <c r="CU123" s="251"/>
      <c r="CV123" s="251"/>
      <c r="CW123" s="251"/>
      <c r="CX123" s="251"/>
      <c r="CY123" s="251"/>
      <c r="CZ123" s="251"/>
      <c r="DA123" s="1267"/>
      <c r="DB123" s="1212"/>
      <c r="DC123" s="251"/>
      <c r="DD123" s="251"/>
      <c r="DR123" s="241"/>
      <c r="DS123" s="274"/>
      <c r="DT123" s="274"/>
      <c r="DU123" s="274"/>
      <c r="DV123" s="1558"/>
      <c r="DW123" s="1541"/>
      <c r="DX123" s="274"/>
      <c r="DY123" s="274"/>
      <c r="DZ123" s="274"/>
      <c r="EA123" s="274"/>
      <c r="EB123" s="274"/>
      <c r="EC123" s="274"/>
      <c r="ED123" s="274"/>
      <c r="EE123" s="1558"/>
      <c r="EF123" s="1541"/>
      <c r="EG123" s="274"/>
      <c r="EH123" s="274"/>
      <c r="EI123" s="274"/>
      <c r="EJ123" s="274"/>
      <c r="EK123" s="1558"/>
      <c r="EL123" s="1541"/>
      <c r="EM123" s="274"/>
      <c r="EN123" s="274"/>
      <c r="EO123" s="274"/>
      <c r="EP123" s="274"/>
      <c r="EQ123" s="274"/>
      <c r="ER123" s="274"/>
      <c r="ES123" s="274"/>
      <c r="ET123" s="274"/>
      <c r="EU123" s="343"/>
      <c r="EV123" s="274"/>
      <c r="EW123" s="274"/>
      <c r="EX123" s="274"/>
      <c r="EY123" s="1558"/>
      <c r="EZ123" s="1541"/>
      <c r="FA123" s="274"/>
      <c r="FB123" s="274"/>
      <c r="FC123" s="274"/>
      <c r="FD123" s="274"/>
      <c r="FE123" s="274"/>
      <c r="FF123" s="274"/>
      <c r="FG123" s="274"/>
      <c r="FH123" s="1558"/>
      <c r="FI123" s="1541"/>
      <c r="FJ123" s="274"/>
      <c r="FK123" s="274"/>
      <c r="FL123" s="274"/>
      <c r="FM123" s="274"/>
      <c r="FN123" s="1558"/>
      <c r="FO123" s="1541"/>
      <c r="FP123" s="274"/>
      <c r="FQ123" s="274"/>
      <c r="FR123" s="274"/>
      <c r="FS123" s="274"/>
      <c r="FT123" s="274"/>
      <c r="FU123" s="274"/>
      <c r="FV123" s="274"/>
      <c r="FW123" s="274"/>
    </row>
    <row r="124" spans="3:180" x14ac:dyDescent="0.35">
      <c r="CZ124" s="241"/>
      <c r="DA124" s="1496"/>
      <c r="DB124" s="1487"/>
      <c r="DC124" s="241"/>
      <c r="DD124" s="241"/>
      <c r="DR124" s="241" t="s">
        <v>369</v>
      </c>
      <c r="DS124" s="251">
        <f>DS$107-DS$117</f>
        <v>0.65510999999999964</v>
      </c>
      <c r="DT124" s="251">
        <f t="shared" ref="DT124:FK124" si="149">DT$107-DT$117</f>
        <v>0.75257733333333343</v>
      </c>
      <c r="DU124" s="251">
        <f t="shared" si="149"/>
        <v>0.26386816666666668</v>
      </c>
      <c r="DV124" s="1267">
        <f t="shared" si="149"/>
        <v>0.2762437499999999</v>
      </c>
      <c r="DW124" s="1212">
        <f t="shared" si="149"/>
        <v>0.40793930434782588</v>
      </c>
      <c r="DX124" s="251">
        <f t="shared" si="149"/>
        <v>0.41767333333333334</v>
      </c>
      <c r="DY124" s="251">
        <f t="shared" si="149"/>
        <v>0.41512356521739124</v>
      </c>
      <c r="DZ124" s="251">
        <f t="shared" si="149"/>
        <v>0.42033266666666647</v>
      </c>
      <c r="EA124" s="251">
        <f t="shared" si="149"/>
        <v>0.40332966666666659</v>
      </c>
      <c r="EB124" s="251">
        <f t="shared" si="149"/>
        <v>0.40167733333333322</v>
      </c>
      <c r="EC124" s="251">
        <f t="shared" si="149"/>
        <v>0.42962400000000001</v>
      </c>
      <c r="ED124" s="251">
        <f t="shared" si="149"/>
        <v>0.42239399999999994</v>
      </c>
      <c r="EE124" s="1267">
        <f t="shared" si="149"/>
        <v>0.42641249999999986</v>
      </c>
      <c r="EF124" s="1212">
        <f t="shared" si="149"/>
        <v>0</v>
      </c>
      <c r="EG124" s="251">
        <f t="shared" si="149"/>
        <v>0</v>
      </c>
      <c r="EH124" s="251">
        <f t="shared" si="149"/>
        <v>0</v>
      </c>
      <c r="EI124" s="270">
        <f t="shared" si="149"/>
        <v>0</v>
      </c>
      <c r="EJ124" s="270">
        <f t="shared" si="149"/>
        <v>0</v>
      </c>
      <c r="EK124" s="1283">
        <f t="shared" si="149"/>
        <v>0</v>
      </c>
      <c r="EL124" s="1224">
        <f t="shared" si="149"/>
        <v>0</v>
      </c>
      <c r="EM124" s="270">
        <f t="shared" si="149"/>
        <v>0</v>
      </c>
      <c r="EN124" s="270">
        <f t="shared" si="149"/>
        <v>0</v>
      </c>
      <c r="EO124" s="270">
        <f t="shared" si="149"/>
        <v>0</v>
      </c>
      <c r="EP124" s="270">
        <f t="shared" si="149"/>
        <v>0</v>
      </c>
      <c r="EQ124" s="270">
        <f t="shared" si="149"/>
        <v>0</v>
      </c>
      <c r="ER124" s="270">
        <f t="shared" si="149"/>
        <v>0</v>
      </c>
      <c r="ES124" s="270">
        <f t="shared" si="149"/>
        <v>0</v>
      </c>
      <c r="ET124" s="270">
        <f t="shared" si="149"/>
        <v>0</v>
      </c>
      <c r="EU124" s="341"/>
      <c r="EV124" s="270">
        <f t="shared" si="149"/>
        <v>1.6205999999999998E-2</v>
      </c>
      <c r="EW124" s="270">
        <f t="shared" si="149"/>
        <v>6.4329999999999977E-3</v>
      </c>
      <c r="EX124" s="270">
        <f t="shared" si="149"/>
        <v>1.15E-3</v>
      </c>
      <c r="EY124" s="1283">
        <f t="shared" si="149"/>
        <v>5.5624999999999989E-4</v>
      </c>
      <c r="EZ124" s="1224">
        <f t="shared" si="149"/>
        <v>1.284660869565217E-2</v>
      </c>
      <c r="FA124" s="270">
        <f t="shared" si="149"/>
        <v>3.6479166666666674E-2</v>
      </c>
      <c r="FB124" s="270">
        <f t="shared" si="149"/>
        <v>3.8259529411764692E-2</v>
      </c>
      <c r="FC124" s="270">
        <f t="shared" si="149"/>
        <v>1.1728749999999996E-2</v>
      </c>
      <c r="FD124" s="270">
        <f t="shared" si="149"/>
        <v>2.3032333333333335E-2</v>
      </c>
      <c r="FE124" s="270">
        <f t="shared" si="149"/>
        <v>1.8095333333333338E-2</v>
      </c>
      <c r="FF124" s="270">
        <f t="shared" si="149"/>
        <v>5.9749999999999977E-3</v>
      </c>
      <c r="FG124" s="270">
        <f t="shared" si="149"/>
        <v>8.5126666666666684E-3</v>
      </c>
      <c r="FH124" s="1283">
        <f t="shared" si="149"/>
        <v>2.4125499999999994E-2</v>
      </c>
      <c r="FI124" s="1224">
        <f t="shared" si="149"/>
        <v>0</v>
      </c>
      <c r="FJ124" s="270">
        <f t="shared" si="149"/>
        <v>0</v>
      </c>
      <c r="FK124" s="270">
        <f t="shared" si="149"/>
        <v>0</v>
      </c>
      <c r="FL124" s="270"/>
      <c r="FM124" s="270"/>
      <c r="FN124" s="1283"/>
      <c r="FO124" s="1224"/>
      <c r="FP124" s="270"/>
      <c r="FQ124" s="270"/>
      <c r="FR124" s="270"/>
      <c r="FS124" s="270"/>
      <c r="FT124" s="270"/>
      <c r="FU124" s="270"/>
      <c r="FV124" s="270"/>
      <c r="FW124" s="270"/>
      <c r="FX124" s="1" t="s">
        <v>137</v>
      </c>
    </row>
    <row r="125" spans="3:180" x14ac:dyDescent="0.35">
      <c r="CZ125" s="241"/>
      <c r="DA125" s="1496"/>
      <c r="DB125" s="1487"/>
      <c r="DC125" s="241"/>
      <c r="DD125" s="241"/>
      <c r="DR125" s="241" t="s">
        <v>370</v>
      </c>
      <c r="DS125" s="251">
        <f>DS$108-DS$118</f>
        <v>0.48830909090909058</v>
      </c>
      <c r="DT125" s="251">
        <f t="shared" ref="DT125:FK125" si="150">DT$108-DT$118</f>
        <v>0.52655030303030292</v>
      </c>
      <c r="DU125" s="251">
        <f t="shared" si="150"/>
        <v>0.19724303030303025</v>
      </c>
      <c r="DV125" s="1267">
        <f t="shared" si="150"/>
        <v>0.20722931818181822</v>
      </c>
      <c r="DW125" s="1212">
        <f t="shared" si="150"/>
        <v>0.29498608695652173</v>
      </c>
      <c r="DX125" s="251">
        <f t="shared" si="150"/>
        <v>0.3023030303030303</v>
      </c>
      <c r="DY125" s="251">
        <f t="shared" si="150"/>
        <v>0.29602600790513822</v>
      </c>
      <c r="DZ125" s="251">
        <f t="shared" si="150"/>
        <v>0.30420984848484833</v>
      </c>
      <c r="EA125" s="251">
        <f t="shared" si="150"/>
        <v>0.29190416666666663</v>
      </c>
      <c r="EB125" s="251">
        <f t="shared" si="150"/>
        <v>0.29749818181818166</v>
      </c>
      <c r="EC125" s="251">
        <f t="shared" si="150"/>
        <v>0.31143272727272731</v>
      </c>
      <c r="ED125" s="251">
        <f t="shared" si="150"/>
        <v>0.30526999999999993</v>
      </c>
      <c r="EE125" s="1267">
        <f t="shared" si="150"/>
        <v>0.30445909090909073</v>
      </c>
      <c r="EF125" s="1212">
        <f t="shared" si="150"/>
        <v>0</v>
      </c>
      <c r="EG125" s="251">
        <f t="shared" si="150"/>
        <v>0</v>
      </c>
      <c r="EH125" s="251">
        <f t="shared" si="150"/>
        <v>0</v>
      </c>
      <c r="EI125" s="270">
        <f t="shared" si="150"/>
        <v>0</v>
      </c>
      <c r="EJ125" s="270">
        <f t="shared" si="150"/>
        <v>0</v>
      </c>
      <c r="EK125" s="1283">
        <f t="shared" si="150"/>
        <v>0</v>
      </c>
      <c r="EL125" s="1224">
        <f t="shared" si="150"/>
        <v>0</v>
      </c>
      <c r="EM125" s="270">
        <f t="shared" si="150"/>
        <v>0</v>
      </c>
      <c r="EN125" s="270">
        <f t="shared" si="150"/>
        <v>0</v>
      </c>
      <c r="EO125" s="270">
        <f t="shared" si="150"/>
        <v>0</v>
      </c>
      <c r="EP125" s="270">
        <f t="shared" si="150"/>
        <v>0</v>
      </c>
      <c r="EQ125" s="270">
        <f t="shared" si="150"/>
        <v>0</v>
      </c>
      <c r="ER125" s="270">
        <f t="shared" si="150"/>
        <v>0</v>
      </c>
      <c r="ES125" s="270">
        <f t="shared" si="150"/>
        <v>0</v>
      </c>
      <c r="ET125" s="270">
        <f t="shared" si="150"/>
        <v>0</v>
      </c>
      <c r="EU125" s="341"/>
      <c r="EV125" s="270">
        <f t="shared" si="150"/>
        <v>1.0750909090909089E-2</v>
      </c>
      <c r="EW125" s="270">
        <f t="shared" si="150"/>
        <v>1.0721666666666664E-2</v>
      </c>
      <c r="EX125" s="270">
        <f t="shared" si="150"/>
        <v>1.9166666666666655E-3</v>
      </c>
      <c r="EY125" s="1283">
        <f t="shared" si="150"/>
        <v>8.4280303030303009E-4</v>
      </c>
      <c r="EZ125" s="1224">
        <f t="shared" si="150"/>
        <v>2.0437786561264812E-2</v>
      </c>
      <c r="FA125" s="270">
        <f t="shared" si="150"/>
        <v>5.2670454545454548E-2</v>
      </c>
      <c r="FB125" s="270">
        <f t="shared" si="150"/>
        <v>5.7968983957219222E-2</v>
      </c>
      <c r="FC125" s="270">
        <f t="shared" si="150"/>
        <v>2.1324999999999997E-2</v>
      </c>
      <c r="FD125" s="270">
        <f t="shared" si="150"/>
        <v>3.3651136363636341E-2</v>
      </c>
      <c r="FE125" s="270">
        <f t="shared" si="150"/>
        <v>2.8788030303030288E-2</v>
      </c>
      <c r="FF125" s="270">
        <f t="shared" si="150"/>
        <v>9.0530303030302989E-3</v>
      </c>
      <c r="FG125" s="270">
        <f t="shared" si="150"/>
        <v>1.1608181818181816E-2</v>
      </c>
      <c r="FH125" s="1283">
        <f t="shared" si="150"/>
        <v>4.0731363636363621E-2</v>
      </c>
      <c r="FI125" s="1224">
        <f t="shared" si="150"/>
        <v>0</v>
      </c>
      <c r="FJ125" s="270">
        <f t="shared" si="150"/>
        <v>0</v>
      </c>
      <c r="FK125" s="270">
        <f t="shared" si="150"/>
        <v>0</v>
      </c>
      <c r="FL125" s="270"/>
      <c r="FM125" s="270"/>
      <c r="FN125" s="1283"/>
      <c r="FO125" s="1224"/>
      <c r="FP125" s="270"/>
      <c r="FQ125" s="270"/>
      <c r="FR125" s="270"/>
      <c r="FS125" s="270"/>
      <c r="FT125" s="270"/>
      <c r="FU125" s="270"/>
      <c r="FV125" s="270"/>
      <c r="FW125" s="270"/>
      <c r="FX125" s="1" t="s">
        <v>138</v>
      </c>
    </row>
    <row r="126" spans="3:180" x14ac:dyDescent="0.35">
      <c r="BL126" s="267"/>
      <c r="CZ126" s="241"/>
      <c r="DA126" s="1496"/>
      <c r="DB126" s="1487"/>
      <c r="DC126" s="241"/>
      <c r="DD126" s="241"/>
      <c r="DR126" s="241" t="s">
        <v>371</v>
      </c>
      <c r="DS126" s="251">
        <f>DS$109-DS$119</f>
        <v>0.52471982758620683</v>
      </c>
      <c r="DT126" s="251">
        <f t="shared" ref="DT126:FK126" si="151">DT$109-DT$119</f>
        <v>0.5301022988505748</v>
      </c>
      <c r="DU126" s="251">
        <f t="shared" si="151"/>
        <v>0.18950186781609191</v>
      </c>
      <c r="DV126" s="1267">
        <f t="shared" si="151"/>
        <v>0.19827456896551732</v>
      </c>
      <c r="DW126" s="1212">
        <f t="shared" si="151"/>
        <v>0.26623875562218902</v>
      </c>
      <c r="DX126" s="251">
        <f t="shared" si="151"/>
        <v>0.27529885057471271</v>
      </c>
      <c r="DY126" s="251">
        <f t="shared" si="151"/>
        <v>0.28097496251874055</v>
      </c>
      <c r="DZ126" s="251">
        <f t="shared" si="151"/>
        <v>0.28508103448275857</v>
      </c>
      <c r="EA126" s="251">
        <f t="shared" si="151"/>
        <v>0.27354913793103441</v>
      </c>
      <c r="EB126" s="251">
        <f t="shared" si="151"/>
        <v>0.29587816091954022</v>
      </c>
      <c r="EC126" s="251">
        <f t="shared" si="151"/>
        <v>0.2939793103448276</v>
      </c>
      <c r="ED126" s="251">
        <f t="shared" si="151"/>
        <v>0.2894801724137932</v>
      </c>
      <c r="EE126" s="1267">
        <f t="shared" si="151"/>
        <v>0.2881745689655173</v>
      </c>
      <c r="EF126" s="1212">
        <f t="shared" si="151"/>
        <v>0</v>
      </c>
      <c r="EG126" s="251">
        <f t="shared" si="151"/>
        <v>0</v>
      </c>
      <c r="EH126" s="251">
        <f t="shared" si="151"/>
        <v>0</v>
      </c>
      <c r="EI126" s="270">
        <f t="shared" si="151"/>
        <v>0</v>
      </c>
      <c r="EJ126" s="270">
        <f t="shared" si="151"/>
        <v>0</v>
      </c>
      <c r="EK126" s="1283">
        <f t="shared" si="151"/>
        <v>0</v>
      </c>
      <c r="EL126" s="1224">
        <f t="shared" si="151"/>
        <v>0</v>
      </c>
      <c r="EM126" s="270">
        <f t="shared" si="151"/>
        <v>0</v>
      </c>
      <c r="EN126" s="270">
        <f t="shared" si="151"/>
        <v>0</v>
      </c>
      <c r="EO126" s="270">
        <f t="shared" si="151"/>
        <v>0</v>
      </c>
      <c r="EP126" s="270">
        <f t="shared" si="151"/>
        <v>0</v>
      </c>
      <c r="EQ126" s="270">
        <f t="shared" si="151"/>
        <v>0</v>
      </c>
      <c r="ER126" s="270">
        <f t="shared" si="151"/>
        <v>0</v>
      </c>
      <c r="ES126" s="270">
        <f t="shared" si="151"/>
        <v>0</v>
      </c>
      <c r="ET126" s="270">
        <f t="shared" si="151"/>
        <v>0</v>
      </c>
      <c r="EU126" s="341"/>
      <c r="EV126" s="270">
        <f t="shared" si="151"/>
        <v>2.2277586206896557E-2</v>
      </c>
      <c r="EW126" s="270">
        <f t="shared" si="151"/>
        <v>1.4788505747126438E-2</v>
      </c>
      <c r="EX126" s="270">
        <f t="shared" si="151"/>
        <v>2.6436781609195398E-3</v>
      </c>
      <c r="EY126" s="1283">
        <f t="shared" si="151"/>
        <v>1.2787356321839081E-3</v>
      </c>
      <c r="EZ126" s="1224">
        <f t="shared" si="151"/>
        <v>3.3223988005996991E-2</v>
      </c>
      <c r="FA126" s="270">
        <f t="shared" si="151"/>
        <v>7.5844109195402298E-2</v>
      </c>
      <c r="FB126" s="270">
        <f t="shared" si="151"/>
        <v>8.2455882352941212E-2</v>
      </c>
      <c r="FC126" s="270">
        <f t="shared" si="151"/>
        <v>4.8532758620689648E-2</v>
      </c>
      <c r="FD126" s="270">
        <f t="shared" si="151"/>
        <v>5.3893390804597707E-2</v>
      </c>
      <c r="FE126" s="270">
        <f t="shared" si="151"/>
        <v>5.4597988505747153E-2</v>
      </c>
      <c r="FF126" s="270">
        <f t="shared" si="151"/>
        <v>1.5452586206896546E-2</v>
      </c>
      <c r="FG126" s="270">
        <f t="shared" si="151"/>
        <v>2.751939655172414E-2</v>
      </c>
      <c r="FH126" s="1283">
        <f t="shared" si="151"/>
        <v>6.9821336206896567E-2</v>
      </c>
      <c r="FI126" s="1224">
        <f t="shared" si="151"/>
        <v>0</v>
      </c>
      <c r="FJ126" s="270">
        <f t="shared" si="151"/>
        <v>0</v>
      </c>
      <c r="FK126" s="270">
        <f t="shared" si="151"/>
        <v>0</v>
      </c>
      <c r="FL126" s="270"/>
      <c r="FM126" s="270"/>
      <c r="FN126" s="1283"/>
      <c r="FO126" s="1224"/>
      <c r="FP126" s="270"/>
      <c r="FQ126" s="270"/>
      <c r="FR126" s="270"/>
      <c r="FS126" s="270"/>
      <c r="FT126" s="270"/>
      <c r="FU126" s="270"/>
      <c r="FV126" s="270"/>
      <c r="FW126" s="270"/>
      <c r="FX126" s="1" t="s">
        <v>139</v>
      </c>
    </row>
    <row r="127" spans="3:180" x14ac:dyDescent="0.35">
      <c r="BL127" s="267"/>
      <c r="BM127" s="267"/>
      <c r="CZ127" s="241"/>
      <c r="DA127" s="1496"/>
      <c r="DB127" s="1487"/>
      <c r="DC127" s="241"/>
      <c r="DD127" s="241"/>
      <c r="DR127" s="241" t="s">
        <v>372</v>
      </c>
      <c r="DS127" s="251">
        <f>DS$110-DS$120</f>
        <v>0.61181249999999965</v>
      </c>
      <c r="DT127" s="251">
        <f t="shared" ref="DT127:FK127" si="152">DT$110-DT$120</f>
        <v>0.56437888888888876</v>
      </c>
      <c r="DU127" s="251">
        <f t="shared" si="152"/>
        <v>0.14512069444444442</v>
      </c>
      <c r="DV127" s="1267">
        <f t="shared" si="152"/>
        <v>0.150399375</v>
      </c>
      <c r="DW127" s="1212">
        <f t="shared" si="152"/>
        <v>0.16288289855072458</v>
      </c>
      <c r="DX127" s="251">
        <f t="shared" si="152"/>
        <v>0.17558333333333331</v>
      </c>
      <c r="DY127" s="251">
        <f t="shared" si="152"/>
        <v>0.18569195652173909</v>
      </c>
      <c r="DZ127" s="251">
        <f t="shared" si="152"/>
        <v>0.18195236111111102</v>
      </c>
      <c r="EA127" s="251">
        <f t="shared" si="152"/>
        <v>0.17459215277777773</v>
      </c>
      <c r="EB127" s="251">
        <f t="shared" si="152"/>
        <v>0.19963333333333333</v>
      </c>
      <c r="EC127" s="251">
        <f t="shared" si="152"/>
        <v>0.18875999999999993</v>
      </c>
      <c r="ED127" s="251">
        <f t="shared" si="152"/>
        <v>0.18793833333333332</v>
      </c>
      <c r="EE127" s="1267">
        <f t="shared" si="152"/>
        <v>0.185453125</v>
      </c>
      <c r="EF127" s="1212">
        <f t="shared" si="152"/>
        <v>0</v>
      </c>
      <c r="EG127" s="251">
        <f t="shared" si="152"/>
        <v>0</v>
      </c>
      <c r="EH127" s="251">
        <f t="shared" si="152"/>
        <v>0</v>
      </c>
      <c r="EI127" s="270">
        <f t="shared" si="152"/>
        <v>0</v>
      </c>
      <c r="EJ127" s="270">
        <f t="shared" si="152"/>
        <v>0</v>
      </c>
      <c r="EK127" s="1283">
        <f t="shared" si="152"/>
        <v>0</v>
      </c>
      <c r="EL127" s="1224">
        <f t="shared" si="152"/>
        <v>0</v>
      </c>
      <c r="EM127" s="270">
        <f t="shared" si="152"/>
        <v>0</v>
      </c>
      <c r="EN127" s="270">
        <f t="shared" si="152"/>
        <v>0</v>
      </c>
      <c r="EO127" s="270">
        <f t="shared" si="152"/>
        <v>0</v>
      </c>
      <c r="EP127" s="270">
        <f t="shared" si="152"/>
        <v>0</v>
      </c>
      <c r="EQ127" s="270">
        <f t="shared" si="152"/>
        <v>0</v>
      </c>
      <c r="ER127" s="270">
        <f t="shared" si="152"/>
        <v>0</v>
      </c>
      <c r="ES127" s="270">
        <f t="shared" si="152"/>
        <v>0</v>
      </c>
      <c r="ET127" s="270">
        <f t="shared" si="152"/>
        <v>0</v>
      </c>
      <c r="EU127" s="341"/>
      <c r="EV127" s="270">
        <f t="shared" si="152"/>
        <v>2.6827500000000004E-2</v>
      </c>
      <c r="EW127" s="270">
        <f t="shared" si="152"/>
        <v>1.5189027777777767E-2</v>
      </c>
      <c r="EX127" s="270">
        <f t="shared" si="152"/>
        <v>2.7152777777777783E-3</v>
      </c>
      <c r="EY127" s="1283">
        <f t="shared" si="152"/>
        <v>1.6996527777777774E-3</v>
      </c>
      <c r="EZ127" s="1224">
        <f t="shared" si="152"/>
        <v>5.4865724637681135E-2</v>
      </c>
      <c r="FA127" s="270">
        <f t="shared" si="152"/>
        <v>8.2256944444444424E-2</v>
      </c>
      <c r="FB127" s="270">
        <f t="shared" si="152"/>
        <v>8.8563725490196088E-2</v>
      </c>
      <c r="FC127" s="270">
        <f t="shared" si="152"/>
        <v>9.9694375000000002E-2</v>
      </c>
      <c r="FD127" s="270">
        <f t="shared" si="152"/>
        <v>7.4717986111111079E-2</v>
      </c>
      <c r="FE127" s="270">
        <f t="shared" si="152"/>
        <v>9.047666666666665E-2</v>
      </c>
      <c r="FF127" s="270">
        <f t="shared" si="152"/>
        <v>3.3194444444444443E-2</v>
      </c>
      <c r="FG127" s="270">
        <f t="shared" si="152"/>
        <v>5.4977638888888902E-2</v>
      </c>
      <c r="FH127" s="1283">
        <f t="shared" si="152"/>
        <v>9.7650833333333353E-2</v>
      </c>
      <c r="FI127" s="1224">
        <f t="shared" si="152"/>
        <v>0</v>
      </c>
      <c r="FJ127" s="270">
        <f t="shared" si="152"/>
        <v>0</v>
      </c>
      <c r="FK127" s="270">
        <f t="shared" si="152"/>
        <v>0</v>
      </c>
      <c r="FL127" s="270"/>
      <c r="FM127" s="270"/>
      <c r="FN127" s="1283"/>
      <c r="FO127" s="1224"/>
      <c r="FP127" s="270"/>
      <c r="FQ127" s="270"/>
      <c r="FR127" s="270"/>
      <c r="FS127" s="270"/>
      <c r="FT127" s="270"/>
      <c r="FU127" s="270"/>
      <c r="FV127" s="270"/>
      <c r="FW127" s="270"/>
      <c r="FX127" s="1" t="s">
        <v>140</v>
      </c>
    </row>
    <row r="128" spans="3:180" x14ac:dyDescent="0.35">
      <c r="CZ128" s="241"/>
      <c r="DA128" s="1496"/>
      <c r="DB128" s="1487"/>
      <c r="DC128" s="241"/>
      <c r="DD128" s="241"/>
      <c r="DR128" s="241" t="s">
        <v>373</v>
      </c>
      <c r="DS128" s="251">
        <f>DS$111-DS$121</f>
        <v>0.31769011627906973</v>
      </c>
      <c r="DT128" s="251">
        <f t="shared" ref="DT128:FK128" si="153">DT$111-DT$121</f>
        <v>0.23096635658914733</v>
      </c>
      <c r="DU128" s="251">
        <f t="shared" si="153"/>
        <v>0.10157895348837209</v>
      </c>
      <c r="DV128" s="1267">
        <f t="shared" si="153"/>
        <v>0.1022649127906976</v>
      </c>
      <c r="DW128" s="1212">
        <f t="shared" si="153"/>
        <v>6.8151617795753239E-2</v>
      </c>
      <c r="DX128" s="251">
        <f t="shared" si="153"/>
        <v>8.2366666666666644E-2</v>
      </c>
      <c r="DY128" s="251">
        <f t="shared" si="153"/>
        <v>8.9825429726996919E-2</v>
      </c>
      <c r="DZ128" s="251">
        <f t="shared" si="153"/>
        <v>8.8244224806201532E-2</v>
      </c>
      <c r="EA128" s="251">
        <f t="shared" si="153"/>
        <v>8.4674631782945708E-2</v>
      </c>
      <c r="EB128" s="251">
        <f t="shared" si="153"/>
        <v>9.2957829457364305E-2</v>
      </c>
      <c r="EC128" s="251">
        <f t="shared" si="153"/>
        <v>9.6248372093023227E-2</v>
      </c>
      <c r="ED128" s="251">
        <f t="shared" si="153"/>
        <v>9.6094127906976745E-2</v>
      </c>
      <c r="EE128" s="1267">
        <f t="shared" si="153"/>
        <v>9.3990261627906968E-2</v>
      </c>
      <c r="EF128" s="1212">
        <f t="shared" si="153"/>
        <v>0</v>
      </c>
      <c r="EG128" s="251">
        <f t="shared" si="153"/>
        <v>0</v>
      </c>
      <c r="EH128" s="251">
        <f t="shared" si="153"/>
        <v>0</v>
      </c>
      <c r="EI128" s="270">
        <f t="shared" si="153"/>
        <v>0</v>
      </c>
      <c r="EJ128" s="270">
        <f t="shared" si="153"/>
        <v>0</v>
      </c>
      <c r="EK128" s="1283">
        <f t="shared" si="153"/>
        <v>0</v>
      </c>
      <c r="EL128" s="1224">
        <f t="shared" si="153"/>
        <v>0</v>
      </c>
      <c r="EM128" s="270">
        <f t="shared" si="153"/>
        <v>0</v>
      </c>
      <c r="EN128" s="270">
        <f t="shared" si="153"/>
        <v>0</v>
      </c>
      <c r="EO128" s="270">
        <f t="shared" si="153"/>
        <v>0</v>
      </c>
      <c r="EP128" s="270">
        <f t="shared" si="153"/>
        <v>0</v>
      </c>
      <c r="EQ128" s="270">
        <f t="shared" si="153"/>
        <v>0</v>
      </c>
      <c r="ER128" s="270">
        <f t="shared" si="153"/>
        <v>0</v>
      </c>
      <c r="ES128" s="270">
        <f t="shared" si="153"/>
        <v>0</v>
      </c>
      <c r="ET128" s="270">
        <f t="shared" si="153"/>
        <v>0</v>
      </c>
      <c r="EU128" s="341"/>
      <c r="EV128" s="270">
        <f t="shared" si="153"/>
        <v>1.6756046511627903E-2</v>
      </c>
      <c r="EW128" s="270">
        <f t="shared" si="153"/>
        <v>9.5996317829457334E-3</v>
      </c>
      <c r="EX128" s="270">
        <f t="shared" si="153"/>
        <v>1.7160852713178285E-3</v>
      </c>
      <c r="EY128" s="1283">
        <f t="shared" si="153"/>
        <v>1.8110465116279069E-3</v>
      </c>
      <c r="EZ128" s="1224">
        <f t="shared" si="153"/>
        <v>6.4046319514661276E-2</v>
      </c>
      <c r="FA128" s="270">
        <f t="shared" si="153"/>
        <v>6.8117732558139521E-2</v>
      </c>
      <c r="FB128" s="270">
        <f t="shared" si="153"/>
        <v>6.5743119015047868E-2</v>
      </c>
      <c r="FC128" s="270">
        <f t="shared" si="153"/>
        <v>0.13174386627906975</v>
      </c>
      <c r="FD128" s="270">
        <f t="shared" si="153"/>
        <v>7.8336715116279043E-2</v>
      </c>
      <c r="FE128" s="270">
        <f t="shared" si="153"/>
        <v>9.2054748062015468E-2</v>
      </c>
      <c r="FF128" s="270">
        <f t="shared" si="153"/>
        <v>6.4844961240310084E-2</v>
      </c>
      <c r="FG128" s="270">
        <f t="shared" si="153"/>
        <v>8.314697674418603E-2</v>
      </c>
      <c r="FH128" s="1283">
        <f t="shared" si="153"/>
        <v>9.678252906976742E-2</v>
      </c>
      <c r="FI128" s="1224">
        <f t="shared" si="153"/>
        <v>0</v>
      </c>
      <c r="FJ128" s="270">
        <f t="shared" si="153"/>
        <v>0</v>
      </c>
      <c r="FK128" s="270">
        <f t="shared" si="153"/>
        <v>0</v>
      </c>
      <c r="FL128" s="270"/>
      <c r="FM128" s="270"/>
      <c r="FN128" s="1283"/>
      <c r="FO128" s="1224"/>
      <c r="FP128" s="270"/>
      <c r="FQ128" s="270"/>
      <c r="FR128" s="270"/>
      <c r="FS128" s="270"/>
      <c r="FT128" s="270"/>
      <c r="FU128" s="270"/>
      <c r="FV128" s="270"/>
      <c r="FW128" s="270"/>
      <c r="FX128" s="1" t="s">
        <v>141</v>
      </c>
    </row>
    <row r="129" spans="3:180" x14ac:dyDescent="0.35">
      <c r="CZ129" s="241"/>
      <c r="DA129" s="1496"/>
      <c r="DB129" s="1487"/>
      <c r="DC129" s="241"/>
      <c r="DD129" s="241"/>
      <c r="DR129" s="241" t="s">
        <v>406</v>
      </c>
      <c r="DS129" s="251">
        <f>DS$112-DS$122</f>
        <v>0.2420982558139535</v>
      </c>
      <c r="DT129" s="251">
        <f t="shared" ref="DT129:FK129" si="154">DT$112-DT$122</f>
        <v>0.44449131782945717</v>
      </c>
      <c r="DU129" s="251">
        <f t="shared" si="154"/>
        <v>9.892329457364335E-2</v>
      </c>
      <c r="DV129" s="1267">
        <f t="shared" si="154"/>
        <v>4.730168604651161E-2</v>
      </c>
      <c r="DW129" s="1212">
        <f t="shared" si="154"/>
        <v>4.4019241658240643E-2</v>
      </c>
      <c r="DX129" s="251">
        <f t="shared" si="154"/>
        <v>3.9899999999999991E-2</v>
      </c>
      <c r="DY129" s="251">
        <f t="shared" si="154"/>
        <v>4.3313083923154666E-2</v>
      </c>
      <c r="DZ129" s="251">
        <f t="shared" si="154"/>
        <v>2.8100116279069748E-2</v>
      </c>
      <c r="EA129" s="251">
        <f t="shared" si="154"/>
        <v>2.6963430232558122E-2</v>
      </c>
      <c r="EB129" s="251">
        <f t="shared" si="154"/>
        <v>6.8675968992248038E-2</v>
      </c>
      <c r="EC129" s="251">
        <f t="shared" si="154"/>
        <v>7.3900465116279068E-2</v>
      </c>
      <c r="ED129" s="251">
        <f t="shared" si="154"/>
        <v>8.2656162790697651E-2</v>
      </c>
      <c r="EE129" s="1267">
        <f t="shared" si="154"/>
        <v>7.4482848837209292E-2</v>
      </c>
      <c r="EF129" s="1212">
        <f t="shared" si="154"/>
        <v>0</v>
      </c>
      <c r="EG129" s="251">
        <f t="shared" si="154"/>
        <v>0</v>
      </c>
      <c r="EH129" s="251">
        <f t="shared" si="154"/>
        <v>0</v>
      </c>
      <c r="EI129" s="270">
        <f t="shared" si="154"/>
        <v>0</v>
      </c>
      <c r="EJ129" s="270">
        <f t="shared" si="154"/>
        <v>0</v>
      </c>
      <c r="EK129" s="1283">
        <f t="shared" si="154"/>
        <v>0</v>
      </c>
      <c r="EL129" s="1224">
        <f t="shared" si="154"/>
        <v>0</v>
      </c>
      <c r="EM129" s="270">
        <f t="shared" si="154"/>
        <v>0</v>
      </c>
      <c r="EN129" s="270">
        <f t="shared" si="154"/>
        <v>0</v>
      </c>
      <c r="EO129" s="270">
        <f t="shared" si="154"/>
        <v>0</v>
      </c>
      <c r="EP129" s="270">
        <f t="shared" si="154"/>
        <v>0</v>
      </c>
      <c r="EQ129" s="270">
        <f t="shared" si="154"/>
        <v>0</v>
      </c>
      <c r="ER129" s="270">
        <f t="shared" si="154"/>
        <v>0</v>
      </c>
      <c r="ES129" s="270">
        <f t="shared" si="154"/>
        <v>0</v>
      </c>
      <c r="ET129" s="270">
        <f t="shared" si="154"/>
        <v>0</v>
      </c>
      <c r="EU129" s="341"/>
      <c r="EV129" s="270">
        <f t="shared" si="154"/>
        <v>7.4867441860465081E-3</v>
      </c>
      <c r="EW129" s="270">
        <f t="shared" si="154"/>
        <v>1.0472325581395346E-2</v>
      </c>
      <c r="EX129" s="270">
        <f t="shared" si="154"/>
        <v>1.872093023255814E-3</v>
      </c>
      <c r="EY129" s="1283">
        <f t="shared" si="154"/>
        <v>6.3386627906976759E-3</v>
      </c>
      <c r="EZ129" s="1224">
        <f t="shared" si="154"/>
        <v>0.12025023255813949</v>
      </c>
      <c r="FA129" s="270">
        <f t="shared" si="154"/>
        <v>0.12226259689922481</v>
      </c>
      <c r="FB129" s="270">
        <f t="shared" si="154"/>
        <v>0.10899517099863198</v>
      </c>
      <c r="FC129" s="270">
        <f t="shared" si="154"/>
        <v>8.5919912790697661E-2</v>
      </c>
      <c r="FD129" s="270">
        <f t="shared" si="154"/>
        <v>7.0302180232558131E-2</v>
      </c>
      <c r="FE129" s="270">
        <f t="shared" si="154"/>
        <v>9.7578032945736415E-2</v>
      </c>
      <c r="FF129" s="270">
        <f t="shared" si="154"/>
        <v>7.7813953488372056E-2</v>
      </c>
      <c r="FG129" s="270">
        <f t="shared" si="154"/>
        <v>0.14204275193798443</v>
      </c>
      <c r="FH129" s="1283">
        <f t="shared" si="154"/>
        <v>0.13044601744186046</v>
      </c>
      <c r="FI129" s="1224">
        <f t="shared" si="154"/>
        <v>0</v>
      </c>
      <c r="FJ129" s="270">
        <f t="shared" si="154"/>
        <v>0</v>
      </c>
      <c r="FK129" s="270">
        <f t="shared" si="154"/>
        <v>0</v>
      </c>
      <c r="FL129" s="270"/>
      <c r="FM129" s="270"/>
      <c r="FN129" s="1283"/>
      <c r="FO129" s="1224"/>
      <c r="FP129" s="270"/>
      <c r="FQ129" s="270"/>
      <c r="FR129" s="270"/>
      <c r="FS129" s="270"/>
      <c r="FT129" s="270"/>
      <c r="FU129" s="270"/>
      <c r="FV129" s="270"/>
      <c r="FW129" s="270"/>
      <c r="FX129" s="1" t="s">
        <v>347</v>
      </c>
    </row>
    <row r="130" spans="3:180" ht="15" thickBot="1" x14ac:dyDescent="0.4">
      <c r="C130"/>
      <c r="D130"/>
      <c r="E130"/>
      <c r="F130" s="1047"/>
      <c r="G130" s="225"/>
      <c r="H130" s="225"/>
      <c r="I130" s="1269"/>
      <c r="J130" s="1214"/>
      <c r="K130" s="225"/>
      <c r="L130" s="225"/>
      <c r="M130" s="225"/>
      <c r="N130" s="225"/>
      <c r="O130" s="225"/>
      <c r="P130" s="225"/>
      <c r="Q130" s="225"/>
      <c r="R130" s="1269"/>
      <c r="S130" s="1214"/>
      <c r="T130" s="225"/>
      <c r="U130" s="225"/>
      <c r="V130" s="225"/>
      <c r="W130" s="225"/>
      <c r="X130" s="1269"/>
      <c r="Y130" s="1214"/>
      <c r="Z130" s="225"/>
      <c r="AA130" s="225"/>
      <c r="AB130" s="225"/>
      <c r="AC130" s="225"/>
      <c r="AD130" s="225"/>
      <c r="AE130" s="225"/>
      <c r="AF130" s="225"/>
      <c r="AG130" s="225"/>
      <c r="AH130" s="344"/>
      <c r="AI130" s="225"/>
      <c r="AJ130" s="225"/>
      <c r="AK130" s="225"/>
      <c r="AL130" s="1269"/>
      <c r="AM130" s="1214"/>
      <c r="AN130" s="225"/>
      <c r="AO130" s="225"/>
      <c r="AP130" s="225"/>
      <c r="AQ130" s="225"/>
      <c r="AR130" s="225"/>
      <c r="AS130" s="225"/>
      <c r="AT130" s="225"/>
      <c r="AU130" s="1269"/>
      <c r="AV130" s="1214"/>
      <c r="AW130" s="225"/>
      <c r="AX130" s="225"/>
      <c r="AY130" s="225"/>
      <c r="AZ130" s="225"/>
      <c r="BA130" s="1269"/>
      <c r="BB130" s="1214"/>
      <c r="BC130" s="225"/>
      <c r="BD130" s="225"/>
      <c r="BE130" s="225"/>
      <c r="BF130" s="225"/>
      <c r="BG130" s="225"/>
      <c r="BH130" s="225"/>
      <c r="BI130" s="225"/>
      <c r="BJ130" s="225"/>
      <c r="BK130" s="344"/>
      <c r="BL130" s="225"/>
      <c r="BM130" s="225"/>
      <c r="BN130" s="225"/>
      <c r="BO130" s="1269"/>
      <c r="BP130" s="1214"/>
      <c r="BQ130" s="225"/>
      <c r="BR130" s="225"/>
      <c r="BS130" s="225"/>
      <c r="BT130" s="225"/>
      <c r="BU130" s="225"/>
      <c r="BV130" s="225"/>
      <c r="BW130" s="225"/>
      <c r="BX130" s="1269"/>
      <c r="BY130" s="1214"/>
      <c r="BZ130" s="225"/>
      <c r="CA130" s="225"/>
      <c r="CB130" s="225"/>
      <c r="CC130" s="225"/>
      <c r="CD130" s="1269"/>
      <c r="CE130" s="1214"/>
      <c r="CF130" s="225"/>
      <c r="CG130" s="225"/>
      <c r="CH130" s="225"/>
      <c r="CI130" s="225"/>
      <c r="CJ130" s="225"/>
      <c r="CK130" s="225"/>
      <c r="CL130" s="225"/>
      <c r="CM130" s="225"/>
      <c r="CN130" s="344"/>
      <c r="CO130" s="225"/>
      <c r="CP130" s="225"/>
      <c r="CQ130" s="225"/>
      <c r="CR130" s="1269"/>
      <c r="CS130" s="1214"/>
      <c r="CT130" s="225"/>
      <c r="CU130" s="225"/>
      <c r="CV130" s="225"/>
      <c r="CW130" s="225"/>
      <c r="CX130" s="225"/>
      <c r="CY130" s="351"/>
      <c r="CZ130" s="351"/>
      <c r="DA130" s="1498"/>
      <c r="DB130" s="1489"/>
      <c r="DC130" s="351"/>
      <c r="DD130" s="351"/>
      <c r="DE130" s="225"/>
      <c r="DF130" s="225"/>
      <c r="DG130" s="1269"/>
      <c r="DH130" s="1214"/>
      <c r="DI130" s="225"/>
      <c r="DJ130" s="225"/>
      <c r="DK130" s="225"/>
      <c r="DL130" s="225"/>
      <c r="DM130" s="225"/>
      <c r="DN130" s="225"/>
      <c r="DO130" s="225"/>
      <c r="DP130" s="225"/>
      <c r="DQ130" s="344"/>
      <c r="DR130" s="345"/>
      <c r="DS130" s="405"/>
      <c r="DT130" s="405"/>
      <c r="DU130" s="405"/>
      <c r="DV130" s="1559"/>
      <c r="DW130" s="897"/>
      <c r="DX130" s="405"/>
      <c r="DY130" s="405"/>
      <c r="DZ130" s="405"/>
      <c r="EA130" s="405"/>
      <c r="EB130" s="405"/>
      <c r="EC130" s="405"/>
      <c r="ED130" s="405"/>
      <c r="EE130" s="1559"/>
      <c r="EF130" s="897"/>
      <c r="EG130" s="405"/>
      <c r="EH130" s="405"/>
      <c r="EI130" s="405"/>
      <c r="EJ130" s="405"/>
      <c r="EK130" s="1559"/>
      <c r="EL130" s="897"/>
      <c r="EM130" s="405"/>
      <c r="EN130" s="405"/>
      <c r="EO130" s="405"/>
      <c r="EP130" s="405"/>
      <c r="EQ130" s="405"/>
      <c r="ER130" s="405"/>
      <c r="ES130" s="405"/>
      <c r="ET130" s="405"/>
      <c r="EU130" s="344"/>
      <c r="EV130" s="405"/>
      <c r="EW130" s="405"/>
      <c r="EX130" s="405"/>
      <c r="EY130" s="1559"/>
      <c r="EZ130" s="897"/>
      <c r="FA130" s="405"/>
      <c r="FB130" s="405"/>
      <c r="FC130" s="405"/>
      <c r="FD130" s="405"/>
      <c r="FE130" s="405"/>
      <c r="FF130" s="405"/>
      <c r="FG130" s="405"/>
      <c r="FH130" s="1559"/>
      <c r="FI130" s="1214"/>
      <c r="FJ130" s="403"/>
      <c r="FK130" s="225"/>
      <c r="FL130" s="225"/>
      <c r="FM130" s="225"/>
      <c r="FN130" s="1269"/>
      <c r="FO130" s="1214"/>
      <c r="FP130" s="225"/>
      <c r="FQ130" s="225"/>
      <c r="FR130" s="225"/>
      <c r="FS130" s="225"/>
      <c r="FT130" s="225"/>
      <c r="FU130" s="225"/>
      <c r="FV130" s="225"/>
      <c r="FW130" s="225"/>
    </row>
    <row r="131" spans="3:180" s="377" customFormat="1" ht="15" thickTop="1" x14ac:dyDescent="0.35">
      <c r="F131" s="887"/>
      <c r="G131" s="347"/>
      <c r="H131" s="347"/>
      <c r="I131" s="1278"/>
      <c r="J131" s="1222"/>
      <c r="K131" s="347"/>
      <c r="L131" s="347"/>
      <c r="M131" s="347"/>
      <c r="N131" s="347"/>
      <c r="O131" s="347"/>
      <c r="P131" s="347"/>
      <c r="Q131" s="347"/>
      <c r="R131" s="1278"/>
      <c r="S131" s="1222"/>
      <c r="T131" s="347"/>
      <c r="U131" s="347"/>
      <c r="V131" s="347"/>
      <c r="W131" s="347"/>
      <c r="X131" s="1278"/>
      <c r="Y131" s="1222"/>
      <c r="Z131" s="347"/>
      <c r="AA131" s="347"/>
      <c r="AB131" s="347"/>
      <c r="AC131" s="347"/>
      <c r="AD131" s="347"/>
      <c r="AE131" s="347"/>
      <c r="AF131" s="347"/>
      <c r="AG131" s="347"/>
      <c r="AH131" s="352"/>
      <c r="AI131" s="347"/>
      <c r="AJ131" s="347"/>
      <c r="AK131" s="347"/>
      <c r="AL131" s="1278"/>
      <c r="AM131" s="1222"/>
      <c r="AN131" s="347"/>
      <c r="AO131" s="347"/>
      <c r="AP131" s="347"/>
      <c r="AQ131" s="347"/>
      <c r="AR131" s="347"/>
      <c r="AS131" s="347"/>
      <c r="AT131" s="347"/>
      <c r="AU131" s="1278"/>
      <c r="AV131" s="1222"/>
      <c r="AW131" s="347"/>
      <c r="AX131" s="347"/>
      <c r="AY131" s="347"/>
      <c r="AZ131" s="347"/>
      <c r="BA131" s="1278"/>
      <c r="BB131" s="1222"/>
      <c r="BC131" s="347"/>
      <c r="BD131" s="347"/>
      <c r="BE131" s="347"/>
      <c r="BF131" s="347"/>
      <c r="BG131" s="347"/>
      <c r="BH131" s="347"/>
      <c r="BI131" s="347"/>
      <c r="BJ131" s="347"/>
      <c r="BK131" s="352"/>
      <c r="BL131" s="347"/>
      <c r="BM131" s="347"/>
      <c r="BN131" s="347"/>
      <c r="BO131" s="1278"/>
      <c r="BP131" s="1222"/>
      <c r="BQ131" s="347"/>
      <c r="BR131" s="347"/>
      <c r="BS131" s="347"/>
      <c r="BT131" s="347"/>
      <c r="BU131" s="347"/>
      <c r="BV131" s="347"/>
      <c r="BW131" s="347"/>
      <c r="BX131" s="1278"/>
      <c r="BY131" s="1222"/>
      <c r="BZ131" s="347"/>
      <c r="CA131" s="347"/>
      <c r="CB131" s="347"/>
      <c r="CC131" s="347"/>
      <c r="CD131" s="1278"/>
      <c r="CE131" s="1222"/>
      <c r="CF131" s="347"/>
      <c r="CG131" s="347"/>
      <c r="CH131" s="347"/>
      <c r="CI131" s="347"/>
      <c r="CJ131" s="347"/>
      <c r="CK131" s="347"/>
      <c r="CL131" s="347"/>
      <c r="CM131" s="347"/>
      <c r="CN131" s="352"/>
      <c r="CO131" s="347"/>
      <c r="CP131" s="347"/>
      <c r="CQ131" s="347"/>
      <c r="CR131" s="1278"/>
      <c r="CS131" s="1222"/>
      <c r="CT131" s="347"/>
      <c r="CU131" s="347"/>
      <c r="CV131" s="347"/>
      <c r="CW131" s="347"/>
      <c r="CX131" s="347"/>
      <c r="CY131" s="348"/>
      <c r="CZ131" s="348"/>
      <c r="DA131" s="1499"/>
      <c r="DB131" s="1490"/>
      <c r="DC131" s="348"/>
      <c r="DD131" s="348"/>
      <c r="DE131" s="347"/>
      <c r="DF131" s="347"/>
      <c r="DG131" s="1278"/>
      <c r="DH131" s="1222"/>
      <c r="DI131" s="347"/>
      <c r="DJ131" s="347"/>
      <c r="DK131" s="347"/>
      <c r="DL131" s="347"/>
      <c r="DM131" s="347"/>
      <c r="DN131" s="347"/>
      <c r="DO131" s="347"/>
      <c r="DP131" s="347"/>
      <c r="DQ131" s="352"/>
      <c r="DR131" s="355"/>
      <c r="DS131" s="406"/>
      <c r="DT131" s="406"/>
      <c r="DU131" s="406"/>
      <c r="DV131" s="1560"/>
      <c r="DW131" s="1542"/>
      <c r="DX131" s="406"/>
      <c r="DY131" s="406"/>
      <c r="DZ131" s="406"/>
      <c r="EA131" s="406"/>
      <c r="EB131" s="406"/>
      <c r="EC131" s="406"/>
      <c r="ED131" s="406"/>
      <c r="EE131" s="1560"/>
      <c r="EF131" s="1542"/>
      <c r="EG131" s="406"/>
      <c r="EH131" s="406"/>
      <c r="EI131" s="406"/>
      <c r="EJ131" s="406"/>
      <c r="EK131" s="1560"/>
      <c r="EL131" s="1542"/>
      <c r="EM131" s="406"/>
      <c r="EN131" s="406"/>
      <c r="EO131" s="406"/>
      <c r="EP131" s="406"/>
      <c r="EQ131" s="406"/>
      <c r="ER131" s="406"/>
      <c r="ES131" s="406"/>
      <c r="ET131" s="406"/>
      <c r="EU131" s="352"/>
      <c r="EV131" s="406"/>
      <c r="EW131" s="406"/>
      <c r="EX131" s="406"/>
      <c r="EY131" s="1560"/>
      <c r="EZ131" s="1542"/>
      <c r="FA131" s="406"/>
      <c r="FB131" s="406"/>
      <c r="FC131" s="406"/>
      <c r="FD131" s="406"/>
      <c r="FE131" s="406"/>
      <c r="FF131" s="406"/>
      <c r="FG131" s="406"/>
      <c r="FH131" s="1560"/>
      <c r="FI131" s="1222"/>
      <c r="FJ131" s="346"/>
      <c r="FK131" s="347"/>
      <c r="FL131" s="347"/>
      <c r="FM131" s="347"/>
      <c r="FN131" s="1278"/>
      <c r="FO131" s="1222"/>
      <c r="FP131" s="347"/>
      <c r="FQ131" s="347"/>
      <c r="FR131" s="347"/>
      <c r="FS131" s="347"/>
      <c r="FT131" s="347"/>
      <c r="FU131" s="347"/>
      <c r="FV131" s="347"/>
      <c r="FW131" s="347"/>
    </row>
    <row r="132" spans="3:180" x14ac:dyDescent="0.35">
      <c r="C132" s="444" t="s">
        <v>388</v>
      </c>
      <c r="D132" s="444"/>
      <c r="E132" s="444"/>
      <c r="F132" s="1054">
        <f>F$59</f>
        <v>330.93617021276594</v>
      </c>
      <c r="G132" s="459">
        <f t="shared" ref="G132:T132" si="155">G$59</f>
        <v>325.83333333333331</v>
      </c>
      <c r="H132" s="479">
        <f t="shared" si="155"/>
        <v>329.23076923076928</v>
      </c>
      <c r="I132" s="1279">
        <f>I$59</f>
        <v>325.39</v>
      </c>
      <c r="J132" s="645">
        <f t="shared" si="155"/>
        <v>193.66666666666666</v>
      </c>
      <c r="K132" s="945">
        <f t="shared" si="155"/>
        <v>186.56521739130434</v>
      </c>
      <c r="L132" s="945">
        <f t="shared" si="155"/>
        <v>186.6875</v>
      </c>
      <c r="M132" s="267">
        <f t="shared" si="155"/>
        <v>183.43478260869566</v>
      </c>
      <c r="N132" s="945">
        <f t="shared" si="155"/>
        <v>182.61904761904762</v>
      </c>
      <c r="O132" s="267">
        <f t="shared" si="155"/>
        <v>189.04347826086956</v>
      </c>
      <c r="P132" s="267">
        <f t="shared" si="155"/>
        <v>189.21739130434781</v>
      </c>
      <c r="Q132" s="945">
        <f t="shared" si="155"/>
        <v>186.7391304347826</v>
      </c>
      <c r="R132" s="1285">
        <f t="shared" si="155"/>
        <v>186.56521739130434</v>
      </c>
      <c r="S132" s="645">
        <f t="shared" si="155"/>
        <v>0</v>
      </c>
      <c r="T132" s="945">
        <f t="shared" si="155"/>
        <v>0</v>
      </c>
      <c r="U132" s="267">
        <f t="shared" ref="U132:AG132" si="156">U$59</f>
        <v>0</v>
      </c>
      <c r="V132" s="267">
        <f t="shared" si="156"/>
        <v>0</v>
      </c>
      <c r="W132" s="267">
        <f t="shared" si="156"/>
        <v>0</v>
      </c>
      <c r="X132" s="1285">
        <f t="shared" si="156"/>
        <v>0</v>
      </c>
      <c r="Y132" s="645">
        <f t="shared" si="156"/>
        <v>0</v>
      </c>
      <c r="Z132" s="267">
        <f t="shared" si="156"/>
        <v>0</v>
      </c>
      <c r="AA132" s="267">
        <f t="shared" si="156"/>
        <v>0</v>
      </c>
      <c r="AB132" s="267">
        <f t="shared" si="156"/>
        <v>0</v>
      </c>
      <c r="AC132" s="267">
        <f t="shared" si="156"/>
        <v>0</v>
      </c>
      <c r="AD132" s="267">
        <f t="shared" si="156"/>
        <v>0</v>
      </c>
      <c r="AE132" s="267">
        <f t="shared" si="156"/>
        <v>0</v>
      </c>
      <c r="AF132" s="267">
        <f t="shared" si="156"/>
        <v>0</v>
      </c>
      <c r="AG132" s="267">
        <f t="shared" si="156"/>
        <v>0</v>
      </c>
      <c r="AH132" s="339"/>
      <c r="AI132" s="459">
        <f t="shared" ref="AI132:DD132" si="157">AI$59</f>
        <v>0</v>
      </c>
      <c r="AJ132" s="459">
        <f t="shared" si="157"/>
        <v>1.5833333333333333</v>
      </c>
      <c r="AK132" s="459">
        <f t="shared" si="157"/>
        <v>0</v>
      </c>
      <c r="AL132" s="1483">
        <f t="shared" si="157"/>
        <v>0</v>
      </c>
      <c r="AM132" s="1471">
        <f t="shared" si="157"/>
        <v>1.9148936170212767</v>
      </c>
      <c r="AN132" s="459">
        <f t="shared" si="157"/>
        <v>1.5095000000000001</v>
      </c>
      <c r="AO132" s="459">
        <f t="shared" si="157"/>
        <v>0</v>
      </c>
      <c r="AP132" s="459">
        <f t="shared" si="157"/>
        <v>0</v>
      </c>
      <c r="AQ132" s="459">
        <f t="shared" si="157"/>
        <v>0</v>
      </c>
      <c r="AR132" s="459">
        <f t="shared" si="157"/>
        <v>0</v>
      </c>
      <c r="AS132" s="459">
        <f t="shared" si="157"/>
        <v>1.1295833333333334</v>
      </c>
      <c r="AT132" s="459">
        <f t="shared" si="157"/>
        <v>0</v>
      </c>
      <c r="AU132" s="1483">
        <f t="shared" si="157"/>
        <v>0</v>
      </c>
      <c r="AV132" s="1471">
        <f t="shared" si="157"/>
        <v>0</v>
      </c>
      <c r="AW132" s="459">
        <f t="shared" si="157"/>
        <v>0</v>
      </c>
      <c r="AX132" s="459">
        <f t="shared" si="157"/>
        <v>0</v>
      </c>
      <c r="AY132" s="459">
        <f t="shared" si="157"/>
        <v>0</v>
      </c>
      <c r="AZ132" s="459">
        <f t="shared" si="157"/>
        <v>0</v>
      </c>
      <c r="BA132" s="1483">
        <f t="shared" si="157"/>
        <v>0</v>
      </c>
      <c r="BB132" s="1471">
        <f t="shared" si="157"/>
        <v>0</v>
      </c>
      <c r="BC132" s="459">
        <f t="shared" si="157"/>
        <v>0</v>
      </c>
      <c r="BD132" s="459">
        <f t="shared" si="157"/>
        <v>0</v>
      </c>
      <c r="BE132" s="459">
        <f t="shared" si="157"/>
        <v>0</v>
      </c>
      <c r="BF132" s="459">
        <f t="shared" si="157"/>
        <v>0</v>
      </c>
      <c r="BG132" s="459">
        <f t="shared" si="157"/>
        <v>0</v>
      </c>
      <c r="BH132" s="459">
        <f t="shared" si="157"/>
        <v>0</v>
      </c>
      <c r="BI132" s="459">
        <f t="shared" si="157"/>
        <v>0</v>
      </c>
      <c r="BJ132" s="459">
        <f t="shared" si="157"/>
        <v>0</v>
      </c>
      <c r="BK132" s="339"/>
      <c r="BL132" s="479">
        <f t="shared" si="157"/>
        <v>305.70212765957444</v>
      </c>
      <c r="BM132" s="479">
        <f t="shared" si="157"/>
        <v>277.91666666666669</v>
      </c>
      <c r="BN132" s="479">
        <f t="shared" si="157"/>
        <v>293.41666666666669</v>
      </c>
      <c r="BO132" s="1597">
        <f t="shared" si="157"/>
        <v>290.16666666666669</v>
      </c>
      <c r="BP132" s="1471">
        <f t="shared" si="157"/>
        <v>146.66666666666666</v>
      </c>
      <c r="BQ132" s="459">
        <f t="shared" si="157"/>
        <v>143.11111111111111</v>
      </c>
      <c r="BR132" s="459">
        <f t="shared" si="157"/>
        <v>147.45762711864407</v>
      </c>
      <c r="BS132" s="459">
        <f t="shared" si="157"/>
        <v>144</v>
      </c>
      <c r="BT132" s="459">
        <f t="shared" si="157"/>
        <v>143.22869955156949</v>
      </c>
      <c r="BU132" s="459">
        <f t="shared" si="157"/>
        <v>147.75</v>
      </c>
      <c r="BV132" s="459">
        <f t="shared" si="157"/>
        <v>148.16666666666666</v>
      </c>
      <c r="BW132" s="459">
        <f t="shared" si="157"/>
        <v>144.5</v>
      </c>
      <c r="BX132" s="1483">
        <f t="shared" si="157"/>
        <v>146.25</v>
      </c>
      <c r="BY132" s="1471">
        <f t="shared" si="157"/>
        <v>143.5</v>
      </c>
      <c r="BZ132" s="459">
        <f t="shared" si="157"/>
        <v>0</v>
      </c>
      <c r="CA132" s="459">
        <f t="shared" si="157"/>
        <v>0</v>
      </c>
      <c r="CB132" s="459"/>
      <c r="CC132" s="459"/>
      <c r="CD132" s="1483"/>
      <c r="CE132" s="1471"/>
      <c r="CF132" s="459"/>
      <c r="CG132" s="459"/>
      <c r="CH132" s="459"/>
      <c r="CI132" s="459"/>
      <c r="CJ132" s="459"/>
      <c r="CK132" s="459"/>
      <c r="CL132" s="459"/>
      <c r="CM132" s="459"/>
      <c r="CN132" s="339"/>
      <c r="CO132" s="459">
        <f t="shared" si="157"/>
        <v>0</v>
      </c>
      <c r="CP132" s="459">
        <f t="shared" si="157"/>
        <v>14.083333333333334</v>
      </c>
      <c r="CQ132" s="459">
        <f t="shared" si="157"/>
        <v>8</v>
      </c>
      <c r="CR132" s="1483">
        <f t="shared" si="157"/>
        <v>11.333333333333334</v>
      </c>
      <c r="CS132" s="1471">
        <f t="shared" si="157"/>
        <v>16.333333333333332</v>
      </c>
      <c r="CT132" s="459">
        <f t="shared" si="157"/>
        <v>18.583333333333332</v>
      </c>
      <c r="CU132" s="459">
        <f t="shared" si="157"/>
        <v>21.882352941176471</v>
      </c>
      <c r="CV132" s="459">
        <f t="shared" si="157"/>
        <v>16.25</v>
      </c>
      <c r="CW132" s="459">
        <f t="shared" si="157"/>
        <v>16.927899686520377</v>
      </c>
      <c r="CX132" s="459">
        <f t="shared" si="157"/>
        <v>18.166666666666668</v>
      </c>
      <c r="CY132" s="459">
        <f t="shared" si="157"/>
        <v>14.5</v>
      </c>
      <c r="CZ132" s="459">
        <f t="shared" si="157"/>
        <v>16.5</v>
      </c>
      <c r="DA132" s="1483">
        <f t="shared" si="157"/>
        <v>15</v>
      </c>
      <c r="DB132" s="1471">
        <f t="shared" si="157"/>
        <v>0</v>
      </c>
      <c r="DC132" s="459">
        <f t="shared" si="157"/>
        <v>0</v>
      </c>
      <c r="DD132" s="459">
        <f t="shared" si="157"/>
        <v>0</v>
      </c>
      <c r="DE132" s="459"/>
      <c r="DF132" s="459"/>
      <c r="DG132" s="1483"/>
      <c r="DH132" s="1471"/>
      <c r="DI132" s="459"/>
      <c r="DJ132" s="459"/>
      <c r="DK132" s="459"/>
      <c r="DL132" s="459"/>
      <c r="DM132" s="459"/>
      <c r="DN132" s="459"/>
      <c r="DO132" s="459"/>
      <c r="DP132" s="459"/>
      <c r="DQ132" s="339"/>
      <c r="DR132" s="459"/>
      <c r="DS132" s="459">
        <f>SUM(DS$107:DS$112)</f>
        <v>16.1142</v>
      </c>
      <c r="DT132" s="459">
        <f t="shared" ref="DT132:ET132" si="158">SUM(DT$107:DT$112)</f>
        <v>17.269020000000001</v>
      </c>
      <c r="DU132" s="459">
        <f>SUM(DU$107:DU$112)</f>
        <v>5.605669166666666</v>
      </c>
      <c r="DV132" s="1483">
        <f t="shared" si="158"/>
        <v>5.4921350000000011</v>
      </c>
      <c r="DW132" s="1471">
        <f t="shared" si="158"/>
        <v>6.8726517391304345</v>
      </c>
      <c r="DX132" s="459">
        <f t="shared" si="158"/>
        <v>7.1523333333333339</v>
      </c>
      <c r="DY132" s="459">
        <f t="shared" si="158"/>
        <v>7.2654182608695645</v>
      </c>
      <c r="DZ132" s="459">
        <f t="shared" si="158"/>
        <v>7.2346883333333336</v>
      </c>
      <c r="EA132" s="459">
        <f t="shared" si="158"/>
        <v>6.9420358333333336</v>
      </c>
      <c r="EB132" s="459">
        <f t="shared" si="158"/>
        <v>7.5514133333333335</v>
      </c>
      <c r="EC132" s="459">
        <f t="shared" si="158"/>
        <v>7.7438399999999996</v>
      </c>
      <c r="ED132" s="459">
        <f t="shared" si="158"/>
        <v>7.6956075000000004</v>
      </c>
      <c r="EE132" s="1483">
        <f t="shared" si="158"/>
        <v>7.6256249999999994</v>
      </c>
      <c r="EF132" s="1471">
        <f t="shared" si="158"/>
        <v>0</v>
      </c>
      <c r="EG132" s="459">
        <f t="shared" si="158"/>
        <v>0</v>
      </c>
      <c r="EH132" s="459">
        <f t="shared" si="158"/>
        <v>0</v>
      </c>
      <c r="EI132" s="459">
        <f t="shared" si="158"/>
        <v>0</v>
      </c>
      <c r="EJ132" s="459">
        <f t="shared" si="158"/>
        <v>0</v>
      </c>
      <c r="EK132" s="1483">
        <f t="shared" si="158"/>
        <v>0</v>
      </c>
      <c r="EL132" s="1471">
        <f t="shared" si="158"/>
        <v>0</v>
      </c>
      <c r="EM132" s="459">
        <f t="shared" si="158"/>
        <v>0</v>
      </c>
      <c r="EN132" s="459">
        <f t="shared" si="158"/>
        <v>0</v>
      </c>
      <c r="EO132" s="459">
        <f t="shared" si="158"/>
        <v>0</v>
      </c>
      <c r="EP132" s="459">
        <f t="shared" si="158"/>
        <v>0</v>
      </c>
      <c r="EQ132" s="459">
        <f t="shared" si="158"/>
        <v>0</v>
      </c>
      <c r="ER132" s="459">
        <f t="shared" si="158"/>
        <v>0</v>
      </c>
      <c r="ES132" s="459">
        <f t="shared" si="158"/>
        <v>0</v>
      </c>
      <c r="ET132" s="459">
        <f t="shared" si="158"/>
        <v>0</v>
      </c>
      <c r="EU132" s="339"/>
      <c r="EV132" s="459">
        <f>SUM(EV$107:EV$112)</f>
        <v>0.57925500000000008</v>
      </c>
      <c r="EW132" s="459">
        <f t="shared" ref="EW132:FK132" si="159">SUM(EW$107:EW$112)</f>
        <v>0.39134083333333325</v>
      </c>
      <c r="EX132" s="459">
        <f t="shared" si="159"/>
        <v>6.9958333333333331E-2</v>
      </c>
      <c r="EY132" s="1483">
        <f t="shared" si="159"/>
        <v>7.5093750000000001E-2</v>
      </c>
      <c r="EZ132" s="1471">
        <f t="shared" si="159"/>
        <v>1.8306417391304346</v>
      </c>
      <c r="FA132" s="459">
        <f t="shared" si="159"/>
        <v>2.5750000000000002</v>
      </c>
      <c r="FB132" s="459">
        <f t="shared" si="159"/>
        <v>2.5931458823529412</v>
      </c>
      <c r="FC132" s="459">
        <f t="shared" si="159"/>
        <v>2.392665</v>
      </c>
      <c r="FD132" s="459">
        <f t="shared" si="159"/>
        <v>1.9742000000000002</v>
      </c>
      <c r="FE132" s="459">
        <f t="shared" si="159"/>
        <v>2.2732262500000004</v>
      </c>
      <c r="FF132" s="459">
        <f t="shared" si="159"/>
        <v>1.2447916666666667</v>
      </c>
      <c r="FG132" s="459">
        <f t="shared" si="159"/>
        <v>1.9791950000000003</v>
      </c>
      <c r="FH132" s="1483">
        <f t="shared" si="159"/>
        <v>2.7313512500000003</v>
      </c>
      <c r="FI132" s="1471">
        <f t="shared" si="159"/>
        <v>0</v>
      </c>
      <c r="FJ132" s="459">
        <f t="shared" si="159"/>
        <v>0</v>
      </c>
      <c r="FK132" s="459">
        <f t="shared" si="159"/>
        <v>0</v>
      </c>
      <c r="FL132" s="459"/>
      <c r="FM132" s="459"/>
      <c r="FN132" s="1483"/>
      <c r="FO132" s="1471"/>
      <c r="FP132" s="459"/>
      <c r="FQ132" s="459"/>
      <c r="FR132" s="459"/>
      <c r="FS132" s="459"/>
      <c r="FT132" s="459"/>
      <c r="FU132" s="459"/>
      <c r="FV132" s="459"/>
      <c r="FW132" s="459"/>
    </row>
    <row r="133" spans="3:180" hidden="1" x14ac:dyDescent="0.35">
      <c r="C133" s="444" t="s">
        <v>294</v>
      </c>
      <c r="D133" s="444"/>
      <c r="E133" s="444"/>
      <c r="F133" s="1044" t="e">
        <f t="shared" ref="F133:U133" si="160">(F$193+F$196+BL$59+CO$59+SUM(DS$107:DS$112)+SUM(EV$107:EV$112))/F$59</f>
        <v>#DIV/0!</v>
      </c>
      <c r="G133" s="469" t="e">
        <f t="shared" si="160"/>
        <v>#DIV/0!</v>
      </c>
      <c r="H133" s="469" t="e">
        <f t="shared" si="160"/>
        <v>#DIV/0!</v>
      </c>
      <c r="I133" s="1257" t="e">
        <f t="shared" si="160"/>
        <v>#DIV/0!</v>
      </c>
      <c r="J133" s="1202" t="e">
        <f t="shared" si="160"/>
        <v>#DIV/0!</v>
      </c>
      <c r="K133" s="254" t="e">
        <f t="shared" si="160"/>
        <v>#DIV/0!</v>
      </c>
      <c r="L133" s="254" t="e">
        <f t="shared" si="160"/>
        <v>#DIV/0!</v>
      </c>
      <c r="M133" s="254" t="e">
        <f t="shared" si="160"/>
        <v>#DIV/0!</v>
      </c>
      <c r="N133" s="254" t="e">
        <f t="shared" si="160"/>
        <v>#DIV/0!</v>
      </c>
      <c r="O133" s="254" t="e">
        <f t="shared" si="160"/>
        <v>#DIV/0!</v>
      </c>
      <c r="P133" s="254" t="e">
        <f t="shared" si="160"/>
        <v>#DIV/0!</v>
      </c>
      <c r="Q133" s="254" t="e">
        <f t="shared" si="160"/>
        <v>#DIV/0!</v>
      </c>
      <c r="R133" s="1257" t="e">
        <f t="shared" si="160"/>
        <v>#DIV/0!</v>
      </c>
      <c r="S133" s="1202" t="e">
        <f t="shared" si="160"/>
        <v>#DIV/0!</v>
      </c>
      <c r="T133" s="254" t="e">
        <f t="shared" si="160"/>
        <v>#DIV/0!</v>
      </c>
      <c r="U133" s="254" t="e">
        <f t="shared" si="160"/>
        <v>#DIV/0!</v>
      </c>
      <c r="AI133" s="468"/>
      <c r="AJ133" s="468"/>
      <c r="AK133" s="468"/>
      <c r="AL133" s="1264"/>
      <c r="AM133" s="1210"/>
      <c r="AN133" s="468"/>
      <c r="AO133" s="468"/>
      <c r="AP133" s="468"/>
      <c r="AQ133" s="468"/>
      <c r="AR133" s="468"/>
      <c r="AS133" s="468"/>
      <c r="AT133" s="468"/>
      <c r="AU133" s="1264"/>
      <c r="AV133" s="1210"/>
      <c r="AW133" s="468"/>
      <c r="AX133" s="468"/>
      <c r="AY133" s="468"/>
      <c r="AZ133" s="468"/>
      <c r="BA133" s="1264"/>
      <c r="BB133" s="1210"/>
      <c r="BC133" s="468"/>
      <c r="BD133" s="468"/>
      <c r="BE133" s="468"/>
      <c r="BF133" s="468"/>
      <c r="BG133" s="468"/>
      <c r="BH133" s="468"/>
      <c r="BI133" s="468"/>
      <c r="BJ133" s="468"/>
      <c r="BL133" s="468"/>
      <c r="BM133" s="468"/>
      <c r="BN133" s="468"/>
      <c r="BO133" s="1264"/>
      <c r="BP133" s="1210"/>
      <c r="BQ133" s="468"/>
      <c r="BR133" s="468"/>
      <c r="BS133" s="468"/>
      <c r="BT133" s="468"/>
      <c r="BU133" s="468"/>
      <c r="BV133" s="468"/>
      <c r="BW133" s="468"/>
      <c r="BX133" s="1264"/>
      <c r="BY133" s="1210"/>
      <c r="BZ133" s="468"/>
      <c r="CA133" s="468"/>
      <c r="CB133" s="468"/>
      <c r="CC133" s="468"/>
      <c r="CD133" s="1264"/>
      <c r="CE133" s="1210"/>
      <c r="CF133" s="468"/>
      <c r="CG133" s="468"/>
      <c r="CH133" s="468"/>
      <c r="CI133" s="468"/>
      <c r="CJ133" s="468"/>
      <c r="CK133" s="468"/>
      <c r="CL133" s="468"/>
      <c r="CM133" s="468"/>
      <c r="CO133" s="468"/>
      <c r="CP133" s="468"/>
      <c r="CQ133" s="468"/>
      <c r="CR133" s="1264"/>
      <c r="CS133" s="1210"/>
      <c r="CT133" s="468"/>
      <c r="CU133" s="468"/>
      <c r="CV133" s="468"/>
      <c r="CW133" s="468"/>
      <c r="CX133" s="468"/>
      <c r="CY133" s="470"/>
      <c r="CZ133" s="470"/>
      <c r="DA133" s="1500"/>
      <c r="DB133" s="1491"/>
      <c r="DC133" s="470"/>
      <c r="DD133" s="470"/>
      <c r="DE133" s="468"/>
      <c r="DF133" s="468"/>
      <c r="DG133" s="1264"/>
      <c r="DH133" s="1210"/>
      <c r="DI133" s="468"/>
      <c r="DJ133" s="468"/>
      <c r="DK133" s="468"/>
      <c r="DL133" s="468"/>
      <c r="DM133" s="468"/>
      <c r="DN133" s="468"/>
      <c r="DO133" s="468"/>
      <c r="DP133" s="468"/>
      <c r="DR133" s="471"/>
      <c r="DS133" s="472"/>
      <c r="DT133" s="472"/>
      <c r="DU133" s="472"/>
      <c r="DV133" s="1561"/>
      <c r="DW133" s="1543"/>
      <c r="DX133" s="472"/>
      <c r="DY133" s="472"/>
      <c r="DZ133" s="472"/>
      <c r="EA133" s="472"/>
      <c r="EB133" s="472"/>
      <c r="EC133" s="472"/>
      <c r="ED133" s="472"/>
      <c r="EE133" s="1561"/>
      <c r="EF133" s="1543"/>
      <c r="EG133" s="472"/>
      <c r="EH133" s="472"/>
      <c r="EI133" s="472"/>
      <c r="EJ133" s="472"/>
      <c r="EK133" s="1561"/>
      <c r="EL133" s="1543"/>
      <c r="EM133" s="472"/>
      <c r="EN133" s="472"/>
      <c r="EO133" s="472"/>
      <c r="EP133" s="472"/>
      <c r="EQ133" s="472"/>
      <c r="ER133" s="472"/>
      <c r="ES133" s="472"/>
      <c r="ET133" s="472"/>
      <c r="EV133" s="472"/>
      <c r="EW133" s="472"/>
      <c r="EX133" s="472"/>
      <c r="EY133" s="1561"/>
      <c r="EZ133" s="1543"/>
      <c r="FA133" s="472"/>
      <c r="FB133" s="472"/>
      <c r="FC133" s="472"/>
      <c r="FD133" s="472"/>
      <c r="FE133" s="472"/>
      <c r="FF133" s="472"/>
      <c r="FG133" s="472"/>
      <c r="FH133" s="1561"/>
      <c r="FI133" s="1210"/>
      <c r="FJ133" s="473"/>
      <c r="FK133" s="468"/>
      <c r="FL133" s="468"/>
      <c r="FM133" s="468"/>
      <c r="FN133" s="1264"/>
      <c r="FO133" s="1210"/>
      <c r="FP133" s="468"/>
      <c r="FQ133" s="468"/>
      <c r="FR133" s="468"/>
      <c r="FS133" s="468"/>
      <c r="FT133" s="468"/>
      <c r="FU133" s="468"/>
      <c r="FV133" s="468"/>
      <c r="FW133" s="468"/>
    </row>
    <row r="134" spans="3:180" x14ac:dyDescent="0.35">
      <c r="C134" s="444"/>
      <c r="D134" s="444"/>
      <c r="E134" s="444"/>
      <c r="F134" s="1044"/>
      <c r="G134" s="468"/>
      <c r="H134" s="468"/>
      <c r="AI134" s="468"/>
      <c r="AJ134" s="468"/>
      <c r="AK134" s="468"/>
      <c r="AL134" s="1264"/>
      <c r="AM134" s="1210"/>
      <c r="AN134" s="468"/>
      <c r="AO134" s="468"/>
      <c r="AP134" s="468"/>
      <c r="AQ134" s="468"/>
      <c r="AR134" s="468"/>
      <c r="AS134" s="468"/>
      <c r="AT134" s="468"/>
      <c r="AU134" s="1264"/>
      <c r="AV134" s="1210"/>
      <c r="AW134" s="468"/>
      <c r="AX134" s="468"/>
      <c r="AY134" s="468"/>
      <c r="AZ134" s="468"/>
      <c r="BA134" s="1264"/>
      <c r="BB134" s="1210"/>
      <c r="BC134" s="468"/>
      <c r="BD134" s="468"/>
      <c r="BE134" s="468"/>
      <c r="BF134" s="468"/>
      <c r="BG134" s="468"/>
      <c r="BH134" s="468"/>
      <c r="BI134" s="468"/>
      <c r="BJ134" s="468"/>
      <c r="BL134" s="468"/>
      <c r="BM134" s="468"/>
      <c r="BN134" s="468"/>
      <c r="BO134" s="1264"/>
      <c r="BP134" s="1210"/>
      <c r="BQ134" s="468"/>
      <c r="BR134" s="468"/>
      <c r="BS134" s="468"/>
      <c r="BT134" s="468"/>
      <c r="BU134" s="468"/>
      <c r="BV134" s="468"/>
      <c r="BW134" s="468"/>
      <c r="BX134" s="1264"/>
      <c r="BY134" s="1210"/>
      <c r="BZ134" s="468"/>
      <c r="CA134" s="468"/>
      <c r="CB134" s="468"/>
      <c r="CC134" s="468"/>
      <c r="CD134" s="1264"/>
      <c r="CE134" s="1210"/>
      <c r="CF134" s="468"/>
      <c r="CG134" s="468"/>
      <c r="CH134" s="468"/>
      <c r="CI134" s="468"/>
      <c r="CJ134" s="468"/>
      <c r="CK134" s="468"/>
      <c r="CL134" s="468"/>
      <c r="CM134" s="468"/>
      <c r="CO134" s="468"/>
      <c r="CP134" s="468"/>
      <c r="CQ134" s="468"/>
      <c r="CR134" s="1264"/>
      <c r="CS134" s="1210"/>
      <c r="CT134" s="468"/>
      <c r="CU134" s="468"/>
      <c r="CV134" s="468"/>
      <c r="CW134" s="468"/>
      <c r="CX134" s="468"/>
      <c r="CY134" s="470"/>
      <c r="CZ134" s="470"/>
      <c r="DA134" s="1500"/>
      <c r="DB134" s="1491"/>
      <c r="DC134" s="470"/>
      <c r="DD134" s="470"/>
      <c r="DE134" s="468"/>
      <c r="DF134" s="468"/>
      <c r="DG134" s="1264"/>
      <c r="DH134" s="1210"/>
      <c r="DI134" s="468"/>
      <c r="DJ134" s="468"/>
      <c r="DK134" s="468"/>
      <c r="DL134" s="468"/>
      <c r="DM134" s="468"/>
      <c r="DN134" s="468"/>
      <c r="DO134" s="468"/>
      <c r="DP134" s="468"/>
      <c r="DR134" s="471"/>
      <c r="DS134" s="472"/>
      <c r="DT134" s="472"/>
      <c r="DU134" s="472"/>
      <c r="DV134" s="1561"/>
      <c r="DW134" s="1543"/>
      <c r="DX134" s="472"/>
      <c r="DY134" s="472"/>
      <c r="DZ134" s="472"/>
      <c r="EA134" s="472"/>
      <c r="EB134" s="472"/>
      <c r="EC134" s="472"/>
      <c r="ED134" s="472"/>
      <c r="EE134" s="1561"/>
      <c r="EF134" s="1543"/>
      <c r="EG134" s="472"/>
      <c r="EH134" s="472"/>
      <c r="EI134" s="472"/>
      <c r="EJ134" s="472"/>
      <c r="EK134" s="1561"/>
      <c r="EL134" s="1543"/>
      <c r="EM134" s="472"/>
      <c r="EN134" s="472"/>
      <c r="EO134" s="472"/>
      <c r="EP134" s="472"/>
      <c r="EQ134" s="472"/>
      <c r="ER134" s="472"/>
      <c r="ES134" s="472"/>
      <c r="ET134" s="472"/>
      <c r="EV134" s="472"/>
      <c r="EW134" s="472"/>
      <c r="EX134" s="472"/>
      <c r="EY134" s="1561"/>
      <c r="EZ134" s="1543"/>
      <c r="FA134" s="472"/>
      <c r="FB134" s="472"/>
      <c r="FC134" s="472"/>
      <c r="FD134" s="472"/>
      <c r="FE134" s="472"/>
      <c r="FF134" s="472"/>
      <c r="FG134" s="472"/>
      <c r="FH134" s="1561"/>
      <c r="FI134" s="1210"/>
      <c r="FJ134" s="473"/>
      <c r="FK134" s="468"/>
      <c r="FL134" s="468"/>
      <c r="FM134" s="468"/>
      <c r="FN134" s="1264"/>
      <c r="FO134" s="1210"/>
      <c r="FP134" s="468"/>
      <c r="FQ134" s="468"/>
      <c r="FR134" s="468"/>
      <c r="FS134" s="468"/>
      <c r="FT134" s="468"/>
      <c r="FU134" s="468"/>
      <c r="FV134" s="468"/>
      <c r="FW134" s="468"/>
    </row>
    <row r="135" spans="3:180" x14ac:dyDescent="0.35">
      <c r="C135" s="444" t="s">
        <v>435</v>
      </c>
      <c r="D135" s="444"/>
      <c r="E135" s="444"/>
      <c r="F135" s="492" t="e">
        <f t="shared" ref="F135:U135" si="161">(AI$132+BL$132+CO$132+DS$132+EV$132+F$193+F$196)/F$132</f>
        <v>#DIV/0!</v>
      </c>
      <c r="G135" s="446" t="e">
        <f t="shared" si="161"/>
        <v>#DIV/0!</v>
      </c>
      <c r="H135" s="446" t="e">
        <f t="shared" si="161"/>
        <v>#DIV/0!</v>
      </c>
      <c r="I135" s="1242" t="e">
        <f t="shared" si="161"/>
        <v>#DIV/0!</v>
      </c>
      <c r="J135" s="419" t="e">
        <f t="shared" si="161"/>
        <v>#DIV/0!</v>
      </c>
      <c r="K135" s="249" t="e">
        <f t="shared" si="161"/>
        <v>#DIV/0!</v>
      </c>
      <c r="L135" s="249" t="e">
        <f t="shared" si="161"/>
        <v>#DIV/0!</v>
      </c>
      <c r="M135" s="249" t="e">
        <f t="shared" si="161"/>
        <v>#DIV/0!</v>
      </c>
      <c r="N135" s="249" t="e">
        <f t="shared" si="161"/>
        <v>#DIV/0!</v>
      </c>
      <c r="O135" s="249" t="e">
        <f t="shared" si="161"/>
        <v>#DIV/0!</v>
      </c>
      <c r="P135" s="249" t="e">
        <f t="shared" si="161"/>
        <v>#DIV/0!</v>
      </c>
      <c r="Q135" s="249" t="e">
        <f t="shared" si="161"/>
        <v>#DIV/0!</v>
      </c>
      <c r="R135" s="1242" t="e">
        <f t="shared" si="161"/>
        <v>#DIV/0!</v>
      </c>
      <c r="S135" s="419" t="e">
        <f t="shared" si="161"/>
        <v>#DIV/0!</v>
      </c>
      <c r="T135" s="249" t="e">
        <f t="shared" si="161"/>
        <v>#DIV/0!</v>
      </c>
      <c r="U135" s="249" t="e">
        <f t="shared" si="161"/>
        <v>#DIV/0!</v>
      </c>
      <c r="V135" s="249" t="e">
        <f>(AY$132+CB$132+DE$132+EI$132+FL$132+V$192+V$195)/V$132</f>
        <v>#DIV/0!</v>
      </c>
      <c r="W135" s="249" t="e">
        <f t="shared" ref="W135:AG135" si="162">(BK$132+CN$132+DQ$132+EU$132+FX$132+W$192+W$195)/W$132</f>
        <v>#DIV/0!</v>
      </c>
      <c r="X135" s="1242" t="e">
        <f t="shared" si="162"/>
        <v>#DIV/0!</v>
      </c>
      <c r="Y135" s="419" t="e">
        <f t="shared" si="162"/>
        <v>#DIV/0!</v>
      </c>
      <c r="Z135" s="249" t="e">
        <f t="shared" si="162"/>
        <v>#DIV/0!</v>
      </c>
      <c r="AA135" s="249" t="e">
        <f t="shared" si="162"/>
        <v>#DIV/0!</v>
      </c>
      <c r="AB135" s="249" t="e">
        <f t="shared" si="162"/>
        <v>#DIV/0!</v>
      </c>
      <c r="AC135" s="249" t="e">
        <f t="shared" si="162"/>
        <v>#DIV/0!</v>
      </c>
      <c r="AD135" s="249" t="e">
        <f t="shared" si="162"/>
        <v>#DIV/0!</v>
      </c>
      <c r="AE135" s="249" t="e">
        <f t="shared" si="162"/>
        <v>#DIV/0!</v>
      </c>
      <c r="AF135" s="249" t="e">
        <f t="shared" si="162"/>
        <v>#DIV/0!</v>
      </c>
      <c r="AG135" s="249" t="e">
        <f t="shared" si="162"/>
        <v>#DIV/0!</v>
      </c>
      <c r="AI135" s="468"/>
      <c r="AJ135" s="468"/>
      <c r="AK135" s="468"/>
      <c r="AL135" s="1264"/>
      <c r="AM135" s="1210"/>
      <c r="AN135" s="468"/>
      <c r="AO135" s="468"/>
      <c r="AP135" s="468"/>
      <c r="AQ135" s="468"/>
      <c r="AR135" s="468"/>
      <c r="AS135" s="468"/>
      <c r="AT135" s="468"/>
      <c r="AU135" s="1264"/>
      <c r="AV135" s="1210"/>
      <c r="AW135" s="468"/>
      <c r="AX135" s="468"/>
      <c r="AY135" s="468"/>
      <c r="AZ135" s="468"/>
      <c r="BA135" s="1264"/>
      <c r="BB135" s="1210"/>
      <c r="BC135" s="468"/>
      <c r="BD135" s="468"/>
      <c r="BE135" s="468"/>
      <c r="BF135" s="468"/>
      <c r="BG135" s="468"/>
      <c r="BH135" s="468"/>
      <c r="BI135" s="468"/>
      <c r="BJ135" s="468"/>
      <c r="BL135" s="468"/>
      <c r="BM135" s="468"/>
      <c r="BN135" s="468"/>
      <c r="BO135" s="1264"/>
      <c r="BP135" s="1210"/>
      <c r="BQ135" s="468"/>
      <c r="BR135" s="468"/>
      <c r="BS135" s="468"/>
      <c r="BT135" s="468"/>
      <c r="BU135" s="468"/>
      <c r="BV135" s="468"/>
      <c r="BW135" s="468"/>
      <c r="BX135" s="1264"/>
      <c r="BY135" s="1210"/>
      <c r="BZ135" s="468"/>
      <c r="CA135" s="468"/>
      <c r="CB135" s="468"/>
      <c r="CC135" s="468"/>
      <c r="CD135" s="1264"/>
      <c r="CE135" s="1210"/>
      <c r="CF135" s="468"/>
      <c r="CG135" s="468"/>
      <c r="CH135" s="468"/>
      <c r="CI135" s="468"/>
      <c r="CJ135" s="468"/>
      <c r="CK135" s="468"/>
      <c r="CL135" s="468"/>
      <c r="CM135" s="468"/>
      <c r="CO135" s="468"/>
      <c r="CP135" s="468"/>
      <c r="CQ135" s="468"/>
      <c r="CR135" s="1264"/>
      <c r="CS135" s="1210"/>
      <c r="CT135" s="468"/>
      <c r="CU135" s="468"/>
      <c r="CV135" s="468"/>
      <c r="CW135" s="468"/>
      <c r="CX135" s="468"/>
      <c r="CY135" s="470"/>
      <c r="CZ135" s="470"/>
      <c r="DA135" s="1500"/>
      <c r="DB135" s="1491"/>
      <c r="DC135" s="470"/>
      <c r="DD135" s="470"/>
      <c r="DE135" s="468"/>
      <c r="DF135" s="468"/>
      <c r="DG135" s="1264"/>
      <c r="DH135" s="1210"/>
      <c r="DI135" s="468"/>
      <c r="DJ135" s="468"/>
      <c r="DK135" s="468"/>
      <c r="DL135" s="468"/>
      <c r="DM135" s="468"/>
      <c r="DN135" s="468"/>
      <c r="DO135" s="468"/>
      <c r="DP135" s="468"/>
      <c r="DR135" s="471"/>
      <c r="DS135" s="472"/>
      <c r="DT135" s="472"/>
      <c r="DU135" s="472"/>
      <c r="DV135" s="1561"/>
      <c r="DW135" s="1543"/>
      <c r="DX135" s="472"/>
      <c r="DY135" s="472"/>
      <c r="DZ135" s="472"/>
      <c r="EA135" s="472"/>
      <c r="EB135" s="472"/>
      <c r="EC135" s="472"/>
      <c r="ED135" s="472"/>
      <c r="EE135" s="1561"/>
      <c r="EF135" s="1543"/>
      <c r="EG135" s="472"/>
      <c r="EH135" s="472"/>
      <c r="EI135" s="472"/>
      <c r="EJ135" s="472"/>
      <c r="EK135" s="1561"/>
      <c r="EL135" s="1543"/>
      <c r="EM135" s="472"/>
      <c r="EN135" s="472"/>
      <c r="EO135" s="472"/>
      <c r="EP135" s="472"/>
      <c r="EQ135" s="472"/>
      <c r="ER135" s="472"/>
      <c r="ES135" s="472"/>
      <c r="ET135" s="472"/>
      <c r="EV135" s="472"/>
      <c r="EW135" s="472"/>
      <c r="EX135" s="472"/>
      <c r="EY135" s="1561"/>
      <c r="EZ135" s="1543"/>
      <c r="FA135" s="472"/>
      <c r="FB135" s="472"/>
      <c r="FC135" s="472"/>
      <c r="FD135" s="472"/>
      <c r="FE135" s="472"/>
      <c r="FF135" s="472"/>
      <c r="FG135" s="472"/>
      <c r="FH135" s="1561"/>
      <c r="FI135" s="1210"/>
      <c r="FJ135" s="473"/>
      <c r="FK135" s="468"/>
      <c r="FL135" s="468"/>
      <c r="FM135" s="468"/>
      <c r="FN135" s="1264"/>
      <c r="FO135" s="1210"/>
      <c r="FP135" s="468"/>
      <c r="FQ135" s="468"/>
      <c r="FR135" s="468"/>
      <c r="FS135" s="468"/>
      <c r="FT135" s="468"/>
      <c r="FU135" s="468"/>
      <c r="FV135" s="468"/>
      <c r="FW135" s="468"/>
    </row>
    <row r="136" spans="3:180" x14ac:dyDescent="0.35">
      <c r="C136" s="444"/>
      <c r="D136" s="444"/>
      <c r="E136" s="444"/>
      <c r="F136" s="492"/>
      <c r="G136" s="494"/>
      <c r="H136" s="446"/>
      <c r="I136" s="1242"/>
      <c r="J136" s="419"/>
      <c r="K136" s="249"/>
      <c r="L136" s="249"/>
      <c r="M136" s="249"/>
      <c r="N136" s="249"/>
      <c r="O136" s="249"/>
      <c r="P136" s="249"/>
      <c r="Q136" s="249"/>
      <c r="R136" s="1242"/>
      <c r="S136" s="419"/>
      <c r="T136" s="249"/>
      <c r="U136" s="249"/>
      <c r="V136" s="249"/>
      <c r="W136" s="249"/>
      <c r="X136" s="1242"/>
      <c r="Y136" s="419"/>
      <c r="Z136" s="249"/>
      <c r="AA136" s="249"/>
      <c r="AB136" s="249"/>
      <c r="AC136" s="249"/>
      <c r="AD136" s="249"/>
      <c r="AE136" s="249"/>
      <c r="AF136" s="249"/>
      <c r="AG136" s="249"/>
      <c r="AI136" s="468"/>
      <c r="AJ136" s="468"/>
      <c r="AK136" s="468"/>
      <c r="AL136" s="1264"/>
      <c r="AM136" s="1210"/>
      <c r="AN136" s="468"/>
      <c r="AO136" s="468"/>
      <c r="AP136" s="468"/>
      <c r="AQ136" s="468"/>
      <c r="AR136" s="468"/>
      <c r="AS136" s="468"/>
      <c r="AT136" s="468"/>
      <c r="AU136" s="1264"/>
      <c r="AV136" s="1210"/>
      <c r="AW136" s="468"/>
      <c r="AX136" s="468"/>
      <c r="AY136" s="468"/>
      <c r="AZ136" s="468"/>
      <c r="BA136" s="1264"/>
      <c r="BB136" s="1210"/>
      <c r="BC136" s="468"/>
      <c r="BD136" s="468"/>
      <c r="BE136" s="468"/>
      <c r="BF136" s="468"/>
      <c r="BG136" s="468"/>
      <c r="BH136" s="468"/>
      <c r="BI136" s="468"/>
      <c r="BJ136" s="468"/>
      <c r="BL136" s="468"/>
      <c r="BM136" s="468"/>
      <c r="BN136" s="468"/>
      <c r="BO136" s="1264"/>
      <c r="BP136" s="1210"/>
      <c r="BQ136" s="468"/>
      <c r="BR136" s="468"/>
      <c r="BS136" s="468"/>
      <c r="BT136" s="468"/>
      <c r="BU136" s="468"/>
      <c r="BV136" s="468"/>
      <c r="BW136" s="468"/>
      <c r="BX136" s="1264"/>
      <c r="BY136" s="1210"/>
      <c r="BZ136" s="468"/>
      <c r="CA136" s="468"/>
      <c r="CB136" s="468"/>
      <c r="CC136" s="468"/>
      <c r="CD136" s="1264"/>
      <c r="CE136" s="1210"/>
      <c r="CF136" s="468"/>
      <c r="CG136" s="468"/>
      <c r="CH136" s="468"/>
      <c r="CI136" s="468"/>
      <c r="CJ136" s="468"/>
      <c r="CK136" s="468"/>
      <c r="CL136" s="468"/>
      <c r="CM136" s="468"/>
      <c r="CO136" s="468"/>
      <c r="CP136" s="468"/>
      <c r="CQ136" s="468"/>
      <c r="CR136" s="1264"/>
      <c r="CS136" s="1210"/>
      <c r="CT136" s="468"/>
      <c r="CU136" s="468"/>
      <c r="CV136" s="468"/>
      <c r="CW136" s="468"/>
      <c r="CX136" s="468"/>
      <c r="CY136" s="470"/>
      <c r="CZ136" s="470"/>
      <c r="DA136" s="1500"/>
      <c r="DB136" s="1491"/>
      <c r="DC136" s="470"/>
      <c r="DD136" s="470"/>
      <c r="DE136" s="468"/>
      <c r="DF136" s="468"/>
      <c r="DG136" s="1264"/>
      <c r="DH136" s="1210"/>
      <c r="DI136" s="468"/>
      <c r="DJ136" s="468"/>
      <c r="DK136" s="468"/>
      <c r="DL136" s="468"/>
      <c r="DM136" s="468"/>
      <c r="DN136" s="468"/>
      <c r="DO136" s="468"/>
      <c r="DP136" s="468"/>
      <c r="DR136" s="471"/>
      <c r="DS136" s="472"/>
      <c r="DT136" s="472"/>
      <c r="DU136" s="472"/>
      <c r="DV136" s="1561"/>
      <c r="DW136" s="1543"/>
      <c r="DX136" s="472"/>
      <c r="DY136" s="472"/>
      <c r="DZ136" s="472"/>
      <c r="EA136" s="472"/>
      <c r="EB136" s="472"/>
      <c r="EC136" s="472"/>
      <c r="ED136" s="472"/>
      <c r="EE136" s="1561"/>
      <c r="EF136" s="1543"/>
      <c r="EG136" s="472"/>
      <c r="EH136" s="472"/>
      <c r="EI136" s="472"/>
      <c r="EJ136" s="472"/>
      <c r="EK136" s="1561"/>
      <c r="EL136" s="1543"/>
      <c r="EM136" s="472"/>
      <c r="EN136" s="472"/>
      <c r="EO136" s="472"/>
      <c r="EP136" s="472"/>
      <c r="EQ136" s="472"/>
      <c r="ER136" s="472"/>
      <c r="ES136" s="472"/>
      <c r="ET136" s="472"/>
      <c r="EV136" s="472"/>
      <c r="EW136" s="472"/>
      <c r="EX136" s="472"/>
      <c r="EY136" s="1561"/>
      <c r="EZ136" s="1543"/>
      <c r="FA136" s="472"/>
      <c r="FB136" s="472"/>
      <c r="FC136" s="472"/>
      <c r="FD136" s="472"/>
      <c r="FE136" s="472"/>
      <c r="FF136" s="472"/>
      <c r="FG136" s="472"/>
      <c r="FH136" s="1561"/>
      <c r="FI136" s="1210"/>
      <c r="FJ136" s="473"/>
      <c r="FK136" s="468"/>
      <c r="FL136" s="468"/>
      <c r="FM136" s="468"/>
      <c r="FN136" s="1264"/>
      <c r="FO136" s="1210"/>
      <c r="FP136" s="468"/>
      <c r="FQ136" s="468"/>
      <c r="FR136" s="468"/>
      <c r="FS136" s="468"/>
      <c r="FT136" s="468"/>
      <c r="FU136" s="468"/>
      <c r="FV136" s="468"/>
      <c r="FW136" s="468"/>
    </row>
    <row r="137" spans="3:180" x14ac:dyDescent="0.35">
      <c r="C137" s="444" t="s">
        <v>436</v>
      </c>
      <c r="D137" s="444"/>
      <c r="E137" s="444"/>
      <c r="F137" s="492" t="e">
        <f>((SUM(DS$117:DS$122)+SUM(EV117:EV122)+BL$101+CO$101+AI$101)/F$101)</f>
        <v>#DIV/0!</v>
      </c>
      <c r="G137" s="446" t="e">
        <f>((SUM(DT$117:DT$122)+SUM(EW117:EW122)+BM$101+CP$101+AJ101)/G$101)</f>
        <v>#DIV/0!</v>
      </c>
      <c r="H137" s="446" t="e">
        <f>((SUM(DU$117:DU$122)+SUM(EX117:EX122)+BN$101+CQ$101+AK101)/H$101)</f>
        <v>#DIV/0!</v>
      </c>
      <c r="I137" s="1242" t="e">
        <f t="shared" ref="I137:V137" si="163">((SUM(DV$117:DV$122)+SUM(EY117:EY122)+BO$101+CR$101)/I$101)</f>
        <v>#DIV/0!</v>
      </c>
      <c r="J137" s="419" t="e">
        <f t="shared" si="163"/>
        <v>#DIV/0!</v>
      </c>
      <c r="K137" s="249" t="e">
        <f t="shared" si="163"/>
        <v>#DIV/0!</v>
      </c>
      <c r="L137" s="249" t="e">
        <f t="shared" si="163"/>
        <v>#DIV/0!</v>
      </c>
      <c r="M137" s="249" t="e">
        <f t="shared" si="163"/>
        <v>#DIV/0!</v>
      </c>
      <c r="N137" s="249" t="e">
        <f t="shared" si="163"/>
        <v>#DIV/0!</v>
      </c>
      <c r="O137" s="249" t="e">
        <f t="shared" si="163"/>
        <v>#DIV/0!</v>
      </c>
      <c r="P137" s="249" t="e">
        <f t="shared" si="163"/>
        <v>#DIV/0!</v>
      </c>
      <c r="Q137" s="249" t="e">
        <f t="shared" si="163"/>
        <v>#DIV/0!</v>
      </c>
      <c r="R137" s="1242" t="e">
        <f t="shared" si="163"/>
        <v>#DIV/0!</v>
      </c>
      <c r="S137" s="419" t="e">
        <f t="shared" si="163"/>
        <v>#DIV/0!</v>
      </c>
      <c r="T137" s="249" t="e">
        <f t="shared" si="163"/>
        <v>#DIV/0!</v>
      </c>
      <c r="U137" s="249" t="e">
        <f t="shared" si="163"/>
        <v>#DIV/0!</v>
      </c>
      <c r="V137" s="249" t="e">
        <f t="shared" si="163"/>
        <v>#DIV/0!</v>
      </c>
      <c r="W137" s="249" t="e">
        <f t="shared" ref="W137:AG137" si="164">((SUM(EU$117:EU$122)+SUM(FX117:FX122)+CN$101+DQ$101)/W$101)</f>
        <v>#DIV/0!</v>
      </c>
      <c r="X137" s="1242" t="e">
        <f t="shared" si="164"/>
        <v>#DIV/0!</v>
      </c>
      <c r="Y137" s="419" t="e">
        <f t="shared" si="164"/>
        <v>#DIV/0!</v>
      </c>
      <c r="Z137" s="249" t="e">
        <f t="shared" si="164"/>
        <v>#DIV/0!</v>
      </c>
      <c r="AA137" s="249" t="e">
        <f t="shared" si="164"/>
        <v>#DIV/0!</v>
      </c>
      <c r="AB137" s="249" t="e">
        <f t="shared" si="164"/>
        <v>#DIV/0!</v>
      </c>
      <c r="AC137" s="249" t="e">
        <f t="shared" si="164"/>
        <v>#DIV/0!</v>
      </c>
      <c r="AD137" s="249" t="e">
        <f t="shared" si="164"/>
        <v>#DIV/0!</v>
      </c>
      <c r="AE137" s="249" t="e">
        <f t="shared" si="164"/>
        <v>#DIV/0!</v>
      </c>
      <c r="AF137" s="249" t="e">
        <f t="shared" si="164"/>
        <v>#DIV/0!</v>
      </c>
      <c r="AG137" s="249" t="e">
        <f t="shared" si="164"/>
        <v>#DIV/0!</v>
      </c>
      <c r="AI137" s="468"/>
      <c r="AJ137" s="468"/>
      <c r="AK137" s="468"/>
      <c r="AL137" s="1264"/>
      <c r="AM137" s="1210"/>
      <c r="AN137" s="468"/>
      <c r="AO137" s="468"/>
      <c r="AP137" s="468"/>
      <c r="AQ137" s="468"/>
      <c r="AR137" s="468"/>
      <c r="AS137" s="468"/>
      <c r="AT137" s="468"/>
      <c r="AU137" s="1264"/>
      <c r="AV137" s="1210"/>
      <c r="AW137" s="468"/>
      <c r="AX137" s="468"/>
      <c r="AY137" s="468"/>
      <c r="AZ137" s="468"/>
      <c r="BA137" s="1264"/>
      <c r="BB137" s="1210"/>
      <c r="BC137" s="468"/>
      <c r="BD137" s="468"/>
      <c r="BE137" s="468"/>
      <c r="BF137" s="468"/>
      <c r="BG137" s="468"/>
      <c r="BH137" s="468"/>
      <c r="BI137" s="468"/>
      <c r="BJ137" s="468"/>
      <c r="BL137" s="468"/>
      <c r="BM137" s="468"/>
      <c r="BN137" s="468"/>
      <c r="BO137" s="1264"/>
      <c r="BP137" s="1210"/>
      <c r="BQ137" s="468"/>
      <c r="BR137" s="468"/>
      <c r="BS137" s="468"/>
      <c r="BT137" s="468"/>
      <c r="BU137" s="468"/>
      <c r="BV137" s="468"/>
      <c r="BW137" s="468"/>
      <c r="BX137" s="1264"/>
      <c r="BY137" s="1210"/>
      <c r="BZ137" s="468"/>
      <c r="CA137" s="468"/>
      <c r="CB137" s="468"/>
      <c r="CC137" s="468"/>
      <c r="CD137" s="1264"/>
      <c r="CE137" s="1210"/>
      <c r="CF137" s="468"/>
      <c r="CG137" s="468"/>
      <c r="CH137" s="468"/>
      <c r="CI137" s="468"/>
      <c r="CJ137" s="468"/>
      <c r="CK137" s="468"/>
      <c r="CL137" s="468"/>
      <c r="CM137" s="468"/>
      <c r="CO137" s="468"/>
      <c r="CP137" s="468"/>
      <c r="CQ137" s="468"/>
      <c r="CR137" s="1264"/>
      <c r="CS137" s="1210"/>
      <c r="CT137" s="468"/>
      <c r="CU137" s="468"/>
      <c r="CV137" s="468"/>
      <c r="CW137" s="468"/>
      <c r="CX137" s="468"/>
      <c r="CY137" s="470"/>
      <c r="CZ137" s="470"/>
      <c r="DA137" s="1500"/>
      <c r="DB137" s="1491"/>
      <c r="DC137" s="470"/>
      <c r="DD137" s="470"/>
      <c r="DE137" s="468"/>
      <c r="DF137" s="468"/>
      <c r="DG137" s="1264"/>
      <c r="DH137" s="1210"/>
      <c r="DI137" s="468"/>
      <c r="DJ137" s="468"/>
      <c r="DK137" s="468"/>
      <c r="DL137" s="468"/>
      <c r="DM137" s="468"/>
      <c r="DN137" s="468"/>
      <c r="DO137" s="468"/>
      <c r="DP137" s="468"/>
      <c r="DR137" s="471"/>
      <c r="DS137" s="472"/>
      <c r="DT137" s="472"/>
      <c r="DU137" s="472"/>
      <c r="DV137" s="1561"/>
      <c r="DW137" s="1543"/>
      <c r="DX137" s="472"/>
      <c r="DY137" s="472"/>
      <c r="DZ137" s="472"/>
      <c r="EA137" s="472"/>
      <c r="EB137" s="472"/>
      <c r="EC137" s="472"/>
      <c r="ED137" s="472"/>
      <c r="EE137" s="1561"/>
      <c r="EF137" s="1543"/>
      <c r="EG137" s="472"/>
      <c r="EH137" s="472"/>
      <c r="EI137" s="472"/>
      <c r="EJ137" s="472"/>
      <c r="EK137" s="1561"/>
      <c r="EL137" s="1543"/>
      <c r="EM137" s="472"/>
      <c r="EN137" s="472"/>
      <c r="EO137" s="472"/>
      <c r="EP137" s="472"/>
      <c r="EQ137" s="472"/>
      <c r="ER137" s="472"/>
      <c r="ES137" s="472"/>
      <c r="ET137" s="472"/>
      <c r="EV137" s="472"/>
      <c r="EW137" s="472"/>
      <c r="EX137" s="472"/>
      <c r="EY137" s="1561"/>
      <c r="EZ137" s="1543"/>
      <c r="FA137" s="472"/>
      <c r="FB137" s="472"/>
      <c r="FC137" s="472"/>
      <c r="FD137" s="472"/>
      <c r="FE137" s="472"/>
      <c r="FF137" s="472"/>
      <c r="FG137" s="472"/>
      <c r="FH137" s="1561"/>
      <c r="FI137" s="1210"/>
      <c r="FJ137" s="473"/>
      <c r="FK137" s="468"/>
      <c r="FL137" s="468"/>
      <c r="FM137" s="468"/>
      <c r="FN137" s="1264"/>
      <c r="FO137" s="1210"/>
      <c r="FP137" s="468"/>
      <c r="FQ137" s="468"/>
      <c r="FR137" s="468"/>
      <c r="FS137" s="468"/>
      <c r="FT137" s="468"/>
      <c r="FU137" s="468"/>
      <c r="FV137" s="468"/>
      <c r="FW137" s="468"/>
    </row>
    <row r="138" spans="3:180" s="368" customFormat="1" ht="15" thickBot="1" x14ac:dyDescent="0.4">
      <c r="C138" s="364"/>
      <c r="D138" s="364"/>
      <c r="E138" s="364"/>
      <c r="F138" s="1027"/>
      <c r="G138" s="365"/>
      <c r="H138" s="365"/>
      <c r="I138" s="1234"/>
      <c r="J138" s="1182"/>
      <c r="K138" s="365"/>
      <c r="L138" s="365"/>
      <c r="M138" s="365"/>
      <c r="N138" s="365"/>
      <c r="O138" s="365"/>
      <c r="P138" s="365"/>
      <c r="Q138" s="365"/>
      <c r="R138" s="1234"/>
      <c r="S138" s="1182"/>
      <c r="T138" s="365"/>
      <c r="U138" s="365"/>
      <c r="V138" s="365"/>
      <c r="W138" s="365"/>
      <c r="X138" s="1234"/>
      <c r="Y138" s="1182"/>
      <c r="Z138" s="365"/>
      <c r="AA138" s="365"/>
      <c r="AB138" s="365"/>
      <c r="AC138" s="365"/>
      <c r="AD138" s="365"/>
      <c r="AE138" s="365"/>
      <c r="AF138" s="365"/>
      <c r="AG138" s="365"/>
      <c r="AH138" s="366"/>
      <c r="AI138" s="365"/>
      <c r="AJ138" s="365"/>
      <c r="AK138" s="365"/>
      <c r="AL138" s="1234"/>
      <c r="AM138" s="1182"/>
      <c r="AN138" s="365"/>
      <c r="AO138" s="365"/>
      <c r="AP138" s="365"/>
      <c r="AQ138" s="365"/>
      <c r="AR138" s="365"/>
      <c r="AS138" s="365"/>
      <c r="AT138" s="365"/>
      <c r="AU138" s="1234"/>
      <c r="AV138" s="1182"/>
      <c r="AW138" s="365"/>
      <c r="AX138" s="365"/>
      <c r="AY138" s="365"/>
      <c r="AZ138" s="365"/>
      <c r="BA138" s="1234"/>
      <c r="BB138" s="1182"/>
      <c r="BC138" s="365"/>
      <c r="BD138" s="365"/>
      <c r="BE138" s="365"/>
      <c r="BF138" s="365"/>
      <c r="BG138" s="365"/>
      <c r="BH138" s="365"/>
      <c r="BI138" s="365"/>
      <c r="BJ138" s="365"/>
      <c r="BK138" s="366"/>
      <c r="BL138" s="365"/>
      <c r="BM138" s="365"/>
      <c r="BN138" s="365"/>
      <c r="BO138" s="1234"/>
      <c r="BP138" s="1182"/>
      <c r="BQ138" s="365"/>
      <c r="BR138" s="365"/>
      <c r="BS138" s="365"/>
      <c r="BT138" s="365"/>
      <c r="BU138" s="365"/>
      <c r="BV138" s="365"/>
      <c r="BW138" s="365"/>
      <c r="BX138" s="1234"/>
      <c r="BY138" s="1182"/>
      <c r="BZ138" s="365"/>
      <c r="CA138" s="365"/>
      <c r="CB138" s="365"/>
      <c r="CC138" s="365"/>
      <c r="CD138" s="1234"/>
      <c r="CE138" s="1182"/>
      <c r="CF138" s="365"/>
      <c r="CG138" s="365"/>
      <c r="CH138" s="365"/>
      <c r="CI138" s="365"/>
      <c r="CJ138" s="365"/>
      <c r="CK138" s="365"/>
      <c r="CL138" s="365"/>
      <c r="CM138" s="365"/>
      <c r="CN138" s="366"/>
      <c r="CO138" s="365"/>
      <c r="CP138" s="365"/>
      <c r="CQ138" s="365"/>
      <c r="CR138" s="1234"/>
      <c r="CS138" s="1182"/>
      <c r="CT138" s="365"/>
      <c r="CU138" s="365"/>
      <c r="CV138" s="365"/>
      <c r="CW138" s="365"/>
      <c r="CX138" s="365"/>
      <c r="CY138" s="409"/>
      <c r="CZ138" s="409"/>
      <c r="DA138" s="1501"/>
      <c r="DB138" s="1492"/>
      <c r="DC138" s="409"/>
      <c r="DD138" s="409"/>
      <c r="DE138" s="365"/>
      <c r="DF138" s="365"/>
      <c r="DG138" s="1234"/>
      <c r="DH138" s="1182"/>
      <c r="DI138" s="365"/>
      <c r="DJ138" s="365"/>
      <c r="DK138" s="365"/>
      <c r="DL138" s="365"/>
      <c r="DM138" s="365"/>
      <c r="DN138" s="365"/>
      <c r="DO138" s="365"/>
      <c r="DP138" s="365"/>
      <c r="DQ138" s="366"/>
      <c r="DR138" s="367"/>
      <c r="DS138" s="410"/>
      <c r="DT138" s="410"/>
      <c r="DU138" s="410"/>
      <c r="DV138" s="1562"/>
      <c r="DW138" s="1544"/>
      <c r="DX138" s="410"/>
      <c r="DY138" s="410"/>
      <c r="DZ138" s="410"/>
      <c r="EA138" s="410"/>
      <c r="EB138" s="410"/>
      <c r="EC138" s="410"/>
      <c r="ED138" s="410"/>
      <c r="EE138" s="1562"/>
      <c r="EF138" s="1544"/>
      <c r="EG138" s="410"/>
      <c r="EH138" s="410"/>
      <c r="EI138" s="410"/>
      <c r="EJ138" s="410"/>
      <c r="EK138" s="1562"/>
      <c r="EL138" s="1544"/>
      <c r="EM138" s="410"/>
      <c r="EN138" s="410"/>
      <c r="EO138" s="410"/>
      <c r="EP138" s="410"/>
      <c r="EQ138" s="410"/>
      <c r="ER138" s="410"/>
      <c r="ES138" s="410"/>
      <c r="ET138" s="410"/>
      <c r="EU138" s="366"/>
      <c r="EV138" s="410"/>
      <c r="EW138" s="410"/>
      <c r="EX138" s="410"/>
      <c r="EY138" s="1562"/>
      <c r="EZ138" s="1544"/>
      <c r="FA138" s="410"/>
      <c r="FB138" s="410"/>
      <c r="FC138" s="410"/>
      <c r="FD138" s="410"/>
      <c r="FE138" s="410"/>
      <c r="FF138" s="410"/>
      <c r="FG138" s="410"/>
      <c r="FH138" s="1562"/>
      <c r="FI138" s="1182"/>
      <c r="FJ138" s="404"/>
      <c r="FK138" s="365"/>
      <c r="FL138" s="365"/>
      <c r="FM138" s="365"/>
      <c r="FN138" s="1234"/>
      <c r="FO138" s="1182"/>
      <c r="FP138" s="365"/>
      <c r="FQ138" s="365"/>
      <c r="FR138" s="365"/>
      <c r="FS138" s="365"/>
      <c r="FT138" s="365"/>
      <c r="FU138" s="365"/>
      <c r="FV138" s="365"/>
      <c r="FW138" s="365"/>
    </row>
    <row r="139" spans="3:180" ht="15" thickTop="1" x14ac:dyDescent="0.35">
      <c r="C139" s="1" t="s">
        <v>211</v>
      </c>
      <c r="F139" s="1051"/>
      <c r="G139" s="229"/>
      <c r="H139" s="229"/>
      <c r="I139" s="1245"/>
      <c r="J139" s="538"/>
      <c r="K139" s="229"/>
      <c r="L139" s="229"/>
      <c r="M139" s="229"/>
      <c r="N139" s="229"/>
      <c r="O139" s="229"/>
      <c r="P139" s="229"/>
      <c r="Q139" s="229"/>
      <c r="R139" s="1245"/>
      <c r="S139" s="538"/>
      <c r="T139" s="229"/>
      <c r="U139" s="229"/>
      <c r="V139" s="229"/>
      <c r="W139" s="229"/>
      <c r="X139" s="1245"/>
      <c r="Y139" s="538"/>
      <c r="Z139" s="229"/>
      <c r="AA139" s="229"/>
      <c r="AB139" s="229"/>
      <c r="AC139" s="229"/>
      <c r="AD139" s="229"/>
      <c r="AE139" s="229"/>
      <c r="AF139" s="229"/>
      <c r="AG139" s="229"/>
      <c r="AH139" s="356"/>
      <c r="AI139" s="229"/>
      <c r="AJ139" s="229"/>
      <c r="AK139" s="229"/>
      <c r="AL139" s="1245"/>
      <c r="AM139" s="538"/>
      <c r="AN139" s="229" t="s">
        <v>872</v>
      </c>
      <c r="AO139" s="229" t="s">
        <v>832</v>
      </c>
      <c r="AP139" s="229" t="s">
        <v>833</v>
      </c>
      <c r="AQ139" s="229"/>
      <c r="AR139" s="229"/>
      <c r="AS139" s="229"/>
      <c r="AT139" s="229"/>
      <c r="AU139" s="1245"/>
      <c r="AV139" s="538"/>
      <c r="AW139" s="229"/>
      <c r="AX139" s="229"/>
      <c r="AY139" s="229"/>
      <c r="AZ139" s="229"/>
      <c r="BA139" s="1245"/>
      <c r="BB139" s="538"/>
      <c r="BC139" s="229"/>
      <c r="BD139" s="229"/>
      <c r="BE139" s="229"/>
      <c r="BF139" s="229"/>
      <c r="BG139" s="229"/>
      <c r="BH139" s="229"/>
      <c r="BI139" s="229"/>
      <c r="BJ139" s="229"/>
      <c r="BK139" s="356"/>
      <c r="BL139" s="229"/>
      <c r="BM139" s="229"/>
      <c r="BN139" s="229"/>
      <c r="BO139" s="1245"/>
      <c r="BP139" s="538"/>
      <c r="BQ139" s="229"/>
      <c r="BR139" s="229"/>
      <c r="BS139" s="229"/>
      <c r="BT139" s="229"/>
      <c r="BU139" s="229"/>
      <c r="BV139" s="229"/>
      <c r="BW139" s="229"/>
      <c r="BX139" s="1245"/>
      <c r="BY139" s="538"/>
      <c r="BZ139" s="229"/>
      <c r="CA139" s="229"/>
      <c r="CB139" s="229"/>
      <c r="CC139" s="229"/>
      <c r="CD139" s="1245"/>
      <c r="CE139" s="538"/>
      <c r="CF139" s="229"/>
      <c r="CG139" s="229"/>
      <c r="CH139" s="229"/>
      <c r="CI139" s="229"/>
      <c r="CJ139" s="229"/>
      <c r="CK139" s="229"/>
      <c r="CL139" s="229"/>
      <c r="CM139" s="229"/>
      <c r="CN139" s="356"/>
      <c r="CO139" s="229"/>
      <c r="CP139" s="229"/>
      <c r="CQ139" s="229"/>
      <c r="CR139" s="1245"/>
      <c r="CS139" s="538"/>
      <c r="CT139" s="229"/>
      <c r="CU139" s="229"/>
      <c r="CV139" s="229"/>
      <c r="CW139" s="229"/>
      <c r="CX139" s="229"/>
      <c r="CY139" s="349"/>
      <c r="CZ139" s="349"/>
      <c r="DA139" s="1502"/>
      <c r="DB139" s="1493"/>
      <c r="DC139" s="349"/>
      <c r="DD139" s="349"/>
      <c r="DE139" s="229"/>
      <c r="DF139" s="229"/>
      <c r="DG139" s="1245"/>
      <c r="DH139" s="538"/>
      <c r="DI139" s="229"/>
      <c r="DJ139" s="229"/>
      <c r="DK139" s="229"/>
      <c r="DL139" s="229"/>
      <c r="DM139" s="229"/>
      <c r="DN139" s="229"/>
      <c r="DO139" s="229"/>
      <c r="DP139" s="229"/>
      <c r="DQ139" s="356"/>
      <c r="DR139" s="358"/>
      <c r="DS139" s="408"/>
      <c r="DT139" s="408"/>
      <c r="DU139" s="408"/>
      <c r="DV139" s="1563"/>
      <c r="DW139" s="1545"/>
      <c r="DX139" s="408"/>
      <c r="DY139" s="408"/>
      <c r="DZ139" s="408"/>
      <c r="EA139" s="408"/>
      <c r="EB139" s="408"/>
      <c r="EC139" s="408"/>
      <c r="ED139" s="408"/>
      <c r="EE139" s="1563"/>
      <c r="EF139" s="1545"/>
      <c r="EG139" s="408"/>
      <c r="EH139" s="408"/>
      <c r="EI139" s="408"/>
      <c r="EJ139" s="408"/>
      <c r="EK139" s="1563"/>
      <c r="EL139" s="1545"/>
      <c r="EM139" s="408"/>
      <c r="EN139" s="408"/>
      <c r="EO139" s="408"/>
      <c r="EP139" s="408"/>
      <c r="EQ139" s="408"/>
      <c r="ER139" s="408"/>
      <c r="ES139" s="408"/>
      <c r="ET139" s="408"/>
      <c r="EU139" s="356"/>
      <c r="EV139" s="408"/>
      <c r="EW139" s="408"/>
      <c r="EX139" s="408"/>
      <c r="EY139" s="1563"/>
      <c r="EZ139" s="1545"/>
      <c r="FA139" s="408"/>
      <c r="FB139" s="408"/>
      <c r="FC139" s="408"/>
      <c r="FD139" s="408"/>
      <c r="FE139" s="408"/>
      <c r="FF139" s="408"/>
      <c r="FG139" s="408"/>
      <c r="FH139" s="1563"/>
      <c r="FI139" s="538"/>
      <c r="FJ139" s="298"/>
      <c r="FK139" s="229"/>
      <c r="FL139" s="229"/>
      <c r="FM139" s="229"/>
      <c r="FN139" s="1245"/>
      <c r="FO139" s="538"/>
      <c r="FP139" s="229"/>
      <c r="FQ139" s="229"/>
      <c r="FR139" s="229"/>
      <c r="FS139" s="229"/>
      <c r="FT139" s="229"/>
      <c r="FU139" s="229"/>
      <c r="FV139" s="229"/>
      <c r="FW139" s="229"/>
    </row>
    <row r="140" spans="3:180" x14ac:dyDescent="0.35">
      <c r="C140" s="1" t="s">
        <v>275</v>
      </c>
      <c r="F140" s="1029" t="e">
        <f t="shared" ref="F140:V140" si="165">((F$80-BL$80)/F$80)*100</f>
        <v>#DIV/0!</v>
      </c>
      <c r="G140" s="232" t="e">
        <f t="shared" si="165"/>
        <v>#DIV/0!</v>
      </c>
      <c r="H140" s="232" t="e">
        <f t="shared" si="165"/>
        <v>#DIV/0!</v>
      </c>
      <c r="I140" s="1236" t="e">
        <f t="shared" si="165"/>
        <v>#DIV/0!</v>
      </c>
      <c r="J140" s="643" t="e">
        <f t="shared" si="165"/>
        <v>#DIV/0!</v>
      </c>
      <c r="K140" s="232" t="e">
        <f t="shared" si="165"/>
        <v>#DIV/0!</v>
      </c>
      <c r="L140" s="232" t="e">
        <f t="shared" si="165"/>
        <v>#DIV/0!</v>
      </c>
      <c r="M140" s="232" t="e">
        <f t="shared" si="165"/>
        <v>#DIV/0!</v>
      </c>
      <c r="N140" s="232" t="e">
        <f t="shared" si="165"/>
        <v>#DIV/0!</v>
      </c>
      <c r="O140" s="232" t="e">
        <f t="shared" si="165"/>
        <v>#DIV/0!</v>
      </c>
      <c r="P140" s="232" t="e">
        <f t="shared" si="165"/>
        <v>#DIV/0!</v>
      </c>
      <c r="Q140" s="232" t="e">
        <f t="shared" si="165"/>
        <v>#DIV/0!</v>
      </c>
      <c r="R140" s="1236" t="e">
        <f t="shared" si="165"/>
        <v>#DIV/0!</v>
      </c>
      <c r="S140" s="643" t="e">
        <f t="shared" si="165"/>
        <v>#DIV/0!</v>
      </c>
      <c r="T140" s="232" t="e">
        <f t="shared" si="165"/>
        <v>#DIV/0!</v>
      </c>
      <c r="U140" s="232" t="e">
        <f t="shared" si="165"/>
        <v>#DIV/0!</v>
      </c>
      <c r="V140" s="232" t="e">
        <f t="shared" si="165"/>
        <v>#DIV/0!</v>
      </c>
      <c r="W140" s="232" t="e">
        <f t="shared" ref="W140:AG140" si="166">((W$80-CN$80)/W$80)*100</f>
        <v>#DIV/0!</v>
      </c>
      <c r="X140" s="1236" t="e">
        <f t="shared" si="166"/>
        <v>#DIV/0!</v>
      </c>
      <c r="Y140" s="643" t="e">
        <f t="shared" si="166"/>
        <v>#DIV/0!</v>
      </c>
      <c r="Z140" s="232" t="e">
        <f t="shared" si="166"/>
        <v>#DIV/0!</v>
      </c>
      <c r="AA140" s="232" t="e">
        <f t="shared" si="166"/>
        <v>#DIV/0!</v>
      </c>
      <c r="AB140" s="232" t="e">
        <f t="shared" si="166"/>
        <v>#DIV/0!</v>
      </c>
      <c r="AC140" s="232" t="e">
        <f t="shared" si="166"/>
        <v>#DIV/0!</v>
      </c>
      <c r="AD140" s="232" t="e">
        <f t="shared" si="166"/>
        <v>#DIV/0!</v>
      </c>
      <c r="AE140" s="232" t="e">
        <f t="shared" si="166"/>
        <v>#DIV/0!</v>
      </c>
      <c r="AF140" s="232" t="e">
        <f t="shared" si="166"/>
        <v>#DIV/0!</v>
      </c>
      <c r="AG140" s="232" t="e">
        <f t="shared" si="166"/>
        <v>#DIV/0!</v>
      </c>
      <c r="AI140" s="232" t="s">
        <v>870</v>
      </c>
      <c r="AJ140" s="232" t="e">
        <f>AVERAGE(K140:N140)</f>
        <v>#DIV/0!</v>
      </c>
      <c r="AK140" s="232" t="e">
        <f>AVERAGE(Q140:T140)</f>
        <v>#DIV/0!</v>
      </c>
      <c r="AL140" s="1236" t="s">
        <v>295</v>
      </c>
      <c r="AN140" s="232" t="e">
        <f>AVERAGE(H140:I140)</f>
        <v>#DIV/0!</v>
      </c>
      <c r="AO140" s="232" t="e">
        <f>AVERAGE(M140:O140)</f>
        <v>#DIV/0!</v>
      </c>
      <c r="AP140" s="232" t="e">
        <f>AVERAGE(R140:T140)</f>
        <v>#DIV/0!</v>
      </c>
      <c r="CY140" s="241"/>
      <c r="CZ140" s="241"/>
      <c r="DA140" s="1496"/>
      <c r="DB140" s="1487"/>
      <c r="DC140" s="241"/>
      <c r="DD140" s="241"/>
      <c r="DS140" s="270"/>
      <c r="DT140" s="270"/>
      <c r="DU140" s="270"/>
      <c r="DV140" s="1283"/>
      <c r="DW140" s="1224"/>
      <c r="DX140" s="270"/>
      <c r="DY140" s="270"/>
      <c r="DZ140" s="270"/>
      <c r="EA140" s="270"/>
      <c r="EB140" s="270"/>
      <c r="EC140" s="270"/>
      <c r="ED140" s="270"/>
      <c r="EE140" s="1283"/>
      <c r="EF140" s="1224"/>
      <c r="EG140" s="270"/>
      <c r="EH140" s="270"/>
      <c r="EI140" s="270"/>
      <c r="EJ140" s="270"/>
      <c r="EK140" s="1283"/>
      <c r="EL140" s="1224"/>
      <c r="EM140" s="270"/>
      <c r="EN140" s="270"/>
      <c r="EO140" s="270"/>
      <c r="EP140" s="270"/>
      <c r="EQ140" s="270"/>
      <c r="ER140" s="270"/>
      <c r="ES140" s="270"/>
      <c r="ET140" s="270"/>
      <c r="EV140" s="270"/>
      <c r="EW140" s="270"/>
      <c r="EX140" s="270"/>
      <c r="EY140" s="1283"/>
      <c r="EZ140" s="1224"/>
      <c r="FA140" s="270"/>
      <c r="FB140" s="270"/>
      <c r="FC140" s="270"/>
      <c r="FD140" s="270"/>
      <c r="FE140" s="270"/>
      <c r="FF140" s="270"/>
      <c r="FG140" s="270"/>
      <c r="FH140" s="1283"/>
      <c r="FJ140" s="240"/>
    </row>
    <row r="141" spans="3:180" ht="18.5" x14ac:dyDescent="0.45">
      <c r="C141" s="407" t="s">
        <v>394</v>
      </c>
      <c r="D141" s="407"/>
      <c r="E141" s="407"/>
      <c r="F141" s="1029" t="e">
        <f t="shared" ref="F141:K141" si="167">100*(1-EXP(F$64/F$65*LN(1-F$140/100)))</f>
        <v>#DIV/0!</v>
      </c>
      <c r="G141" s="232" t="e">
        <f t="shared" si="167"/>
        <v>#DIV/0!</v>
      </c>
      <c r="H141" s="232" t="e">
        <f t="shared" si="167"/>
        <v>#DIV/0!</v>
      </c>
      <c r="I141" s="1236" t="e">
        <f t="shared" si="167"/>
        <v>#DIV/0!</v>
      </c>
      <c r="J141" s="643" t="e">
        <f t="shared" si="167"/>
        <v>#DIV/0!</v>
      </c>
      <c r="K141" s="232" t="e">
        <f t="shared" si="167"/>
        <v>#DIV/0!</v>
      </c>
      <c r="L141" s="232" t="e">
        <f>100*(1-EXP(L$64/L$65*LN(1-L$140/100)))</f>
        <v>#DIV/0!</v>
      </c>
      <c r="M141" s="232" t="e">
        <f t="shared" ref="M141:U141" si="168">M140-EXP((M$64-M$66)/M$65*M$140)</f>
        <v>#DIV/0!</v>
      </c>
      <c r="N141" s="232" t="e">
        <f t="shared" si="168"/>
        <v>#DIV/0!</v>
      </c>
      <c r="O141" s="232" t="e">
        <f t="shared" si="168"/>
        <v>#DIV/0!</v>
      </c>
      <c r="P141" s="232" t="e">
        <f t="shared" si="168"/>
        <v>#DIV/0!</v>
      </c>
      <c r="Q141" s="232" t="e">
        <f t="shared" si="168"/>
        <v>#DIV/0!</v>
      </c>
      <c r="R141" s="1236" t="e">
        <f t="shared" si="168"/>
        <v>#DIV/0!</v>
      </c>
      <c r="S141" s="643" t="e">
        <f t="shared" si="168"/>
        <v>#DIV/0!</v>
      </c>
      <c r="T141" s="232" t="e">
        <f t="shared" si="168"/>
        <v>#DIV/0!</v>
      </c>
      <c r="U141" s="232" t="e">
        <f t="shared" si="168"/>
        <v>#DIV/0!</v>
      </c>
      <c r="V141" s="232" t="e">
        <f t="shared" ref="V141:AG141" si="169">1-EXP((V$64-V$66)/V$65*V$140)</f>
        <v>#DIV/0!</v>
      </c>
      <c r="W141" s="232" t="e">
        <f t="shared" si="169"/>
        <v>#DIV/0!</v>
      </c>
      <c r="X141" s="1236" t="e">
        <f t="shared" si="169"/>
        <v>#DIV/0!</v>
      </c>
      <c r="Y141" s="643" t="e">
        <f t="shared" si="169"/>
        <v>#DIV/0!</v>
      </c>
      <c r="Z141" s="232" t="e">
        <f t="shared" si="169"/>
        <v>#DIV/0!</v>
      </c>
      <c r="AA141" s="232" t="e">
        <f t="shared" si="169"/>
        <v>#DIV/0!</v>
      </c>
      <c r="AB141" s="232" t="e">
        <f t="shared" si="169"/>
        <v>#DIV/0!</v>
      </c>
      <c r="AC141" s="232" t="e">
        <f t="shared" si="169"/>
        <v>#DIV/0!</v>
      </c>
      <c r="AD141" s="232" t="e">
        <f t="shared" si="169"/>
        <v>#DIV/0!</v>
      </c>
      <c r="AE141" s="232" t="e">
        <f t="shared" si="169"/>
        <v>#DIV/0!</v>
      </c>
      <c r="AF141" s="232" t="e">
        <f t="shared" si="169"/>
        <v>#DIV/0!</v>
      </c>
      <c r="AG141" s="232" t="e">
        <f t="shared" si="169"/>
        <v>#DIV/0!</v>
      </c>
      <c r="AN141" s="947">
        <f>AVERAGE(H142:I142)</f>
        <v>40.200000000000003</v>
      </c>
      <c r="AO141" s="947">
        <f>AVERAGE(M142:O142)</f>
        <v>68.133333333333326</v>
      </c>
      <c r="AP141" s="947">
        <f>AVERAGE(R142:T142)</f>
        <v>67.600000000000009</v>
      </c>
      <c r="CY141" s="241"/>
      <c r="CZ141" s="241"/>
      <c r="DA141" s="1496"/>
      <c r="DB141" s="1487"/>
      <c r="DC141" s="241"/>
      <c r="DD141" s="241"/>
      <c r="DS141" s="270"/>
      <c r="DT141" s="270"/>
      <c r="DU141" s="270"/>
      <c r="DV141" s="1283"/>
      <c r="DW141" s="1224"/>
      <c r="DX141" s="270"/>
      <c r="DY141" s="270"/>
      <c r="DZ141" s="270"/>
      <c r="EA141" s="270"/>
      <c r="EB141" s="270"/>
      <c r="EC141" s="270"/>
      <c r="ED141" s="270"/>
      <c r="EE141" s="1283"/>
      <c r="EF141" s="1224"/>
      <c r="EG141" s="270"/>
      <c r="EH141" s="270"/>
      <c r="EI141" s="270"/>
      <c r="EJ141" s="270"/>
      <c r="EK141" s="1283"/>
      <c r="EL141" s="1224"/>
      <c r="EM141" s="270"/>
      <c r="EN141" s="270"/>
      <c r="EO141" s="270"/>
      <c r="EP141" s="270"/>
      <c r="EQ141" s="270"/>
      <c r="ER141" s="270"/>
      <c r="ES141" s="270"/>
      <c r="ET141" s="270"/>
      <c r="EV141" s="270"/>
      <c r="EW141" s="270"/>
      <c r="EX141" s="270"/>
      <c r="EY141" s="1283"/>
      <c r="EZ141" s="1224"/>
      <c r="FA141" s="270"/>
      <c r="FB141" s="270"/>
      <c r="FC141" s="270"/>
      <c r="FD141" s="270"/>
      <c r="FE141" s="270"/>
      <c r="FF141" s="270"/>
      <c r="FG141" s="270"/>
      <c r="FH141" s="1283"/>
      <c r="FJ141" s="240"/>
    </row>
    <row r="142" spans="3:180" x14ac:dyDescent="0.35">
      <c r="C142" s="1" t="s">
        <v>429</v>
      </c>
      <c r="E142" s="1143"/>
      <c r="F142" s="1149">
        <v>44</v>
      </c>
      <c r="G142" s="250">
        <v>41.5</v>
      </c>
      <c r="H142" s="250">
        <v>40.5</v>
      </c>
      <c r="I142" s="1280">
        <v>39.9</v>
      </c>
      <c r="J142" s="1223">
        <v>68</v>
      </c>
      <c r="K142" s="250">
        <v>67.5</v>
      </c>
      <c r="L142" s="250">
        <v>67.8</v>
      </c>
      <c r="M142" s="250">
        <v>68.2</v>
      </c>
      <c r="N142" s="250">
        <v>68</v>
      </c>
      <c r="O142" s="250">
        <v>68.2</v>
      </c>
      <c r="P142" s="250">
        <v>66.5</v>
      </c>
      <c r="Q142" s="250">
        <v>65.8</v>
      </c>
      <c r="R142" s="1280">
        <v>66.2</v>
      </c>
      <c r="S142" s="1223">
        <v>68.2</v>
      </c>
      <c r="T142" s="250">
        <v>68.400000000000006</v>
      </c>
      <c r="U142" s="250">
        <v>68</v>
      </c>
      <c r="V142" s="250"/>
      <c r="W142" s="250"/>
      <c r="X142" s="1280"/>
      <c r="Y142" s="1223"/>
      <c r="Z142" s="250"/>
      <c r="AA142" s="250"/>
      <c r="AB142" s="250"/>
      <c r="AC142" s="250"/>
      <c r="AD142" s="250"/>
      <c r="AE142" s="250"/>
      <c r="AF142" s="250"/>
      <c r="AG142" s="250"/>
      <c r="AI142" s="232" t="s">
        <v>870</v>
      </c>
      <c r="AJ142" s="267">
        <f>AVERAGE(K142:N142)</f>
        <v>67.875</v>
      </c>
      <c r="AK142" s="267">
        <f>AVERAGE(Q142:T142)</f>
        <v>67.150000000000006</v>
      </c>
      <c r="AL142" s="1236" t="s">
        <v>608</v>
      </c>
      <c r="AN142" s="916"/>
      <c r="AO142" s="916"/>
      <c r="AP142" s="916"/>
      <c r="CY142" s="241"/>
      <c r="CZ142" s="241"/>
      <c r="DA142" s="1496"/>
      <c r="DB142" s="1487"/>
      <c r="DC142" s="241"/>
      <c r="DD142" s="241"/>
      <c r="DS142" s="270"/>
      <c r="DT142" s="270"/>
      <c r="DU142" s="270"/>
      <c r="DV142" s="1283"/>
      <c r="DW142" s="1224"/>
      <c r="DX142" s="270"/>
      <c r="DY142" s="270"/>
      <c r="DZ142" s="270"/>
      <c r="EA142" s="270"/>
      <c r="EB142" s="270"/>
      <c r="EC142" s="270"/>
      <c r="ED142" s="270"/>
      <c r="EE142" s="1283"/>
      <c r="EF142" s="1224"/>
      <c r="EG142" s="270"/>
      <c r="EH142" s="270"/>
      <c r="EI142" s="270"/>
      <c r="EJ142" s="270"/>
      <c r="EK142" s="1283"/>
      <c r="EL142" s="1224"/>
      <c r="EM142" s="270"/>
      <c r="EN142" s="270"/>
      <c r="EO142" s="270"/>
      <c r="EP142" s="270"/>
      <c r="EQ142" s="270"/>
      <c r="ER142" s="270"/>
      <c r="ES142" s="270"/>
      <c r="ET142" s="270"/>
      <c r="EV142" s="270"/>
      <c r="EW142" s="270"/>
      <c r="EX142" s="270"/>
      <c r="EY142" s="1283"/>
      <c r="EZ142" s="1224"/>
      <c r="FA142" s="270"/>
      <c r="FB142" s="270"/>
      <c r="FC142" s="270"/>
      <c r="FD142" s="270"/>
      <c r="FE142" s="270"/>
      <c r="FF142" s="270"/>
      <c r="FG142" s="270"/>
      <c r="FH142" s="1283"/>
      <c r="FJ142" s="240"/>
    </row>
    <row r="143" spans="3:180" x14ac:dyDescent="0.35">
      <c r="C143" s="1" t="s">
        <v>230</v>
      </c>
      <c r="F143" s="495">
        <f t="shared" ref="F143:U143" si="170">F$142*5%</f>
        <v>2.2000000000000002</v>
      </c>
      <c r="G143" s="318">
        <f t="shared" si="170"/>
        <v>2.0750000000000002</v>
      </c>
      <c r="H143" s="318">
        <f t="shared" si="170"/>
        <v>2.0249999999999999</v>
      </c>
      <c r="I143" s="1281">
        <f t="shared" si="170"/>
        <v>1.9950000000000001</v>
      </c>
      <c r="J143" s="496">
        <f t="shared" si="170"/>
        <v>3.4000000000000004</v>
      </c>
      <c r="K143" s="318">
        <f t="shared" si="170"/>
        <v>3.375</v>
      </c>
      <c r="L143" s="318">
        <f t="shared" si="170"/>
        <v>3.39</v>
      </c>
      <c r="M143" s="318">
        <f t="shared" si="170"/>
        <v>3.41</v>
      </c>
      <c r="N143" s="318">
        <f t="shared" si="170"/>
        <v>3.4000000000000004</v>
      </c>
      <c r="O143" s="318">
        <f t="shared" si="170"/>
        <v>3.41</v>
      </c>
      <c r="P143" s="318">
        <f t="shared" si="170"/>
        <v>3.3250000000000002</v>
      </c>
      <c r="Q143" s="318">
        <f t="shared" si="170"/>
        <v>3.29</v>
      </c>
      <c r="R143" s="1281">
        <f t="shared" si="170"/>
        <v>3.3100000000000005</v>
      </c>
      <c r="S143" s="496">
        <f t="shared" si="170"/>
        <v>3.41</v>
      </c>
      <c r="T143" s="318">
        <f t="shared" si="170"/>
        <v>3.4200000000000004</v>
      </c>
      <c r="U143" s="318">
        <f t="shared" si="170"/>
        <v>3.4000000000000004</v>
      </c>
      <c r="V143" s="318"/>
      <c r="W143" s="318"/>
      <c r="X143" s="1281"/>
      <c r="Y143" s="496"/>
      <c r="Z143" s="318"/>
      <c r="AA143" s="318"/>
      <c r="AB143" s="318"/>
      <c r="AC143" s="318"/>
      <c r="AD143" s="318"/>
      <c r="AE143" s="318"/>
      <c r="AF143" s="318"/>
      <c r="AG143" s="318"/>
      <c r="AN143" s="459"/>
      <c r="AO143" s="459"/>
      <c r="AP143" s="459"/>
      <c r="CY143" s="241"/>
      <c r="CZ143" s="241"/>
      <c r="DA143" s="1496"/>
      <c r="DB143" s="1487"/>
      <c r="DC143" s="241"/>
      <c r="DD143" s="241"/>
      <c r="DS143" s="270"/>
      <c r="DT143" s="270"/>
      <c r="DU143" s="270"/>
      <c r="DV143" s="1283"/>
      <c r="DW143" s="1224"/>
      <c r="DX143" s="270"/>
      <c r="DY143" s="270"/>
      <c r="DZ143" s="270"/>
      <c r="EA143" s="270"/>
      <c r="EB143" s="270"/>
      <c r="EC143" s="270"/>
      <c r="ED143" s="270"/>
      <c r="EE143" s="1283"/>
      <c r="EF143" s="1224"/>
      <c r="EG143" s="270"/>
      <c r="EH143" s="270"/>
      <c r="EI143" s="270"/>
      <c r="EJ143" s="270"/>
      <c r="EK143" s="1283"/>
      <c r="EL143" s="1224"/>
      <c r="EM143" s="270"/>
      <c r="EN143" s="270"/>
      <c r="EO143" s="270"/>
      <c r="EP143" s="270"/>
      <c r="EQ143" s="270"/>
      <c r="ER143" s="270"/>
      <c r="ES143" s="270"/>
      <c r="ET143" s="270"/>
      <c r="EV143" s="270"/>
      <c r="EW143" s="270"/>
      <c r="EX143" s="270"/>
      <c r="EY143" s="1283"/>
      <c r="EZ143" s="1224"/>
      <c r="FA143" s="270"/>
      <c r="FB143" s="270"/>
      <c r="FC143" s="270"/>
      <c r="FD143" s="270"/>
      <c r="FE143" s="270"/>
      <c r="FF143" s="270"/>
      <c r="FG143" s="270"/>
      <c r="FH143" s="1283"/>
      <c r="FJ143" s="240"/>
    </row>
    <row r="144" spans="3:180" x14ac:dyDescent="0.35">
      <c r="C144" s="444" t="s">
        <v>231</v>
      </c>
      <c r="D144" s="444"/>
      <c r="E144" s="444"/>
      <c r="F144" s="1056">
        <f t="shared" ref="F144:U144" si="171">F$142+F$143</f>
        <v>46.2</v>
      </c>
      <c r="G144" s="445">
        <f t="shared" si="171"/>
        <v>43.575000000000003</v>
      </c>
      <c r="H144" s="445">
        <f t="shared" si="171"/>
        <v>42.524999999999999</v>
      </c>
      <c r="I144" s="1280">
        <f t="shared" si="171"/>
        <v>41.894999999999996</v>
      </c>
      <c r="J144" s="1223">
        <f t="shared" si="171"/>
        <v>71.400000000000006</v>
      </c>
      <c r="K144" s="250">
        <f t="shared" si="171"/>
        <v>70.875</v>
      </c>
      <c r="L144" s="250">
        <f t="shared" si="171"/>
        <v>71.19</v>
      </c>
      <c r="M144" s="250">
        <f t="shared" si="171"/>
        <v>71.61</v>
      </c>
      <c r="N144" s="250">
        <f t="shared" si="171"/>
        <v>71.400000000000006</v>
      </c>
      <c r="O144" s="250">
        <f t="shared" si="171"/>
        <v>71.61</v>
      </c>
      <c r="P144" s="250">
        <f t="shared" si="171"/>
        <v>69.825000000000003</v>
      </c>
      <c r="Q144" s="250">
        <f t="shared" si="171"/>
        <v>69.09</v>
      </c>
      <c r="R144" s="1280">
        <f t="shared" si="171"/>
        <v>69.510000000000005</v>
      </c>
      <c r="S144" s="1223">
        <f t="shared" si="171"/>
        <v>71.61</v>
      </c>
      <c r="T144" s="250">
        <f t="shared" si="171"/>
        <v>71.820000000000007</v>
      </c>
      <c r="U144" s="250">
        <f t="shared" si="171"/>
        <v>71.400000000000006</v>
      </c>
      <c r="AJ144" s="267"/>
      <c r="AK144" s="267"/>
      <c r="CY144" s="241"/>
      <c r="CZ144" s="241"/>
      <c r="DA144" s="1496"/>
      <c r="DB144" s="1487"/>
      <c r="DC144" s="241"/>
      <c r="DD144" s="241"/>
      <c r="DS144" s="270"/>
      <c r="DT144" s="270"/>
      <c r="DU144" s="270"/>
      <c r="DV144" s="1283"/>
      <c r="DW144" s="1224"/>
      <c r="DX144" s="270"/>
      <c r="DY144" s="270"/>
      <c r="DZ144" s="270"/>
      <c r="EA144" s="270"/>
      <c r="EB144" s="270"/>
      <c r="EC144" s="270"/>
      <c r="ED144" s="270"/>
      <c r="EE144" s="1283"/>
      <c r="EF144" s="1224"/>
      <c r="EG144" s="270"/>
      <c r="EH144" s="270"/>
      <c r="EI144" s="270"/>
      <c r="EJ144" s="270"/>
      <c r="EK144" s="1283"/>
      <c r="EL144" s="1224"/>
      <c r="EM144" s="270"/>
      <c r="EN144" s="270"/>
      <c r="EO144" s="270"/>
      <c r="EP144" s="270"/>
      <c r="EQ144" s="270"/>
      <c r="ER144" s="270"/>
      <c r="ES144" s="270"/>
      <c r="ET144" s="270"/>
      <c r="EV144" s="270"/>
      <c r="EW144" s="270"/>
      <c r="EX144" s="270"/>
      <c r="EY144" s="1283"/>
      <c r="EZ144" s="1224"/>
      <c r="FA144" s="270"/>
      <c r="FB144" s="270"/>
      <c r="FC144" s="270"/>
      <c r="FD144" s="270"/>
      <c r="FE144" s="270"/>
      <c r="FF144" s="270"/>
      <c r="FG144" s="270"/>
      <c r="FH144" s="1283"/>
      <c r="FJ144" s="240"/>
    </row>
    <row r="145" spans="3:179" x14ac:dyDescent="0.35">
      <c r="C145" s="1" t="s">
        <v>232</v>
      </c>
      <c r="F145" s="603">
        <f t="shared" ref="F145:U145" si="172">F$142-F$143</f>
        <v>41.8</v>
      </c>
      <c r="G145" s="250">
        <f t="shared" si="172"/>
        <v>39.424999999999997</v>
      </c>
      <c r="H145" s="250">
        <f t="shared" si="172"/>
        <v>38.475000000000001</v>
      </c>
      <c r="I145" s="1280">
        <f t="shared" si="172"/>
        <v>37.905000000000001</v>
      </c>
      <c r="J145" s="1223">
        <f t="shared" si="172"/>
        <v>64.599999999999994</v>
      </c>
      <c r="K145" s="250">
        <f t="shared" si="172"/>
        <v>64.125</v>
      </c>
      <c r="L145" s="250">
        <f t="shared" si="172"/>
        <v>64.41</v>
      </c>
      <c r="M145" s="250">
        <f t="shared" si="172"/>
        <v>64.790000000000006</v>
      </c>
      <c r="N145" s="250">
        <f t="shared" si="172"/>
        <v>64.599999999999994</v>
      </c>
      <c r="O145" s="250">
        <f t="shared" si="172"/>
        <v>64.790000000000006</v>
      </c>
      <c r="P145" s="250">
        <f t="shared" si="172"/>
        <v>63.174999999999997</v>
      </c>
      <c r="Q145" s="250">
        <f t="shared" si="172"/>
        <v>62.51</v>
      </c>
      <c r="R145" s="1280">
        <f t="shared" si="172"/>
        <v>62.89</v>
      </c>
      <c r="S145" s="1223">
        <f t="shared" si="172"/>
        <v>64.790000000000006</v>
      </c>
      <c r="T145" s="250">
        <f t="shared" si="172"/>
        <v>64.98</v>
      </c>
      <c r="U145" s="250">
        <f t="shared" si="172"/>
        <v>64.599999999999994</v>
      </c>
      <c r="CY145" s="241"/>
      <c r="CZ145" s="241"/>
      <c r="DA145" s="1496"/>
      <c r="DB145" s="1487"/>
      <c r="DC145" s="241"/>
      <c r="DD145" s="241"/>
      <c r="DS145" s="270"/>
      <c r="DT145" s="270"/>
      <c r="DU145" s="270"/>
      <c r="DV145" s="1283"/>
      <c r="DW145" s="1224"/>
      <c r="DX145" s="270"/>
      <c r="DY145" s="270"/>
      <c r="DZ145" s="270"/>
      <c r="EA145" s="270"/>
      <c r="EB145" s="270"/>
      <c r="EC145" s="270"/>
      <c r="ED145" s="270"/>
      <c r="EE145" s="1283"/>
      <c r="EF145" s="1224"/>
      <c r="EG145" s="270"/>
      <c r="EH145" s="270"/>
      <c r="EI145" s="270"/>
      <c r="EJ145" s="270"/>
      <c r="EK145" s="1283"/>
      <c r="EL145" s="1224"/>
      <c r="EM145" s="270"/>
      <c r="EN145" s="270"/>
      <c r="EO145" s="270"/>
      <c r="EP145" s="270"/>
      <c r="EQ145" s="270"/>
      <c r="ER145" s="270"/>
      <c r="ES145" s="270"/>
      <c r="ET145" s="270"/>
      <c r="EV145" s="270"/>
      <c r="EW145" s="270"/>
      <c r="EX145" s="270"/>
      <c r="EY145" s="1283"/>
      <c r="EZ145" s="1224"/>
      <c r="FA145" s="270"/>
      <c r="FB145" s="270"/>
      <c r="FC145" s="270"/>
      <c r="FD145" s="270"/>
      <c r="FE145" s="270"/>
      <c r="FF145" s="270"/>
      <c r="FG145" s="270"/>
      <c r="FH145" s="1283"/>
      <c r="FJ145" s="240"/>
    </row>
    <row r="146" spans="3:179" x14ac:dyDescent="0.35">
      <c r="C146" s="166"/>
      <c r="D146" s="166"/>
      <c r="E146" s="166"/>
      <c r="F146" s="603"/>
      <c r="G146" s="250"/>
      <c r="H146" s="250"/>
      <c r="I146" s="1280"/>
      <c r="J146" s="1223"/>
      <c r="K146" s="250"/>
      <c r="L146" s="250"/>
      <c r="M146" s="250"/>
      <c r="N146" s="250"/>
      <c r="O146" s="250"/>
      <c r="P146" s="250"/>
      <c r="Q146" s="250"/>
      <c r="R146" s="1280"/>
      <c r="S146" s="1223"/>
      <c r="T146" s="250"/>
      <c r="U146" s="250"/>
      <c r="CY146" s="241"/>
      <c r="CZ146" s="241"/>
      <c r="DA146" s="1496"/>
      <c r="DB146" s="1487"/>
      <c r="DC146" s="241"/>
      <c r="DD146" s="241"/>
      <c r="DS146" s="270"/>
      <c r="DT146" s="270"/>
      <c r="DU146" s="270"/>
      <c r="DV146" s="1283"/>
      <c r="DW146" s="1224"/>
      <c r="DX146" s="270"/>
      <c r="DY146" s="270"/>
      <c r="DZ146" s="270"/>
      <c r="EA146" s="270"/>
      <c r="EB146" s="270"/>
      <c r="EC146" s="270"/>
      <c r="ED146" s="270"/>
      <c r="EE146" s="1283"/>
      <c r="EF146" s="1224"/>
      <c r="EG146" s="270"/>
      <c r="EH146" s="270"/>
      <c r="EI146" s="270"/>
      <c r="EJ146" s="270"/>
      <c r="EK146" s="1283"/>
      <c r="EL146" s="1224"/>
      <c r="EM146" s="270"/>
      <c r="EN146" s="270"/>
      <c r="EO146" s="270"/>
      <c r="EP146" s="270"/>
      <c r="EQ146" s="270"/>
      <c r="ER146" s="270"/>
      <c r="ES146" s="270"/>
      <c r="ET146" s="270"/>
      <c r="EV146" s="270"/>
      <c r="EW146" s="270"/>
      <c r="EX146" s="270"/>
      <c r="EY146" s="1283"/>
      <c r="EZ146" s="1224"/>
      <c r="FA146" s="270"/>
      <c r="FB146" s="270"/>
      <c r="FC146" s="270"/>
      <c r="FD146" s="270"/>
      <c r="FE146" s="270"/>
      <c r="FF146" s="270"/>
      <c r="FG146" s="270"/>
      <c r="FH146" s="1283"/>
      <c r="FJ146" s="240"/>
    </row>
    <row r="147" spans="3:179" x14ac:dyDescent="0.35">
      <c r="C147" s="166"/>
      <c r="D147" s="166"/>
      <c r="E147" s="166"/>
      <c r="F147" s="603"/>
      <c r="G147" s="250"/>
      <c r="H147" s="250"/>
      <c r="I147" s="1280"/>
      <c r="J147" s="1223"/>
      <c r="K147" s="250"/>
      <c r="L147" s="250"/>
      <c r="M147" s="250"/>
      <c r="N147" s="250"/>
      <c r="O147" s="250"/>
      <c r="P147" s="250"/>
      <c r="Q147" s="250"/>
      <c r="R147" s="1280"/>
      <c r="S147" s="1223"/>
      <c r="T147" s="250"/>
      <c r="U147" s="250"/>
      <c r="CY147" s="241"/>
      <c r="CZ147" s="241"/>
      <c r="DA147" s="1496"/>
      <c r="DB147" s="1487"/>
      <c r="DC147" s="241"/>
      <c r="DD147" s="241"/>
      <c r="DS147" s="270"/>
      <c r="DT147" s="270"/>
      <c r="DU147" s="270"/>
      <c r="DV147" s="1283"/>
      <c r="DW147" s="1224"/>
      <c r="DX147" s="270"/>
      <c r="DY147" s="270"/>
      <c r="DZ147" s="270"/>
      <c r="EA147" s="270"/>
      <c r="EB147" s="270"/>
      <c r="EC147" s="270"/>
      <c r="ED147" s="270"/>
      <c r="EE147" s="1283"/>
      <c r="EF147" s="1224"/>
      <c r="EG147" s="270"/>
      <c r="EH147" s="270"/>
      <c r="EI147" s="270"/>
      <c r="EJ147" s="270"/>
      <c r="EK147" s="1283"/>
      <c r="EL147" s="1224"/>
      <c r="EM147" s="270"/>
      <c r="EN147" s="270"/>
      <c r="EO147" s="270"/>
      <c r="EP147" s="270"/>
      <c r="EQ147" s="270"/>
      <c r="ER147" s="270"/>
      <c r="ES147" s="270"/>
      <c r="ET147" s="270"/>
      <c r="EV147" s="270"/>
      <c r="EW147" s="270"/>
      <c r="EX147" s="270"/>
      <c r="EY147" s="1283"/>
      <c r="EZ147" s="1224"/>
      <c r="FA147" s="270"/>
      <c r="FB147" s="270"/>
      <c r="FC147" s="270"/>
      <c r="FD147" s="270"/>
      <c r="FE147" s="270"/>
      <c r="FF147" s="270"/>
      <c r="FG147" s="270"/>
      <c r="FH147" s="1283"/>
      <c r="FJ147" s="240"/>
    </row>
    <row r="148" spans="3:179" ht="15" thickBot="1" x14ac:dyDescent="0.4">
      <c r="C148" s="1" t="s">
        <v>309</v>
      </c>
      <c r="F148" s="1029" t="e">
        <f t="shared" ref="F148:U148" si="173">((F$85-(BL$85))/F$85)*100</f>
        <v>#DIV/0!</v>
      </c>
      <c r="G148" s="232" t="e">
        <f t="shared" si="173"/>
        <v>#DIV/0!</v>
      </c>
      <c r="H148" s="232" t="e">
        <f t="shared" si="173"/>
        <v>#DIV/0!</v>
      </c>
      <c r="I148" s="1236" t="e">
        <f t="shared" si="173"/>
        <v>#DIV/0!</v>
      </c>
      <c r="J148" s="643" t="e">
        <f t="shared" si="173"/>
        <v>#REF!</v>
      </c>
      <c r="K148" s="232" t="e">
        <f t="shared" si="173"/>
        <v>#DIV/0!</v>
      </c>
      <c r="L148" s="232" t="e">
        <f t="shared" si="173"/>
        <v>#DIV/0!</v>
      </c>
      <c r="M148" s="232" t="e">
        <f t="shared" si="173"/>
        <v>#DIV/0!</v>
      </c>
      <c r="N148" s="232" t="e">
        <f t="shared" si="173"/>
        <v>#DIV/0!</v>
      </c>
      <c r="O148" s="232" t="e">
        <f t="shared" si="173"/>
        <v>#DIV/0!</v>
      </c>
      <c r="P148" s="232" t="e">
        <f t="shared" si="173"/>
        <v>#DIV/0!</v>
      </c>
      <c r="Q148" s="232" t="e">
        <f t="shared" si="173"/>
        <v>#DIV/0!</v>
      </c>
      <c r="R148" s="1236" t="e">
        <f t="shared" si="173"/>
        <v>#DIV/0!</v>
      </c>
      <c r="S148" s="643" t="e">
        <f t="shared" si="173"/>
        <v>#DIV/0!</v>
      </c>
      <c r="T148" s="232" t="e">
        <f t="shared" si="173"/>
        <v>#DIV/0!</v>
      </c>
      <c r="U148" s="232" t="e">
        <f t="shared" si="173"/>
        <v>#DIV/0!</v>
      </c>
      <c r="V148" s="232" t="e">
        <f>((V$85-(AY$85+CB$85))/V$85)*100</f>
        <v>#DIV/0!</v>
      </c>
      <c r="W148" s="232" t="e">
        <f t="shared" ref="W148:AG148" si="174">((W$85-(BK$85+CN$85))/W$85)*100</f>
        <v>#DIV/0!</v>
      </c>
      <c r="X148" s="1236" t="e">
        <f t="shared" si="174"/>
        <v>#DIV/0!</v>
      </c>
      <c r="Y148" s="643" t="e">
        <f t="shared" si="174"/>
        <v>#DIV/0!</v>
      </c>
      <c r="Z148" s="232" t="e">
        <f t="shared" si="174"/>
        <v>#DIV/0!</v>
      </c>
      <c r="AA148" s="232" t="e">
        <f t="shared" si="174"/>
        <v>#DIV/0!</v>
      </c>
      <c r="AB148" s="232" t="e">
        <f t="shared" si="174"/>
        <v>#REF!</v>
      </c>
      <c r="AC148" s="232" t="e">
        <f t="shared" si="174"/>
        <v>#DIV/0!</v>
      </c>
      <c r="AD148" s="232" t="e">
        <f t="shared" si="174"/>
        <v>#DIV/0!</v>
      </c>
      <c r="AE148" s="232" t="e">
        <f t="shared" si="174"/>
        <v>#DIV/0!</v>
      </c>
      <c r="AF148" s="232" t="e">
        <f t="shared" si="174"/>
        <v>#DIV/0!</v>
      </c>
      <c r="AG148" s="232" t="e">
        <f t="shared" si="174"/>
        <v>#DIV/0!</v>
      </c>
      <c r="FC148" s="270"/>
      <c r="FD148" s="270"/>
      <c r="FE148" s="270"/>
      <c r="FF148" s="270"/>
      <c r="FG148" s="270"/>
      <c r="FH148" s="1283"/>
    </row>
    <row r="149" spans="3:179" s="377" customFormat="1" ht="19" thickTop="1" x14ac:dyDescent="0.45">
      <c r="C149" s="451" t="s">
        <v>310</v>
      </c>
      <c r="D149" s="411"/>
      <c r="E149" s="411"/>
      <c r="F149" s="1029">
        <v>77</v>
      </c>
      <c r="G149" s="232">
        <v>71.2</v>
      </c>
      <c r="H149" s="232">
        <v>69.099999999999994</v>
      </c>
      <c r="I149" s="1236">
        <v>67.7</v>
      </c>
      <c r="J149" s="643">
        <v>94</v>
      </c>
      <c r="K149" s="232">
        <v>90.5</v>
      </c>
      <c r="L149" s="232">
        <v>89.8</v>
      </c>
      <c r="M149" s="232">
        <v>89</v>
      </c>
      <c r="N149" s="232">
        <v>88.2</v>
      </c>
      <c r="O149" s="232">
        <v>87.1</v>
      </c>
      <c r="P149" s="232">
        <v>88.5</v>
      </c>
      <c r="Q149" s="232">
        <v>83.2</v>
      </c>
      <c r="R149" s="1236">
        <v>83</v>
      </c>
      <c r="S149" s="643">
        <v>84.1</v>
      </c>
      <c r="T149" s="232">
        <v>83</v>
      </c>
      <c r="U149" s="232">
        <v>82.9</v>
      </c>
      <c r="V149" s="232"/>
      <c r="W149" s="232"/>
      <c r="X149" s="1236"/>
      <c r="Y149" s="643"/>
      <c r="Z149" s="232"/>
      <c r="AA149" s="232"/>
      <c r="AB149" s="232"/>
      <c r="AC149" s="232"/>
      <c r="AD149" s="232"/>
      <c r="AE149" s="232"/>
      <c r="AF149" s="232"/>
      <c r="AG149" s="232"/>
      <c r="AH149" s="323"/>
      <c r="AI149" s="232"/>
      <c r="AJ149" s="232"/>
      <c r="AK149" s="232"/>
      <c r="AL149" s="1236"/>
      <c r="AM149" s="643"/>
      <c r="AN149" s="232"/>
      <c r="AO149" s="232"/>
      <c r="AP149" s="232"/>
      <c r="AQ149" s="232"/>
      <c r="AR149" s="232"/>
      <c r="AS149" s="232"/>
      <c r="AT149" s="232"/>
      <c r="AU149" s="1236"/>
      <c r="AV149" s="643"/>
      <c r="AW149" s="232"/>
      <c r="AX149" s="232"/>
      <c r="AY149" s="232"/>
      <c r="AZ149" s="232"/>
      <c r="BA149" s="1236"/>
      <c r="BB149" s="643"/>
      <c r="BC149" s="232"/>
      <c r="BD149" s="232"/>
      <c r="BE149" s="232"/>
      <c r="BF149" s="232"/>
      <c r="BG149" s="232"/>
      <c r="BH149" s="232"/>
      <c r="BI149" s="232"/>
      <c r="BJ149" s="232"/>
      <c r="BK149" s="323"/>
      <c r="BL149" s="232"/>
      <c r="BM149" s="232"/>
      <c r="BN149" s="232"/>
      <c r="BO149" s="1236"/>
      <c r="BP149" s="643"/>
      <c r="BQ149" s="232"/>
      <c r="BR149" s="232"/>
      <c r="BS149" s="232"/>
      <c r="BT149" s="232"/>
      <c r="BU149" s="232"/>
      <c r="BV149" s="232"/>
      <c r="BW149" s="232"/>
      <c r="BX149" s="1236"/>
      <c r="BY149" s="643"/>
      <c r="BZ149" s="232"/>
      <c r="CA149" s="232"/>
      <c r="CB149" s="232"/>
      <c r="CC149" s="232"/>
      <c r="CD149" s="1236"/>
      <c r="CE149" s="643"/>
      <c r="CF149" s="232"/>
      <c r="CG149" s="232"/>
      <c r="CH149" s="232"/>
      <c r="CI149" s="232"/>
      <c r="CJ149" s="232"/>
      <c r="CK149" s="232"/>
      <c r="CL149" s="232"/>
      <c r="CM149" s="232"/>
      <c r="CN149" s="323"/>
      <c r="CO149" s="232"/>
      <c r="CP149" s="232"/>
      <c r="CQ149" s="232"/>
      <c r="CR149" s="1236"/>
      <c r="CS149" s="643"/>
      <c r="CT149" s="232"/>
      <c r="CU149" s="232"/>
      <c r="CV149" s="232"/>
      <c r="CW149" s="232"/>
      <c r="CX149" s="232"/>
      <c r="CY149" s="232"/>
      <c r="CZ149" s="232"/>
      <c r="DA149" s="1236"/>
      <c r="DB149" s="643"/>
      <c r="DC149" s="232"/>
      <c r="DD149" s="232"/>
      <c r="DE149" s="232"/>
      <c r="DF149" s="232"/>
      <c r="DG149" s="1236"/>
      <c r="DH149" s="643"/>
      <c r="DI149" s="232"/>
      <c r="DJ149" s="232"/>
      <c r="DK149" s="232"/>
      <c r="DL149" s="232"/>
      <c r="DM149" s="232"/>
      <c r="DN149" s="232"/>
      <c r="DO149" s="232"/>
      <c r="DP149" s="232"/>
      <c r="DQ149" s="323"/>
      <c r="DR149" s="238"/>
      <c r="DS149" s="232"/>
      <c r="DT149" s="232"/>
      <c r="DU149" s="232"/>
      <c r="DV149" s="1236"/>
      <c r="DW149" s="643"/>
      <c r="DX149" s="232"/>
      <c r="DY149" s="232"/>
      <c r="DZ149" s="232"/>
      <c r="EA149" s="232"/>
      <c r="EB149" s="232"/>
      <c r="EC149" s="232"/>
      <c r="ED149" s="232"/>
      <c r="EE149" s="1236"/>
      <c r="EF149" s="643"/>
      <c r="EG149" s="232"/>
      <c r="EH149" s="232"/>
      <c r="EI149" s="232"/>
      <c r="EJ149" s="232"/>
      <c r="EK149" s="1236"/>
      <c r="EL149" s="643"/>
      <c r="EM149" s="232"/>
      <c r="EN149" s="232"/>
      <c r="EO149" s="232"/>
      <c r="EP149" s="232"/>
      <c r="EQ149" s="232"/>
      <c r="ER149" s="232"/>
      <c r="ES149" s="232"/>
      <c r="ET149" s="232"/>
      <c r="EU149" s="323"/>
      <c r="EV149" s="232"/>
      <c r="EW149" s="232"/>
      <c r="EX149" s="232"/>
      <c r="EY149" s="1236"/>
      <c r="EZ149" s="643"/>
      <c r="FA149" s="232"/>
      <c r="FB149" s="232"/>
      <c r="FC149" s="232"/>
      <c r="FD149" s="232"/>
      <c r="FE149" s="232"/>
      <c r="FF149" s="232"/>
      <c r="FG149" s="232"/>
      <c r="FH149" s="1236"/>
      <c r="FI149" s="643"/>
      <c r="FJ149" s="232"/>
      <c r="FK149" s="232"/>
      <c r="FL149" s="232"/>
      <c r="FM149" s="232"/>
      <c r="FN149" s="1236"/>
      <c r="FO149" s="643"/>
      <c r="FP149" s="232"/>
      <c r="FQ149" s="232"/>
      <c r="FR149" s="232"/>
      <c r="FS149" s="232"/>
      <c r="FT149" s="232"/>
      <c r="FU149" s="232"/>
      <c r="FV149" s="232"/>
      <c r="FW149" s="232"/>
    </row>
    <row r="150" spans="3:179" x14ac:dyDescent="0.35">
      <c r="C150" s="1">
        <v>0.95</v>
      </c>
      <c r="F150" s="501">
        <f>$C$150*F$149</f>
        <v>73.149999999999991</v>
      </c>
      <c r="G150" s="249">
        <f>$C$150*G$149</f>
        <v>67.64</v>
      </c>
      <c r="H150" s="249">
        <f t="shared" ref="H150:K150" si="175">$C$150*H$149</f>
        <v>65.644999999999996</v>
      </c>
      <c r="I150" s="1242">
        <f t="shared" si="175"/>
        <v>64.314999999999998</v>
      </c>
      <c r="J150" s="419">
        <f t="shared" si="175"/>
        <v>89.3</v>
      </c>
      <c r="K150" s="249">
        <f t="shared" si="175"/>
        <v>85.974999999999994</v>
      </c>
      <c r="L150" s="249">
        <f>$C$150*L$149</f>
        <v>85.309999999999988</v>
      </c>
      <c r="M150" s="249">
        <f t="shared" ref="M150:T150" si="176">$C$150*M$149</f>
        <v>84.55</v>
      </c>
      <c r="N150" s="249">
        <f t="shared" si="176"/>
        <v>83.789999999999992</v>
      </c>
      <c r="O150" s="249">
        <f t="shared" si="176"/>
        <v>82.74499999999999</v>
      </c>
      <c r="P150" s="249">
        <f t="shared" si="176"/>
        <v>84.075000000000003</v>
      </c>
      <c r="Q150" s="249">
        <f t="shared" si="176"/>
        <v>79.039999999999992</v>
      </c>
      <c r="R150" s="1242">
        <f t="shared" si="176"/>
        <v>78.849999999999994</v>
      </c>
      <c r="S150" s="419">
        <f t="shared" si="176"/>
        <v>79.894999999999996</v>
      </c>
      <c r="T150" s="249">
        <f t="shared" si="176"/>
        <v>78.849999999999994</v>
      </c>
      <c r="U150" s="249">
        <f>$C$150*U$149</f>
        <v>78.754999999999995</v>
      </c>
      <c r="V150" s="249"/>
      <c r="W150" s="249"/>
      <c r="X150" s="1242"/>
      <c r="Y150" s="419"/>
      <c r="Z150" s="249"/>
      <c r="AA150" s="249"/>
      <c r="AB150" s="249"/>
      <c r="AC150" s="249"/>
      <c r="AD150" s="249"/>
      <c r="AE150" s="249"/>
      <c r="AF150" s="249"/>
      <c r="AG150" s="249"/>
    </row>
    <row r="151" spans="3:179" x14ac:dyDescent="0.35">
      <c r="C151" s="444"/>
      <c r="D151" s="444"/>
      <c r="E151" s="444"/>
      <c r="F151" s="492"/>
      <c r="G151" s="446"/>
      <c r="H151" s="446"/>
      <c r="I151" s="1242"/>
      <c r="J151" s="419"/>
      <c r="K151" s="249"/>
      <c r="L151" s="249"/>
      <c r="M151" s="249"/>
      <c r="N151" s="249"/>
      <c r="O151" s="249"/>
      <c r="P151" s="249"/>
      <c r="Q151" s="249"/>
      <c r="R151" s="1242"/>
      <c r="S151" s="419"/>
      <c r="T151" s="249"/>
      <c r="U151" s="249"/>
    </row>
    <row r="152" spans="3:179" s="368" customFormat="1" ht="15" thickBot="1" x14ac:dyDescent="0.4">
      <c r="C152" s="413" t="s">
        <v>307</v>
      </c>
      <c r="D152" s="413"/>
      <c r="E152" s="413"/>
      <c r="F152" s="501" t="e">
        <f t="shared" ref="F152:U152" si="177">((F$88-(BL$88))/F$88)*100</f>
        <v>#DIV/0!</v>
      </c>
      <c r="G152" s="249" t="e">
        <f t="shared" si="177"/>
        <v>#DIV/0!</v>
      </c>
      <c r="H152" s="249" t="e">
        <f t="shared" si="177"/>
        <v>#DIV/0!</v>
      </c>
      <c r="I152" s="1242" t="e">
        <f t="shared" si="177"/>
        <v>#DIV/0!</v>
      </c>
      <c r="J152" s="419" t="e">
        <f t="shared" si="177"/>
        <v>#REF!</v>
      </c>
      <c r="K152" s="249" t="e">
        <f t="shared" si="177"/>
        <v>#DIV/0!</v>
      </c>
      <c r="L152" s="249" t="e">
        <f t="shared" si="177"/>
        <v>#DIV/0!</v>
      </c>
      <c r="M152" s="249" t="e">
        <f t="shared" si="177"/>
        <v>#DIV/0!</v>
      </c>
      <c r="N152" s="249" t="e">
        <f t="shared" si="177"/>
        <v>#DIV/0!</v>
      </c>
      <c r="O152" s="249" t="e">
        <f t="shared" si="177"/>
        <v>#DIV/0!</v>
      </c>
      <c r="P152" s="249" t="e">
        <f t="shared" si="177"/>
        <v>#DIV/0!</v>
      </c>
      <c r="Q152" s="249" t="e">
        <f t="shared" si="177"/>
        <v>#DIV/0!</v>
      </c>
      <c r="R152" s="1242" t="e">
        <f t="shared" si="177"/>
        <v>#DIV/0!</v>
      </c>
      <c r="S152" s="419" t="e">
        <f t="shared" si="177"/>
        <v>#DIV/0!</v>
      </c>
      <c r="T152" s="249" t="e">
        <f t="shared" si="177"/>
        <v>#DIV/0!</v>
      </c>
      <c r="U152" s="249" t="e">
        <f t="shared" si="177"/>
        <v>#DIV/0!</v>
      </c>
      <c r="V152" s="232" t="e">
        <f>((V$88-(AY$88+CB$88))/V$88)*100</f>
        <v>#DIV/0!</v>
      </c>
      <c r="W152" s="232" t="e">
        <f t="shared" ref="W152:AG152" si="178">((W$88-(BK$88+CN$88))/W$88)*100</f>
        <v>#DIV/0!</v>
      </c>
      <c r="X152" s="1236" t="e">
        <f t="shared" si="178"/>
        <v>#DIV/0!</v>
      </c>
      <c r="Y152" s="643" t="e">
        <f t="shared" si="178"/>
        <v>#DIV/0!</v>
      </c>
      <c r="Z152" s="232" t="e">
        <f t="shared" si="178"/>
        <v>#DIV/0!</v>
      </c>
      <c r="AA152" s="232" t="e">
        <f t="shared" si="178"/>
        <v>#DIV/0!</v>
      </c>
      <c r="AB152" s="232" t="e">
        <f t="shared" si="178"/>
        <v>#REF!</v>
      </c>
      <c r="AC152" s="232" t="e">
        <f t="shared" si="178"/>
        <v>#DIV/0!</v>
      </c>
      <c r="AD152" s="232" t="e">
        <f t="shared" si="178"/>
        <v>#DIV/0!</v>
      </c>
      <c r="AE152" s="232" t="e">
        <f t="shared" si="178"/>
        <v>#DIV/0!</v>
      </c>
      <c r="AF152" s="232" t="e">
        <f t="shared" si="178"/>
        <v>#DIV/0!</v>
      </c>
      <c r="AG152" s="232" t="e">
        <f t="shared" si="178"/>
        <v>#DIV/0!</v>
      </c>
      <c r="AH152" s="323"/>
      <c r="AI152" s="232">
        <v>95.93</v>
      </c>
      <c r="AJ152" s="232"/>
      <c r="AK152" s="232"/>
      <c r="AL152" s="1236"/>
      <c r="AM152" s="643"/>
      <c r="AN152" s="232"/>
      <c r="AO152" s="232"/>
      <c r="AP152" s="232"/>
      <c r="AQ152" s="232"/>
      <c r="AR152" s="232"/>
      <c r="AS152" s="232"/>
      <c r="AT152" s="232"/>
      <c r="AU152" s="1236"/>
      <c r="AV152" s="643"/>
      <c r="AW152" s="232"/>
      <c r="AX152" s="232"/>
      <c r="AY152" s="232"/>
      <c r="AZ152" s="232"/>
      <c r="BA152" s="1236"/>
      <c r="BB152" s="643"/>
      <c r="BC152" s="232"/>
      <c r="BD152" s="232"/>
      <c r="BE152" s="232"/>
      <c r="BF152" s="232"/>
      <c r="BG152" s="232"/>
      <c r="BH152" s="232"/>
      <c r="BI152" s="232"/>
      <c r="BJ152" s="232"/>
      <c r="BK152" s="323"/>
      <c r="BL152" s="232"/>
      <c r="BM152" s="232"/>
      <c r="BN152" s="232"/>
      <c r="BO152" s="1236"/>
      <c r="BP152" s="643"/>
      <c r="BQ152" s="232"/>
      <c r="BR152" s="232"/>
      <c r="BS152" s="232"/>
      <c r="BT152" s="232"/>
      <c r="BU152" s="232"/>
      <c r="BV152" s="232"/>
      <c r="BW152" s="232"/>
      <c r="BX152" s="1236"/>
      <c r="BY152" s="643"/>
      <c r="BZ152" s="232"/>
      <c r="CA152" s="232"/>
      <c r="CB152" s="232"/>
      <c r="CC152" s="232"/>
      <c r="CD152" s="1236"/>
      <c r="CE152" s="643"/>
      <c r="CF152" s="232"/>
      <c r="CG152" s="232"/>
      <c r="CH152" s="232"/>
      <c r="CI152" s="232"/>
      <c r="CJ152" s="232"/>
      <c r="CK152" s="232"/>
      <c r="CL152" s="232"/>
      <c r="CM152" s="232"/>
      <c r="CN152" s="323"/>
      <c r="CO152" s="232"/>
      <c r="CP152" s="232"/>
      <c r="CQ152" s="232"/>
      <c r="CR152" s="1236"/>
      <c r="CS152" s="643"/>
      <c r="CT152" s="232"/>
      <c r="CU152" s="232"/>
      <c r="CV152" s="232"/>
      <c r="CW152" s="232"/>
      <c r="CX152" s="232"/>
      <c r="CY152" s="232"/>
      <c r="CZ152" s="232"/>
      <c r="DA152" s="1236"/>
      <c r="DB152" s="643"/>
      <c r="DC152" s="232"/>
      <c r="DD152" s="232"/>
      <c r="DE152" s="232"/>
      <c r="DF152" s="232"/>
      <c r="DG152" s="1236"/>
      <c r="DH152" s="643"/>
      <c r="DI152" s="232"/>
      <c r="DJ152" s="232"/>
      <c r="DK152" s="232"/>
      <c r="DL152" s="232"/>
      <c r="DM152" s="232"/>
      <c r="DN152" s="232"/>
      <c r="DO152" s="232"/>
      <c r="DP152" s="232"/>
      <c r="DQ152" s="323"/>
      <c r="DR152" s="238"/>
      <c r="DS152" s="232"/>
      <c r="DT152" s="232"/>
      <c r="DU152" s="232"/>
      <c r="DV152" s="1236"/>
      <c r="DW152" s="643" t="s">
        <v>222</v>
      </c>
      <c r="DX152" s="232"/>
      <c r="DY152" s="232"/>
      <c r="DZ152" s="232"/>
      <c r="EA152" s="232"/>
      <c r="EB152" s="232"/>
      <c r="EC152" s="232"/>
      <c r="ED152" s="232"/>
      <c r="EE152" s="1236"/>
      <c r="EF152" s="643"/>
      <c r="EG152" s="232"/>
      <c r="EH152" s="232"/>
      <c r="EI152" s="232"/>
      <c r="EJ152" s="232"/>
      <c r="EK152" s="1236"/>
      <c r="EL152" s="643"/>
      <c r="EM152" s="232"/>
      <c r="EN152" s="232"/>
      <c r="EO152" s="232"/>
      <c r="EP152" s="232"/>
      <c r="EQ152" s="232"/>
      <c r="ER152" s="232"/>
      <c r="ES152" s="232"/>
      <c r="ET152" s="232"/>
      <c r="EU152" s="323"/>
      <c r="EV152" s="232"/>
      <c r="EW152" s="232"/>
      <c r="EX152" s="232"/>
      <c r="EY152" s="1236"/>
      <c r="EZ152" s="643" t="s">
        <v>218</v>
      </c>
      <c r="FA152" s="232"/>
      <c r="FB152" s="232"/>
      <c r="FC152" s="232"/>
      <c r="FD152" s="232"/>
      <c r="FE152" s="232"/>
      <c r="FF152" s="232"/>
      <c r="FG152" s="232"/>
      <c r="FH152" s="1236"/>
      <c r="FI152" s="643"/>
      <c r="FJ152" s="232"/>
      <c r="FK152" s="232"/>
      <c r="FL152" s="232"/>
      <c r="FM152" s="232"/>
      <c r="FN152" s="1236"/>
      <c r="FO152" s="643"/>
      <c r="FP152" s="232"/>
      <c r="FQ152" s="232"/>
      <c r="FR152" s="232"/>
      <c r="FS152" s="232"/>
      <c r="FT152" s="232"/>
      <c r="FU152" s="232"/>
      <c r="FV152" s="232"/>
      <c r="FW152" s="232"/>
    </row>
    <row r="153" spans="3:179" ht="15.5" thickTop="1" thickBot="1" x14ac:dyDescent="0.4">
      <c r="C153" s="412" t="s">
        <v>308</v>
      </c>
      <c r="D153" s="412"/>
      <c r="E153" s="412"/>
      <c r="F153" s="501">
        <v>92</v>
      </c>
      <c r="G153" s="249">
        <v>88.5</v>
      </c>
      <c r="H153" s="249">
        <v>86.2</v>
      </c>
      <c r="I153" s="1242">
        <v>85.2</v>
      </c>
      <c r="J153" s="419">
        <v>98.5</v>
      </c>
      <c r="K153" s="249">
        <v>98.2</v>
      </c>
      <c r="L153" s="249">
        <v>98</v>
      </c>
      <c r="M153" s="249">
        <v>97.8</v>
      </c>
      <c r="N153" s="249">
        <v>97.6</v>
      </c>
      <c r="O153" s="249">
        <v>97.4</v>
      </c>
      <c r="P153" s="249">
        <v>97</v>
      </c>
      <c r="Q153" s="249">
        <v>94.4</v>
      </c>
      <c r="R153" s="1242">
        <v>94</v>
      </c>
      <c r="S153" s="419">
        <v>95</v>
      </c>
      <c r="T153" s="249">
        <v>94.5</v>
      </c>
      <c r="U153" s="249">
        <v>93.9</v>
      </c>
      <c r="DR153" s="345"/>
      <c r="DS153" s="225"/>
      <c r="DT153" s="225"/>
      <c r="DU153" s="225"/>
      <c r="DV153" s="1269"/>
      <c r="DW153" s="1214"/>
      <c r="DX153" s="225"/>
      <c r="DY153" s="225"/>
      <c r="DZ153" s="225"/>
      <c r="EA153" s="225"/>
      <c r="EB153" s="225"/>
      <c r="EC153" s="225"/>
      <c r="ED153" s="225"/>
      <c r="EE153" s="1269"/>
      <c r="EF153" s="1214"/>
      <c r="EG153" s="225"/>
      <c r="EH153" s="225"/>
      <c r="EI153" s="225"/>
      <c r="EJ153" s="225"/>
      <c r="EK153" s="1269"/>
      <c r="EL153" s="1214"/>
      <c r="EM153" s="225"/>
      <c r="EN153" s="225"/>
      <c r="EO153" s="225"/>
      <c r="EP153" s="225"/>
      <c r="EQ153" s="225"/>
      <c r="ER153" s="225"/>
      <c r="ES153" s="225"/>
      <c r="ET153" s="225"/>
      <c r="EV153" s="225"/>
      <c r="EW153" s="225"/>
      <c r="EX153" s="225"/>
      <c r="EY153" s="1269"/>
      <c r="EZ153" s="1214"/>
      <c r="FA153" s="225"/>
      <c r="FB153" s="225"/>
      <c r="FC153" s="225"/>
      <c r="FD153" s="225"/>
      <c r="FE153" s="225"/>
      <c r="FF153" s="225"/>
      <c r="FG153" s="225"/>
      <c r="FH153" s="1269"/>
      <c r="FI153" s="1214"/>
      <c r="FJ153" s="225"/>
      <c r="FK153" s="225"/>
      <c r="FL153" s="225"/>
      <c r="FM153" s="225"/>
      <c r="FN153" s="1269"/>
      <c r="FO153" s="1214"/>
      <c r="FP153" s="225"/>
      <c r="FQ153" s="225"/>
      <c r="FR153" s="225"/>
      <c r="FS153" s="225"/>
      <c r="FT153" s="225"/>
      <c r="FU153" s="225"/>
      <c r="FV153" s="225"/>
      <c r="FW153" s="225"/>
    </row>
    <row r="154" spans="3:179" ht="15.5" thickTop="1" thickBot="1" x14ac:dyDescent="0.4">
      <c r="C154" s="1">
        <v>0.95</v>
      </c>
      <c r="F154" s="501">
        <f>$C$154*F$153</f>
        <v>87.399999999999991</v>
      </c>
      <c r="G154" s="249">
        <f t="shared" ref="G154:T154" si="179">$C$154*G$153</f>
        <v>84.075000000000003</v>
      </c>
      <c r="H154" s="249">
        <f t="shared" si="179"/>
        <v>81.89</v>
      </c>
      <c r="I154" s="1242">
        <f t="shared" si="179"/>
        <v>80.94</v>
      </c>
      <c r="J154" s="419">
        <f t="shared" si="179"/>
        <v>93.574999999999989</v>
      </c>
      <c r="K154" s="249">
        <f t="shared" si="179"/>
        <v>93.289999999999992</v>
      </c>
      <c r="L154" s="249">
        <f t="shared" si="179"/>
        <v>93.1</v>
      </c>
      <c r="M154" s="249">
        <f t="shared" si="179"/>
        <v>92.91</v>
      </c>
      <c r="N154" s="249">
        <f t="shared" si="179"/>
        <v>92.719999999999985</v>
      </c>
      <c r="O154" s="249">
        <f t="shared" si="179"/>
        <v>92.53</v>
      </c>
      <c r="P154" s="249">
        <f t="shared" si="179"/>
        <v>92.149999999999991</v>
      </c>
      <c r="Q154" s="249">
        <f t="shared" si="179"/>
        <v>89.68</v>
      </c>
      <c r="R154" s="1242">
        <f t="shared" si="179"/>
        <v>89.3</v>
      </c>
      <c r="S154" s="419">
        <f t="shared" si="179"/>
        <v>90.25</v>
      </c>
      <c r="T154" s="249">
        <f t="shared" si="179"/>
        <v>89.774999999999991</v>
      </c>
      <c r="U154" s="249">
        <f>$C$154*U$153</f>
        <v>89.204999999999998</v>
      </c>
      <c r="V154" s="249"/>
      <c r="W154" s="249"/>
      <c r="X154" s="1242"/>
      <c r="Y154" s="419"/>
      <c r="Z154" s="249"/>
      <c r="AA154" s="249"/>
      <c r="AB154" s="249"/>
      <c r="AC154" s="249"/>
      <c r="AD154" s="249"/>
      <c r="AE154" s="249"/>
      <c r="AF154" s="249"/>
      <c r="AG154" s="249"/>
      <c r="DR154" s="361"/>
      <c r="DS154" s="307"/>
      <c r="DT154" s="307"/>
      <c r="DU154" s="307"/>
      <c r="DV154" s="1239"/>
      <c r="DW154" s="1546"/>
      <c r="DX154" s="307"/>
      <c r="DY154" s="307"/>
      <c r="DZ154" s="307"/>
      <c r="EA154" s="307"/>
      <c r="EB154" s="307"/>
      <c r="EC154" s="307"/>
      <c r="ED154" s="307"/>
      <c r="EE154" s="1239"/>
      <c r="EF154" s="1186"/>
      <c r="EG154" s="307"/>
      <c r="EH154" s="307"/>
      <c r="EI154" s="307"/>
      <c r="EJ154" s="307"/>
      <c r="EK154" s="1239"/>
      <c r="EL154" s="1186"/>
      <c r="EM154" s="307"/>
      <c r="EN154" s="307"/>
      <c r="EO154" s="307"/>
      <c r="EP154" s="307"/>
      <c r="EQ154" s="307"/>
      <c r="ER154" s="307"/>
      <c r="ES154" s="307"/>
      <c r="ET154" s="307"/>
      <c r="EV154" s="307"/>
      <c r="EW154" s="307"/>
      <c r="EX154" s="307"/>
      <c r="EY154" s="1239"/>
      <c r="EZ154" s="1546"/>
      <c r="FA154" s="307"/>
      <c r="FB154" s="307"/>
      <c r="FC154" s="307"/>
      <c r="FD154" s="307"/>
      <c r="FE154" s="307"/>
      <c r="FF154" s="307"/>
      <c r="FG154" s="307"/>
      <c r="FH154" s="1239"/>
      <c r="FI154" s="1186"/>
      <c r="FJ154" s="307"/>
      <c r="FK154" s="307"/>
      <c r="FL154" s="307"/>
      <c r="FM154" s="307"/>
      <c r="FN154" s="1239"/>
      <c r="FO154" s="1186"/>
      <c r="FP154" s="307"/>
      <c r="FQ154" s="307"/>
      <c r="FR154" s="307"/>
      <c r="FS154" s="307"/>
      <c r="FT154" s="307"/>
      <c r="FU154" s="307"/>
      <c r="FV154" s="307"/>
      <c r="FW154" s="307"/>
    </row>
    <row r="155" spans="3:179" ht="15" thickTop="1" x14ac:dyDescent="0.35">
      <c r="C155" s="444"/>
      <c r="D155" s="444"/>
      <c r="E155" s="444"/>
      <c r="F155" s="492"/>
      <c r="G155" s="446"/>
      <c r="H155" s="446"/>
      <c r="I155" s="1242"/>
      <c r="J155" s="419"/>
      <c r="K155" s="249"/>
      <c r="L155" s="249"/>
      <c r="M155" s="249"/>
      <c r="N155" s="249"/>
      <c r="O155" s="249"/>
      <c r="P155" s="249"/>
      <c r="Q155" s="249"/>
      <c r="R155" s="1242"/>
      <c r="S155" s="419"/>
      <c r="T155" s="249"/>
      <c r="U155" s="249"/>
      <c r="DR155" s="358"/>
      <c r="DS155" s="229"/>
      <c r="DT155" s="229"/>
      <c r="DU155" s="229"/>
      <c r="DV155" s="1245"/>
      <c r="DW155" s="1547"/>
      <c r="DX155" s="229"/>
      <c r="DY155" s="229"/>
      <c r="DZ155" s="229"/>
      <c r="EA155" s="229"/>
      <c r="EB155" s="229"/>
      <c r="EC155" s="229"/>
      <c r="ED155" s="229"/>
      <c r="EE155" s="1245"/>
      <c r="EF155" s="538"/>
      <c r="EG155" s="229"/>
      <c r="EH155" s="229"/>
      <c r="EI155" s="229"/>
      <c r="EJ155" s="229"/>
      <c r="EK155" s="1245"/>
      <c r="EL155" s="538"/>
      <c r="EM155" s="229"/>
      <c r="EN155" s="229"/>
      <c r="EO155" s="229"/>
      <c r="EP155" s="229"/>
      <c r="EQ155" s="229"/>
      <c r="ER155" s="229"/>
      <c r="ES155" s="229"/>
      <c r="ET155" s="229"/>
      <c r="EV155" s="229"/>
      <c r="EW155" s="229"/>
      <c r="EX155" s="229"/>
      <c r="EY155" s="1245"/>
      <c r="EZ155" s="1547"/>
      <c r="FA155" s="229"/>
      <c r="FB155" s="229"/>
      <c r="FC155" s="229"/>
      <c r="FD155" s="229"/>
      <c r="FE155" s="229"/>
      <c r="FF155" s="229"/>
      <c r="FG155" s="229"/>
      <c r="FH155" s="1245"/>
      <c r="FI155" s="538"/>
      <c r="FJ155" s="229"/>
      <c r="FK155" s="229"/>
      <c r="FL155" s="229"/>
      <c r="FM155" s="229"/>
      <c r="FN155" s="1245"/>
      <c r="FO155" s="538"/>
      <c r="FP155" s="229"/>
      <c r="FQ155" s="229"/>
      <c r="FR155" s="229"/>
      <c r="FS155" s="229"/>
      <c r="FT155" s="229"/>
      <c r="FU155" s="229"/>
      <c r="FV155" s="229"/>
      <c r="FW155" s="229"/>
    </row>
    <row r="156" spans="3:179" ht="15" thickBot="1" x14ac:dyDescent="0.4">
      <c r="C156" s="167" t="s">
        <v>305</v>
      </c>
      <c r="D156" s="167"/>
      <c r="E156" s="167"/>
      <c r="F156" s="501" t="e">
        <f>F$148*F$85/100</f>
        <v>#DIV/0!</v>
      </c>
      <c r="G156" s="249" t="e">
        <f t="shared" ref="G156:AG156" si="180">G$148*G$85/100</f>
        <v>#DIV/0!</v>
      </c>
      <c r="H156" s="249" t="e">
        <f t="shared" si="180"/>
        <v>#DIV/0!</v>
      </c>
      <c r="I156" s="1242" t="e">
        <f t="shared" si="180"/>
        <v>#DIV/0!</v>
      </c>
      <c r="J156" s="419" t="e">
        <f t="shared" si="180"/>
        <v>#REF!</v>
      </c>
      <c r="K156" s="249" t="e">
        <f t="shared" si="180"/>
        <v>#DIV/0!</v>
      </c>
      <c r="L156" s="249" t="e">
        <f t="shared" si="180"/>
        <v>#DIV/0!</v>
      </c>
      <c r="M156" s="249" t="e">
        <f t="shared" si="180"/>
        <v>#DIV/0!</v>
      </c>
      <c r="N156" s="249" t="e">
        <f t="shared" si="180"/>
        <v>#DIV/0!</v>
      </c>
      <c r="O156" s="249" t="e">
        <f t="shared" si="180"/>
        <v>#DIV/0!</v>
      </c>
      <c r="P156" s="249" t="e">
        <f t="shared" si="180"/>
        <v>#DIV/0!</v>
      </c>
      <c r="Q156" s="249" t="e">
        <f t="shared" si="180"/>
        <v>#DIV/0!</v>
      </c>
      <c r="R156" s="1242" t="e">
        <f t="shared" si="180"/>
        <v>#DIV/0!</v>
      </c>
      <c r="S156" s="419" t="e">
        <f t="shared" si="180"/>
        <v>#DIV/0!</v>
      </c>
      <c r="T156" s="249" t="e">
        <f t="shared" si="180"/>
        <v>#DIV/0!</v>
      </c>
      <c r="U156" s="249" t="e">
        <f t="shared" si="180"/>
        <v>#DIV/0!</v>
      </c>
      <c r="V156" s="232" t="e">
        <f t="shared" si="180"/>
        <v>#DIV/0!</v>
      </c>
      <c r="W156" s="232" t="e">
        <f t="shared" si="180"/>
        <v>#DIV/0!</v>
      </c>
      <c r="X156" s="1236" t="e">
        <f t="shared" si="180"/>
        <v>#DIV/0!</v>
      </c>
      <c r="Y156" s="643" t="e">
        <f t="shared" si="180"/>
        <v>#DIV/0!</v>
      </c>
      <c r="Z156" s="232" t="e">
        <f t="shared" si="180"/>
        <v>#DIV/0!</v>
      </c>
      <c r="AA156" s="232" t="e">
        <f t="shared" si="180"/>
        <v>#DIV/0!</v>
      </c>
      <c r="AB156" s="232" t="e">
        <f t="shared" si="180"/>
        <v>#REF!</v>
      </c>
      <c r="AC156" s="232" t="e">
        <f t="shared" si="180"/>
        <v>#DIV/0!</v>
      </c>
      <c r="AD156" s="232" t="e">
        <f t="shared" si="180"/>
        <v>#DIV/0!</v>
      </c>
      <c r="AE156" s="232" t="e">
        <f t="shared" si="180"/>
        <v>#DIV/0!</v>
      </c>
      <c r="AF156" s="232" t="e">
        <f t="shared" si="180"/>
        <v>#DIV/0!</v>
      </c>
      <c r="AG156" s="232" t="e">
        <f t="shared" si="180"/>
        <v>#DIV/0!</v>
      </c>
      <c r="DS156" s="232">
        <f t="shared" ref="DS156:EH156" si="181">SUM(DS124:DS133)</f>
        <v>18.953939790588322</v>
      </c>
      <c r="DT156" s="232">
        <f t="shared" si="181"/>
        <v>20.318086498521705</v>
      </c>
      <c r="DU156" s="232">
        <f t="shared" si="181"/>
        <v>6.6019051739589152</v>
      </c>
      <c r="DV156" s="1236">
        <f t="shared" si="181"/>
        <v>6.4738486109845459</v>
      </c>
      <c r="DW156" s="1470">
        <f t="shared" si="181"/>
        <v>8.1168696440616888</v>
      </c>
      <c r="DX156" s="232">
        <f t="shared" si="181"/>
        <v>8.4454585475444102</v>
      </c>
      <c r="DY156" s="232">
        <f t="shared" si="181"/>
        <v>8.5763732666827259</v>
      </c>
      <c r="DZ156" s="232">
        <f t="shared" si="181"/>
        <v>8.5426085851639897</v>
      </c>
      <c r="EA156" s="232">
        <f t="shared" si="181"/>
        <v>8.1970490193909828</v>
      </c>
      <c r="EB156" s="232">
        <f t="shared" si="181"/>
        <v>8.9077341411873334</v>
      </c>
      <c r="EC156" s="232">
        <f t="shared" si="181"/>
        <v>9.1377848748268562</v>
      </c>
      <c r="ED156" s="232">
        <f t="shared" si="181"/>
        <v>9.0794402964448011</v>
      </c>
      <c r="EE156" s="1236">
        <f t="shared" si="181"/>
        <v>8.9985973953397238</v>
      </c>
      <c r="EF156" s="643">
        <f t="shared" si="181"/>
        <v>0</v>
      </c>
      <c r="EG156" s="232">
        <f t="shared" si="181"/>
        <v>0</v>
      </c>
      <c r="EH156" s="232">
        <f t="shared" si="181"/>
        <v>0</v>
      </c>
      <c r="EI156" s="232">
        <f t="shared" ref="EI156:EQ156" si="182">SUM(EI124:EI133)</f>
        <v>0</v>
      </c>
      <c r="EJ156" s="232">
        <f t="shared" si="182"/>
        <v>0</v>
      </c>
      <c r="EK156" s="1236">
        <f t="shared" si="182"/>
        <v>0</v>
      </c>
      <c r="EL156" s="643">
        <f t="shared" si="182"/>
        <v>0</v>
      </c>
      <c r="EM156" s="232">
        <f t="shared" si="182"/>
        <v>0</v>
      </c>
      <c r="EN156" s="232">
        <f t="shared" si="182"/>
        <v>0</v>
      </c>
      <c r="EO156" s="232">
        <f t="shared" si="182"/>
        <v>0</v>
      </c>
      <c r="EP156" s="232">
        <f t="shared" si="182"/>
        <v>0</v>
      </c>
      <c r="EQ156" s="232">
        <f t="shared" si="182"/>
        <v>0</v>
      </c>
      <c r="ER156" s="232">
        <f t="shared" ref="ER156:ET156" si="183">SUM(ER124:ER133)</f>
        <v>0</v>
      </c>
      <c r="ES156" s="232">
        <f t="shared" si="183"/>
        <v>0</v>
      </c>
      <c r="ET156" s="232">
        <f t="shared" si="183"/>
        <v>0</v>
      </c>
      <c r="EV156" s="232">
        <f t="shared" ref="EV156:FB156" si="184">SUM(EV124:EV133)</f>
        <v>0.67955978599548017</v>
      </c>
      <c r="EW156" s="232">
        <f t="shared" si="184"/>
        <v>0.45854499088924516</v>
      </c>
      <c r="EX156" s="232">
        <f t="shared" si="184"/>
        <v>8.197213423327096E-2</v>
      </c>
      <c r="EY156" s="1236">
        <f t="shared" si="184"/>
        <v>8.7620900742590296E-2</v>
      </c>
      <c r="EZ156" s="1470">
        <f t="shared" si="184"/>
        <v>2.1363123991038306</v>
      </c>
      <c r="FA156" s="232">
        <f t="shared" si="184"/>
        <v>3.0126310043093323</v>
      </c>
      <c r="FB156" s="232">
        <f t="shared" si="184"/>
        <v>3.0351322935787421</v>
      </c>
      <c r="FC156" s="232">
        <f t="shared" ref="FC156:FK156" si="185">SUM(FC124:FC146)</f>
        <v>2.791609662690457</v>
      </c>
      <c r="FD156" s="232">
        <f t="shared" si="185"/>
        <v>2.308133741961516</v>
      </c>
      <c r="FE156" s="232">
        <f t="shared" si="185"/>
        <v>2.65481704981653</v>
      </c>
      <c r="FF156" s="232">
        <f t="shared" si="185"/>
        <v>1.4511256423497201</v>
      </c>
      <c r="FG156" s="232">
        <f t="shared" si="185"/>
        <v>2.3070026126076324</v>
      </c>
      <c r="FH156" s="1236">
        <f t="shared" si="185"/>
        <v>3.1909088296882215</v>
      </c>
      <c r="FI156" s="643">
        <f t="shared" si="185"/>
        <v>0</v>
      </c>
      <c r="FJ156" s="232">
        <f t="shared" si="185"/>
        <v>0</v>
      </c>
      <c r="FK156" s="232">
        <f t="shared" si="185"/>
        <v>0</v>
      </c>
    </row>
    <row r="157" spans="3:179" s="377" customFormat="1" ht="15" thickTop="1" x14ac:dyDescent="0.35">
      <c r="C157" s="414" t="s">
        <v>306</v>
      </c>
      <c r="D157" s="414"/>
      <c r="E157" s="414"/>
      <c r="F157" s="501" t="e">
        <f t="shared" ref="F157:AG157" si="186">F$152*F$88/100</f>
        <v>#DIV/0!</v>
      </c>
      <c r="G157" s="249" t="e">
        <f t="shared" si="186"/>
        <v>#DIV/0!</v>
      </c>
      <c r="H157" s="249" t="e">
        <f t="shared" si="186"/>
        <v>#DIV/0!</v>
      </c>
      <c r="I157" s="1242" t="e">
        <f t="shared" si="186"/>
        <v>#DIV/0!</v>
      </c>
      <c r="J157" s="419" t="e">
        <f t="shared" si="186"/>
        <v>#REF!</v>
      </c>
      <c r="K157" s="249" t="e">
        <f t="shared" si="186"/>
        <v>#DIV/0!</v>
      </c>
      <c r="L157" s="249" t="e">
        <f t="shared" si="186"/>
        <v>#DIV/0!</v>
      </c>
      <c r="M157" s="249" t="e">
        <f t="shared" si="186"/>
        <v>#DIV/0!</v>
      </c>
      <c r="N157" s="249" t="e">
        <f t="shared" si="186"/>
        <v>#DIV/0!</v>
      </c>
      <c r="O157" s="249" t="e">
        <f t="shared" si="186"/>
        <v>#DIV/0!</v>
      </c>
      <c r="P157" s="249" t="e">
        <f t="shared" si="186"/>
        <v>#DIV/0!</v>
      </c>
      <c r="Q157" s="249" t="e">
        <f t="shared" si="186"/>
        <v>#DIV/0!</v>
      </c>
      <c r="R157" s="1242" t="e">
        <f t="shared" si="186"/>
        <v>#DIV/0!</v>
      </c>
      <c r="S157" s="419" t="e">
        <f t="shared" si="186"/>
        <v>#DIV/0!</v>
      </c>
      <c r="T157" s="249" t="e">
        <f t="shared" si="186"/>
        <v>#DIV/0!</v>
      </c>
      <c r="U157" s="249" t="e">
        <f t="shared" si="186"/>
        <v>#DIV/0!</v>
      </c>
      <c r="V157" s="232" t="e">
        <f t="shared" si="186"/>
        <v>#DIV/0!</v>
      </c>
      <c r="W157" s="232" t="e">
        <f t="shared" si="186"/>
        <v>#DIV/0!</v>
      </c>
      <c r="X157" s="1236" t="e">
        <f t="shared" si="186"/>
        <v>#DIV/0!</v>
      </c>
      <c r="Y157" s="643" t="e">
        <f t="shared" si="186"/>
        <v>#DIV/0!</v>
      </c>
      <c r="Z157" s="232" t="e">
        <f t="shared" si="186"/>
        <v>#DIV/0!</v>
      </c>
      <c r="AA157" s="232" t="e">
        <f t="shared" si="186"/>
        <v>#DIV/0!</v>
      </c>
      <c r="AB157" s="232" t="e">
        <f t="shared" si="186"/>
        <v>#REF!</v>
      </c>
      <c r="AC157" s="232" t="e">
        <f t="shared" si="186"/>
        <v>#DIV/0!</v>
      </c>
      <c r="AD157" s="232" t="e">
        <f t="shared" si="186"/>
        <v>#DIV/0!</v>
      </c>
      <c r="AE157" s="232" t="e">
        <f t="shared" si="186"/>
        <v>#DIV/0!</v>
      </c>
      <c r="AF157" s="232" t="e">
        <f t="shared" si="186"/>
        <v>#DIV/0!</v>
      </c>
      <c r="AG157" s="232" t="e">
        <f t="shared" si="186"/>
        <v>#DIV/0!</v>
      </c>
      <c r="AH157" s="323"/>
      <c r="AI157" s="232"/>
      <c r="AJ157" s="232"/>
      <c r="AK157" s="232"/>
      <c r="AL157" s="1236"/>
      <c r="AM157" s="643"/>
      <c r="AN157" s="232"/>
      <c r="AO157" s="232"/>
      <c r="AP157" s="232"/>
      <c r="AQ157" s="232"/>
      <c r="AR157" s="232"/>
      <c r="AS157" s="232"/>
      <c r="AT157" s="232"/>
      <c r="AU157" s="1236"/>
      <c r="AV157" s="643"/>
      <c r="AW157" s="232"/>
      <c r="AX157" s="232"/>
      <c r="AY157" s="232"/>
      <c r="AZ157" s="232"/>
      <c r="BA157" s="1236"/>
      <c r="BB157" s="643"/>
      <c r="BC157" s="232"/>
      <c r="BD157" s="232"/>
      <c r="BE157" s="232"/>
      <c r="BF157" s="232"/>
      <c r="BG157" s="232"/>
      <c r="BH157" s="232"/>
      <c r="BI157" s="232"/>
      <c r="BJ157" s="232"/>
      <c r="BK157" s="323"/>
      <c r="BL157" s="232"/>
      <c r="BM157" s="232"/>
      <c r="BN157" s="232"/>
      <c r="BO157" s="1236"/>
      <c r="BP157" s="643"/>
      <c r="BQ157" s="232"/>
      <c r="BR157" s="232"/>
      <c r="BS157" s="232"/>
      <c r="BT157" s="232"/>
      <c r="BU157" s="232"/>
      <c r="BV157" s="232"/>
      <c r="BW157" s="232"/>
      <c r="BX157" s="1236"/>
      <c r="BY157" s="643"/>
      <c r="BZ157" s="232"/>
      <c r="CA157" s="232"/>
      <c r="CB157" s="232"/>
      <c r="CC157" s="232"/>
      <c r="CD157" s="1236"/>
      <c r="CE157" s="643"/>
      <c r="CF157" s="232"/>
      <c r="CG157" s="232"/>
      <c r="CH157" s="232"/>
      <c r="CI157" s="232"/>
      <c r="CJ157" s="232"/>
      <c r="CK157" s="232"/>
      <c r="CL157" s="232"/>
      <c r="CM157" s="232"/>
      <c r="CN157" s="323"/>
      <c r="CO157" s="232"/>
      <c r="CP157" s="232"/>
      <c r="CQ157" s="232"/>
      <c r="CR157" s="1236"/>
      <c r="CS157" s="643"/>
      <c r="CT157" s="232"/>
      <c r="CU157" s="232"/>
      <c r="CV157" s="232"/>
      <c r="CW157" s="232"/>
      <c r="CX157" s="232"/>
      <c r="CY157" s="232"/>
      <c r="CZ157" s="232"/>
      <c r="DA157" s="1236"/>
      <c r="DB157" s="643"/>
      <c r="DC157" s="232"/>
      <c r="DD157" s="232"/>
      <c r="DE157" s="232"/>
      <c r="DF157" s="232"/>
      <c r="DG157" s="1236"/>
      <c r="DH157" s="643"/>
      <c r="DI157" s="232"/>
      <c r="DJ157" s="232"/>
      <c r="DK157" s="232"/>
      <c r="DL157" s="232"/>
      <c r="DM157" s="232"/>
      <c r="DN157" s="232"/>
      <c r="DO157" s="232"/>
      <c r="DP157" s="232"/>
      <c r="DQ157" s="323"/>
      <c r="DR157" s="238"/>
      <c r="DS157" s="232"/>
      <c r="DT157" s="232"/>
      <c r="DU157" s="232"/>
      <c r="DV157" s="1236"/>
      <c r="DW157" s="1470"/>
      <c r="DX157" s="232"/>
      <c r="DY157" s="232"/>
      <c r="DZ157" s="232"/>
      <c r="EA157" s="232"/>
      <c r="EB157" s="232"/>
      <c r="EC157" s="232"/>
      <c r="ED157" s="232"/>
      <c r="EE157" s="1236"/>
      <c r="EF157" s="643"/>
      <c r="EG157" s="232"/>
      <c r="EH157" s="232"/>
      <c r="EI157" s="232"/>
      <c r="EJ157" s="232"/>
      <c r="EK157" s="1236"/>
      <c r="EL157" s="643"/>
      <c r="EM157" s="232"/>
      <c r="EN157" s="232"/>
      <c r="EO157" s="232"/>
      <c r="EP157" s="232"/>
      <c r="EQ157" s="232"/>
      <c r="ER157" s="232"/>
      <c r="ES157" s="232"/>
      <c r="ET157" s="232"/>
      <c r="EU157" s="323"/>
      <c r="EV157" s="232"/>
      <c r="EW157" s="232"/>
      <c r="EX157" s="232"/>
      <c r="EY157" s="1236"/>
      <c r="EZ157" s="1470"/>
      <c r="FA157" s="232"/>
      <c r="FB157" s="232"/>
      <c r="FC157" s="232"/>
      <c r="FD157" s="232"/>
      <c r="FE157" s="232"/>
      <c r="FF157" s="232"/>
      <c r="FG157" s="232"/>
      <c r="FH157" s="1236"/>
      <c r="FI157" s="643"/>
      <c r="FJ157" s="232"/>
      <c r="FK157" s="232"/>
      <c r="FL157" s="232"/>
      <c r="FM157" s="232"/>
      <c r="FN157" s="1236"/>
      <c r="FO157" s="643"/>
      <c r="FP157" s="232"/>
      <c r="FQ157" s="232"/>
      <c r="FR157" s="232"/>
      <c r="FS157" s="232"/>
      <c r="FT157" s="232"/>
      <c r="FU157" s="232"/>
      <c r="FV157" s="232"/>
      <c r="FW157" s="232"/>
    </row>
    <row r="158" spans="3:179" x14ac:dyDescent="0.35">
      <c r="C158" s="1" t="s">
        <v>311</v>
      </c>
      <c r="F158" s="604" t="e">
        <f t="shared" ref="F158:V158" si="187">F156+F157</f>
        <v>#DIV/0!</v>
      </c>
      <c r="G158" s="251" t="e">
        <f t="shared" si="187"/>
        <v>#DIV/0!</v>
      </c>
      <c r="H158" s="251" t="e">
        <f t="shared" si="187"/>
        <v>#DIV/0!</v>
      </c>
      <c r="I158" s="1267" t="e">
        <f t="shared" si="187"/>
        <v>#DIV/0!</v>
      </c>
      <c r="J158" s="1212" t="e">
        <f t="shared" si="187"/>
        <v>#REF!</v>
      </c>
      <c r="K158" s="251" t="e">
        <f t="shared" si="187"/>
        <v>#DIV/0!</v>
      </c>
      <c r="L158" s="251" t="e">
        <f t="shared" si="187"/>
        <v>#DIV/0!</v>
      </c>
      <c r="M158" s="251" t="e">
        <f t="shared" si="187"/>
        <v>#DIV/0!</v>
      </c>
      <c r="N158" s="251" t="e">
        <f t="shared" si="187"/>
        <v>#DIV/0!</v>
      </c>
      <c r="O158" s="251" t="e">
        <f t="shared" si="187"/>
        <v>#DIV/0!</v>
      </c>
      <c r="P158" s="251" t="e">
        <f t="shared" si="187"/>
        <v>#DIV/0!</v>
      </c>
      <c r="Q158" s="251" t="e">
        <f t="shared" si="187"/>
        <v>#DIV/0!</v>
      </c>
      <c r="R158" s="1267" t="e">
        <f t="shared" si="187"/>
        <v>#DIV/0!</v>
      </c>
      <c r="S158" s="1212" t="e">
        <f t="shared" si="187"/>
        <v>#DIV/0!</v>
      </c>
      <c r="T158" s="251" t="e">
        <f t="shared" si="187"/>
        <v>#DIV/0!</v>
      </c>
      <c r="U158" s="251" t="e">
        <f t="shared" si="187"/>
        <v>#DIV/0!</v>
      </c>
      <c r="V158" s="244" t="e">
        <f t="shared" si="187"/>
        <v>#DIV/0!</v>
      </c>
      <c r="W158" s="244" t="e">
        <f t="shared" ref="W158:X158" si="188">W156+W157</f>
        <v>#DIV/0!</v>
      </c>
      <c r="X158" s="1237" t="e">
        <f t="shared" si="188"/>
        <v>#DIV/0!</v>
      </c>
      <c r="Y158" s="606" t="e">
        <f t="shared" ref="Y158:AD158" si="189">Y156+Y157</f>
        <v>#DIV/0!</v>
      </c>
      <c r="Z158" s="244" t="e">
        <f t="shared" si="189"/>
        <v>#DIV/0!</v>
      </c>
      <c r="AA158" s="244" t="e">
        <f t="shared" si="189"/>
        <v>#DIV/0!</v>
      </c>
      <c r="AB158" s="244" t="e">
        <f t="shared" si="189"/>
        <v>#REF!</v>
      </c>
      <c r="AC158" s="244" t="e">
        <f t="shared" si="189"/>
        <v>#DIV/0!</v>
      </c>
      <c r="AD158" s="244" t="e">
        <f t="shared" si="189"/>
        <v>#DIV/0!</v>
      </c>
      <c r="AE158" s="244" t="e">
        <f t="shared" ref="AE158:AG158" si="190">AE156+AE157</f>
        <v>#DIV/0!</v>
      </c>
      <c r="AF158" s="244" t="e">
        <f t="shared" si="190"/>
        <v>#DIV/0!</v>
      </c>
      <c r="AG158" s="244" t="e">
        <f t="shared" si="190"/>
        <v>#DIV/0!</v>
      </c>
      <c r="DS158" s="251"/>
      <c r="DT158" s="251"/>
      <c r="DU158" s="251"/>
      <c r="DV158" s="1267"/>
      <c r="DW158" s="1212"/>
      <c r="DX158" s="251"/>
      <c r="DY158" s="251"/>
      <c r="DZ158" s="251"/>
      <c r="EA158" s="251"/>
      <c r="EB158" s="251"/>
      <c r="EC158" s="251"/>
      <c r="ED158" s="251"/>
      <c r="EE158" s="1267"/>
      <c r="EF158" s="1212"/>
      <c r="EG158" s="251"/>
      <c r="EH158" s="251"/>
      <c r="EI158" s="251"/>
      <c r="EJ158" s="251"/>
      <c r="EK158" s="1267"/>
      <c r="EL158" s="1212"/>
      <c r="EM158" s="251"/>
      <c r="EN158" s="251"/>
      <c r="EO158" s="251"/>
      <c r="EP158" s="251"/>
      <c r="EQ158" s="251"/>
      <c r="ER158" s="251"/>
      <c r="ES158" s="251"/>
      <c r="ET158" s="251"/>
      <c r="EU158" s="325"/>
      <c r="EV158" s="251"/>
      <c r="EW158" s="251"/>
      <c r="EX158" s="251"/>
      <c r="EY158" s="1267"/>
      <c r="EZ158" s="1212"/>
      <c r="FA158" s="251"/>
      <c r="FB158" s="251"/>
      <c r="FC158" s="251"/>
      <c r="FD158" s="251"/>
      <c r="FE158" s="251"/>
      <c r="FF158" s="251"/>
      <c r="FG158" s="251"/>
      <c r="FH158" s="1267"/>
      <c r="FI158" s="1212"/>
      <c r="FJ158" s="251"/>
      <c r="FK158" s="251"/>
      <c r="FL158" s="251"/>
      <c r="FM158" s="251"/>
      <c r="FN158" s="1267"/>
      <c r="FO158" s="1212"/>
      <c r="FP158" s="251"/>
      <c r="FQ158" s="251"/>
      <c r="FR158" s="251"/>
      <c r="FS158" s="251"/>
      <c r="FT158" s="251"/>
      <c r="FU158" s="251"/>
      <c r="FV158" s="251"/>
      <c r="FW158" s="251"/>
    </row>
    <row r="159" spans="3:179" x14ac:dyDescent="0.35">
      <c r="C159" s="1" t="s">
        <v>843</v>
      </c>
      <c r="F159" s="501" t="e">
        <f>F$158*24</f>
        <v>#DIV/0!</v>
      </c>
      <c r="G159" s="249" t="e">
        <f>G$158*24</f>
        <v>#DIV/0!</v>
      </c>
      <c r="H159" s="249" t="e">
        <f>H$158*24</f>
        <v>#DIV/0!</v>
      </c>
      <c r="I159" s="1242" t="e">
        <f>I$158*24</f>
        <v>#DIV/0!</v>
      </c>
      <c r="J159" s="419" t="e">
        <f t="shared" ref="J159:AG159" si="191">J$158*24</f>
        <v>#REF!</v>
      </c>
      <c r="K159" s="249" t="e">
        <f t="shared" si="191"/>
        <v>#DIV/0!</v>
      </c>
      <c r="L159" s="249" t="e">
        <f t="shared" si="191"/>
        <v>#DIV/0!</v>
      </c>
      <c r="M159" s="249" t="e">
        <f t="shared" si="191"/>
        <v>#DIV/0!</v>
      </c>
      <c r="N159" s="249" t="e">
        <f t="shared" si="191"/>
        <v>#DIV/0!</v>
      </c>
      <c r="O159" s="249" t="e">
        <f t="shared" si="191"/>
        <v>#DIV/0!</v>
      </c>
      <c r="P159" s="249" t="e">
        <f t="shared" si="191"/>
        <v>#DIV/0!</v>
      </c>
      <c r="Q159" s="249" t="e">
        <f t="shared" si="191"/>
        <v>#DIV/0!</v>
      </c>
      <c r="R159" s="1242" t="e">
        <f t="shared" si="191"/>
        <v>#DIV/0!</v>
      </c>
      <c r="S159" s="419" t="e">
        <f t="shared" si="191"/>
        <v>#DIV/0!</v>
      </c>
      <c r="T159" s="249" t="e">
        <f t="shared" si="191"/>
        <v>#DIV/0!</v>
      </c>
      <c r="U159" s="249" t="e">
        <f t="shared" si="191"/>
        <v>#DIV/0!</v>
      </c>
      <c r="V159" s="249" t="e">
        <f t="shared" si="191"/>
        <v>#DIV/0!</v>
      </c>
      <c r="W159" s="249" t="e">
        <f t="shared" si="191"/>
        <v>#DIV/0!</v>
      </c>
      <c r="X159" s="1242" t="e">
        <f t="shared" si="191"/>
        <v>#DIV/0!</v>
      </c>
      <c r="Y159" s="419" t="e">
        <f t="shared" si="191"/>
        <v>#DIV/0!</v>
      </c>
      <c r="Z159" s="249" t="e">
        <f t="shared" si="191"/>
        <v>#DIV/0!</v>
      </c>
      <c r="AA159" s="249" t="e">
        <f t="shared" si="191"/>
        <v>#DIV/0!</v>
      </c>
      <c r="AB159" s="249" t="e">
        <f t="shared" si="191"/>
        <v>#REF!</v>
      </c>
      <c r="AC159" s="249" t="e">
        <f t="shared" si="191"/>
        <v>#DIV/0!</v>
      </c>
      <c r="AD159" s="249" t="e">
        <f t="shared" si="191"/>
        <v>#DIV/0!</v>
      </c>
      <c r="AE159" s="249" t="e">
        <f t="shared" si="191"/>
        <v>#DIV/0!</v>
      </c>
      <c r="AF159" s="249" t="e">
        <f t="shared" si="191"/>
        <v>#DIV/0!</v>
      </c>
      <c r="AG159" s="249" t="e">
        <f t="shared" si="191"/>
        <v>#DIV/0!</v>
      </c>
    </row>
    <row r="160" spans="3:179" ht="15.65" customHeight="1" x14ac:dyDescent="0.35">
      <c r="C160" s="1" t="s">
        <v>845</v>
      </c>
      <c r="F160" s="655" t="e">
        <f>F159</f>
        <v>#DIV/0!</v>
      </c>
      <c r="G160" s="249" t="e">
        <f>F160+G159</f>
        <v>#DIV/0!</v>
      </c>
      <c r="H160" s="249" t="e">
        <f t="shared" ref="H160:U160" si="192">G160+H159</f>
        <v>#DIV/0!</v>
      </c>
      <c r="I160" s="1242" t="e">
        <f t="shared" si="192"/>
        <v>#DIV/0!</v>
      </c>
      <c r="J160" s="419" t="e">
        <f t="shared" si="192"/>
        <v>#DIV/0!</v>
      </c>
      <c r="K160" s="249" t="e">
        <f t="shared" si="192"/>
        <v>#DIV/0!</v>
      </c>
      <c r="L160" s="249" t="e">
        <f t="shared" si="192"/>
        <v>#DIV/0!</v>
      </c>
      <c r="M160" s="249" t="e">
        <f t="shared" si="192"/>
        <v>#DIV/0!</v>
      </c>
      <c r="N160" s="249" t="e">
        <f t="shared" si="192"/>
        <v>#DIV/0!</v>
      </c>
      <c r="O160" s="249" t="e">
        <f t="shared" si="192"/>
        <v>#DIV/0!</v>
      </c>
      <c r="P160" s="249" t="e">
        <f t="shared" si="192"/>
        <v>#DIV/0!</v>
      </c>
      <c r="Q160" s="249" t="e">
        <f t="shared" si="192"/>
        <v>#DIV/0!</v>
      </c>
      <c r="R160" s="1242" t="e">
        <f t="shared" si="192"/>
        <v>#DIV/0!</v>
      </c>
      <c r="S160" s="419" t="e">
        <f t="shared" si="192"/>
        <v>#DIV/0!</v>
      </c>
      <c r="T160" s="249" t="e">
        <f t="shared" si="192"/>
        <v>#DIV/0!</v>
      </c>
      <c r="U160" s="249" t="e">
        <f t="shared" si="192"/>
        <v>#DIV/0!</v>
      </c>
      <c r="V160" s="249" t="e">
        <f t="shared" ref="V160:AD160" si="193">U160+V159</f>
        <v>#DIV/0!</v>
      </c>
      <c r="W160" s="249" t="e">
        <f t="shared" si="193"/>
        <v>#DIV/0!</v>
      </c>
      <c r="X160" s="1242" t="e">
        <f t="shared" si="193"/>
        <v>#DIV/0!</v>
      </c>
      <c r="Y160" s="419" t="e">
        <f t="shared" si="193"/>
        <v>#DIV/0!</v>
      </c>
      <c r="Z160" s="249" t="e">
        <f t="shared" si="193"/>
        <v>#DIV/0!</v>
      </c>
      <c r="AA160" s="249" t="e">
        <f t="shared" si="193"/>
        <v>#DIV/0!</v>
      </c>
      <c r="AB160" s="249" t="e">
        <f t="shared" si="193"/>
        <v>#DIV/0!</v>
      </c>
      <c r="AC160" s="249" t="e">
        <f t="shared" si="193"/>
        <v>#DIV/0!</v>
      </c>
      <c r="AD160" s="249" t="e">
        <f t="shared" si="193"/>
        <v>#DIV/0!</v>
      </c>
      <c r="AE160" s="249" t="e">
        <f t="shared" ref="AE160" si="194">AD160+AE159</f>
        <v>#DIV/0!</v>
      </c>
      <c r="AF160" s="249" t="e">
        <f t="shared" ref="AF160" si="195">AE160+AF159</f>
        <v>#DIV/0!</v>
      </c>
      <c r="AG160" s="249" t="e">
        <f t="shared" ref="AG160" si="196">AF160+AG159</f>
        <v>#DIV/0!</v>
      </c>
    </row>
    <row r="161" spans="1:179" ht="15.65" customHeight="1" x14ac:dyDescent="0.35">
      <c r="C161" s="1" t="s">
        <v>414</v>
      </c>
      <c r="F161" s="501">
        <v>172.26</v>
      </c>
      <c r="G161" s="249">
        <v>172.26</v>
      </c>
      <c r="H161" s="249">
        <v>172.26</v>
      </c>
      <c r="I161" s="1242">
        <v>172.26</v>
      </c>
      <c r="J161" s="419">
        <v>172.26</v>
      </c>
      <c r="K161" s="249">
        <v>172.26</v>
      </c>
      <c r="L161" s="249">
        <v>172.26</v>
      </c>
      <c r="M161" s="249">
        <v>172.26</v>
      </c>
      <c r="N161" s="249">
        <v>172.26</v>
      </c>
      <c r="O161" s="249">
        <v>172.26</v>
      </c>
      <c r="P161" s="249">
        <v>172.26</v>
      </c>
      <c r="Q161" s="249">
        <v>172.26</v>
      </c>
      <c r="R161" s="1242">
        <v>172.26</v>
      </c>
      <c r="S161" s="419">
        <v>172.26</v>
      </c>
      <c r="T161" s="249">
        <v>172.26</v>
      </c>
      <c r="U161" s="249">
        <v>172.26</v>
      </c>
      <c r="V161" s="249">
        <v>172.26</v>
      </c>
      <c r="W161" s="249">
        <v>172.26</v>
      </c>
      <c r="X161" s="1242">
        <v>172.26</v>
      </c>
      <c r="Y161" s="419">
        <v>172.26</v>
      </c>
      <c r="Z161" s="249">
        <v>172.26</v>
      </c>
      <c r="AA161" s="249">
        <v>172.26</v>
      </c>
      <c r="AB161" s="249">
        <v>172.26</v>
      </c>
      <c r="AC161" s="249">
        <v>172.26</v>
      </c>
      <c r="AD161" s="249">
        <v>172.26</v>
      </c>
      <c r="AE161" s="249">
        <v>172.26</v>
      </c>
      <c r="AF161" s="249">
        <v>172.26</v>
      </c>
      <c r="AG161" s="249">
        <v>172.26</v>
      </c>
    </row>
    <row r="162" spans="1:179" ht="15.65" customHeight="1" x14ac:dyDescent="0.35">
      <c r="C162" s="1" t="s">
        <v>844</v>
      </c>
      <c r="F162" s="501" t="e">
        <f>F160*100/F161</f>
        <v>#DIV/0!</v>
      </c>
      <c r="G162" s="249" t="e">
        <f t="shared" ref="G162:V162" si="197">G160*100/G161</f>
        <v>#DIV/0!</v>
      </c>
      <c r="H162" s="249" t="e">
        <f t="shared" si="197"/>
        <v>#DIV/0!</v>
      </c>
      <c r="I162" s="1242" t="e">
        <f t="shared" si="197"/>
        <v>#DIV/0!</v>
      </c>
      <c r="J162" s="419" t="e">
        <f t="shared" si="197"/>
        <v>#DIV/0!</v>
      </c>
      <c r="K162" s="249" t="e">
        <f t="shared" si="197"/>
        <v>#DIV/0!</v>
      </c>
      <c r="L162" s="249" t="e">
        <f t="shared" si="197"/>
        <v>#DIV/0!</v>
      </c>
      <c r="M162" s="249" t="e">
        <f t="shared" si="197"/>
        <v>#DIV/0!</v>
      </c>
      <c r="N162" s="249" t="e">
        <f t="shared" si="197"/>
        <v>#DIV/0!</v>
      </c>
      <c r="O162" s="249" t="e">
        <f t="shared" si="197"/>
        <v>#DIV/0!</v>
      </c>
      <c r="P162" s="249" t="e">
        <f t="shared" si="197"/>
        <v>#DIV/0!</v>
      </c>
      <c r="Q162" s="249" t="e">
        <f t="shared" si="197"/>
        <v>#DIV/0!</v>
      </c>
      <c r="R162" s="1242" t="e">
        <f t="shared" si="197"/>
        <v>#DIV/0!</v>
      </c>
      <c r="S162" s="419" t="e">
        <f t="shared" si="197"/>
        <v>#DIV/0!</v>
      </c>
      <c r="T162" s="249" t="e">
        <f t="shared" si="197"/>
        <v>#DIV/0!</v>
      </c>
      <c r="U162" s="249" t="e">
        <f t="shared" si="197"/>
        <v>#DIV/0!</v>
      </c>
      <c r="V162" s="249" t="e">
        <f t="shared" si="197"/>
        <v>#DIV/0!</v>
      </c>
      <c r="W162" s="249" t="e">
        <f t="shared" ref="W162:X162" si="198">W160*100/W161</f>
        <v>#DIV/0!</v>
      </c>
      <c r="X162" s="1242" t="e">
        <f t="shared" si="198"/>
        <v>#DIV/0!</v>
      </c>
      <c r="Y162" s="419" t="e">
        <f t="shared" ref="Y162:AD162" si="199">Y160*100/Y161</f>
        <v>#DIV/0!</v>
      </c>
      <c r="Z162" s="249" t="e">
        <f t="shared" si="199"/>
        <v>#DIV/0!</v>
      </c>
      <c r="AA162" s="249" t="e">
        <f t="shared" si="199"/>
        <v>#DIV/0!</v>
      </c>
      <c r="AB162" s="249" t="e">
        <f t="shared" si="199"/>
        <v>#DIV/0!</v>
      </c>
      <c r="AC162" s="249" t="e">
        <f t="shared" si="199"/>
        <v>#DIV/0!</v>
      </c>
      <c r="AD162" s="249" t="e">
        <f t="shared" si="199"/>
        <v>#DIV/0!</v>
      </c>
      <c r="AE162" s="249" t="e">
        <f t="shared" ref="AE162:AG162" si="200">AE160*100/AE161</f>
        <v>#DIV/0!</v>
      </c>
      <c r="AF162" s="249" t="e">
        <f t="shared" si="200"/>
        <v>#DIV/0!</v>
      </c>
      <c r="AG162" s="249" t="e">
        <f t="shared" si="200"/>
        <v>#DIV/0!</v>
      </c>
      <c r="AN162" s="232" t="s">
        <v>872</v>
      </c>
      <c r="AO162" s="232" t="s">
        <v>832</v>
      </c>
      <c r="AP162" s="232" t="s">
        <v>833</v>
      </c>
    </row>
    <row r="163" spans="1:179" ht="15.65" customHeight="1" x14ac:dyDescent="0.35">
      <c r="C163" s="1" t="s">
        <v>304</v>
      </c>
      <c r="F163" s="501" t="e">
        <f>100*F$158/(F$85+F$88)</f>
        <v>#DIV/0!</v>
      </c>
      <c r="G163" s="249" t="e">
        <f t="shared" ref="G163:AG163" si="201">100*G$158/(G$85+G$88)</f>
        <v>#DIV/0!</v>
      </c>
      <c r="H163" s="243" t="e">
        <f t="shared" si="201"/>
        <v>#DIV/0!</v>
      </c>
      <c r="I163" s="1282" t="e">
        <f t="shared" si="201"/>
        <v>#DIV/0!</v>
      </c>
      <c r="J163" s="419" t="e">
        <f t="shared" si="201"/>
        <v>#REF!</v>
      </c>
      <c r="K163" s="243" t="e">
        <f t="shared" si="201"/>
        <v>#DIV/0!</v>
      </c>
      <c r="L163" s="243" t="e">
        <f t="shared" si="201"/>
        <v>#DIV/0!</v>
      </c>
      <c r="M163" s="249" t="e">
        <f t="shared" si="201"/>
        <v>#DIV/0!</v>
      </c>
      <c r="N163" s="249" t="e">
        <f t="shared" si="201"/>
        <v>#DIV/0!</v>
      </c>
      <c r="O163" s="249" t="e">
        <f t="shared" si="201"/>
        <v>#DIV/0!</v>
      </c>
      <c r="P163" s="249" t="e">
        <f t="shared" si="201"/>
        <v>#DIV/0!</v>
      </c>
      <c r="Q163" s="243" t="e">
        <f t="shared" si="201"/>
        <v>#DIV/0!</v>
      </c>
      <c r="R163" s="1242" t="e">
        <f t="shared" si="201"/>
        <v>#DIV/0!</v>
      </c>
      <c r="S163" s="419" t="e">
        <f t="shared" si="201"/>
        <v>#DIV/0!</v>
      </c>
      <c r="T163" s="243" t="e">
        <f t="shared" si="201"/>
        <v>#DIV/0!</v>
      </c>
      <c r="U163" s="249" t="e">
        <f t="shared" si="201"/>
        <v>#DIV/0!</v>
      </c>
      <c r="V163" s="249" t="e">
        <f t="shared" si="201"/>
        <v>#DIV/0!</v>
      </c>
      <c r="W163" s="249" t="e">
        <f t="shared" si="201"/>
        <v>#DIV/0!</v>
      </c>
      <c r="X163" s="1242" t="e">
        <f t="shared" si="201"/>
        <v>#DIV/0!</v>
      </c>
      <c r="Y163" s="419" t="e">
        <f t="shared" si="201"/>
        <v>#DIV/0!</v>
      </c>
      <c r="Z163" s="249" t="e">
        <f t="shared" si="201"/>
        <v>#DIV/0!</v>
      </c>
      <c r="AA163" s="249" t="e">
        <f t="shared" si="201"/>
        <v>#DIV/0!</v>
      </c>
      <c r="AB163" s="249" t="e">
        <f t="shared" si="201"/>
        <v>#REF!</v>
      </c>
      <c r="AC163" s="249" t="e">
        <f t="shared" si="201"/>
        <v>#DIV/0!</v>
      </c>
      <c r="AD163" s="249" t="e">
        <f t="shared" si="201"/>
        <v>#DIV/0!</v>
      </c>
      <c r="AE163" s="249" t="e">
        <f t="shared" si="201"/>
        <v>#DIV/0!</v>
      </c>
      <c r="AF163" s="249" t="e">
        <f t="shared" si="201"/>
        <v>#DIV/0!</v>
      </c>
      <c r="AG163" s="249" t="e">
        <f t="shared" si="201"/>
        <v>#DIV/0!</v>
      </c>
      <c r="AM163" s="643" t="s">
        <v>56</v>
      </c>
      <c r="AN163" s="232" t="e">
        <f>AVERAGE(H163:I163)</f>
        <v>#DIV/0!</v>
      </c>
      <c r="AO163" s="232" t="e">
        <f>AVERAGE(M163:O163)</f>
        <v>#DIV/0!</v>
      </c>
      <c r="AP163" s="232" t="e">
        <f>AVERAGE(R163:T163)</f>
        <v>#DIV/0!</v>
      </c>
    </row>
    <row r="164" spans="1:179" ht="15.65" customHeight="1" x14ac:dyDescent="0.35">
      <c r="C164" s="1" t="s">
        <v>624</v>
      </c>
      <c r="D164" s="1">
        <v>0.65</v>
      </c>
      <c r="F164" s="501" t="e">
        <f>24*F158*$D$164</f>
        <v>#DIV/0!</v>
      </c>
      <c r="G164" s="249" t="e">
        <f t="shared" ref="G164:U164" si="202">24*G158*$D$164</f>
        <v>#DIV/0!</v>
      </c>
      <c r="H164" s="249" t="e">
        <f t="shared" si="202"/>
        <v>#DIV/0!</v>
      </c>
      <c r="I164" s="1242" t="e">
        <f t="shared" si="202"/>
        <v>#DIV/0!</v>
      </c>
      <c r="J164" s="419" t="e">
        <f t="shared" si="202"/>
        <v>#REF!</v>
      </c>
      <c r="K164" s="249" t="e">
        <f t="shared" si="202"/>
        <v>#DIV/0!</v>
      </c>
      <c r="L164" s="249" t="e">
        <f t="shared" si="202"/>
        <v>#DIV/0!</v>
      </c>
      <c r="M164" s="249" t="e">
        <f t="shared" si="202"/>
        <v>#DIV/0!</v>
      </c>
      <c r="N164" s="249" t="e">
        <f t="shared" si="202"/>
        <v>#DIV/0!</v>
      </c>
      <c r="O164" s="249" t="e">
        <f t="shared" si="202"/>
        <v>#DIV/0!</v>
      </c>
      <c r="P164" s="249" t="e">
        <f t="shared" si="202"/>
        <v>#DIV/0!</v>
      </c>
      <c r="Q164" s="249" t="e">
        <f t="shared" si="202"/>
        <v>#DIV/0!</v>
      </c>
      <c r="R164" s="1242" t="e">
        <f t="shared" si="202"/>
        <v>#DIV/0!</v>
      </c>
      <c r="S164" s="419" t="e">
        <f t="shared" si="202"/>
        <v>#DIV/0!</v>
      </c>
      <c r="T164" s="249" t="e">
        <f t="shared" si="202"/>
        <v>#DIV/0!</v>
      </c>
      <c r="U164" s="249" t="e">
        <f t="shared" si="202"/>
        <v>#DIV/0!</v>
      </c>
      <c r="V164" s="249" t="e">
        <f t="shared" ref="V164:W164" si="203">24*(V158+V184)*$D$164</f>
        <v>#DIV/0!</v>
      </c>
      <c r="W164" s="249" t="e">
        <f t="shared" si="203"/>
        <v>#DIV/0!</v>
      </c>
      <c r="X164" s="1242" t="e">
        <f t="shared" ref="X164:Y164" si="204">24*(X158+X184)*$D$164</f>
        <v>#DIV/0!</v>
      </c>
      <c r="Y164" s="419" t="e">
        <f t="shared" si="204"/>
        <v>#DIV/0!</v>
      </c>
      <c r="Z164" s="249" t="e">
        <f t="shared" ref="Z164:AD164" si="205">24*(Z158+Z184)*$D$164</f>
        <v>#DIV/0!</v>
      </c>
      <c r="AA164" s="249" t="e">
        <f t="shared" si="205"/>
        <v>#DIV/0!</v>
      </c>
      <c r="AB164" s="249" t="e">
        <f t="shared" si="205"/>
        <v>#REF!</v>
      </c>
      <c r="AC164" s="249" t="e">
        <f t="shared" si="205"/>
        <v>#DIV/0!</v>
      </c>
      <c r="AD164" s="249" t="e">
        <f t="shared" si="205"/>
        <v>#DIV/0!</v>
      </c>
      <c r="AE164" s="249" t="e">
        <f t="shared" ref="AE164:AG164" si="206">24*(AE158+AE184)*$D$164</f>
        <v>#DIV/0!</v>
      </c>
      <c r="AF164" s="249" t="e">
        <f t="shared" si="206"/>
        <v>#DIV/0!</v>
      </c>
      <c r="AG164" s="249" t="e">
        <f t="shared" si="206"/>
        <v>#DIV/0!</v>
      </c>
      <c r="AN164" s="232">
        <f>AVERAGE(H179:I179)</f>
        <v>81.849999999999994</v>
      </c>
      <c r="AO164" s="232">
        <f>AVERAGE(M179:O179)</f>
        <v>95.033333333333346</v>
      </c>
      <c r="AP164" s="232">
        <f>AVERAGE(R179:T179)</f>
        <v>91.333333333333329</v>
      </c>
    </row>
    <row r="165" spans="1:179" ht="15.65" customHeight="1" thickBot="1" x14ac:dyDescent="0.4">
      <c r="C165" s="1" t="s">
        <v>625</v>
      </c>
      <c r="F165" s="1631" t="e">
        <f>F164</f>
        <v>#DIV/0!</v>
      </c>
      <c r="G165" s="652" t="e">
        <f>F$165+G$164</f>
        <v>#DIV/0!</v>
      </c>
      <c r="H165" s="652" t="e">
        <f t="shared" ref="H165:I165" si="207">G$165+H$164</f>
        <v>#DIV/0!</v>
      </c>
      <c r="I165" s="1241" t="e">
        <f t="shared" si="207"/>
        <v>#DIV/0!</v>
      </c>
      <c r="J165" s="654" t="e">
        <f>I$165+J$164</f>
        <v>#DIV/0!</v>
      </c>
      <c r="K165" s="311" t="e">
        <f t="shared" ref="K165:U165" si="208">J$165+K$164</f>
        <v>#DIV/0!</v>
      </c>
      <c r="L165" s="311" t="e">
        <f t="shared" si="208"/>
        <v>#DIV/0!</v>
      </c>
      <c r="M165" s="311" t="e">
        <f t="shared" si="208"/>
        <v>#DIV/0!</v>
      </c>
      <c r="N165" s="311" t="e">
        <f t="shared" si="208"/>
        <v>#DIV/0!</v>
      </c>
      <c r="O165" s="311" t="e">
        <f t="shared" si="208"/>
        <v>#DIV/0!</v>
      </c>
      <c r="P165" s="311" t="e">
        <f t="shared" si="208"/>
        <v>#DIV/0!</v>
      </c>
      <c r="Q165" s="311" t="e">
        <f t="shared" si="208"/>
        <v>#DIV/0!</v>
      </c>
      <c r="R165" s="1241" t="e">
        <f t="shared" si="208"/>
        <v>#DIV/0!</v>
      </c>
      <c r="S165" s="654" t="e">
        <f t="shared" si="208"/>
        <v>#DIV/0!</v>
      </c>
      <c r="T165" s="311" t="e">
        <f t="shared" si="208"/>
        <v>#DIV/0!</v>
      </c>
      <c r="U165" s="311" t="e">
        <f t="shared" si="208"/>
        <v>#DIV/0!</v>
      </c>
      <c r="V165" s="311"/>
      <c r="W165" s="311"/>
      <c r="X165" s="1241"/>
      <c r="Y165" s="654"/>
      <c r="Z165" s="311"/>
      <c r="AA165" s="311"/>
      <c r="AB165" s="311"/>
      <c r="AC165" s="311"/>
      <c r="AD165" s="311"/>
      <c r="AE165" s="311"/>
      <c r="AF165" s="311"/>
      <c r="AG165" s="311"/>
      <c r="AJ165" s="267"/>
      <c r="AN165" s="916"/>
      <c r="AO165" s="916"/>
      <c r="AP165" s="916"/>
      <c r="BL165" s="267"/>
    </row>
    <row r="166" spans="1:179" s="224" customFormat="1" ht="15.65" customHeight="1" thickTop="1" x14ac:dyDescent="0.35">
      <c r="A166" s="377"/>
      <c r="B166" s="377"/>
      <c r="C166" s="1632" t="s">
        <v>623</v>
      </c>
      <c r="D166" s="1633"/>
      <c r="E166" s="1633"/>
      <c r="F166" s="1634">
        <v>53.049300000000002</v>
      </c>
      <c r="G166" s="1635">
        <v>53.049300000000002</v>
      </c>
      <c r="H166" s="1635">
        <v>53.049300000000002</v>
      </c>
      <c r="I166" s="1636">
        <v>53.049300000000002</v>
      </c>
      <c r="J166" s="1637">
        <v>53.049300000000002</v>
      </c>
      <c r="K166" s="371">
        <v>53.049300000000002</v>
      </c>
      <c r="L166" s="371">
        <v>53.049300000000002</v>
      </c>
      <c r="M166" s="371">
        <v>53.049300000000002</v>
      </c>
      <c r="N166" s="371">
        <v>53.049300000000002</v>
      </c>
      <c r="O166" s="371">
        <v>53.049300000000002</v>
      </c>
      <c r="P166" s="371">
        <v>53.049300000000002</v>
      </c>
      <c r="Q166" s="371">
        <v>53.049300000000002</v>
      </c>
      <c r="R166" s="1636">
        <v>53.049300000000002</v>
      </c>
      <c r="S166" s="1637">
        <v>53.049300000000002</v>
      </c>
      <c r="T166" s="371">
        <v>53.049300000000002</v>
      </c>
      <c r="U166" s="371">
        <v>53.049300000000002</v>
      </c>
      <c r="V166" s="371"/>
      <c r="W166" s="371"/>
      <c r="X166" s="1636"/>
      <c r="Y166" s="1637"/>
      <c r="Z166" s="371"/>
      <c r="AA166" s="371"/>
      <c r="AB166" s="371"/>
      <c r="AC166" s="371"/>
      <c r="AD166" s="371"/>
      <c r="AE166" s="371"/>
      <c r="AF166" s="371"/>
      <c r="AG166" s="371"/>
      <c r="AH166" s="323"/>
      <c r="AI166" s="232"/>
      <c r="AJ166" s="232"/>
      <c r="AK166" s="232"/>
      <c r="AL166" s="1236"/>
      <c r="AM166" s="643"/>
      <c r="AN166" s="459"/>
      <c r="AO166" s="459"/>
      <c r="AP166" s="459"/>
      <c r="AQ166" s="232"/>
      <c r="AR166" s="232"/>
      <c r="AS166" s="232"/>
      <c r="AT166" s="232"/>
      <c r="AU166" s="1236"/>
      <c r="AV166" s="643"/>
      <c r="AW166" s="232"/>
      <c r="AX166" s="232"/>
      <c r="AY166" s="232"/>
      <c r="AZ166" s="232"/>
      <c r="BA166" s="1236"/>
      <c r="BB166" s="643"/>
      <c r="BC166" s="232"/>
      <c r="BD166" s="232"/>
      <c r="BE166" s="232"/>
      <c r="BF166" s="232"/>
      <c r="BG166" s="232"/>
      <c r="BH166" s="232"/>
      <c r="BI166" s="232"/>
      <c r="BJ166" s="232"/>
      <c r="BK166" s="323"/>
      <c r="BL166" s="267"/>
      <c r="BM166" s="232"/>
      <c r="BN166" s="232"/>
      <c r="BO166" s="1236"/>
      <c r="BP166" s="643"/>
      <c r="BQ166" s="232"/>
      <c r="BR166" s="232"/>
      <c r="BS166" s="232"/>
      <c r="BT166" s="232"/>
      <c r="BU166" s="232"/>
      <c r="BV166" s="232"/>
      <c r="BW166" s="232"/>
      <c r="BX166" s="1236"/>
      <c r="BY166" s="643"/>
      <c r="BZ166" s="232"/>
      <c r="CA166" s="232"/>
      <c r="CB166" s="232"/>
      <c r="CC166" s="232"/>
      <c r="CD166" s="1236"/>
      <c r="CE166" s="643"/>
      <c r="CF166" s="232"/>
      <c r="CG166" s="232"/>
      <c r="CH166" s="232"/>
      <c r="CI166" s="232"/>
      <c r="CJ166" s="232"/>
      <c r="CK166" s="232"/>
      <c r="CL166" s="232"/>
      <c r="CM166" s="232"/>
      <c r="CN166" s="323"/>
      <c r="CO166" s="232"/>
      <c r="CP166" s="232"/>
      <c r="CQ166" s="232"/>
      <c r="CR166" s="1236"/>
      <c r="CS166" s="643"/>
      <c r="CT166" s="232"/>
      <c r="CU166" s="232"/>
      <c r="CV166" s="232"/>
      <c r="CW166" s="232"/>
      <c r="CX166" s="232"/>
      <c r="CY166" s="232"/>
      <c r="CZ166" s="232"/>
      <c r="DA166" s="1236"/>
      <c r="DB166" s="643"/>
      <c r="DC166" s="232"/>
      <c r="DD166" s="232"/>
      <c r="DE166" s="232"/>
      <c r="DF166" s="232"/>
      <c r="DG166" s="1236"/>
      <c r="DH166" s="643"/>
      <c r="DI166" s="232"/>
      <c r="DJ166" s="232"/>
      <c r="DK166" s="232"/>
      <c r="DL166" s="232"/>
      <c r="DM166" s="232"/>
      <c r="DN166" s="232"/>
      <c r="DO166" s="232"/>
      <c r="DP166" s="232"/>
      <c r="DQ166" s="323"/>
      <c r="DR166" s="238"/>
      <c r="DS166" s="232"/>
      <c r="DT166" s="232"/>
      <c r="DU166" s="232"/>
      <c r="DV166" s="1236"/>
      <c r="DW166" s="643"/>
      <c r="DX166" s="232"/>
      <c r="DY166" s="232"/>
      <c r="DZ166" s="232"/>
      <c r="EA166" s="232"/>
      <c r="EB166" s="232"/>
      <c r="EC166" s="232"/>
      <c r="ED166" s="232"/>
      <c r="EE166" s="1236"/>
      <c r="EF166" s="643"/>
      <c r="EG166" s="232"/>
      <c r="EH166" s="232"/>
      <c r="EI166" s="232"/>
      <c r="EJ166" s="232"/>
      <c r="EK166" s="1236"/>
      <c r="EL166" s="643"/>
      <c r="EM166" s="232"/>
      <c r="EN166" s="232"/>
      <c r="EO166" s="232"/>
      <c r="EP166" s="232"/>
      <c r="EQ166" s="232"/>
      <c r="ER166" s="232"/>
      <c r="ES166" s="232"/>
      <c r="ET166" s="232"/>
      <c r="EU166" s="323"/>
      <c r="EV166" s="232"/>
      <c r="EW166" s="232"/>
      <c r="EX166" s="232"/>
      <c r="EY166" s="1236"/>
      <c r="EZ166" s="643"/>
      <c r="FA166" s="232"/>
      <c r="FB166" s="232"/>
      <c r="FC166" s="232"/>
      <c r="FD166" s="232"/>
      <c r="FE166" s="232"/>
      <c r="FF166" s="232"/>
      <c r="FG166" s="232"/>
      <c r="FH166" s="1236"/>
      <c r="FI166" s="643"/>
      <c r="FJ166" s="232"/>
      <c r="FK166" s="232"/>
      <c r="FL166" s="232"/>
      <c r="FM166" s="232"/>
      <c r="FN166" s="1236"/>
      <c r="FO166" s="643"/>
      <c r="FP166" s="232"/>
      <c r="FQ166" s="232"/>
      <c r="FR166" s="232"/>
      <c r="FS166" s="232"/>
      <c r="FT166" s="232"/>
      <c r="FU166" s="232"/>
      <c r="FV166" s="232"/>
      <c r="FW166" s="232"/>
    </row>
    <row r="167" spans="1:179" ht="15.65" customHeight="1" x14ac:dyDescent="0.35">
      <c r="C167" s="163" t="s">
        <v>629</v>
      </c>
      <c r="D167" s="415"/>
      <c r="E167" s="415"/>
      <c r="F167" s="501" t="e">
        <f>F165*100/F166</f>
        <v>#DIV/0!</v>
      </c>
      <c r="G167" s="249" t="e">
        <f t="shared" ref="G167:U167" si="209">G165*100/G166</f>
        <v>#DIV/0!</v>
      </c>
      <c r="H167" s="249" t="e">
        <f t="shared" si="209"/>
        <v>#DIV/0!</v>
      </c>
      <c r="I167" s="1242" t="e">
        <f t="shared" si="209"/>
        <v>#DIV/0!</v>
      </c>
      <c r="J167" s="419" t="e">
        <f t="shared" si="209"/>
        <v>#DIV/0!</v>
      </c>
      <c r="K167" s="249" t="e">
        <f t="shared" si="209"/>
        <v>#DIV/0!</v>
      </c>
      <c r="L167" s="249" t="e">
        <f t="shared" si="209"/>
        <v>#DIV/0!</v>
      </c>
      <c r="M167" s="249" t="e">
        <f t="shared" si="209"/>
        <v>#DIV/0!</v>
      </c>
      <c r="N167" s="249" t="e">
        <f t="shared" si="209"/>
        <v>#DIV/0!</v>
      </c>
      <c r="O167" s="249" t="e">
        <f t="shared" si="209"/>
        <v>#DIV/0!</v>
      </c>
      <c r="P167" s="249" t="e">
        <f t="shared" si="209"/>
        <v>#DIV/0!</v>
      </c>
      <c r="Q167" s="249" t="e">
        <f t="shared" si="209"/>
        <v>#DIV/0!</v>
      </c>
      <c r="R167" s="1242" t="e">
        <f t="shared" si="209"/>
        <v>#DIV/0!</v>
      </c>
      <c r="S167" s="419" t="e">
        <f t="shared" si="209"/>
        <v>#DIV/0!</v>
      </c>
      <c r="T167" s="249" t="e">
        <f t="shared" si="209"/>
        <v>#DIV/0!</v>
      </c>
      <c r="U167" s="249" t="e">
        <f t="shared" si="209"/>
        <v>#DIV/0!</v>
      </c>
      <c r="V167" s="249" t="e">
        <f t="shared" ref="V167:AD167" si="210">(U$164+V$164)*100/V$161</f>
        <v>#DIV/0!</v>
      </c>
      <c r="W167" s="249" t="e">
        <f t="shared" si="210"/>
        <v>#DIV/0!</v>
      </c>
      <c r="X167" s="1242" t="e">
        <f t="shared" si="210"/>
        <v>#DIV/0!</v>
      </c>
      <c r="Y167" s="419" t="e">
        <f t="shared" si="210"/>
        <v>#DIV/0!</v>
      </c>
      <c r="Z167" s="249" t="e">
        <f t="shared" si="210"/>
        <v>#DIV/0!</v>
      </c>
      <c r="AA167" s="249" t="e">
        <f t="shared" si="210"/>
        <v>#DIV/0!</v>
      </c>
      <c r="AB167" s="249" t="e">
        <f t="shared" si="210"/>
        <v>#DIV/0!</v>
      </c>
      <c r="AC167" s="249" t="e">
        <f t="shared" si="210"/>
        <v>#REF!</v>
      </c>
      <c r="AD167" s="249" t="e">
        <f t="shared" si="210"/>
        <v>#DIV/0!</v>
      </c>
      <c r="AE167" s="249" t="e">
        <f t="shared" ref="AE167" si="211">(AD$164+AE$164)*100/AE$161</f>
        <v>#DIV/0!</v>
      </c>
      <c r="AF167" s="249" t="e">
        <f t="shared" ref="AF167" si="212">(AE$164+AF$164)*100/AF$161</f>
        <v>#DIV/0!</v>
      </c>
      <c r="AG167" s="249" t="e">
        <f t="shared" ref="AG167" si="213">(AF$164+AG$164)*100/AG$161</f>
        <v>#DIV/0!</v>
      </c>
      <c r="BL167" s="267"/>
    </row>
    <row r="168" spans="1:179" ht="15.65" customHeight="1" x14ac:dyDescent="0.35">
      <c r="C168" s="163" t="s">
        <v>608</v>
      </c>
      <c r="D168" s="415"/>
      <c r="E168" s="415"/>
      <c r="F168" s="501"/>
      <c r="G168" s="249"/>
      <c r="H168" s="249"/>
      <c r="I168" s="1242">
        <v>4.3</v>
      </c>
      <c r="J168" s="419"/>
      <c r="K168" s="249"/>
      <c r="L168" s="249"/>
      <c r="M168" s="249"/>
      <c r="N168" s="249"/>
      <c r="O168" s="249">
        <v>17</v>
      </c>
      <c r="P168" s="249"/>
      <c r="Q168" s="249"/>
      <c r="R168" s="1242"/>
      <c r="S168" s="419"/>
      <c r="T168" s="249">
        <v>29.8</v>
      </c>
      <c r="U168" s="249">
        <v>31</v>
      </c>
      <c r="V168" s="249"/>
      <c r="W168" s="249"/>
      <c r="X168" s="1242"/>
      <c r="Y168" s="419"/>
      <c r="Z168" s="249"/>
      <c r="AA168" s="249"/>
      <c r="AB168" s="249"/>
      <c r="AC168" s="249"/>
      <c r="AD168" s="249"/>
      <c r="AE168" s="249"/>
      <c r="AF168" s="249"/>
      <c r="AG168" s="249"/>
      <c r="BL168" s="267"/>
    </row>
    <row r="169" spans="1:179" ht="15.65" customHeight="1" x14ac:dyDescent="0.35">
      <c r="C169" s="163" t="s">
        <v>626</v>
      </c>
      <c r="D169" s="415">
        <v>0.25</v>
      </c>
      <c r="E169" s="415">
        <v>0.7</v>
      </c>
      <c r="F169" s="655" t="e">
        <f>F158*24*$D$169</f>
        <v>#DIV/0!</v>
      </c>
      <c r="G169" s="249" t="e">
        <f t="shared" ref="G169:U169" si="214">G158*24*$D$169</f>
        <v>#DIV/0!</v>
      </c>
      <c r="H169" s="249" t="e">
        <f t="shared" si="214"/>
        <v>#DIV/0!</v>
      </c>
      <c r="I169" s="1242" t="e">
        <f t="shared" si="214"/>
        <v>#DIV/0!</v>
      </c>
      <c r="J169" s="419" t="e">
        <f t="shared" si="214"/>
        <v>#REF!</v>
      </c>
      <c r="K169" s="249" t="e">
        <f t="shared" si="214"/>
        <v>#DIV/0!</v>
      </c>
      <c r="L169" s="249" t="e">
        <f t="shared" si="214"/>
        <v>#DIV/0!</v>
      </c>
      <c r="M169" s="249" t="e">
        <f t="shared" si="214"/>
        <v>#DIV/0!</v>
      </c>
      <c r="N169" s="249" t="e">
        <f t="shared" si="214"/>
        <v>#DIV/0!</v>
      </c>
      <c r="O169" s="249" t="e">
        <f t="shared" si="214"/>
        <v>#DIV/0!</v>
      </c>
      <c r="P169" s="249" t="e">
        <f t="shared" si="214"/>
        <v>#DIV/0!</v>
      </c>
      <c r="Q169" s="249" t="e">
        <f t="shared" si="214"/>
        <v>#DIV/0!</v>
      </c>
      <c r="R169" s="1242" t="e">
        <f t="shared" si="214"/>
        <v>#DIV/0!</v>
      </c>
      <c r="S169" s="419" t="e">
        <f t="shared" si="214"/>
        <v>#DIV/0!</v>
      </c>
      <c r="T169" s="249" t="e">
        <f t="shared" si="214"/>
        <v>#DIV/0!</v>
      </c>
      <c r="U169" s="249" t="e">
        <f t="shared" si="214"/>
        <v>#DIV/0!</v>
      </c>
      <c r="V169" s="249">
        <f t="shared" ref="V169:AG169" si="215">24*($D$169*(V$83+V$86)+$E$169*(V$84+V$87))</f>
        <v>0</v>
      </c>
      <c r="W169" s="249">
        <f t="shared" si="215"/>
        <v>0</v>
      </c>
      <c r="X169" s="1242">
        <f t="shared" si="215"/>
        <v>0</v>
      </c>
      <c r="Y169" s="419">
        <f t="shared" si="215"/>
        <v>0</v>
      </c>
      <c r="Z169" s="249">
        <f t="shared" si="215"/>
        <v>0</v>
      </c>
      <c r="AA169" s="249">
        <f t="shared" si="215"/>
        <v>0</v>
      </c>
      <c r="AB169" s="249">
        <f t="shared" si="215"/>
        <v>0</v>
      </c>
      <c r="AC169" s="249">
        <f t="shared" si="215"/>
        <v>0</v>
      </c>
      <c r="AD169" s="249">
        <f t="shared" si="215"/>
        <v>0</v>
      </c>
      <c r="AE169" s="249">
        <f t="shared" si="215"/>
        <v>0</v>
      </c>
      <c r="AF169" s="249">
        <f t="shared" si="215"/>
        <v>0</v>
      </c>
      <c r="AG169" s="249">
        <f t="shared" si="215"/>
        <v>0</v>
      </c>
      <c r="BL169" s="267"/>
    </row>
    <row r="170" spans="1:179" ht="16.899999999999999" customHeight="1" thickBot="1" x14ac:dyDescent="0.4">
      <c r="C170" s="163" t="s">
        <v>625</v>
      </c>
      <c r="D170" s="415"/>
      <c r="E170" s="415"/>
      <c r="F170" s="653" t="e">
        <f>F169</f>
        <v>#DIV/0!</v>
      </c>
      <c r="G170" s="311" t="e">
        <f>F$170+G$169</f>
        <v>#DIV/0!</v>
      </c>
      <c r="H170" s="311" t="e">
        <f t="shared" ref="H170:I170" si="216">G$170+H$169</f>
        <v>#DIV/0!</v>
      </c>
      <c r="I170" s="1241" t="e">
        <f t="shared" si="216"/>
        <v>#DIV/0!</v>
      </c>
      <c r="J170" s="654" t="e">
        <f>I$170+J$169</f>
        <v>#DIV/0!</v>
      </c>
      <c r="K170" s="311" t="e">
        <f t="shared" ref="K170:U170" si="217">J$170+K$169</f>
        <v>#DIV/0!</v>
      </c>
      <c r="L170" s="311" t="e">
        <f t="shared" si="217"/>
        <v>#DIV/0!</v>
      </c>
      <c r="M170" s="311" t="e">
        <f t="shared" si="217"/>
        <v>#DIV/0!</v>
      </c>
      <c r="N170" s="311" t="e">
        <f t="shared" si="217"/>
        <v>#DIV/0!</v>
      </c>
      <c r="O170" s="311" t="e">
        <f t="shared" si="217"/>
        <v>#DIV/0!</v>
      </c>
      <c r="P170" s="311" t="e">
        <f t="shared" si="217"/>
        <v>#DIV/0!</v>
      </c>
      <c r="Q170" s="311" t="e">
        <f t="shared" si="217"/>
        <v>#DIV/0!</v>
      </c>
      <c r="R170" s="1241" t="e">
        <f t="shared" si="217"/>
        <v>#DIV/0!</v>
      </c>
      <c r="S170" s="654" t="e">
        <f t="shared" si="217"/>
        <v>#DIV/0!</v>
      </c>
      <c r="T170" s="311" t="e">
        <f t="shared" si="217"/>
        <v>#DIV/0!</v>
      </c>
      <c r="U170" s="311" t="e">
        <f t="shared" si="217"/>
        <v>#DIV/0!</v>
      </c>
      <c r="V170" s="311"/>
      <c r="W170" s="311"/>
      <c r="X170" s="1241"/>
      <c r="Y170" s="654"/>
      <c r="Z170" s="311"/>
      <c r="AA170" s="311"/>
      <c r="AB170" s="311"/>
      <c r="AC170" s="311"/>
      <c r="AD170" s="311"/>
      <c r="AE170" s="311"/>
      <c r="AF170" s="311"/>
      <c r="AG170" s="311"/>
      <c r="BL170" s="267"/>
    </row>
    <row r="171" spans="1:179" s="224" customFormat="1" ht="15.65" customHeight="1" x14ac:dyDescent="0.35">
      <c r="A171" s="1639"/>
      <c r="B171" s="1640"/>
      <c r="C171" s="1641" t="s">
        <v>628</v>
      </c>
      <c r="D171" s="1642"/>
      <c r="E171" s="1642"/>
      <c r="F171" s="1643">
        <v>59.604900000000001</v>
      </c>
      <c r="G171" s="1644">
        <v>59.604900000000001</v>
      </c>
      <c r="H171" s="1644">
        <v>59.604900000000001</v>
      </c>
      <c r="I171" s="1645">
        <v>59.604900000000001</v>
      </c>
      <c r="J171" s="1646">
        <v>59.604900000000001</v>
      </c>
      <c r="K171" s="1647">
        <v>59.604900000000001</v>
      </c>
      <c r="L171" s="1647">
        <v>59.604900000000001</v>
      </c>
      <c r="M171" s="1647">
        <v>59.604900000000001</v>
      </c>
      <c r="N171" s="1647">
        <v>59.604900000000001</v>
      </c>
      <c r="O171" s="1647">
        <v>59.604900000000001</v>
      </c>
      <c r="P171" s="1647">
        <v>59.604900000000001</v>
      </c>
      <c r="Q171" s="1647">
        <v>59.604900000000001</v>
      </c>
      <c r="R171" s="1645">
        <v>59.604900000000001</v>
      </c>
      <c r="S171" s="1646">
        <v>59.604900000000001</v>
      </c>
      <c r="T171" s="1647">
        <v>59.604900000000001</v>
      </c>
      <c r="U171" s="1647">
        <v>59.604900000000001</v>
      </c>
      <c r="V171" s="1647"/>
      <c r="W171" s="1647"/>
      <c r="X171" s="1645"/>
      <c r="Y171" s="1646"/>
      <c r="Z171" s="1647"/>
      <c r="AA171" s="1647"/>
      <c r="AB171" s="1647"/>
      <c r="AC171" s="1647"/>
      <c r="AD171" s="1647"/>
      <c r="AE171" s="1647"/>
      <c r="AF171" s="1647"/>
      <c r="AG171" s="1648"/>
      <c r="AH171" s="1638"/>
      <c r="AI171" s="232"/>
      <c r="AJ171" s="232"/>
      <c r="AK171" s="232"/>
      <c r="AL171" s="1236"/>
      <c r="AM171" s="643"/>
      <c r="AN171" s="232"/>
      <c r="AO171" s="232"/>
      <c r="AP171" s="232"/>
      <c r="AQ171" s="232"/>
      <c r="AR171" s="232"/>
      <c r="AS171" s="232"/>
      <c r="AT171" s="232"/>
      <c r="AU171" s="1236"/>
      <c r="AV171" s="643"/>
      <c r="AW171" s="232"/>
      <c r="AX171" s="232"/>
      <c r="AY171" s="232"/>
      <c r="AZ171" s="232"/>
      <c r="BA171" s="1236"/>
      <c r="BB171" s="643"/>
      <c r="BC171" s="232"/>
      <c r="BD171" s="232"/>
      <c r="BE171" s="232"/>
      <c r="BF171" s="232"/>
      <c r="BG171" s="232"/>
      <c r="BH171" s="232"/>
      <c r="BI171" s="232"/>
      <c r="BJ171" s="232"/>
      <c r="BK171" s="323"/>
      <c r="BL171" s="267"/>
      <c r="BM171" s="232"/>
      <c r="BN171" s="232"/>
      <c r="BO171" s="1236"/>
      <c r="BP171" s="643"/>
      <c r="BQ171" s="232"/>
      <c r="BR171" s="232"/>
      <c r="BS171" s="232"/>
      <c r="BT171" s="232"/>
      <c r="BU171" s="232"/>
      <c r="BV171" s="232"/>
      <c r="BW171" s="232"/>
      <c r="BX171" s="1236"/>
      <c r="BY171" s="643"/>
      <c r="BZ171" s="232"/>
      <c r="CA171" s="232"/>
      <c r="CB171" s="232"/>
      <c r="CC171" s="232"/>
      <c r="CD171" s="1236"/>
      <c r="CE171" s="643"/>
      <c r="CF171" s="232"/>
      <c r="CG171" s="232"/>
      <c r="CH171" s="232"/>
      <c r="CI171" s="232"/>
      <c r="CJ171" s="232"/>
      <c r="CK171" s="232"/>
      <c r="CL171" s="232"/>
      <c r="CM171" s="232"/>
      <c r="CN171" s="323"/>
      <c r="CO171" s="232"/>
      <c r="CP171" s="232"/>
      <c r="CQ171" s="232"/>
      <c r="CR171" s="1236"/>
      <c r="CS171" s="643"/>
      <c r="CT171" s="232"/>
      <c r="CU171" s="232"/>
      <c r="CV171" s="232"/>
      <c r="CW171" s="232"/>
      <c r="CX171" s="232"/>
      <c r="CY171" s="232"/>
      <c r="CZ171" s="232"/>
      <c r="DA171" s="1236"/>
      <c r="DB171" s="643"/>
      <c r="DC171" s="232"/>
      <c r="DD171" s="232"/>
      <c r="DE171" s="232"/>
      <c r="DF171" s="232"/>
      <c r="DG171" s="1236"/>
      <c r="DH171" s="643"/>
      <c r="DI171" s="232"/>
      <c r="DJ171" s="232"/>
      <c r="DK171" s="232"/>
      <c r="DL171" s="232"/>
      <c r="DM171" s="232"/>
      <c r="DN171" s="232"/>
      <c r="DO171" s="232"/>
      <c r="DP171" s="232"/>
      <c r="DQ171" s="323"/>
      <c r="DR171" s="238"/>
      <c r="DS171" s="232"/>
      <c r="DT171" s="232"/>
      <c r="DU171" s="232"/>
      <c r="DV171" s="1236"/>
      <c r="DW171" s="643"/>
      <c r="DX171" s="232"/>
      <c r="DY171" s="232"/>
      <c r="DZ171" s="232"/>
      <c r="EA171" s="232"/>
      <c r="EB171" s="232"/>
      <c r="EC171" s="232"/>
      <c r="ED171" s="232"/>
      <c r="EE171" s="1236"/>
      <c r="EF171" s="643"/>
      <c r="EG171" s="232"/>
      <c r="EH171" s="232"/>
      <c r="EI171" s="232"/>
      <c r="EJ171" s="232"/>
      <c r="EK171" s="1236"/>
      <c r="EL171" s="643"/>
      <c r="EM171" s="232"/>
      <c r="EN171" s="232"/>
      <c r="EO171" s="232"/>
      <c r="EP171" s="232"/>
      <c r="EQ171" s="232"/>
      <c r="ER171" s="232"/>
      <c r="ES171" s="232"/>
      <c r="ET171" s="232"/>
      <c r="EU171" s="323"/>
      <c r="EV171" s="232"/>
      <c r="EW171" s="232"/>
      <c r="EX171" s="232"/>
      <c r="EY171" s="1236"/>
      <c r="EZ171" s="643"/>
      <c r="FA171" s="232"/>
      <c r="FB171" s="232"/>
      <c r="FC171" s="232"/>
      <c r="FD171" s="232"/>
      <c r="FE171" s="232"/>
      <c r="FF171" s="232"/>
      <c r="FG171" s="232"/>
      <c r="FH171" s="1236"/>
      <c r="FI171" s="643"/>
      <c r="FJ171" s="232"/>
      <c r="FK171" s="232"/>
      <c r="FL171" s="232"/>
      <c r="FM171" s="232"/>
      <c r="FN171" s="1236"/>
      <c r="FO171" s="643"/>
      <c r="FP171" s="232"/>
      <c r="FQ171" s="232"/>
      <c r="FR171" s="232"/>
      <c r="FS171" s="232"/>
      <c r="FT171" s="232"/>
      <c r="FU171" s="232"/>
      <c r="FV171" s="232"/>
      <c r="FW171" s="232"/>
    </row>
    <row r="172" spans="1:179" ht="15.65" customHeight="1" x14ac:dyDescent="0.35">
      <c r="A172" s="1649"/>
      <c r="C172" s="163" t="s">
        <v>627</v>
      </c>
      <c r="D172" s="415"/>
      <c r="E172" s="415"/>
      <c r="F172" s="501" t="e">
        <f>100*F$170/F$171</f>
        <v>#DIV/0!</v>
      </c>
      <c r="G172" s="249" t="e">
        <f t="shared" ref="G172:I172" si="218">100*G$170/G$171</f>
        <v>#DIV/0!</v>
      </c>
      <c r="H172" s="249" t="e">
        <f t="shared" si="218"/>
        <v>#DIV/0!</v>
      </c>
      <c r="I172" s="1242" t="e">
        <f t="shared" si="218"/>
        <v>#DIV/0!</v>
      </c>
      <c r="J172" s="419" t="e">
        <f>100*J$170/J$171</f>
        <v>#DIV/0!</v>
      </c>
      <c r="K172" s="249" t="e">
        <f t="shared" ref="K172:U172" si="219">100*K$170/K$171</f>
        <v>#DIV/0!</v>
      </c>
      <c r="L172" s="249" t="e">
        <f t="shared" si="219"/>
        <v>#DIV/0!</v>
      </c>
      <c r="M172" s="249" t="e">
        <f t="shared" si="219"/>
        <v>#DIV/0!</v>
      </c>
      <c r="N172" s="249" t="e">
        <f t="shared" si="219"/>
        <v>#DIV/0!</v>
      </c>
      <c r="O172" s="249" t="e">
        <f t="shared" si="219"/>
        <v>#DIV/0!</v>
      </c>
      <c r="P172" s="249" t="e">
        <f t="shared" si="219"/>
        <v>#DIV/0!</v>
      </c>
      <c r="Q172" s="249" t="e">
        <f t="shared" si="219"/>
        <v>#DIV/0!</v>
      </c>
      <c r="R172" s="1242" t="e">
        <f t="shared" si="219"/>
        <v>#DIV/0!</v>
      </c>
      <c r="S172" s="419" t="e">
        <f t="shared" si="219"/>
        <v>#DIV/0!</v>
      </c>
      <c r="T172" s="249" t="e">
        <f t="shared" si="219"/>
        <v>#DIV/0!</v>
      </c>
      <c r="U172" s="249" t="e">
        <f t="shared" si="219"/>
        <v>#DIV/0!</v>
      </c>
      <c r="V172" s="249"/>
      <c r="W172" s="249"/>
      <c r="X172" s="1242"/>
      <c r="Y172" s="419"/>
      <c r="Z172" s="249"/>
      <c r="AA172" s="249"/>
      <c r="AB172" s="249"/>
      <c r="AC172" s="249"/>
      <c r="AD172" s="249"/>
      <c r="AE172" s="249"/>
      <c r="AF172" s="249"/>
      <c r="AG172" s="1650"/>
      <c r="AH172" s="1638"/>
      <c r="BL172" s="267"/>
    </row>
    <row r="173" spans="1:179" ht="15.65" customHeight="1" x14ac:dyDescent="0.35">
      <c r="A173" s="1649"/>
      <c r="C173" s="163" t="s">
        <v>608</v>
      </c>
      <c r="D173" s="415"/>
      <c r="E173" s="415"/>
      <c r="F173" s="501"/>
      <c r="G173" s="249"/>
      <c r="H173" s="249"/>
      <c r="I173" s="1242">
        <v>5.8</v>
      </c>
      <c r="J173" s="419"/>
      <c r="K173" s="249"/>
      <c r="L173" s="249"/>
      <c r="M173" s="249"/>
      <c r="N173" s="249"/>
      <c r="O173" s="249">
        <v>8.6999999999999993</v>
      </c>
      <c r="P173" s="249"/>
      <c r="Q173" s="249"/>
      <c r="R173" s="1242"/>
      <c r="S173" s="419"/>
      <c r="T173" s="249">
        <v>13</v>
      </c>
      <c r="U173" s="249">
        <v>13.7</v>
      </c>
      <c r="V173" s="249"/>
      <c r="W173" s="249"/>
      <c r="X173" s="1242"/>
      <c r="Y173" s="419"/>
      <c r="Z173" s="249"/>
      <c r="AA173" s="249"/>
      <c r="AB173" s="249"/>
      <c r="AC173" s="249"/>
      <c r="AD173" s="249"/>
      <c r="AE173" s="249"/>
      <c r="AF173" s="249"/>
      <c r="AG173" s="1650"/>
      <c r="AH173" s="1638"/>
      <c r="BL173" s="267"/>
    </row>
    <row r="174" spans="1:179" ht="15.65" customHeight="1" x14ac:dyDescent="0.35">
      <c r="A174" s="1649"/>
      <c r="C174" s="163" t="s">
        <v>630</v>
      </c>
      <c r="D174" s="415">
        <v>0.1</v>
      </c>
      <c r="E174" s="415">
        <v>0.3</v>
      </c>
      <c r="F174" s="501" t="e">
        <f>F158*$D$174*24</f>
        <v>#DIV/0!</v>
      </c>
      <c r="G174" s="249" t="e">
        <f t="shared" ref="G174:U174" si="220">G158*$D$174*24</f>
        <v>#DIV/0!</v>
      </c>
      <c r="H174" s="249" t="e">
        <f t="shared" si="220"/>
        <v>#DIV/0!</v>
      </c>
      <c r="I174" s="1242" t="e">
        <f t="shared" si="220"/>
        <v>#DIV/0!</v>
      </c>
      <c r="J174" s="419" t="e">
        <f t="shared" si="220"/>
        <v>#REF!</v>
      </c>
      <c r="K174" s="249" t="e">
        <f t="shared" si="220"/>
        <v>#DIV/0!</v>
      </c>
      <c r="L174" s="249" t="e">
        <f t="shared" si="220"/>
        <v>#DIV/0!</v>
      </c>
      <c r="M174" s="249" t="e">
        <f t="shared" si="220"/>
        <v>#DIV/0!</v>
      </c>
      <c r="N174" s="249" t="e">
        <f t="shared" si="220"/>
        <v>#DIV/0!</v>
      </c>
      <c r="O174" s="249" t="e">
        <f t="shared" si="220"/>
        <v>#DIV/0!</v>
      </c>
      <c r="P174" s="249" t="e">
        <f t="shared" si="220"/>
        <v>#DIV/0!</v>
      </c>
      <c r="Q174" s="249" t="e">
        <f t="shared" si="220"/>
        <v>#DIV/0!</v>
      </c>
      <c r="R174" s="1242" t="e">
        <f t="shared" si="220"/>
        <v>#DIV/0!</v>
      </c>
      <c r="S174" s="419" t="e">
        <f t="shared" si="220"/>
        <v>#DIV/0!</v>
      </c>
      <c r="T174" s="249" t="e">
        <f t="shared" si="220"/>
        <v>#DIV/0!</v>
      </c>
      <c r="U174" s="249" t="e">
        <f t="shared" si="220"/>
        <v>#DIV/0!</v>
      </c>
      <c r="V174" s="249">
        <f t="shared" ref="V174:AG174" si="221">24*($D$174*(V$83+V$86)+$E$174*(V$84+V$87))</f>
        <v>0</v>
      </c>
      <c r="W174" s="249">
        <f t="shared" si="221"/>
        <v>0</v>
      </c>
      <c r="X174" s="1242">
        <f t="shared" si="221"/>
        <v>0</v>
      </c>
      <c r="Y174" s="419">
        <f t="shared" si="221"/>
        <v>0</v>
      </c>
      <c r="Z174" s="249">
        <f t="shared" si="221"/>
        <v>0</v>
      </c>
      <c r="AA174" s="249">
        <f t="shared" si="221"/>
        <v>0</v>
      </c>
      <c r="AB174" s="249">
        <f t="shared" si="221"/>
        <v>0</v>
      </c>
      <c r="AC174" s="249">
        <f t="shared" si="221"/>
        <v>0</v>
      </c>
      <c r="AD174" s="249">
        <f t="shared" si="221"/>
        <v>0</v>
      </c>
      <c r="AE174" s="249">
        <f t="shared" si="221"/>
        <v>0</v>
      </c>
      <c r="AF174" s="249">
        <f t="shared" si="221"/>
        <v>0</v>
      </c>
      <c r="AG174" s="1650">
        <f t="shared" si="221"/>
        <v>0</v>
      </c>
      <c r="AH174" s="1638"/>
      <c r="BL174" s="267"/>
    </row>
    <row r="175" spans="1:179" ht="15.65" customHeight="1" thickBot="1" x14ac:dyDescent="0.4">
      <c r="A175" s="1651"/>
      <c r="B175" s="1652"/>
      <c r="C175" s="1653" t="s">
        <v>631</v>
      </c>
      <c r="D175" s="1654"/>
      <c r="E175" s="1654"/>
      <c r="F175" s="1655" t="e">
        <f>F174</f>
        <v>#DIV/0!</v>
      </c>
      <c r="G175" s="1656" t="e">
        <f>F$175+G$174</f>
        <v>#DIV/0!</v>
      </c>
      <c r="H175" s="1656" t="e">
        <f t="shared" ref="H175:I175" si="222">G$175+H$174</f>
        <v>#DIV/0!</v>
      </c>
      <c r="I175" s="1657" t="e">
        <f t="shared" si="222"/>
        <v>#DIV/0!</v>
      </c>
      <c r="J175" s="1658" t="e">
        <f>I$175+J$174</f>
        <v>#DIV/0!</v>
      </c>
      <c r="K175" s="1656" t="e">
        <f t="shared" ref="K175:U175" si="223">J$175+K$174</f>
        <v>#DIV/0!</v>
      </c>
      <c r="L175" s="1656" t="e">
        <f t="shared" si="223"/>
        <v>#DIV/0!</v>
      </c>
      <c r="M175" s="1656" t="e">
        <f t="shared" si="223"/>
        <v>#DIV/0!</v>
      </c>
      <c r="N175" s="1656" t="e">
        <f t="shared" si="223"/>
        <v>#DIV/0!</v>
      </c>
      <c r="O175" s="1656" t="e">
        <f t="shared" si="223"/>
        <v>#DIV/0!</v>
      </c>
      <c r="P175" s="1656" t="e">
        <f t="shared" si="223"/>
        <v>#DIV/0!</v>
      </c>
      <c r="Q175" s="1656" t="e">
        <f t="shared" si="223"/>
        <v>#DIV/0!</v>
      </c>
      <c r="R175" s="1657" t="e">
        <f t="shared" si="223"/>
        <v>#DIV/0!</v>
      </c>
      <c r="S175" s="1658" t="e">
        <f t="shared" si="223"/>
        <v>#DIV/0!</v>
      </c>
      <c r="T175" s="1656" t="e">
        <f t="shared" si="223"/>
        <v>#DIV/0!</v>
      </c>
      <c r="U175" s="1656" t="e">
        <f t="shared" si="223"/>
        <v>#DIV/0!</v>
      </c>
      <c r="V175" s="1656"/>
      <c r="W175" s="1656"/>
      <c r="X175" s="1657"/>
      <c r="Y175" s="1658"/>
      <c r="Z175" s="1656"/>
      <c r="AA175" s="1656"/>
      <c r="AB175" s="1656"/>
      <c r="AC175" s="1656"/>
      <c r="AD175" s="1656"/>
      <c r="AE175" s="1656"/>
      <c r="AF175" s="1656"/>
      <c r="AG175" s="1659"/>
      <c r="AH175" s="1638"/>
      <c r="BL175" s="267"/>
    </row>
    <row r="176" spans="1:179" s="224" customFormat="1" ht="15.65" customHeight="1" x14ac:dyDescent="0.35">
      <c r="A176" s="1640"/>
      <c r="B176" s="1640"/>
      <c r="C176" s="1641" t="s">
        <v>632</v>
      </c>
      <c r="D176" s="1642"/>
      <c r="E176" s="1642"/>
      <c r="F176" s="1643">
        <v>59.604900000000001</v>
      </c>
      <c r="G176" s="1644">
        <v>59.604900000000001</v>
      </c>
      <c r="H176" s="1644">
        <v>59.604900000000001</v>
      </c>
      <c r="I176" s="1645">
        <v>59.604900000000001</v>
      </c>
      <c r="J176" s="1646">
        <v>59.604900000000001</v>
      </c>
      <c r="K176" s="1647">
        <v>59.604900000000001</v>
      </c>
      <c r="L176" s="1647">
        <v>59.604900000000001</v>
      </c>
      <c r="M176" s="1647">
        <v>59.604900000000001</v>
      </c>
      <c r="N176" s="1647">
        <v>59.604900000000001</v>
      </c>
      <c r="O176" s="1647">
        <v>59.604900000000001</v>
      </c>
      <c r="P176" s="1647">
        <v>59.604900000000001</v>
      </c>
      <c r="Q176" s="1647">
        <v>59.604900000000001</v>
      </c>
      <c r="R176" s="1645">
        <v>59.604900000000001</v>
      </c>
      <c r="S176" s="1646">
        <v>59.604900000000001</v>
      </c>
      <c r="T176" s="1647">
        <v>59.604900000000001</v>
      </c>
      <c r="U176" s="1647">
        <v>59.604900000000001</v>
      </c>
      <c r="V176" s="1647"/>
      <c r="W176" s="1647"/>
      <c r="X176" s="1645"/>
      <c r="Y176" s="1646"/>
      <c r="Z176" s="1647"/>
      <c r="AA176" s="1647"/>
      <c r="AB176" s="1647"/>
      <c r="AC176" s="1647"/>
      <c r="AD176" s="1647"/>
      <c r="AE176" s="1647"/>
      <c r="AF176" s="1647"/>
      <c r="AG176" s="1647"/>
      <c r="AH176" s="323"/>
      <c r="AI176" s="232"/>
      <c r="AJ176" s="232"/>
      <c r="AK176" s="232"/>
      <c r="AL176" s="1236"/>
      <c r="AM176" s="643"/>
      <c r="AN176" s="232"/>
      <c r="AO176" s="232"/>
      <c r="AP176" s="232"/>
      <c r="AQ176" s="232"/>
      <c r="AR176" s="232"/>
      <c r="AS176" s="232"/>
      <c r="AT176" s="232"/>
      <c r="AU176" s="1236"/>
      <c r="AV176" s="643"/>
      <c r="AW176" s="232"/>
      <c r="AX176" s="232"/>
      <c r="AY176" s="232"/>
      <c r="AZ176" s="232"/>
      <c r="BA176" s="1236"/>
      <c r="BB176" s="643"/>
      <c r="BC176" s="232"/>
      <c r="BD176" s="232"/>
      <c r="BE176" s="232"/>
      <c r="BF176" s="232"/>
      <c r="BG176" s="232"/>
      <c r="BH176" s="232"/>
      <c r="BI176" s="232"/>
      <c r="BJ176" s="232"/>
      <c r="BK176" s="323"/>
      <c r="BL176" s="267"/>
      <c r="BM176" s="232"/>
      <c r="BN176" s="232"/>
      <c r="BO176" s="1236"/>
      <c r="BP176" s="643"/>
      <c r="BQ176" s="232"/>
      <c r="BR176" s="232"/>
      <c r="BS176" s="232"/>
      <c r="BT176" s="232"/>
      <c r="BU176" s="232"/>
      <c r="BV176" s="232"/>
      <c r="BW176" s="232"/>
      <c r="BX176" s="1236"/>
      <c r="BY176" s="643"/>
      <c r="BZ176" s="232"/>
      <c r="CA176" s="232"/>
      <c r="CB176" s="232"/>
      <c r="CC176" s="232"/>
      <c r="CD176" s="1236"/>
      <c r="CE176" s="643"/>
      <c r="CF176" s="232"/>
      <c r="CG176" s="232"/>
      <c r="CH176" s="232"/>
      <c r="CI176" s="232"/>
      <c r="CJ176" s="232"/>
      <c r="CK176" s="232"/>
      <c r="CL176" s="232"/>
      <c r="CM176" s="232"/>
      <c r="CN176" s="323"/>
      <c r="CO176" s="232"/>
      <c r="CP176" s="232"/>
      <c r="CQ176" s="232"/>
      <c r="CR176" s="1236"/>
      <c r="CS176" s="643"/>
      <c r="CT176" s="232"/>
      <c r="CU176" s="232"/>
      <c r="CV176" s="232"/>
      <c r="CW176" s="232"/>
      <c r="CX176" s="232"/>
      <c r="CY176" s="232"/>
      <c r="CZ176" s="232"/>
      <c r="DA176" s="1236"/>
      <c r="DB176" s="643"/>
      <c r="DC176" s="232"/>
      <c r="DD176" s="232"/>
      <c r="DE176" s="232"/>
      <c r="DF176" s="232"/>
      <c r="DG176" s="1236"/>
      <c r="DH176" s="643"/>
      <c r="DI176" s="232"/>
      <c r="DJ176" s="232"/>
      <c r="DK176" s="232"/>
      <c r="DL176" s="232"/>
      <c r="DM176" s="232"/>
      <c r="DN176" s="232"/>
      <c r="DO176" s="232"/>
      <c r="DP176" s="232"/>
      <c r="DQ176" s="323"/>
      <c r="DR176" s="238"/>
      <c r="DS176" s="232"/>
      <c r="DT176" s="232"/>
      <c r="DU176" s="232"/>
      <c r="DV176" s="1236"/>
      <c r="DW176" s="643"/>
      <c r="DX176" s="232"/>
      <c r="DY176" s="232"/>
      <c r="DZ176" s="232"/>
      <c r="EA176" s="232"/>
      <c r="EB176" s="232"/>
      <c r="EC176" s="232"/>
      <c r="ED176" s="232"/>
      <c r="EE176" s="1236"/>
      <c r="EF176" s="643"/>
      <c r="EG176" s="232"/>
      <c r="EH176" s="232"/>
      <c r="EI176" s="232"/>
      <c r="EJ176" s="232"/>
      <c r="EK176" s="1236"/>
      <c r="EL176" s="643"/>
      <c r="EM176" s="232"/>
      <c r="EN176" s="232"/>
      <c r="EO176" s="232"/>
      <c r="EP176" s="232"/>
      <c r="EQ176" s="232"/>
      <c r="ER176" s="232"/>
      <c r="ES176" s="232"/>
      <c r="ET176" s="232"/>
      <c r="EU176" s="323"/>
      <c r="EV176" s="232"/>
      <c r="EW176" s="232"/>
      <c r="EX176" s="232"/>
      <c r="EY176" s="1236"/>
      <c r="EZ176" s="643"/>
      <c r="FA176" s="232"/>
      <c r="FB176" s="232"/>
      <c r="FC176" s="232"/>
      <c r="FD176" s="232"/>
      <c r="FE176" s="232"/>
      <c r="FF176" s="232"/>
      <c r="FG176" s="232"/>
      <c r="FH176" s="1236"/>
      <c r="FI176" s="643"/>
      <c r="FJ176" s="232"/>
      <c r="FK176" s="232"/>
      <c r="FL176" s="232"/>
      <c r="FM176" s="232"/>
      <c r="FN176" s="1236"/>
      <c r="FO176" s="643"/>
      <c r="FP176" s="232"/>
      <c r="FQ176" s="232"/>
      <c r="FR176" s="232"/>
      <c r="FS176" s="232"/>
      <c r="FT176" s="232"/>
      <c r="FU176" s="232"/>
      <c r="FV176" s="232"/>
      <c r="FW176" s="232"/>
    </row>
    <row r="177" spans="1:179" ht="15.65" customHeight="1" x14ac:dyDescent="0.35">
      <c r="C177" s="163" t="s">
        <v>633</v>
      </c>
      <c r="D177" s="415"/>
      <c r="E177" s="415"/>
      <c r="F177" s="501" t="e">
        <f>100*F$175/F$176</f>
        <v>#DIV/0!</v>
      </c>
      <c r="G177" s="249" t="e">
        <f t="shared" ref="G177:I177" si="224">100*G$175/G$176</f>
        <v>#DIV/0!</v>
      </c>
      <c r="H177" s="249" t="e">
        <f t="shared" si="224"/>
        <v>#DIV/0!</v>
      </c>
      <c r="I177" s="1242" t="e">
        <f t="shared" si="224"/>
        <v>#DIV/0!</v>
      </c>
      <c r="J177" s="419" t="e">
        <f>100*J$175/J$176</f>
        <v>#DIV/0!</v>
      </c>
      <c r="K177" s="249" t="e">
        <f t="shared" ref="K177:U177" si="225">100*K$175/K$176</f>
        <v>#DIV/0!</v>
      </c>
      <c r="L177" s="249" t="e">
        <f t="shared" si="225"/>
        <v>#DIV/0!</v>
      </c>
      <c r="M177" s="249" t="e">
        <f t="shared" si="225"/>
        <v>#DIV/0!</v>
      </c>
      <c r="N177" s="249" t="e">
        <f t="shared" si="225"/>
        <v>#DIV/0!</v>
      </c>
      <c r="O177" s="249" t="e">
        <f t="shared" si="225"/>
        <v>#DIV/0!</v>
      </c>
      <c r="P177" s="249" t="e">
        <f t="shared" si="225"/>
        <v>#DIV/0!</v>
      </c>
      <c r="Q177" s="249" t="e">
        <f t="shared" si="225"/>
        <v>#DIV/0!</v>
      </c>
      <c r="R177" s="1242" t="e">
        <f t="shared" si="225"/>
        <v>#DIV/0!</v>
      </c>
      <c r="S177" s="419" t="e">
        <f t="shared" si="225"/>
        <v>#DIV/0!</v>
      </c>
      <c r="T177" s="249" t="e">
        <f t="shared" si="225"/>
        <v>#DIV/0!</v>
      </c>
      <c r="U177" s="249" t="e">
        <f t="shared" si="225"/>
        <v>#DIV/0!</v>
      </c>
      <c r="BL177" s="267"/>
    </row>
    <row r="178" spans="1:179" ht="15.65" customHeight="1" x14ac:dyDescent="0.35">
      <c r="C178" s="163"/>
      <c r="D178" s="415"/>
      <c r="E178" s="415"/>
      <c r="F178" s="501"/>
      <c r="G178" s="249"/>
      <c r="H178" s="249"/>
      <c r="I178" s="1242">
        <v>2.5</v>
      </c>
      <c r="J178" s="419"/>
      <c r="K178" s="249"/>
      <c r="L178" s="249"/>
      <c r="M178" s="249"/>
      <c r="N178" s="249"/>
      <c r="O178" s="249">
        <v>3.7</v>
      </c>
      <c r="P178" s="249"/>
      <c r="Q178" s="249"/>
      <c r="R178" s="1242"/>
      <c r="S178" s="419"/>
      <c r="T178" s="249">
        <v>5.5</v>
      </c>
      <c r="U178" s="249">
        <v>5.9</v>
      </c>
      <c r="BL178" s="267"/>
    </row>
    <row r="179" spans="1:179" ht="15.65" customHeight="1" x14ac:dyDescent="0.35">
      <c r="C179" s="163" t="s">
        <v>430</v>
      </c>
      <c r="D179" s="415"/>
      <c r="E179" s="415"/>
      <c r="F179" s="655">
        <v>88</v>
      </c>
      <c r="G179" s="249">
        <v>84.3</v>
      </c>
      <c r="H179" s="249">
        <v>82.5</v>
      </c>
      <c r="I179" s="1242">
        <v>81.2</v>
      </c>
      <c r="J179" s="419">
        <v>97.6</v>
      </c>
      <c r="K179" s="249">
        <v>97</v>
      </c>
      <c r="L179" s="249">
        <v>96</v>
      </c>
      <c r="M179" s="249">
        <v>95.5</v>
      </c>
      <c r="N179" s="249">
        <v>95</v>
      </c>
      <c r="O179" s="249">
        <v>94.6</v>
      </c>
      <c r="P179" s="249">
        <v>94.6</v>
      </c>
      <c r="Q179" s="249">
        <v>91</v>
      </c>
      <c r="R179" s="1242">
        <v>90.5</v>
      </c>
      <c r="S179" s="419">
        <v>92</v>
      </c>
      <c r="T179" s="249">
        <v>91.5</v>
      </c>
      <c r="U179" s="249">
        <v>90.7</v>
      </c>
      <c r="BL179" s="267"/>
    </row>
    <row r="180" spans="1:179" ht="15.65" customHeight="1" thickBot="1" x14ac:dyDescent="0.4">
      <c r="A180" s="1663"/>
      <c r="B180" s="1663"/>
      <c r="C180" s="1664">
        <v>0.05</v>
      </c>
      <c r="D180" s="1665"/>
      <c r="E180" s="1665"/>
      <c r="F180" s="1666">
        <f>F$179*5%</f>
        <v>4.4000000000000004</v>
      </c>
      <c r="G180" s="1667">
        <f>G$179*5%</f>
        <v>4.2149999999999999</v>
      </c>
      <c r="H180" s="1667">
        <f t="shared" ref="H180:O180" si="226">H$179*5%</f>
        <v>4.125</v>
      </c>
      <c r="I180" s="1668">
        <f t="shared" si="226"/>
        <v>4.0600000000000005</v>
      </c>
      <c r="J180" s="1669">
        <f t="shared" si="226"/>
        <v>4.88</v>
      </c>
      <c r="K180" s="1667">
        <f t="shared" si="226"/>
        <v>4.8500000000000005</v>
      </c>
      <c r="L180" s="1667">
        <f t="shared" si="226"/>
        <v>4.8000000000000007</v>
      </c>
      <c r="M180" s="1667">
        <f t="shared" si="226"/>
        <v>4.7750000000000004</v>
      </c>
      <c r="N180" s="1667">
        <f t="shared" si="226"/>
        <v>4.75</v>
      </c>
      <c r="O180" s="1667">
        <f t="shared" si="226"/>
        <v>4.7299999999999995</v>
      </c>
      <c r="P180" s="1667">
        <f>P$179*5%</f>
        <v>4.7299999999999995</v>
      </c>
      <c r="Q180" s="1667">
        <f>Q$179*5%</f>
        <v>4.55</v>
      </c>
      <c r="R180" s="1668">
        <f t="shared" ref="R180:U180" si="227">R$179*5%</f>
        <v>4.5250000000000004</v>
      </c>
      <c r="S180" s="1669">
        <f t="shared" si="227"/>
        <v>4.6000000000000005</v>
      </c>
      <c r="T180" s="1667">
        <f t="shared" si="227"/>
        <v>4.5750000000000002</v>
      </c>
      <c r="U180" s="1667">
        <f t="shared" si="227"/>
        <v>4.5350000000000001</v>
      </c>
      <c r="V180" s="1670">
        <f t="shared" ref="V180:AG180" si="228">V$179*5%</f>
        <v>0</v>
      </c>
      <c r="W180" s="1670">
        <f t="shared" si="228"/>
        <v>0</v>
      </c>
      <c r="X180" s="1671">
        <f t="shared" si="228"/>
        <v>0</v>
      </c>
      <c r="Y180" s="1672">
        <f t="shared" si="228"/>
        <v>0</v>
      </c>
      <c r="Z180" s="1670">
        <f t="shared" si="228"/>
        <v>0</v>
      </c>
      <c r="AA180" s="1670">
        <f t="shared" si="228"/>
        <v>0</v>
      </c>
      <c r="AB180" s="1670">
        <f t="shared" si="228"/>
        <v>0</v>
      </c>
      <c r="AC180" s="1670">
        <f t="shared" si="228"/>
        <v>0</v>
      </c>
      <c r="AD180" s="1670">
        <f t="shared" si="228"/>
        <v>0</v>
      </c>
      <c r="AE180" s="1670">
        <f t="shared" si="228"/>
        <v>0</v>
      </c>
      <c r="AF180" s="1670">
        <f t="shared" si="228"/>
        <v>0</v>
      </c>
      <c r="AG180" s="1670">
        <f t="shared" si="228"/>
        <v>0</v>
      </c>
      <c r="BL180" s="267"/>
    </row>
    <row r="181" spans="1:179" s="224" customFormat="1" ht="16.5" thickTop="1" x14ac:dyDescent="0.4">
      <c r="A181"/>
      <c r="B181"/>
      <c r="C181" s="1660">
        <v>0.05</v>
      </c>
      <c r="D181" s="1660"/>
      <c r="E181" s="1660"/>
      <c r="F181" s="1661">
        <f>F$179+F$180</f>
        <v>92.4</v>
      </c>
      <c r="G181" s="1662">
        <f>G$179+G$180</f>
        <v>88.515000000000001</v>
      </c>
      <c r="H181" s="1662">
        <f t="shared" ref="H181:O181" si="229">H$179+H$180</f>
        <v>86.625</v>
      </c>
      <c r="I181" s="422">
        <f t="shared" si="229"/>
        <v>85.26</v>
      </c>
      <c r="J181" s="421">
        <f t="shared" si="229"/>
        <v>102.47999999999999</v>
      </c>
      <c r="K181" s="309">
        <f t="shared" si="229"/>
        <v>101.85</v>
      </c>
      <c r="L181" s="309">
        <f t="shared" si="229"/>
        <v>100.8</v>
      </c>
      <c r="M181" s="309">
        <f t="shared" si="229"/>
        <v>100.27500000000001</v>
      </c>
      <c r="N181" s="309">
        <f t="shared" si="229"/>
        <v>99.75</v>
      </c>
      <c r="O181" s="309">
        <f t="shared" si="229"/>
        <v>99.33</v>
      </c>
      <c r="P181" s="309">
        <f>P$179+P$180</f>
        <v>99.33</v>
      </c>
      <c r="Q181" s="309">
        <f>Q$179+Q$180</f>
        <v>95.55</v>
      </c>
      <c r="R181" s="422">
        <f t="shared" ref="R181:AG181" si="230">R$179+R$180</f>
        <v>95.025000000000006</v>
      </c>
      <c r="S181" s="421">
        <f t="shared" si="230"/>
        <v>96.6</v>
      </c>
      <c r="T181" s="309">
        <f t="shared" si="230"/>
        <v>96.075000000000003</v>
      </c>
      <c r="U181" s="309">
        <f t="shared" si="230"/>
        <v>95.234999999999999</v>
      </c>
      <c r="V181" s="229">
        <f t="shared" si="230"/>
        <v>0</v>
      </c>
      <c r="W181" s="229">
        <f t="shared" si="230"/>
        <v>0</v>
      </c>
      <c r="X181" s="1245">
        <f t="shared" si="230"/>
        <v>0</v>
      </c>
      <c r="Y181" s="538">
        <f t="shared" si="230"/>
        <v>0</v>
      </c>
      <c r="Z181" s="229">
        <f t="shared" si="230"/>
        <v>0</v>
      </c>
      <c r="AA181" s="229">
        <f t="shared" si="230"/>
        <v>0</v>
      </c>
      <c r="AB181" s="229">
        <f t="shared" si="230"/>
        <v>0</v>
      </c>
      <c r="AC181" s="229">
        <f t="shared" si="230"/>
        <v>0</v>
      </c>
      <c r="AD181" s="229">
        <f t="shared" si="230"/>
        <v>0</v>
      </c>
      <c r="AE181" s="229">
        <f t="shared" si="230"/>
        <v>0</v>
      </c>
      <c r="AF181" s="229">
        <f t="shared" si="230"/>
        <v>0</v>
      </c>
      <c r="AG181" s="229">
        <f t="shared" si="230"/>
        <v>0</v>
      </c>
      <c r="AH181" s="323"/>
      <c r="AI181" s="232"/>
      <c r="AJ181" s="267"/>
      <c r="AK181" s="232"/>
      <c r="AL181" s="1236"/>
      <c r="AM181" s="643"/>
      <c r="AN181" s="232"/>
      <c r="AO181" s="232"/>
      <c r="AP181" s="232"/>
      <c r="AQ181" s="232"/>
      <c r="AR181" s="232"/>
      <c r="AS181" s="232"/>
      <c r="AT181" s="232"/>
      <c r="AU181" s="1236"/>
      <c r="AV181" s="643"/>
      <c r="AW181" s="232"/>
      <c r="AX181" s="232"/>
      <c r="AY181" s="232"/>
      <c r="AZ181" s="232"/>
      <c r="BA181" s="1236"/>
      <c r="BB181" s="643"/>
      <c r="BC181" s="232"/>
      <c r="BD181" s="232"/>
      <c r="BE181" s="232"/>
      <c r="BF181" s="232"/>
      <c r="BG181" s="232"/>
      <c r="BH181" s="232"/>
      <c r="BI181" s="232"/>
      <c r="BJ181" s="232"/>
      <c r="BK181" s="323"/>
      <c r="BL181" s="232"/>
      <c r="BM181" s="232"/>
      <c r="BN181" s="232"/>
      <c r="BO181" s="1236"/>
      <c r="BP181" s="643"/>
      <c r="BQ181" s="232"/>
      <c r="BR181" s="232"/>
      <c r="BS181" s="232"/>
      <c r="BT181" s="232"/>
      <c r="BU181" s="232"/>
      <c r="BV181" s="232"/>
      <c r="BW181" s="232"/>
      <c r="BX181" s="1236"/>
      <c r="BY181" s="643"/>
      <c r="BZ181" s="232"/>
      <c r="CA181" s="232"/>
      <c r="CB181" s="232"/>
      <c r="CC181" s="232"/>
      <c r="CD181" s="1236"/>
      <c r="CE181" s="643"/>
      <c r="CF181" s="232"/>
      <c r="CG181" s="232"/>
      <c r="CH181" s="232"/>
      <c r="CI181" s="232"/>
      <c r="CJ181" s="232"/>
      <c r="CK181" s="232"/>
      <c r="CL181" s="232"/>
      <c r="CM181" s="232"/>
      <c r="CN181" s="323"/>
      <c r="CO181" s="232"/>
      <c r="CP181" s="232"/>
      <c r="CQ181" s="232"/>
      <c r="CR181" s="1236"/>
      <c r="CS181" s="643"/>
      <c r="CT181" s="232"/>
      <c r="CU181" s="232"/>
      <c r="CV181" s="232"/>
      <c r="CW181" s="232"/>
      <c r="CX181" s="232"/>
      <c r="CY181" s="232"/>
      <c r="CZ181" s="232"/>
      <c r="DA181" s="1236"/>
      <c r="DB181" s="643"/>
      <c r="DC181" s="232"/>
      <c r="DD181" s="232"/>
      <c r="DE181" s="232"/>
      <c r="DF181" s="232"/>
      <c r="DG181" s="1236"/>
      <c r="DH181" s="643"/>
      <c r="DI181" s="232"/>
      <c r="DJ181" s="232"/>
      <c r="DK181" s="232"/>
      <c r="DL181" s="232"/>
      <c r="DM181" s="232"/>
      <c r="DN181" s="232"/>
      <c r="DO181" s="232"/>
      <c r="DP181" s="232"/>
      <c r="DQ181" s="323"/>
      <c r="DR181" s="238"/>
      <c r="DS181" s="232"/>
      <c r="DT181" s="232"/>
      <c r="DU181" s="232"/>
      <c r="DV181" s="1236"/>
      <c r="DW181" s="643"/>
      <c r="DX181" s="232"/>
      <c r="DY181" s="232"/>
      <c r="DZ181" s="232"/>
      <c r="EA181" s="232"/>
      <c r="EB181" s="232"/>
      <c r="EC181" s="232"/>
      <c r="ED181" s="232"/>
      <c r="EE181" s="1236"/>
      <c r="EF181" s="643"/>
      <c r="EG181" s="232"/>
      <c r="EH181" s="232"/>
      <c r="EI181" s="232"/>
      <c r="EJ181" s="232"/>
      <c r="EK181" s="1236"/>
      <c r="EL181" s="643"/>
      <c r="EM181" s="232"/>
      <c r="EN181" s="232"/>
      <c r="EO181" s="232"/>
      <c r="EP181" s="232"/>
      <c r="EQ181" s="232"/>
      <c r="ER181" s="232"/>
      <c r="ES181" s="232"/>
      <c r="ET181" s="232"/>
      <c r="EU181" s="323"/>
      <c r="EV181" s="232"/>
      <c r="EW181" s="232"/>
      <c r="EX181" s="232"/>
      <c r="EY181" s="1236"/>
      <c r="EZ181" s="643"/>
      <c r="FA181" s="232"/>
      <c r="FB181" s="232"/>
      <c r="FC181" s="232"/>
      <c r="FD181" s="232"/>
      <c r="FE181" s="232"/>
      <c r="FF181" s="232"/>
      <c r="FG181" s="232"/>
      <c r="FH181" s="1236"/>
      <c r="FI181" s="643"/>
      <c r="FJ181" s="232"/>
      <c r="FK181" s="232"/>
      <c r="FL181" s="232"/>
      <c r="FM181" s="232"/>
      <c r="FN181" s="1236"/>
      <c r="FO181" s="643"/>
      <c r="FP181" s="232"/>
      <c r="FQ181" s="232"/>
      <c r="FR181" s="232"/>
      <c r="FS181" s="232"/>
      <c r="FT181" s="232"/>
      <c r="FU181" s="232"/>
      <c r="FV181" s="232"/>
      <c r="FW181" s="232"/>
    </row>
    <row r="182" spans="1:179" ht="16" x14ac:dyDescent="0.4">
      <c r="C182" s="416">
        <v>-0.05</v>
      </c>
      <c r="D182" s="416"/>
      <c r="E182" s="420"/>
      <c r="F182" s="478">
        <f>F$179-F$180</f>
        <v>83.6</v>
      </c>
      <c r="G182" s="249">
        <f>G$179-G$180</f>
        <v>80.084999999999994</v>
      </c>
      <c r="H182" s="249">
        <f t="shared" ref="H182:N182" si="231">H$179-H$180</f>
        <v>78.375</v>
      </c>
      <c r="I182" s="1242">
        <f t="shared" si="231"/>
        <v>77.14</v>
      </c>
      <c r="J182" s="419">
        <f t="shared" si="231"/>
        <v>92.72</v>
      </c>
      <c r="K182" s="249">
        <f t="shared" si="231"/>
        <v>92.15</v>
      </c>
      <c r="L182" s="249">
        <f t="shared" si="231"/>
        <v>91.2</v>
      </c>
      <c r="M182" s="249">
        <f t="shared" si="231"/>
        <v>90.724999999999994</v>
      </c>
      <c r="N182" s="249">
        <f t="shared" si="231"/>
        <v>90.25</v>
      </c>
      <c r="O182" s="249">
        <f>O$179-O$180</f>
        <v>89.86999999999999</v>
      </c>
      <c r="P182" s="249">
        <f>P$179-P$180</f>
        <v>89.86999999999999</v>
      </c>
      <c r="Q182" s="249">
        <f>Q$179-Q$180</f>
        <v>86.45</v>
      </c>
      <c r="R182" s="1242">
        <f t="shared" ref="R182:AG182" si="232">R$179-R$180</f>
        <v>85.974999999999994</v>
      </c>
      <c r="S182" s="419">
        <f t="shared" si="232"/>
        <v>87.4</v>
      </c>
      <c r="T182" s="249">
        <f t="shared" si="232"/>
        <v>86.924999999999997</v>
      </c>
      <c r="U182" s="249">
        <f t="shared" si="232"/>
        <v>86.165000000000006</v>
      </c>
      <c r="V182" s="249">
        <f t="shared" si="232"/>
        <v>0</v>
      </c>
      <c r="W182" s="249">
        <f t="shared" si="232"/>
        <v>0</v>
      </c>
      <c r="X182" s="1242">
        <f t="shared" si="232"/>
        <v>0</v>
      </c>
      <c r="Y182" s="419">
        <f t="shared" si="232"/>
        <v>0</v>
      </c>
      <c r="Z182" s="249">
        <f t="shared" si="232"/>
        <v>0</v>
      </c>
      <c r="AA182" s="249">
        <f t="shared" si="232"/>
        <v>0</v>
      </c>
      <c r="AB182" s="249">
        <f t="shared" si="232"/>
        <v>0</v>
      </c>
      <c r="AC182" s="249">
        <f t="shared" si="232"/>
        <v>0</v>
      </c>
      <c r="AD182" s="249">
        <f t="shared" si="232"/>
        <v>0</v>
      </c>
      <c r="AE182" s="249">
        <f t="shared" si="232"/>
        <v>0</v>
      </c>
      <c r="AF182" s="249">
        <f t="shared" si="232"/>
        <v>0</v>
      </c>
      <c r="AG182" s="249">
        <f t="shared" si="232"/>
        <v>0</v>
      </c>
    </row>
    <row r="183" spans="1:179" ht="16" x14ac:dyDescent="0.4">
      <c r="C183" s="416" t="s">
        <v>303</v>
      </c>
      <c r="D183" s="416"/>
      <c r="E183" s="420"/>
      <c r="F183" s="478" t="e">
        <f t="shared" ref="F183:V183" si="233">((F$89-BL$89)/F$89)*100</f>
        <v>#DIV/0!</v>
      </c>
      <c r="G183" s="249" t="e">
        <f t="shared" si="233"/>
        <v>#DIV/0!</v>
      </c>
      <c r="H183" s="249" t="e">
        <f t="shared" si="233"/>
        <v>#DIV/0!</v>
      </c>
      <c r="I183" s="1242" t="e">
        <f t="shared" si="233"/>
        <v>#DIV/0!</v>
      </c>
      <c r="J183" s="419" t="e">
        <f t="shared" si="233"/>
        <v>#DIV/0!</v>
      </c>
      <c r="K183" s="243" t="e">
        <f t="shared" si="233"/>
        <v>#DIV/0!</v>
      </c>
      <c r="L183" s="243" t="e">
        <f t="shared" si="233"/>
        <v>#DIV/0!</v>
      </c>
      <c r="M183" s="249" t="e">
        <f t="shared" si="233"/>
        <v>#DIV/0!</v>
      </c>
      <c r="N183" s="249" t="e">
        <f t="shared" si="233"/>
        <v>#DIV/0!</v>
      </c>
      <c r="O183" s="249" t="e">
        <f t="shared" si="233"/>
        <v>#DIV/0!</v>
      </c>
      <c r="P183" s="249" t="e">
        <f t="shared" si="233"/>
        <v>#DIV/0!</v>
      </c>
      <c r="Q183" s="249" t="e">
        <f t="shared" si="233"/>
        <v>#DIV/0!</v>
      </c>
      <c r="R183" s="1242" t="e">
        <f t="shared" si="233"/>
        <v>#DIV/0!</v>
      </c>
      <c r="S183" s="419" t="e">
        <f t="shared" si="233"/>
        <v>#DIV/0!</v>
      </c>
      <c r="T183" s="249" t="e">
        <f t="shared" si="233"/>
        <v>#DIV/0!</v>
      </c>
      <c r="U183" s="249" t="e">
        <f t="shared" si="233"/>
        <v>#DIV/0!</v>
      </c>
      <c r="V183" s="249" t="e">
        <f t="shared" si="233"/>
        <v>#DIV/0!</v>
      </c>
      <c r="W183" s="249" t="e">
        <f t="shared" ref="W183:AG183" si="234">((W$89-CN$89)/W$89)*100</f>
        <v>#DIV/0!</v>
      </c>
      <c r="X183" s="1242" t="e">
        <f t="shared" si="234"/>
        <v>#DIV/0!</v>
      </c>
      <c r="Y183" s="419" t="e">
        <f t="shared" si="234"/>
        <v>#DIV/0!</v>
      </c>
      <c r="Z183" s="249" t="e">
        <f t="shared" si="234"/>
        <v>#DIV/0!</v>
      </c>
      <c r="AA183" s="249" t="e">
        <f t="shared" si="234"/>
        <v>#DIV/0!</v>
      </c>
      <c r="AB183" s="249" t="e">
        <f t="shared" si="234"/>
        <v>#DIV/0!</v>
      </c>
      <c r="AC183" s="249" t="e">
        <f t="shared" si="234"/>
        <v>#DIV/0!</v>
      </c>
      <c r="AD183" s="249" t="e">
        <f t="shared" si="234"/>
        <v>#DIV/0!</v>
      </c>
      <c r="AE183" s="249" t="e">
        <f t="shared" si="234"/>
        <v>#DIV/0!</v>
      </c>
      <c r="AF183" s="249" t="e">
        <f t="shared" si="234"/>
        <v>#DIV/0!</v>
      </c>
      <c r="AG183" s="249" t="e">
        <f t="shared" si="234"/>
        <v>#DIV/0!</v>
      </c>
    </row>
    <row r="184" spans="1:179" ht="16" x14ac:dyDescent="0.4">
      <c r="C184" s="416" t="s">
        <v>837</v>
      </c>
      <c r="D184" s="416"/>
      <c r="E184" s="420"/>
      <c r="F184" s="478" t="e">
        <f>F$183*F$89/100</f>
        <v>#DIV/0!</v>
      </c>
      <c r="G184" s="249" t="e">
        <f t="shared" ref="G184:U184" si="235">G$183*G$89/100</f>
        <v>#DIV/0!</v>
      </c>
      <c r="H184" s="249" t="e">
        <f t="shared" si="235"/>
        <v>#DIV/0!</v>
      </c>
      <c r="I184" s="1242" t="e">
        <f t="shared" si="235"/>
        <v>#DIV/0!</v>
      </c>
      <c r="J184" s="419" t="e">
        <f t="shared" si="235"/>
        <v>#DIV/0!</v>
      </c>
      <c r="K184" s="249" t="e">
        <f t="shared" si="235"/>
        <v>#DIV/0!</v>
      </c>
      <c r="L184" s="249" t="e">
        <f t="shared" si="235"/>
        <v>#DIV/0!</v>
      </c>
      <c r="M184" s="249" t="e">
        <f t="shared" si="235"/>
        <v>#DIV/0!</v>
      </c>
      <c r="N184" s="249" t="e">
        <f t="shared" si="235"/>
        <v>#DIV/0!</v>
      </c>
      <c r="O184" s="249" t="e">
        <f t="shared" si="235"/>
        <v>#DIV/0!</v>
      </c>
      <c r="P184" s="249" t="e">
        <f t="shared" si="235"/>
        <v>#DIV/0!</v>
      </c>
      <c r="Q184" s="249" t="e">
        <f t="shared" si="235"/>
        <v>#DIV/0!</v>
      </c>
      <c r="R184" s="1242" t="e">
        <f t="shared" si="235"/>
        <v>#DIV/0!</v>
      </c>
      <c r="S184" s="419" t="e">
        <f t="shared" si="235"/>
        <v>#DIV/0!</v>
      </c>
      <c r="T184" s="249" t="e">
        <f t="shared" si="235"/>
        <v>#DIV/0!</v>
      </c>
      <c r="U184" s="249" t="e">
        <f t="shared" si="235"/>
        <v>#DIV/0!</v>
      </c>
      <c r="V184" s="249"/>
      <c r="W184" s="249"/>
      <c r="X184" s="1242"/>
      <c r="Y184" s="419"/>
      <c r="Z184" s="249"/>
      <c r="AA184" s="249"/>
      <c r="AB184" s="249"/>
      <c r="AC184" s="249"/>
      <c r="AD184" s="249"/>
      <c r="AE184" s="249"/>
      <c r="AF184" s="249"/>
      <c r="AG184" s="249"/>
    </row>
    <row r="185" spans="1:179" s="224" customFormat="1" x14ac:dyDescent="0.35">
      <c r="C185" s="223"/>
      <c r="D185" s="223"/>
      <c r="E185" s="223"/>
      <c r="F185" s="294"/>
      <c r="G185" s="249"/>
      <c r="H185" s="249"/>
      <c r="I185" s="1242"/>
      <c r="J185" s="419"/>
      <c r="K185" s="249"/>
      <c r="L185" s="249"/>
      <c r="M185" s="249"/>
      <c r="N185" s="249"/>
      <c r="O185" s="249"/>
      <c r="P185" s="249"/>
      <c r="Q185" s="249"/>
      <c r="R185" s="1242"/>
      <c r="S185" s="419"/>
      <c r="T185" s="249"/>
      <c r="U185" s="249"/>
      <c r="V185" s="249"/>
      <c r="W185" s="249"/>
      <c r="X185" s="1242"/>
      <c r="Y185" s="419"/>
      <c r="Z185" s="249"/>
      <c r="AA185" s="249"/>
      <c r="AB185" s="249"/>
      <c r="AC185" s="249"/>
      <c r="AD185" s="249"/>
      <c r="AE185" s="249"/>
      <c r="AF185" s="249"/>
      <c r="AG185" s="249"/>
      <c r="AH185" s="323"/>
      <c r="AI185" s="232"/>
      <c r="AJ185" s="232"/>
      <c r="AK185" s="232"/>
      <c r="AL185" s="1236"/>
      <c r="AM185" s="643"/>
      <c r="AN185" s="232"/>
      <c r="AO185" s="232"/>
      <c r="AP185" s="232"/>
      <c r="AQ185" s="232"/>
      <c r="AR185" s="232"/>
      <c r="AS185" s="232"/>
      <c r="AT185" s="232"/>
      <c r="AU185" s="1236"/>
      <c r="AV185" s="643"/>
      <c r="AW185" s="232"/>
      <c r="AX185" s="232"/>
      <c r="AY185" s="232"/>
      <c r="AZ185" s="232"/>
      <c r="BA185" s="1236"/>
      <c r="BB185" s="643"/>
      <c r="BC185" s="232"/>
      <c r="BD185" s="232"/>
      <c r="BE185" s="232"/>
      <c r="BF185" s="232"/>
      <c r="BG185" s="232"/>
      <c r="BH185" s="232"/>
      <c r="BI185" s="232"/>
      <c r="BJ185" s="232"/>
      <c r="BK185" s="323"/>
      <c r="BL185" s="232"/>
      <c r="BM185" s="232"/>
      <c r="BN185" s="232"/>
      <c r="BO185" s="1236"/>
      <c r="BP185" s="643"/>
      <c r="BQ185" s="232"/>
      <c r="BR185" s="232"/>
      <c r="BS185" s="232"/>
      <c r="BT185" s="232"/>
      <c r="BU185" s="232"/>
      <c r="BV185" s="232"/>
      <c r="BW185" s="232"/>
      <c r="BX185" s="1236"/>
      <c r="BY185" s="643"/>
      <c r="BZ185" s="232"/>
      <c r="CA185" s="232"/>
      <c r="CB185" s="232"/>
      <c r="CC185" s="232"/>
      <c r="CD185" s="1236"/>
      <c r="CE185" s="643"/>
      <c r="CF185" s="232"/>
      <c r="CG185" s="232"/>
      <c r="CH185" s="232"/>
      <c r="CI185" s="232"/>
      <c r="CJ185" s="232"/>
      <c r="CK185" s="232"/>
      <c r="CL185" s="232"/>
      <c r="CM185" s="232"/>
      <c r="CN185" s="323"/>
      <c r="CO185" s="232"/>
      <c r="CP185" s="232"/>
      <c r="CQ185" s="232"/>
      <c r="CR185" s="1236"/>
      <c r="CS185" s="643"/>
      <c r="CT185" s="232"/>
      <c r="CU185" s="232"/>
      <c r="CV185" s="232"/>
      <c r="CW185" s="232"/>
      <c r="CX185" s="232"/>
      <c r="CY185" s="232"/>
      <c r="CZ185" s="232"/>
      <c r="DA185" s="1236"/>
      <c r="DB185" s="643"/>
      <c r="DC185" s="232"/>
      <c r="DD185" s="232"/>
      <c r="DE185" s="232"/>
      <c r="DF185" s="232"/>
      <c r="DG185" s="1236"/>
      <c r="DH185" s="643"/>
      <c r="DI185" s="232"/>
      <c r="DJ185" s="232"/>
      <c r="DK185" s="232"/>
      <c r="DL185" s="232"/>
      <c r="DM185" s="232"/>
      <c r="DN185" s="232"/>
      <c r="DO185" s="232"/>
      <c r="DP185" s="232"/>
      <c r="DQ185" s="323"/>
      <c r="DR185" s="238"/>
      <c r="DS185" s="232"/>
      <c r="DT185" s="232"/>
      <c r="DU185" s="232"/>
      <c r="DV185" s="1236"/>
      <c r="DW185" s="643"/>
      <c r="DX185" s="232"/>
      <c r="DY185" s="232"/>
      <c r="DZ185" s="232"/>
      <c r="EA185" s="232"/>
      <c r="EB185" s="232"/>
      <c r="EC185" s="232"/>
      <c r="ED185" s="232"/>
      <c r="EE185" s="1236"/>
      <c r="EF185" s="643"/>
      <c r="EG185" s="232"/>
      <c r="EH185" s="232"/>
      <c r="EI185" s="232"/>
      <c r="EJ185" s="232"/>
      <c r="EK185" s="1236"/>
      <c r="EL185" s="643"/>
      <c r="EM185" s="232"/>
      <c r="EN185" s="232"/>
      <c r="EO185" s="232"/>
      <c r="EP185" s="232"/>
      <c r="EQ185" s="232"/>
      <c r="ER185" s="232"/>
      <c r="ES185" s="232"/>
      <c r="ET185" s="232"/>
      <c r="EU185" s="323"/>
      <c r="EV185" s="232"/>
      <c r="EW185" s="232"/>
      <c r="EX185" s="232"/>
      <c r="EY185" s="1236"/>
      <c r="EZ185" s="643"/>
      <c r="FA185" s="232"/>
      <c r="FB185" s="232"/>
      <c r="FC185" s="232"/>
      <c r="FD185" s="232"/>
      <c r="FE185" s="232"/>
      <c r="FF185" s="232"/>
      <c r="FG185" s="232"/>
      <c r="FH185" s="1236"/>
      <c r="FI185" s="643"/>
      <c r="FJ185" s="232"/>
      <c r="FK185" s="232"/>
      <c r="FL185" s="232"/>
      <c r="FM185" s="232"/>
      <c r="FN185" s="1236"/>
      <c r="FO185" s="643"/>
      <c r="FP185" s="232"/>
      <c r="FQ185" s="232"/>
      <c r="FR185" s="232"/>
      <c r="FS185" s="232"/>
      <c r="FT185" s="232"/>
      <c r="FU185" s="232"/>
      <c r="FV185" s="232"/>
      <c r="FW185" s="232"/>
    </row>
    <row r="186" spans="1:179" x14ac:dyDescent="0.35">
      <c r="C186" s="1" t="s">
        <v>302</v>
      </c>
      <c r="F186" s="1064" t="e">
        <f t="shared" ref="F186:V186" si="236">((F$92-(AI$92+BL$92+CO$92))/F$92)*100</f>
        <v>#DIV/0!</v>
      </c>
      <c r="G186" s="270" t="e">
        <f t="shared" si="236"/>
        <v>#DIV/0!</v>
      </c>
      <c r="H186" s="270" t="e">
        <f t="shared" si="236"/>
        <v>#DIV/0!</v>
      </c>
      <c r="I186" s="1283" t="e">
        <f t="shared" si="236"/>
        <v>#DIV/0!</v>
      </c>
      <c r="J186" s="1224" t="e">
        <f t="shared" si="236"/>
        <v>#DIV/0!</v>
      </c>
      <c r="K186" s="270" t="e">
        <f t="shared" si="236"/>
        <v>#DIV/0!</v>
      </c>
      <c r="L186" s="270" t="e">
        <f t="shared" si="236"/>
        <v>#DIV/0!</v>
      </c>
      <c r="M186" s="270" t="e">
        <f t="shared" si="236"/>
        <v>#DIV/0!</v>
      </c>
      <c r="N186" s="270" t="e">
        <f t="shared" si="236"/>
        <v>#DIV/0!</v>
      </c>
      <c r="O186" s="270" t="e">
        <f t="shared" si="236"/>
        <v>#DIV/0!</v>
      </c>
      <c r="P186" s="270" t="e">
        <f t="shared" si="236"/>
        <v>#DIV/0!</v>
      </c>
      <c r="Q186" s="270" t="e">
        <f t="shared" si="236"/>
        <v>#DIV/0!</v>
      </c>
      <c r="R186" s="1283" t="e">
        <f t="shared" si="236"/>
        <v>#DIV/0!</v>
      </c>
      <c r="S186" s="1224" t="e">
        <f t="shared" si="236"/>
        <v>#DIV/0!</v>
      </c>
      <c r="T186" s="270" t="e">
        <f t="shared" si="236"/>
        <v>#DIV/0!</v>
      </c>
      <c r="U186" s="270" t="e">
        <f t="shared" si="236"/>
        <v>#DIV/0!</v>
      </c>
      <c r="V186" s="249" t="e">
        <f t="shared" si="236"/>
        <v>#DIV/0!</v>
      </c>
      <c r="W186" s="249" t="e">
        <f t="shared" ref="W186:AG186" si="237">((W$92-(BK$92+CN$92+DQ$92))/W$92)*100</f>
        <v>#DIV/0!</v>
      </c>
      <c r="X186" s="1242" t="e">
        <f t="shared" si="237"/>
        <v>#DIV/0!</v>
      </c>
      <c r="Y186" s="419" t="e">
        <f t="shared" si="237"/>
        <v>#DIV/0!</v>
      </c>
      <c r="Z186" s="249" t="e">
        <f t="shared" si="237"/>
        <v>#DIV/0!</v>
      </c>
      <c r="AA186" s="249" t="e">
        <f t="shared" si="237"/>
        <v>#DIV/0!</v>
      </c>
      <c r="AB186" s="249" t="e">
        <f t="shared" si="237"/>
        <v>#DIV/0!</v>
      </c>
      <c r="AC186" s="249" t="e">
        <f t="shared" si="237"/>
        <v>#DIV/0!</v>
      </c>
      <c r="AD186" s="249" t="e">
        <f t="shared" si="237"/>
        <v>#DIV/0!</v>
      </c>
      <c r="AE186" s="249" t="e">
        <f t="shared" si="237"/>
        <v>#DIV/0!</v>
      </c>
      <c r="AF186" s="249" t="e">
        <f t="shared" si="237"/>
        <v>#DIV/0!</v>
      </c>
      <c r="AG186" s="249" t="e">
        <f t="shared" si="237"/>
        <v>#DIV/0!</v>
      </c>
      <c r="AM186" s="643" t="s">
        <v>157</v>
      </c>
      <c r="AN186" s="232" t="e">
        <f>AVERAGE(H186:I186)</f>
        <v>#DIV/0!</v>
      </c>
      <c r="AO186" s="232" t="e">
        <f>AVERAGE(M186:O186)</f>
        <v>#DIV/0!</v>
      </c>
      <c r="AP186" s="232" t="e">
        <f>AVERAGE(S186:U186)</f>
        <v>#DIV/0!</v>
      </c>
    </row>
    <row r="187" spans="1:179" ht="6.65" customHeight="1" thickBot="1" x14ac:dyDescent="0.4">
      <c r="C187" s="1" t="s">
        <v>214</v>
      </c>
      <c r="F187" s="1029">
        <v>72</v>
      </c>
      <c r="G187" s="232">
        <v>68</v>
      </c>
      <c r="H187" s="232">
        <v>66</v>
      </c>
      <c r="I187" s="1236">
        <v>65.599999999999994</v>
      </c>
      <c r="J187" s="643">
        <v>86</v>
      </c>
      <c r="K187" s="232">
        <v>87</v>
      </c>
      <c r="L187" s="232">
        <v>86</v>
      </c>
      <c r="M187" s="232">
        <v>85.5</v>
      </c>
      <c r="N187" s="232">
        <v>85</v>
      </c>
      <c r="O187" s="232">
        <v>84.6</v>
      </c>
      <c r="P187" s="232">
        <v>81</v>
      </c>
      <c r="Q187" s="232">
        <v>82</v>
      </c>
      <c r="R187" s="1236">
        <v>82.3</v>
      </c>
      <c r="S187" s="643">
        <v>83</v>
      </c>
      <c r="T187" s="232">
        <v>82.5</v>
      </c>
      <c r="U187" s="232">
        <v>82.1</v>
      </c>
      <c r="AN187" s="232">
        <f>AVERAGE(G187:H187)</f>
        <v>67</v>
      </c>
      <c r="AO187" s="232">
        <f>AVERAGE(N187:O187)</f>
        <v>84.8</v>
      </c>
      <c r="AP187" s="232">
        <f>AVERAGE(S187:U187)</f>
        <v>82.533333333333331</v>
      </c>
    </row>
    <row r="188" spans="1:179" s="377" customFormat="1" ht="15" thickTop="1" x14ac:dyDescent="0.35">
      <c r="C188" s="375"/>
      <c r="D188" s="375"/>
      <c r="E188" s="375"/>
      <c r="F188" s="501"/>
      <c r="G188" s="249"/>
      <c r="H188" s="249"/>
      <c r="I188" s="1242"/>
      <c r="J188" s="419"/>
      <c r="K188" s="249"/>
      <c r="L188" s="249"/>
      <c r="M188" s="249"/>
      <c r="N188" s="249"/>
      <c r="O188" s="249"/>
      <c r="P188" s="249"/>
      <c r="Q188" s="249"/>
      <c r="R188" s="1242"/>
      <c r="S188" s="419"/>
      <c r="T188" s="249"/>
      <c r="U188" s="249"/>
      <c r="V188" s="249"/>
      <c r="W188" s="249"/>
      <c r="X188" s="1242"/>
      <c r="Y188" s="419"/>
      <c r="Z188" s="249"/>
      <c r="AA188" s="249"/>
      <c r="AB188" s="249"/>
      <c r="AC188" s="249"/>
      <c r="AD188" s="249"/>
      <c r="AE188" s="249"/>
      <c r="AF188" s="249"/>
      <c r="AG188" s="249"/>
      <c r="AH188" s="323"/>
      <c r="AI188" s="232"/>
      <c r="AJ188" s="232"/>
      <c r="AK188" s="232"/>
      <c r="AL188" s="1236"/>
      <c r="AM188" s="643"/>
      <c r="AN188" s="916"/>
      <c r="AO188" s="916"/>
      <c r="AP188" s="916"/>
      <c r="AQ188" s="232"/>
      <c r="AR188" s="232"/>
      <c r="AS188" s="232"/>
      <c r="AT188" s="232"/>
      <c r="AU188" s="1236"/>
      <c r="AV188" s="643"/>
      <c r="AW188" s="232"/>
      <c r="AX188" s="232"/>
      <c r="AY188" s="232"/>
      <c r="AZ188" s="232"/>
      <c r="BA188" s="1236"/>
      <c r="BB188" s="643"/>
      <c r="BC188" s="232"/>
      <c r="BD188" s="232"/>
      <c r="BE188" s="232"/>
      <c r="BF188" s="232"/>
      <c r="BG188" s="232"/>
      <c r="BH188" s="232"/>
      <c r="BI188" s="232"/>
      <c r="BJ188" s="232"/>
      <c r="BK188" s="323"/>
      <c r="BL188" s="232"/>
      <c r="BM188" s="232"/>
      <c r="BN188" s="232"/>
      <c r="BO188" s="1236"/>
      <c r="BP188" s="643"/>
      <c r="BQ188" s="232"/>
      <c r="BR188" s="232"/>
      <c r="BS188" s="232"/>
      <c r="BT188" s="232"/>
      <c r="BU188" s="232"/>
      <c r="BV188" s="232"/>
      <c r="BW188" s="232"/>
      <c r="BX188" s="1236"/>
      <c r="BY188" s="643"/>
      <c r="BZ188" s="232"/>
      <c r="CA188" s="232"/>
      <c r="CB188" s="232"/>
      <c r="CC188" s="232"/>
      <c r="CD188" s="1236"/>
      <c r="CE188" s="643"/>
      <c r="CF188" s="232"/>
      <c r="CG188" s="232"/>
      <c r="CH188" s="232"/>
      <c r="CI188" s="232"/>
      <c r="CJ188" s="232"/>
      <c r="CK188" s="232"/>
      <c r="CL188" s="232"/>
      <c r="CM188" s="232"/>
      <c r="CN188" s="323"/>
      <c r="CO188" s="232"/>
      <c r="CP188" s="232"/>
      <c r="CQ188" s="232"/>
      <c r="CR188" s="1236"/>
      <c r="CS188" s="643"/>
      <c r="CT188" s="232"/>
      <c r="CU188" s="232"/>
      <c r="CV188" s="232"/>
      <c r="CW188" s="232"/>
      <c r="CX188" s="232"/>
      <c r="CY188" s="232"/>
      <c r="CZ188" s="232"/>
      <c r="DA188" s="1236"/>
      <c r="DB188" s="643"/>
      <c r="DC188" s="232"/>
      <c r="DD188" s="232"/>
      <c r="DE188" s="232"/>
      <c r="DF188" s="232"/>
      <c r="DG188" s="1236"/>
      <c r="DH188" s="643"/>
      <c r="DI188" s="232"/>
      <c r="DJ188" s="232"/>
      <c r="DK188" s="232"/>
      <c r="DL188" s="232"/>
      <c r="DM188" s="232"/>
      <c r="DN188" s="232"/>
      <c r="DO188" s="232"/>
      <c r="DP188" s="232"/>
      <c r="DQ188" s="323"/>
      <c r="DR188" s="238"/>
      <c r="DS188" s="232"/>
      <c r="DT188" s="232"/>
      <c r="DU188" s="232"/>
      <c r="DV188" s="1236"/>
      <c r="DW188" s="643"/>
      <c r="DX188" s="232"/>
      <c r="DY188" s="232"/>
      <c r="DZ188" s="232"/>
      <c r="EA188" s="232"/>
      <c r="EB188" s="232"/>
      <c r="EC188" s="232"/>
      <c r="ED188" s="232"/>
      <c r="EE188" s="1236"/>
      <c r="EF188" s="643"/>
      <c r="EG188" s="232"/>
      <c r="EH188" s="232"/>
      <c r="EI188" s="232"/>
      <c r="EJ188" s="232"/>
      <c r="EK188" s="1236"/>
      <c r="EL188" s="643"/>
      <c r="EM188" s="232"/>
      <c r="EN188" s="232"/>
      <c r="EO188" s="232"/>
      <c r="EP188" s="232"/>
      <c r="EQ188" s="232"/>
      <c r="ER188" s="232"/>
      <c r="ES188" s="232"/>
      <c r="ET188" s="232"/>
      <c r="EU188" s="323"/>
      <c r="EV188" s="232"/>
      <c r="EW188" s="232"/>
      <c r="EX188" s="232"/>
      <c r="EY188" s="1236"/>
      <c r="EZ188" s="643"/>
      <c r="FA188" s="232"/>
      <c r="FB188" s="232"/>
      <c r="FC188" s="232"/>
      <c r="FD188" s="232"/>
      <c r="FE188" s="232"/>
      <c r="FF188" s="232"/>
      <c r="FG188" s="232"/>
      <c r="FH188" s="1236"/>
      <c r="FI188" s="643"/>
      <c r="FJ188" s="232"/>
      <c r="FK188" s="232"/>
      <c r="FL188" s="232"/>
      <c r="FM188" s="232"/>
      <c r="FN188" s="1236"/>
      <c r="FO188" s="643"/>
      <c r="FP188" s="232"/>
      <c r="FQ188" s="232"/>
      <c r="FR188" s="232"/>
      <c r="FS188" s="232"/>
      <c r="FT188" s="232"/>
      <c r="FU188" s="232"/>
      <c r="FV188" s="232"/>
      <c r="FW188" s="232"/>
    </row>
    <row r="189" spans="1:179" x14ac:dyDescent="0.35">
      <c r="C189" s="444" t="s">
        <v>301</v>
      </c>
      <c r="D189" s="444"/>
      <c r="E189" s="444"/>
      <c r="F189" s="492" t="e">
        <f t="shared" ref="F189:V189" si="238">((F$93-(AI$93+BL$93+CO$93))/F$93)*100</f>
        <v>#DIV/0!</v>
      </c>
      <c r="G189" s="446" t="e">
        <f t="shared" si="238"/>
        <v>#DIV/0!</v>
      </c>
      <c r="H189" s="446" t="e">
        <f t="shared" si="238"/>
        <v>#DIV/0!</v>
      </c>
      <c r="I189" s="1242" t="e">
        <f t="shared" si="238"/>
        <v>#DIV/0!</v>
      </c>
      <c r="J189" s="419" t="e">
        <f t="shared" si="238"/>
        <v>#DIV/0!</v>
      </c>
      <c r="K189" s="249" t="e">
        <f t="shared" si="238"/>
        <v>#DIV/0!</v>
      </c>
      <c r="L189" s="249" t="e">
        <f t="shared" si="238"/>
        <v>#DIV/0!</v>
      </c>
      <c r="M189" s="249" t="e">
        <f t="shared" si="238"/>
        <v>#DIV/0!</v>
      </c>
      <c r="N189" s="249" t="e">
        <f t="shared" si="238"/>
        <v>#DIV/0!</v>
      </c>
      <c r="O189" s="249" t="e">
        <f t="shared" si="238"/>
        <v>#DIV/0!</v>
      </c>
      <c r="P189" s="249" t="e">
        <f t="shared" si="238"/>
        <v>#DIV/0!</v>
      </c>
      <c r="Q189" s="249" t="e">
        <f t="shared" si="238"/>
        <v>#DIV/0!</v>
      </c>
      <c r="R189" s="1242" t="e">
        <f t="shared" si="238"/>
        <v>#DIV/0!</v>
      </c>
      <c r="S189" s="419" t="e">
        <f t="shared" si="238"/>
        <v>#DIV/0!</v>
      </c>
      <c r="T189" s="249" t="e">
        <f t="shared" si="238"/>
        <v>#DIV/0!</v>
      </c>
      <c r="U189" s="249" t="e">
        <f t="shared" si="238"/>
        <v>#DIV/0!</v>
      </c>
      <c r="V189" s="232" t="e">
        <f t="shared" si="238"/>
        <v>#DIV/0!</v>
      </c>
      <c r="W189" s="232" t="e">
        <f t="shared" ref="W189:AG189" si="239">((W$93-(BK$93+CN$93+DQ$93))/W$93)*100</f>
        <v>#DIV/0!</v>
      </c>
      <c r="X189" s="1236" t="e">
        <f t="shared" si="239"/>
        <v>#DIV/0!</v>
      </c>
      <c r="Y189" s="643" t="e">
        <f t="shared" si="239"/>
        <v>#DIV/0!</v>
      </c>
      <c r="Z189" s="232" t="e">
        <f t="shared" si="239"/>
        <v>#DIV/0!</v>
      </c>
      <c r="AA189" s="232" t="e">
        <f t="shared" si="239"/>
        <v>#DIV/0!</v>
      </c>
      <c r="AB189" s="232" t="e">
        <f t="shared" si="239"/>
        <v>#DIV/0!</v>
      </c>
      <c r="AC189" s="232" t="e">
        <f t="shared" si="239"/>
        <v>#DIV/0!</v>
      </c>
      <c r="AD189" s="232" t="e">
        <f t="shared" si="239"/>
        <v>#DIV/0!</v>
      </c>
      <c r="AE189" s="232" t="e">
        <f t="shared" si="239"/>
        <v>#DIV/0!</v>
      </c>
      <c r="AF189" s="232" t="e">
        <f t="shared" si="239"/>
        <v>#DIV/0!</v>
      </c>
      <c r="AG189" s="232" t="e">
        <f t="shared" si="239"/>
        <v>#DIV/0!</v>
      </c>
      <c r="AN189" s="459"/>
      <c r="AO189" s="459"/>
      <c r="AP189" s="459"/>
    </row>
    <row r="190" spans="1:179" s="368" customFormat="1" ht="11.15" customHeight="1" thickBot="1" x14ac:dyDescent="0.4">
      <c r="C190" s="364" t="s">
        <v>285</v>
      </c>
      <c r="D190" s="364"/>
      <c r="E190" s="364"/>
      <c r="F190" s="501">
        <v>38</v>
      </c>
      <c r="G190" s="249">
        <v>31.5</v>
      </c>
      <c r="H190" s="249">
        <v>27.5</v>
      </c>
      <c r="I190" s="1242">
        <v>28.4</v>
      </c>
      <c r="J190" s="419">
        <v>55.5</v>
      </c>
      <c r="K190" s="249">
        <v>45</v>
      </c>
      <c r="L190" s="249">
        <v>43</v>
      </c>
      <c r="M190" s="249">
        <v>42.5</v>
      </c>
      <c r="N190" s="249">
        <v>41.5</v>
      </c>
      <c r="O190" s="249">
        <v>40.700000000000003</v>
      </c>
      <c r="P190" s="249">
        <v>39</v>
      </c>
      <c r="Q190" s="249">
        <v>38</v>
      </c>
      <c r="R190" s="1242">
        <v>41.5</v>
      </c>
      <c r="S190" s="419">
        <v>41</v>
      </c>
      <c r="T190" s="249">
        <v>40.5</v>
      </c>
      <c r="U190" s="249">
        <v>40.5</v>
      </c>
      <c r="V190" s="232"/>
      <c r="W190" s="232"/>
      <c r="X190" s="1236"/>
      <c r="Y190" s="643"/>
      <c r="Z190" s="232"/>
      <c r="AA190" s="232"/>
      <c r="AB190" s="232"/>
      <c r="AC190" s="232"/>
      <c r="AD190" s="232"/>
      <c r="AE190" s="232"/>
      <c r="AF190" s="232"/>
      <c r="AG190" s="232"/>
      <c r="AH190" s="323"/>
      <c r="AI190" s="232"/>
      <c r="AJ190" s="232"/>
      <c r="AK190" s="232"/>
      <c r="AL190" s="1236"/>
      <c r="AM190" s="643"/>
      <c r="AN190" s="232"/>
      <c r="AO190" s="232"/>
      <c r="AP190" s="232"/>
      <c r="AQ190" s="232"/>
      <c r="AR190" s="232"/>
      <c r="AS190" s="232"/>
      <c r="AT190" s="232"/>
      <c r="AU190" s="1236"/>
      <c r="AV190" s="643"/>
      <c r="AW190" s="232"/>
      <c r="AX190" s="232"/>
      <c r="AY190" s="232"/>
      <c r="AZ190" s="232"/>
      <c r="BA190" s="1236"/>
      <c r="BB190" s="643"/>
      <c r="BC190" s="232"/>
      <c r="BD190" s="232"/>
      <c r="BE190" s="232"/>
      <c r="BF190" s="232"/>
      <c r="BG190" s="232"/>
      <c r="BH190" s="232"/>
      <c r="BI190" s="232"/>
      <c r="BJ190" s="232"/>
      <c r="BK190" s="323"/>
      <c r="BL190" s="232"/>
      <c r="BM190" s="232"/>
      <c r="BN190" s="232"/>
      <c r="BO190" s="1236"/>
      <c r="BP190" s="643"/>
      <c r="BQ190" s="232"/>
      <c r="BR190" s="232"/>
      <c r="BS190" s="232"/>
      <c r="BT190" s="232"/>
      <c r="BU190" s="232"/>
      <c r="BV190" s="232"/>
      <c r="BW190" s="232"/>
      <c r="BX190" s="1236"/>
      <c r="BY190" s="643"/>
      <c r="BZ190" s="232"/>
      <c r="CA190" s="232"/>
      <c r="CB190" s="232"/>
      <c r="CC190" s="232"/>
      <c r="CD190" s="1236"/>
      <c r="CE190" s="643"/>
      <c r="CF190" s="232"/>
      <c r="CG190" s="232"/>
      <c r="CH190" s="232"/>
      <c r="CI190" s="232"/>
      <c r="CJ190" s="232"/>
      <c r="CK190" s="232"/>
      <c r="CL190" s="232"/>
      <c r="CM190" s="232"/>
      <c r="CN190" s="323"/>
      <c r="CO190" s="232"/>
      <c r="CP190" s="232"/>
      <c r="CQ190" s="232"/>
      <c r="CR190" s="1236"/>
      <c r="CS190" s="643"/>
      <c r="CT190" s="232"/>
      <c r="CU190" s="232"/>
      <c r="CV190" s="232"/>
      <c r="CW190" s="232"/>
      <c r="CX190" s="232"/>
      <c r="CY190" s="232"/>
      <c r="CZ190" s="232"/>
      <c r="DA190" s="1236"/>
      <c r="DB190" s="643"/>
      <c r="DC190" s="232"/>
      <c r="DD190" s="232"/>
      <c r="DE190" s="232"/>
      <c r="DF190" s="232"/>
      <c r="DG190" s="1236"/>
      <c r="DH190" s="643"/>
      <c r="DI190" s="232"/>
      <c r="DJ190" s="232"/>
      <c r="DK190" s="232"/>
      <c r="DL190" s="232"/>
      <c r="DM190" s="232"/>
      <c r="DN190" s="232"/>
      <c r="DO190" s="232"/>
      <c r="DP190" s="232"/>
      <c r="DQ190" s="323"/>
      <c r="DR190" s="238"/>
      <c r="DS190" s="232"/>
      <c r="DT190" s="232"/>
      <c r="DU190" s="232"/>
      <c r="DV190" s="1236"/>
      <c r="DW190" s="643"/>
      <c r="DX190" s="232"/>
      <c r="DY190" s="232"/>
      <c r="DZ190" s="232"/>
      <c r="EA190" s="232"/>
      <c r="EB190" s="232"/>
      <c r="EC190" s="232"/>
      <c r="ED190" s="232"/>
      <c r="EE190" s="1236"/>
      <c r="EF190" s="643"/>
      <c r="EG190" s="232"/>
      <c r="EH190" s="232"/>
      <c r="EI190" s="232"/>
      <c r="EJ190" s="232"/>
      <c r="EK190" s="1236"/>
      <c r="EL190" s="643"/>
      <c r="EM190" s="232"/>
      <c r="EN190" s="232"/>
      <c r="EO190" s="232"/>
      <c r="EP190" s="232"/>
      <c r="EQ190" s="232"/>
      <c r="ER190" s="232"/>
      <c r="ES190" s="232"/>
      <c r="ET190" s="232"/>
      <c r="EU190" s="323"/>
      <c r="EV190" s="232"/>
      <c r="EW190" s="232"/>
      <c r="EX190" s="232"/>
      <c r="EY190" s="1236"/>
      <c r="EZ190" s="643"/>
      <c r="FA190" s="232"/>
      <c r="FB190" s="232"/>
      <c r="FC190" s="232"/>
      <c r="FD190" s="232"/>
      <c r="FE190" s="232"/>
      <c r="FF190" s="232"/>
      <c r="FG190" s="232"/>
      <c r="FH190" s="1236"/>
      <c r="FI190" s="643"/>
      <c r="FJ190" s="232"/>
      <c r="FK190" s="232"/>
      <c r="FL190" s="232"/>
      <c r="FM190" s="232"/>
      <c r="FN190" s="1236"/>
      <c r="FO190" s="643"/>
      <c r="FP190" s="232"/>
      <c r="FQ190" s="232"/>
      <c r="FR190" s="232"/>
      <c r="FS190" s="232"/>
      <c r="FT190" s="232"/>
      <c r="FU190" s="232"/>
      <c r="FV190" s="232"/>
      <c r="FW190" s="232"/>
    </row>
    <row r="191" spans="1:179" ht="15" thickTop="1" x14ac:dyDescent="0.35">
      <c r="F191" s="603"/>
      <c r="G191" s="250"/>
      <c r="H191" s="250"/>
      <c r="I191" s="1280"/>
      <c r="J191" s="1223"/>
      <c r="K191" s="250"/>
      <c r="L191" s="250"/>
      <c r="M191" s="250"/>
      <c r="N191" s="250"/>
      <c r="O191" s="250"/>
      <c r="P191" s="250"/>
      <c r="Q191" s="250"/>
      <c r="R191" s="1280"/>
      <c r="S191" s="1223"/>
      <c r="T191" s="250"/>
      <c r="U191" s="250"/>
      <c r="V191" s="250"/>
      <c r="W191" s="250"/>
      <c r="X191" s="1280"/>
      <c r="Y191" s="1223"/>
      <c r="Z191" s="250"/>
      <c r="AA191" s="250"/>
      <c r="AB191" s="250"/>
      <c r="AC191" s="250"/>
      <c r="AD191" s="250"/>
      <c r="AE191" s="250"/>
      <c r="AF191" s="250"/>
      <c r="AG191" s="250"/>
    </row>
    <row r="192" spans="1:179" x14ac:dyDescent="0.35">
      <c r="C192" s="444" t="s">
        <v>300</v>
      </c>
      <c r="D192" s="444"/>
      <c r="E192" s="444"/>
      <c r="F192" s="492" t="e">
        <f t="shared" ref="F192:AG192" si="240">(F$186*F$92)/100</f>
        <v>#DIV/0!</v>
      </c>
      <c r="G192" s="446" t="e">
        <f t="shared" si="240"/>
        <v>#DIV/0!</v>
      </c>
      <c r="H192" s="446" t="e">
        <f t="shared" si="240"/>
        <v>#DIV/0!</v>
      </c>
      <c r="I192" s="1242" t="e">
        <f t="shared" si="240"/>
        <v>#DIV/0!</v>
      </c>
      <c r="J192" s="419" t="e">
        <f t="shared" si="240"/>
        <v>#DIV/0!</v>
      </c>
      <c r="K192" s="249" t="e">
        <f t="shared" si="240"/>
        <v>#DIV/0!</v>
      </c>
      <c r="L192" s="249" t="e">
        <f t="shared" si="240"/>
        <v>#DIV/0!</v>
      </c>
      <c r="M192" s="249" t="e">
        <f t="shared" si="240"/>
        <v>#DIV/0!</v>
      </c>
      <c r="N192" s="249" t="e">
        <f t="shared" si="240"/>
        <v>#DIV/0!</v>
      </c>
      <c r="O192" s="249" t="e">
        <f t="shared" si="240"/>
        <v>#DIV/0!</v>
      </c>
      <c r="P192" s="249" t="e">
        <f t="shared" si="240"/>
        <v>#DIV/0!</v>
      </c>
      <c r="Q192" s="249" t="e">
        <f t="shared" si="240"/>
        <v>#DIV/0!</v>
      </c>
      <c r="R192" s="1242" t="e">
        <f t="shared" si="240"/>
        <v>#DIV/0!</v>
      </c>
      <c r="S192" s="419" t="e">
        <f t="shared" si="240"/>
        <v>#DIV/0!</v>
      </c>
      <c r="T192" s="249" t="e">
        <f t="shared" si="240"/>
        <v>#DIV/0!</v>
      </c>
      <c r="U192" s="249" t="e">
        <f t="shared" si="240"/>
        <v>#DIV/0!</v>
      </c>
      <c r="V192" s="232" t="e">
        <f t="shared" si="240"/>
        <v>#DIV/0!</v>
      </c>
      <c r="W192" s="232" t="e">
        <f t="shared" si="240"/>
        <v>#DIV/0!</v>
      </c>
      <c r="X192" s="1236" t="e">
        <f t="shared" si="240"/>
        <v>#DIV/0!</v>
      </c>
      <c r="Y192" s="643" t="e">
        <f t="shared" si="240"/>
        <v>#DIV/0!</v>
      </c>
      <c r="Z192" s="232" t="e">
        <f t="shared" si="240"/>
        <v>#DIV/0!</v>
      </c>
      <c r="AA192" s="232" t="e">
        <f t="shared" si="240"/>
        <v>#DIV/0!</v>
      </c>
      <c r="AB192" s="232" t="e">
        <f t="shared" si="240"/>
        <v>#DIV/0!</v>
      </c>
      <c r="AC192" s="232" t="e">
        <f t="shared" si="240"/>
        <v>#DIV/0!</v>
      </c>
      <c r="AD192" s="232" t="e">
        <f t="shared" si="240"/>
        <v>#DIV/0!</v>
      </c>
      <c r="AE192" s="232" t="e">
        <f t="shared" si="240"/>
        <v>#DIV/0!</v>
      </c>
      <c r="AF192" s="232" t="e">
        <f t="shared" si="240"/>
        <v>#DIV/0!</v>
      </c>
      <c r="AG192" s="232" t="e">
        <f t="shared" si="240"/>
        <v>#DIV/0!</v>
      </c>
    </row>
    <row r="193" spans="1:179" ht="7.5" customHeight="1" x14ac:dyDescent="0.35">
      <c r="C193" s="1" t="s">
        <v>183</v>
      </c>
      <c r="F193" s="501" t="e">
        <f t="shared" ref="F193:AG193" si="241">F$192*$K$113/$G$113</f>
        <v>#DIV/0!</v>
      </c>
      <c r="G193" s="249" t="e">
        <f t="shared" si="241"/>
        <v>#DIV/0!</v>
      </c>
      <c r="H193" s="249" t="e">
        <f t="shared" si="241"/>
        <v>#DIV/0!</v>
      </c>
      <c r="I193" s="1242" t="e">
        <f t="shared" si="241"/>
        <v>#DIV/0!</v>
      </c>
      <c r="J193" s="419" t="e">
        <f t="shared" si="241"/>
        <v>#DIV/0!</v>
      </c>
      <c r="K193" s="249" t="e">
        <f t="shared" si="241"/>
        <v>#DIV/0!</v>
      </c>
      <c r="L193" s="249" t="e">
        <f t="shared" si="241"/>
        <v>#DIV/0!</v>
      </c>
      <c r="M193" s="249" t="e">
        <f t="shared" si="241"/>
        <v>#DIV/0!</v>
      </c>
      <c r="N193" s="249" t="e">
        <f t="shared" si="241"/>
        <v>#DIV/0!</v>
      </c>
      <c r="O193" s="249" t="e">
        <f t="shared" si="241"/>
        <v>#DIV/0!</v>
      </c>
      <c r="P193" s="249" t="e">
        <f t="shared" si="241"/>
        <v>#DIV/0!</v>
      </c>
      <c r="Q193" s="249" t="e">
        <f t="shared" si="241"/>
        <v>#DIV/0!</v>
      </c>
      <c r="R193" s="1242" t="e">
        <f t="shared" si="241"/>
        <v>#DIV/0!</v>
      </c>
      <c r="S193" s="419" t="e">
        <f t="shared" si="241"/>
        <v>#DIV/0!</v>
      </c>
      <c r="T193" s="249" t="e">
        <f t="shared" si="241"/>
        <v>#DIV/0!</v>
      </c>
      <c r="U193" s="249" t="e">
        <f t="shared" si="241"/>
        <v>#DIV/0!</v>
      </c>
      <c r="V193" s="232" t="e">
        <f t="shared" si="241"/>
        <v>#DIV/0!</v>
      </c>
      <c r="W193" s="232" t="e">
        <f t="shared" si="241"/>
        <v>#DIV/0!</v>
      </c>
      <c r="X193" s="1236" t="e">
        <f t="shared" si="241"/>
        <v>#DIV/0!</v>
      </c>
      <c r="Y193" s="643" t="e">
        <f t="shared" si="241"/>
        <v>#DIV/0!</v>
      </c>
      <c r="Z193" s="232" t="e">
        <f t="shared" si="241"/>
        <v>#DIV/0!</v>
      </c>
      <c r="AA193" s="232" t="e">
        <f t="shared" si="241"/>
        <v>#DIV/0!</v>
      </c>
      <c r="AB193" s="232" t="e">
        <f t="shared" si="241"/>
        <v>#DIV/0!</v>
      </c>
      <c r="AC193" s="232" t="e">
        <f t="shared" si="241"/>
        <v>#DIV/0!</v>
      </c>
      <c r="AD193" s="232" t="e">
        <f t="shared" si="241"/>
        <v>#DIV/0!</v>
      </c>
      <c r="AE193" s="232" t="e">
        <f t="shared" si="241"/>
        <v>#DIV/0!</v>
      </c>
      <c r="AF193" s="232" t="e">
        <f t="shared" si="241"/>
        <v>#DIV/0!</v>
      </c>
      <c r="AG193" s="232" t="e">
        <f t="shared" si="241"/>
        <v>#DIV/0!</v>
      </c>
    </row>
    <row r="194" spans="1:179" s="224" customFormat="1" x14ac:dyDescent="0.35">
      <c r="C194" s="223" t="s">
        <v>216</v>
      </c>
      <c r="D194" s="223"/>
      <c r="E194" s="223"/>
      <c r="F194" s="604" t="e">
        <f t="shared" ref="F194:AG194" si="242">$I$113/$K$113*F$193</f>
        <v>#DIV/0!</v>
      </c>
      <c r="G194" s="251" t="e">
        <f t="shared" si="242"/>
        <v>#DIV/0!</v>
      </c>
      <c r="H194" s="249" t="e">
        <f t="shared" si="242"/>
        <v>#DIV/0!</v>
      </c>
      <c r="I194" s="1242" t="e">
        <f t="shared" si="242"/>
        <v>#DIV/0!</v>
      </c>
      <c r="J194" s="1212" t="e">
        <f t="shared" si="242"/>
        <v>#DIV/0!</v>
      </c>
      <c r="K194" s="251" t="e">
        <f t="shared" si="242"/>
        <v>#DIV/0!</v>
      </c>
      <c r="L194" s="251" t="e">
        <f t="shared" si="242"/>
        <v>#DIV/0!</v>
      </c>
      <c r="M194" s="251" t="e">
        <f t="shared" si="242"/>
        <v>#DIV/0!</v>
      </c>
      <c r="N194" s="251" t="e">
        <f t="shared" si="242"/>
        <v>#DIV/0!</v>
      </c>
      <c r="O194" s="251" t="e">
        <f t="shared" si="242"/>
        <v>#DIV/0!</v>
      </c>
      <c r="P194" s="251" t="e">
        <f t="shared" si="242"/>
        <v>#DIV/0!</v>
      </c>
      <c r="Q194" s="251" t="e">
        <f t="shared" si="242"/>
        <v>#DIV/0!</v>
      </c>
      <c r="R194" s="1267" t="e">
        <f t="shared" si="242"/>
        <v>#DIV/0!</v>
      </c>
      <c r="S194" s="1212" t="e">
        <f t="shared" si="242"/>
        <v>#DIV/0!</v>
      </c>
      <c r="T194" s="251" t="e">
        <f t="shared" si="242"/>
        <v>#DIV/0!</v>
      </c>
      <c r="U194" s="251" t="e">
        <f t="shared" si="242"/>
        <v>#DIV/0!</v>
      </c>
      <c r="V194" s="251" t="e">
        <f t="shared" si="242"/>
        <v>#DIV/0!</v>
      </c>
      <c r="W194" s="251" t="e">
        <f t="shared" si="242"/>
        <v>#DIV/0!</v>
      </c>
      <c r="X194" s="1267" t="e">
        <f t="shared" si="242"/>
        <v>#DIV/0!</v>
      </c>
      <c r="Y194" s="1212" t="e">
        <f t="shared" si="242"/>
        <v>#DIV/0!</v>
      </c>
      <c r="Z194" s="251" t="e">
        <f t="shared" si="242"/>
        <v>#DIV/0!</v>
      </c>
      <c r="AA194" s="251" t="e">
        <f t="shared" si="242"/>
        <v>#DIV/0!</v>
      </c>
      <c r="AB194" s="251" t="e">
        <f t="shared" si="242"/>
        <v>#DIV/0!</v>
      </c>
      <c r="AC194" s="251" t="e">
        <f t="shared" si="242"/>
        <v>#DIV/0!</v>
      </c>
      <c r="AD194" s="251" t="e">
        <f t="shared" si="242"/>
        <v>#DIV/0!</v>
      </c>
      <c r="AE194" s="251" t="e">
        <f t="shared" si="242"/>
        <v>#DIV/0!</v>
      </c>
      <c r="AF194" s="251" t="e">
        <f t="shared" si="242"/>
        <v>#DIV/0!</v>
      </c>
      <c r="AG194" s="251" t="e">
        <f t="shared" si="242"/>
        <v>#DIV/0!</v>
      </c>
      <c r="AH194" s="323"/>
      <c r="AI194" s="232"/>
      <c r="AJ194" s="232"/>
      <c r="AK194" s="232"/>
      <c r="AL194" s="1236"/>
      <c r="AM194" s="643"/>
      <c r="AN194" s="232"/>
      <c r="AO194" s="232"/>
      <c r="AP194" s="232"/>
      <c r="AQ194" s="232"/>
      <c r="AR194" s="232"/>
      <c r="AS194" s="232"/>
      <c r="AT194" s="232"/>
      <c r="AU194" s="1236"/>
      <c r="AV194" s="643"/>
      <c r="AW194" s="232"/>
      <c r="AX194" s="232"/>
      <c r="AY194" s="232"/>
      <c r="AZ194" s="232"/>
      <c r="BA194" s="1236"/>
      <c r="BB194" s="643"/>
      <c r="BC194" s="232"/>
      <c r="BD194" s="232"/>
      <c r="BE194" s="232"/>
      <c r="BF194" s="232"/>
      <c r="BG194" s="232"/>
      <c r="BH194" s="232"/>
      <c r="BI194" s="232"/>
      <c r="BJ194" s="232"/>
      <c r="BK194" s="323"/>
      <c r="BL194" s="232"/>
      <c r="BM194" s="232"/>
      <c r="BN194" s="232"/>
      <c r="BO194" s="1236"/>
      <c r="BP194" s="643"/>
      <c r="BQ194" s="232"/>
      <c r="BR194" s="232"/>
      <c r="BS194" s="232"/>
      <c r="BT194" s="232"/>
      <c r="BU194" s="232"/>
      <c r="BV194" s="232"/>
      <c r="BW194" s="232"/>
      <c r="BX194" s="1236"/>
      <c r="BY194" s="643"/>
      <c r="BZ194" s="232"/>
      <c r="CA194" s="232"/>
      <c r="CB194" s="232"/>
      <c r="CC194" s="232"/>
      <c r="CD194" s="1236"/>
      <c r="CE194" s="643"/>
      <c r="CF194" s="232"/>
      <c r="CG194" s="232"/>
      <c r="CH194" s="232"/>
      <c r="CI194" s="232"/>
      <c r="CJ194" s="232"/>
      <c r="CK194" s="232"/>
      <c r="CL194" s="232"/>
      <c r="CM194" s="232"/>
      <c r="CN194" s="323"/>
      <c r="CO194" s="232"/>
      <c r="CP194" s="232"/>
      <c r="CQ194" s="232"/>
      <c r="CR194" s="1236"/>
      <c r="CS194" s="643"/>
      <c r="CT194" s="232"/>
      <c r="CU194" s="232"/>
      <c r="CV194" s="232"/>
      <c r="CW194" s="232"/>
      <c r="CX194" s="232"/>
      <c r="CY194" s="232"/>
      <c r="CZ194" s="232"/>
      <c r="DA194" s="1236"/>
      <c r="DB194" s="643"/>
      <c r="DC194" s="232"/>
      <c r="DD194" s="232"/>
      <c r="DE194" s="232"/>
      <c r="DF194" s="232"/>
      <c r="DG194" s="1236"/>
      <c r="DH194" s="643"/>
      <c r="DI194" s="232"/>
      <c r="DJ194" s="232"/>
      <c r="DK194" s="232"/>
      <c r="DL194" s="232"/>
      <c r="DM194" s="232"/>
      <c r="DN194" s="232"/>
      <c r="DO194" s="232"/>
      <c r="DP194" s="232"/>
      <c r="DQ194" s="323"/>
      <c r="DR194" s="238"/>
      <c r="DS194" s="232"/>
      <c r="DT194" s="232"/>
      <c r="DU194" s="232"/>
      <c r="DV194" s="1236"/>
      <c r="DW194" s="643"/>
      <c r="DX194" s="232"/>
      <c r="DY194" s="232"/>
      <c r="DZ194" s="232"/>
      <c r="EA194" s="232"/>
      <c r="EB194" s="232"/>
      <c r="EC194" s="232"/>
      <c r="ED194" s="232"/>
      <c r="EE194" s="1236"/>
      <c r="EF194" s="643"/>
      <c r="EG194" s="232"/>
      <c r="EH194" s="232"/>
      <c r="EI194" s="232"/>
      <c r="EJ194" s="232"/>
      <c r="EK194" s="1236"/>
      <c r="EL194" s="643"/>
      <c r="EM194" s="232"/>
      <c r="EN194" s="232"/>
      <c r="EO194" s="232"/>
      <c r="EP194" s="232"/>
      <c r="EQ194" s="232"/>
      <c r="ER194" s="232"/>
      <c r="ES194" s="232"/>
      <c r="ET194" s="232"/>
      <c r="EU194" s="323"/>
      <c r="EV194" s="232"/>
      <c r="EW194" s="232"/>
      <c r="EX194" s="232"/>
      <c r="EY194" s="1236"/>
      <c r="EZ194" s="643"/>
      <c r="FA194" s="232"/>
      <c r="FB194" s="232"/>
      <c r="FC194" s="232"/>
      <c r="FD194" s="232"/>
      <c r="FE194" s="232"/>
      <c r="FF194" s="232"/>
      <c r="FG194" s="232"/>
      <c r="FH194" s="1236"/>
      <c r="FI194" s="643"/>
      <c r="FJ194" s="232"/>
      <c r="FK194" s="232"/>
      <c r="FL194" s="232"/>
      <c r="FM194" s="232"/>
      <c r="FN194" s="1236"/>
      <c r="FO194" s="643"/>
      <c r="FP194" s="232"/>
      <c r="FQ194" s="232"/>
      <c r="FR194" s="232"/>
      <c r="FS194" s="232"/>
      <c r="FT194" s="232"/>
      <c r="FU194" s="232"/>
      <c r="FV194" s="232"/>
      <c r="FW194" s="232"/>
    </row>
    <row r="195" spans="1:179" x14ac:dyDescent="0.35">
      <c r="C195" s="1" t="s">
        <v>205</v>
      </c>
      <c r="F195" s="604" t="e">
        <f t="shared" ref="F195:AG195" si="243">(F$189*F$93)/100</f>
        <v>#DIV/0!</v>
      </c>
      <c r="G195" s="251" t="e">
        <f t="shared" si="243"/>
        <v>#DIV/0!</v>
      </c>
      <c r="H195" s="249" t="e">
        <f t="shared" si="243"/>
        <v>#DIV/0!</v>
      </c>
      <c r="I195" s="1242" t="e">
        <f t="shared" si="243"/>
        <v>#DIV/0!</v>
      </c>
      <c r="J195" s="1212" t="e">
        <f t="shared" si="243"/>
        <v>#DIV/0!</v>
      </c>
      <c r="K195" s="251" t="e">
        <f t="shared" si="243"/>
        <v>#DIV/0!</v>
      </c>
      <c r="L195" s="251" t="e">
        <f t="shared" si="243"/>
        <v>#DIV/0!</v>
      </c>
      <c r="M195" s="251" t="e">
        <f t="shared" si="243"/>
        <v>#DIV/0!</v>
      </c>
      <c r="N195" s="251" t="e">
        <f t="shared" si="243"/>
        <v>#DIV/0!</v>
      </c>
      <c r="O195" s="251" t="e">
        <f t="shared" si="243"/>
        <v>#DIV/0!</v>
      </c>
      <c r="P195" s="251" t="e">
        <f t="shared" si="243"/>
        <v>#DIV/0!</v>
      </c>
      <c r="Q195" s="251" t="e">
        <f t="shared" si="243"/>
        <v>#DIV/0!</v>
      </c>
      <c r="R195" s="1267" t="e">
        <f t="shared" si="243"/>
        <v>#DIV/0!</v>
      </c>
      <c r="S195" s="1212" t="e">
        <f t="shared" si="243"/>
        <v>#DIV/0!</v>
      </c>
      <c r="T195" s="251" t="e">
        <f t="shared" si="243"/>
        <v>#DIV/0!</v>
      </c>
      <c r="U195" s="251" t="e">
        <f t="shared" si="243"/>
        <v>#DIV/0!</v>
      </c>
      <c r="V195" s="251" t="e">
        <f t="shared" si="243"/>
        <v>#DIV/0!</v>
      </c>
      <c r="W195" s="251" t="e">
        <f t="shared" si="243"/>
        <v>#DIV/0!</v>
      </c>
      <c r="X195" s="1267" t="e">
        <f t="shared" si="243"/>
        <v>#DIV/0!</v>
      </c>
      <c r="Y195" s="1212" t="e">
        <f t="shared" si="243"/>
        <v>#DIV/0!</v>
      </c>
      <c r="Z195" s="251" t="e">
        <f t="shared" si="243"/>
        <v>#DIV/0!</v>
      </c>
      <c r="AA195" s="251" t="e">
        <f t="shared" si="243"/>
        <v>#DIV/0!</v>
      </c>
      <c r="AB195" s="251" t="e">
        <f t="shared" si="243"/>
        <v>#DIV/0!</v>
      </c>
      <c r="AC195" s="251" t="e">
        <f t="shared" si="243"/>
        <v>#DIV/0!</v>
      </c>
      <c r="AD195" s="251" t="e">
        <f t="shared" si="243"/>
        <v>#DIV/0!</v>
      </c>
      <c r="AE195" s="251" t="e">
        <f t="shared" si="243"/>
        <v>#DIV/0!</v>
      </c>
      <c r="AF195" s="251" t="e">
        <f t="shared" si="243"/>
        <v>#DIV/0!</v>
      </c>
      <c r="AG195" s="251" t="e">
        <f t="shared" si="243"/>
        <v>#DIV/0!</v>
      </c>
    </row>
    <row r="196" spans="1:179" x14ac:dyDescent="0.35">
      <c r="C196" s="1" t="s">
        <v>184</v>
      </c>
      <c r="F196" s="604" t="e">
        <f t="shared" ref="F196:AG196" si="244">F$195*$K$114/$G$114</f>
        <v>#DIV/0!</v>
      </c>
      <c r="G196" s="251" t="e">
        <f t="shared" si="244"/>
        <v>#DIV/0!</v>
      </c>
      <c r="H196" s="251" t="e">
        <f t="shared" si="244"/>
        <v>#DIV/0!</v>
      </c>
      <c r="I196" s="1267" t="e">
        <f t="shared" si="244"/>
        <v>#DIV/0!</v>
      </c>
      <c r="J196" s="1212" t="e">
        <f t="shared" si="244"/>
        <v>#DIV/0!</v>
      </c>
      <c r="K196" s="251" t="e">
        <f t="shared" si="244"/>
        <v>#DIV/0!</v>
      </c>
      <c r="L196" s="251" t="e">
        <f t="shared" si="244"/>
        <v>#DIV/0!</v>
      </c>
      <c r="M196" s="251" t="e">
        <f t="shared" si="244"/>
        <v>#DIV/0!</v>
      </c>
      <c r="N196" s="251" t="e">
        <f t="shared" si="244"/>
        <v>#DIV/0!</v>
      </c>
      <c r="O196" s="251" t="e">
        <f t="shared" si="244"/>
        <v>#DIV/0!</v>
      </c>
      <c r="P196" s="251" t="e">
        <f t="shared" si="244"/>
        <v>#DIV/0!</v>
      </c>
      <c r="Q196" s="251" t="e">
        <f t="shared" si="244"/>
        <v>#DIV/0!</v>
      </c>
      <c r="R196" s="1267" t="e">
        <f t="shared" si="244"/>
        <v>#DIV/0!</v>
      </c>
      <c r="S196" s="1212" t="e">
        <f t="shared" si="244"/>
        <v>#DIV/0!</v>
      </c>
      <c r="T196" s="251" t="e">
        <f t="shared" si="244"/>
        <v>#DIV/0!</v>
      </c>
      <c r="U196" s="251" t="e">
        <f t="shared" si="244"/>
        <v>#DIV/0!</v>
      </c>
      <c r="V196" s="251" t="e">
        <f t="shared" si="244"/>
        <v>#DIV/0!</v>
      </c>
      <c r="W196" s="251" t="e">
        <f t="shared" si="244"/>
        <v>#DIV/0!</v>
      </c>
      <c r="X196" s="1267" t="e">
        <f t="shared" si="244"/>
        <v>#DIV/0!</v>
      </c>
      <c r="Y196" s="1212" t="e">
        <f t="shared" si="244"/>
        <v>#DIV/0!</v>
      </c>
      <c r="Z196" s="251" t="e">
        <f t="shared" si="244"/>
        <v>#DIV/0!</v>
      </c>
      <c r="AA196" s="251" t="e">
        <f t="shared" si="244"/>
        <v>#DIV/0!</v>
      </c>
      <c r="AB196" s="251" t="e">
        <f t="shared" si="244"/>
        <v>#DIV/0!</v>
      </c>
      <c r="AC196" s="251" t="e">
        <f t="shared" si="244"/>
        <v>#DIV/0!</v>
      </c>
      <c r="AD196" s="251" t="e">
        <f t="shared" si="244"/>
        <v>#DIV/0!</v>
      </c>
      <c r="AE196" s="251" t="e">
        <f t="shared" si="244"/>
        <v>#DIV/0!</v>
      </c>
      <c r="AF196" s="251" t="e">
        <f t="shared" si="244"/>
        <v>#DIV/0!</v>
      </c>
      <c r="AG196" s="251" t="e">
        <f t="shared" si="244"/>
        <v>#DIV/0!</v>
      </c>
    </row>
    <row r="197" spans="1:179" x14ac:dyDescent="0.35">
      <c r="C197" s="1" t="s">
        <v>217</v>
      </c>
      <c r="F197" s="604" t="e">
        <f t="shared" ref="F197:AG197" si="245">$I$114/$K$114*F$196</f>
        <v>#DIV/0!</v>
      </c>
      <c r="G197" s="251" t="e">
        <f t="shared" si="245"/>
        <v>#DIV/0!</v>
      </c>
      <c r="H197" s="251" t="e">
        <f t="shared" si="245"/>
        <v>#DIV/0!</v>
      </c>
      <c r="I197" s="1267" t="e">
        <f t="shared" si="245"/>
        <v>#DIV/0!</v>
      </c>
      <c r="J197" s="1212" t="e">
        <f t="shared" si="245"/>
        <v>#DIV/0!</v>
      </c>
      <c r="K197" s="251" t="e">
        <f t="shared" si="245"/>
        <v>#DIV/0!</v>
      </c>
      <c r="L197" s="251" t="e">
        <f t="shared" si="245"/>
        <v>#DIV/0!</v>
      </c>
      <c r="M197" s="251" t="e">
        <f t="shared" si="245"/>
        <v>#DIV/0!</v>
      </c>
      <c r="N197" s="251" t="e">
        <f t="shared" si="245"/>
        <v>#DIV/0!</v>
      </c>
      <c r="O197" s="251" t="e">
        <f t="shared" si="245"/>
        <v>#DIV/0!</v>
      </c>
      <c r="P197" s="251" t="e">
        <f t="shared" si="245"/>
        <v>#DIV/0!</v>
      </c>
      <c r="Q197" s="251" t="e">
        <f t="shared" si="245"/>
        <v>#DIV/0!</v>
      </c>
      <c r="R197" s="1267" t="e">
        <f t="shared" si="245"/>
        <v>#DIV/0!</v>
      </c>
      <c r="S197" s="1212" t="e">
        <f t="shared" si="245"/>
        <v>#DIV/0!</v>
      </c>
      <c r="T197" s="251" t="e">
        <f t="shared" si="245"/>
        <v>#DIV/0!</v>
      </c>
      <c r="U197" s="251" t="e">
        <f t="shared" si="245"/>
        <v>#DIV/0!</v>
      </c>
      <c r="V197" s="251" t="e">
        <f t="shared" si="245"/>
        <v>#DIV/0!</v>
      </c>
      <c r="W197" s="251" t="e">
        <f t="shared" si="245"/>
        <v>#DIV/0!</v>
      </c>
      <c r="X197" s="1267" t="e">
        <f t="shared" si="245"/>
        <v>#DIV/0!</v>
      </c>
      <c r="Y197" s="1212" t="e">
        <f t="shared" si="245"/>
        <v>#DIV/0!</v>
      </c>
      <c r="Z197" s="251" t="e">
        <f t="shared" si="245"/>
        <v>#DIV/0!</v>
      </c>
      <c r="AA197" s="251" t="e">
        <f t="shared" si="245"/>
        <v>#DIV/0!</v>
      </c>
      <c r="AB197" s="251" t="e">
        <f t="shared" si="245"/>
        <v>#DIV/0!</v>
      </c>
      <c r="AC197" s="251" t="e">
        <f t="shared" si="245"/>
        <v>#DIV/0!</v>
      </c>
      <c r="AD197" s="251" t="e">
        <f t="shared" si="245"/>
        <v>#DIV/0!</v>
      </c>
      <c r="AE197" s="251" t="e">
        <f t="shared" si="245"/>
        <v>#DIV/0!</v>
      </c>
      <c r="AF197" s="251" t="e">
        <f t="shared" si="245"/>
        <v>#DIV/0!</v>
      </c>
      <c r="AG197" s="251" t="e">
        <f t="shared" si="245"/>
        <v>#DIV/0!</v>
      </c>
    </row>
    <row r="198" spans="1:179" x14ac:dyDescent="0.35">
      <c r="F198" s="604"/>
      <c r="G198" s="251"/>
      <c r="H198" s="251"/>
      <c r="I198" s="1267"/>
      <c r="J198" s="1212"/>
      <c r="K198" s="251"/>
      <c r="L198" s="251"/>
      <c r="M198" s="251"/>
      <c r="N198" s="251"/>
      <c r="O198" s="251"/>
      <c r="P198" s="251"/>
      <c r="Q198" s="251"/>
      <c r="R198" s="1267"/>
      <c r="S198" s="1212"/>
      <c r="T198" s="251"/>
      <c r="U198" s="251"/>
      <c r="V198" s="251"/>
      <c r="W198" s="251"/>
      <c r="X198" s="1267"/>
      <c r="Y198" s="1212"/>
      <c r="Z198" s="251"/>
      <c r="AA198" s="251"/>
      <c r="AB198" s="251"/>
      <c r="AC198" s="251"/>
      <c r="AD198" s="251"/>
      <c r="AE198" s="251"/>
      <c r="AF198" s="251"/>
      <c r="AG198" s="251"/>
    </row>
    <row r="199" spans="1:179" x14ac:dyDescent="0.35">
      <c r="C199" s="1" t="s">
        <v>322</v>
      </c>
      <c r="F199" s="604" t="e">
        <f t="shared" ref="F199:V199" si="246">100*(F$99-(AI$99+BL$99))/F$99</f>
        <v>#DIV/0!</v>
      </c>
      <c r="G199" s="251" t="e">
        <f t="shared" si="246"/>
        <v>#DIV/0!</v>
      </c>
      <c r="H199" s="251" t="e">
        <f t="shared" si="246"/>
        <v>#DIV/0!</v>
      </c>
      <c r="I199" s="1267" t="e">
        <f t="shared" si="246"/>
        <v>#DIV/0!</v>
      </c>
      <c r="J199" s="1212" t="e">
        <f t="shared" si="246"/>
        <v>#DIV/0!</v>
      </c>
      <c r="K199" s="251" t="e">
        <f t="shared" si="246"/>
        <v>#DIV/0!</v>
      </c>
      <c r="L199" s="251" t="e">
        <f t="shared" si="246"/>
        <v>#DIV/0!</v>
      </c>
      <c r="M199" s="251" t="e">
        <f t="shared" si="246"/>
        <v>#DIV/0!</v>
      </c>
      <c r="N199" s="251" t="e">
        <f t="shared" si="246"/>
        <v>#DIV/0!</v>
      </c>
      <c r="O199" s="251" t="e">
        <f t="shared" si="246"/>
        <v>#DIV/0!</v>
      </c>
      <c r="P199" s="251" t="e">
        <f t="shared" si="246"/>
        <v>#DIV/0!</v>
      </c>
      <c r="Q199" s="251" t="e">
        <f t="shared" si="246"/>
        <v>#DIV/0!</v>
      </c>
      <c r="R199" s="1267" t="e">
        <f t="shared" si="246"/>
        <v>#DIV/0!</v>
      </c>
      <c r="S199" s="1212" t="e">
        <f t="shared" si="246"/>
        <v>#DIV/0!</v>
      </c>
      <c r="T199" s="251" t="e">
        <f t="shared" si="246"/>
        <v>#DIV/0!</v>
      </c>
      <c r="U199" s="251" t="e">
        <f t="shared" si="246"/>
        <v>#DIV/0!</v>
      </c>
      <c r="V199" s="251" t="e">
        <f t="shared" si="246"/>
        <v>#DIV/0!</v>
      </c>
      <c r="W199" s="251" t="e">
        <f t="shared" ref="W199:AG199" si="247">100*(W$99-(BK$99+CN$99))/W$99</f>
        <v>#DIV/0!</v>
      </c>
      <c r="X199" s="1267" t="e">
        <f t="shared" si="247"/>
        <v>#DIV/0!</v>
      </c>
      <c r="Y199" s="1212" t="e">
        <f t="shared" si="247"/>
        <v>#DIV/0!</v>
      </c>
      <c r="Z199" s="251" t="e">
        <f t="shared" si="247"/>
        <v>#DIV/0!</v>
      </c>
      <c r="AA199" s="251" t="e">
        <f t="shared" si="247"/>
        <v>#DIV/0!</v>
      </c>
      <c r="AB199" s="251" t="e">
        <f t="shared" si="247"/>
        <v>#DIV/0!</v>
      </c>
      <c r="AC199" s="251" t="e">
        <f t="shared" si="247"/>
        <v>#DIV/0!</v>
      </c>
      <c r="AD199" s="251" t="e">
        <f t="shared" si="247"/>
        <v>#DIV/0!</v>
      </c>
      <c r="AE199" s="251" t="e">
        <f t="shared" si="247"/>
        <v>#DIV/0!</v>
      </c>
      <c r="AF199" s="251" t="e">
        <f t="shared" si="247"/>
        <v>#DIV/0!</v>
      </c>
      <c r="AG199" s="251" t="e">
        <f t="shared" si="247"/>
        <v>#DIV/0!</v>
      </c>
      <c r="AN199" s="232" t="e">
        <f>AVERAGE(H199:I199)</f>
        <v>#DIV/0!</v>
      </c>
      <c r="AO199" s="232" t="e">
        <f>AVERAGE(M199:O199)</f>
        <v>#DIV/0!</v>
      </c>
      <c r="AP199" s="232" t="e">
        <f>AVERAGE(R199:T199)</f>
        <v>#DIV/0!</v>
      </c>
    </row>
    <row r="200" spans="1:179" s="368" customFormat="1" ht="13.15" customHeight="1" thickBot="1" x14ac:dyDescent="0.4">
      <c r="C200" s="364" t="s">
        <v>213</v>
      </c>
      <c r="D200" s="364"/>
      <c r="E200" s="364"/>
      <c r="F200" s="1027">
        <v>56</v>
      </c>
      <c r="G200" s="365">
        <v>50</v>
      </c>
      <c r="H200" s="365">
        <v>49</v>
      </c>
      <c r="I200" s="1234">
        <v>48</v>
      </c>
      <c r="J200" s="1182">
        <v>70</v>
      </c>
      <c r="K200" s="365">
        <v>69</v>
      </c>
      <c r="L200" s="365">
        <v>66</v>
      </c>
      <c r="M200" s="365">
        <v>66.5</v>
      </c>
      <c r="N200" s="365">
        <v>65.5</v>
      </c>
      <c r="O200" s="365">
        <v>64.400000000000006</v>
      </c>
      <c r="P200" s="365">
        <v>61.5</v>
      </c>
      <c r="Q200" s="365">
        <v>58.5</v>
      </c>
      <c r="R200" s="1234">
        <v>60.5</v>
      </c>
      <c r="S200" s="1182">
        <v>61.8</v>
      </c>
      <c r="T200" s="365">
        <v>61</v>
      </c>
      <c r="U200" s="365">
        <v>62.1</v>
      </c>
      <c r="V200" s="365"/>
      <c r="W200" s="365"/>
      <c r="X200" s="1234"/>
      <c r="Y200" s="1182"/>
      <c r="Z200" s="365"/>
      <c r="AA200" s="365"/>
      <c r="AB200" s="365"/>
      <c r="AC200" s="365"/>
      <c r="AD200" s="365"/>
      <c r="AE200" s="365"/>
      <c r="AF200" s="365"/>
      <c r="AG200" s="365"/>
      <c r="AH200" s="323"/>
      <c r="AI200" s="232"/>
      <c r="AJ200" s="232"/>
      <c r="AK200" s="232"/>
      <c r="AL200" s="1236"/>
      <c r="AM200" s="643"/>
      <c r="AN200" s="232">
        <f>AVERAGE(H200:I200)</f>
        <v>48.5</v>
      </c>
      <c r="AO200" s="232">
        <f>AVERAGE(M200:O200)</f>
        <v>65.466666666666669</v>
      </c>
      <c r="AP200" s="232">
        <f>AVERAGE(R200:T200)</f>
        <v>61.1</v>
      </c>
      <c r="AQ200" s="232"/>
      <c r="AR200" s="232"/>
      <c r="AS200" s="232"/>
      <c r="AT200" s="232"/>
      <c r="AU200" s="1236"/>
      <c r="AV200" s="643"/>
      <c r="AW200" s="232"/>
      <c r="AX200" s="232"/>
      <c r="AY200" s="232"/>
      <c r="AZ200" s="232"/>
      <c r="BA200" s="1236"/>
      <c r="BB200" s="643"/>
      <c r="BC200" s="232"/>
      <c r="BD200" s="232"/>
      <c r="BE200" s="232"/>
      <c r="BF200" s="232"/>
      <c r="BG200" s="232"/>
      <c r="BH200" s="232"/>
      <c r="BI200" s="232"/>
      <c r="BJ200" s="232"/>
      <c r="BK200" s="323"/>
      <c r="BL200" s="232"/>
      <c r="BM200" s="232"/>
      <c r="BN200" s="232"/>
      <c r="BO200" s="1236"/>
      <c r="BP200" s="643"/>
      <c r="BQ200" s="232"/>
      <c r="BR200" s="232"/>
      <c r="BS200" s="232"/>
      <c r="BT200" s="232"/>
      <c r="BU200" s="232"/>
      <c r="BV200" s="232"/>
      <c r="BW200" s="232"/>
      <c r="BX200" s="1236"/>
      <c r="BY200" s="643"/>
      <c r="BZ200" s="232"/>
      <c r="CA200" s="232"/>
      <c r="CB200" s="232"/>
      <c r="CC200" s="232"/>
      <c r="CD200" s="1236"/>
      <c r="CE200" s="643"/>
      <c r="CF200" s="232"/>
      <c r="CG200" s="232"/>
      <c r="CH200" s="232"/>
      <c r="CI200" s="232"/>
      <c r="CJ200" s="232"/>
      <c r="CK200" s="232"/>
      <c r="CL200" s="232"/>
      <c r="CM200" s="232"/>
      <c r="CN200" s="323"/>
      <c r="CO200" s="232"/>
      <c r="CP200" s="232"/>
      <c r="CQ200" s="232"/>
      <c r="CR200" s="1236"/>
      <c r="CS200" s="643"/>
      <c r="CT200" s="232"/>
      <c r="CU200" s="232"/>
      <c r="CV200" s="232"/>
      <c r="CW200" s="232"/>
      <c r="CX200" s="232"/>
      <c r="CY200" s="232"/>
      <c r="CZ200" s="232"/>
      <c r="DA200" s="1236"/>
      <c r="DB200" s="643"/>
      <c r="DC200" s="232"/>
      <c r="DD200" s="232"/>
      <c r="DE200" s="232"/>
      <c r="DF200" s="232"/>
      <c r="DG200" s="1236"/>
      <c r="DH200" s="643"/>
      <c r="DI200" s="232"/>
      <c r="DJ200" s="232"/>
      <c r="DK200" s="232"/>
      <c r="DL200" s="232"/>
      <c r="DM200" s="232"/>
      <c r="DN200" s="232"/>
      <c r="DO200" s="232"/>
      <c r="DP200" s="232"/>
      <c r="DQ200" s="323"/>
      <c r="DR200" s="238"/>
      <c r="DS200" s="232"/>
      <c r="DT200" s="232"/>
      <c r="DU200" s="232"/>
      <c r="DV200" s="1236"/>
      <c r="DW200" s="643"/>
      <c r="DX200" s="232"/>
      <c r="DY200" s="232"/>
      <c r="DZ200" s="232"/>
      <c r="EA200" s="232"/>
      <c r="EB200" s="232"/>
      <c r="EC200" s="232"/>
      <c r="ED200" s="232"/>
      <c r="EE200" s="1236"/>
      <c r="EF200" s="643"/>
      <c r="EG200" s="232"/>
      <c r="EH200" s="232"/>
      <c r="EI200" s="232"/>
      <c r="EJ200" s="232"/>
      <c r="EK200" s="1236"/>
      <c r="EL200" s="643"/>
      <c r="EM200" s="232"/>
      <c r="EN200" s="232"/>
      <c r="EO200" s="232"/>
      <c r="EP200" s="232"/>
      <c r="EQ200" s="232"/>
      <c r="ER200" s="232"/>
      <c r="ES200" s="232"/>
      <c r="ET200" s="232"/>
      <c r="EU200" s="323"/>
      <c r="EV200" s="232"/>
      <c r="EW200" s="232"/>
      <c r="EX200" s="232"/>
      <c r="EY200" s="1236"/>
      <c r="EZ200" s="643"/>
      <c r="FA200" s="232"/>
      <c r="FB200" s="232"/>
      <c r="FC200" s="232"/>
      <c r="FD200" s="232"/>
      <c r="FE200" s="232"/>
      <c r="FF200" s="232"/>
      <c r="FG200" s="232"/>
      <c r="FH200" s="1236"/>
      <c r="FI200" s="643"/>
      <c r="FJ200" s="232"/>
      <c r="FK200" s="232"/>
      <c r="FL200" s="232"/>
      <c r="FM200" s="232"/>
      <c r="FN200" s="1236"/>
      <c r="FO200" s="643"/>
      <c r="FP200" s="232"/>
      <c r="FQ200" s="232"/>
      <c r="FR200" s="232"/>
      <c r="FS200" s="232"/>
      <c r="FT200" s="232"/>
      <c r="FU200" s="232"/>
      <c r="FV200" s="232"/>
      <c r="FW200" s="232"/>
    </row>
    <row r="201" spans="1:179" ht="15" thickTop="1" x14ac:dyDescent="0.35">
      <c r="C201" s="1">
        <v>0.05</v>
      </c>
      <c r="F201" s="1058">
        <f>F$200*5%</f>
        <v>2.8000000000000003</v>
      </c>
      <c r="G201" s="482">
        <f t="shared" ref="G201:U201" si="248">G$200*5%</f>
        <v>2.5</v>
      </c>
      <c r="H201" s="482">
        <f t="shared" si="248"/>
        <v>2.4500000000000002</v>
      </c>
      <c r="I201" s="1339">
        <f t="shared" si="248"/>
        <v>2.4000000000000004</v>
      </c>
      <c r="J201" s="1340">
        <f t="shared" si="248"/>
        <v>3.5</v>
      </c>
      <c r="K201" s="482">
        <f t="shared" si="248"/>
        <v>3.45</v>
      </c>
      <c r="L201" s="482">
        <f t="shared" si="248"/>
        <v>3.3000000000000003</v>
      </c>
      <c r="M201" s="482">
        <f t="shared" si="248"/>
        <v>3.3250000000000002</v>
      </c>
      <c r="N201" s="482">
        <f t="shared" si="248"/>
        <v>3.2750000000000004</v>
      </c>
      <c r="O201" s="482">
        <f t="shared" si="248"/>
        <v>3.2200000000000006</v>
      </c>
      <c r="P201" s="482">
        <f t="shared" si="248"/>
        <v>3.0750000000000002</v>
      </c>
      <c r="Q201" s="482">
        <f t="shared" si="248"/>
        <v>2.9250000000000003</v>
      </c>
      <c r="R201" s="1339">
        <f t="shared" si="248"/>
        <v>3.0250000000000004</v>
      </c>
      <c r="S201" s="1340">
        <f t="shared" si="248"/>
        <v>3.09</v>
      </c>
      <c r="T201" s="482">
        <f t="shared" si="248"/>
        <v>3.0500000000000003</v>
      </c>
      <c r="U201" s="482">
        <f t="shared" si="248"/>
        <v>3.1050000000000004</v>
      </c>
      <c r="V201" s="482"/>
      <c r="W201" s="482"/>
      <c r="X201" s="1339"/>
      <c r="Y201" s="1340"/>
      <c r="Z201" s="482"/>
      <c r="AA201" s="482"/>
      <c r="AB201" s="482"/>
      <c r="AC201" s="482"/>
      <c r="AD201" s="482"/>
      <c r="AE201" s="482"/>
      <c r="AF201" s="482"/>
      <c r="AG201" s="482"/>
      <c r="AN201" s="915"/>
      <c r="AO201" s="915"/>
      <c r="AP201" s="915"/>
      <c r="BL201" s="267"/>
    </row>
    <row r="202" spans="1:179" x14ac:dyDescent="0.35">
      <c r="C202" s="452">
        <v>0.05</v>
      </c>
      <c r="D202" s="452"/>
      <c r="E202" s="452"/>
      <c r="F202" s="1059">
        <f>F$200+F$201</f>
        <v>58.8</v>
      </c>
      <c r="G202" s="481">
        <f t="shared" ref="G202:U202" si="249">G$200+G$201</f>
        <v>52.5</v>
      </c>
      <c r="H202" s="481">
        <f t="shared" si="249"/>
        <v>51.45</v>
      </c>
      <c r="I202" s="1282">
        <f t="shared" si="249"/>
        <v>50.4</v>
      </c>
      <c r="J202" s="1225">
        <f t="shared" si="249"/>
        <v>73.5</v>
      </c>
      <c r="K202" s="243">
        <f t="shared" si="249"/>
        <v>72.45</v>
      </c>
      <c r="L202" s="243">
        <f t="shared" si="249"/>
        <v>69.3</v>
      </c>
      <c r="M202" s="243">
        <f t="shared" si="249"/>
        <v>69.825000000000003</v>
      </c>
      <c r="N202" s="243">
        <f t="shared" si="249"/>
        <v>68.775000000000006</v>
      </c>
      <c r="O202" s="243">
        <f t="shared" si="249"/>
        <v>67.62</v>
      </c>
      <c r="P202" s="243">
        <f t="shared" si="249"/>
        <v>64.575000000000003</v>
      </c>
      <c r="Q202" s="243">
        <f t="shared" si="249"/>
        <v>61.424999999999997</v>
      </c>
      <c r="R202" s="1282">
        <f t="shared" si="249"/>
        <v>63.524999999999999</v>
      </c>
      <c r="S202" s="1225">
        <f t="shared" si="249"/>
        <v>64.89</v>
      </c>
      <c r="T202" s="243">
        <f t="shared" si="249"/>
        <v>64.05</v>
      </c>
      <c r="U202" s="243">
        <f t="shared" si="249"/>
        <v>65.204999999999998</v>
      </c>
      <c r="AN202" s="479"/>
      <c r="AO202" s="479"/>
      <c r="AP202" s="479"/>
    </row>
    <row r="203" spans="1:179" x14ac:dyDescent="0.35">
      <c r="C203" s="169">
        <v>-0.05</v>
      </c>
      <c r="D203" s="169"/>
      <c r="E203" s="169"/>
      <c r="F203" s="605">
        <f>F$200-F$201</f>
        <v>53.2</v>
      </c>
      <c r="G203" s="244">
        <f t="shared" ref="G203:U203" si="250">G$200-G$201</f>
        <v>47.5</v>
      </c>
      <c r="H203" s="244">
        <f t="shared" si="250"/>
        <v>46.55</v>
      </c>
      <c r="I203" s="1237">
        <f t="shared" si="250"/>
        <v>45.6</v>
      </c>
      <c r="J203" s="606">
        <f t="shared" si="250"/>
        <v>66.5</v>
      </c>
      <c r="K203" s="244">
        <f t="shared" si="250"/>
        <v>65.55</v>
      </c>
      <c r="L203" s="244">
        <f t="shared" si="250"/>
        <v>62.7</v>
      </c>
      <c r="M203" s="244">
        <f t="shared" si="250"/>
        <v>63.174999999999997</v>
      </c>
      <c r="N203" s="244">
        <f t="shared" si="250"/>
        <v>62.225000000000001</v>
      </c>
      <c r="O203" s="244">
        <f t="shared" si="250"/>
        <v>61.180000000000007</v>
      </c>
      <c r="P203" s="244">
        <f t="shared" si="250"/>
        <v>58.424999999999997</v>
      </c>
      <c r="Q203" s="244">
        <f t="shared" si="250"/>
        <v>55.575000000000003</v>
      </c>
      <c r="R203" s="1237">
        <f t="shared" si="250"/>
        <v>57.475000000000001</v>
      </c>
      <c r="S203" s="606">
        <f t="shared" si="250"/>
        <v>58.709999999999994</v>
      </c>
      <c r="T203" s="244">
        <f t="shared" si="250"/>
        <v>57.95</v>
      </c>
      <c r="U203" s="244">
        <f t="shared" si="250"/>
        <v>58.995000000000005</v>
      </c>
    </row>
    <row r="204" spans="1:179" x14ac:dyDescent="0.35">
      <c r="C204" s="169"/>
      <c r="D204" s="169"/>
      <c r="E204" s="169"/>
      <c r="F204" s="605"/>
      <c r="G204" s="244"/>
      <c r="H204" s="244"/>
      <c r="I204" s="1237"/>
      <c r="J204" s="606"/>
      <c r="K204" s="244"/>
      <c r="L204" s="244"/>
      <c r="M204" s="244"/>
      <c r="N204" s="244"/>
      <c r="O204" s="244"/>
      <c r="P204" s="244"/>
      <c r="Q204" s="244"/>
      <c r="R204" s="1237"/>
      <c r="S204" s="606"/>
      <c r="T204" s="244"/>
      <c r="U204" s="244"/>
    </row>
    <row r="205" spans="1:179" x14ac:dyDescent="0.35">
      <c r="C205" s="169" t="s">
        <v>312</v>
      </c>
      <c r="D205" s="169"/>
      <c r="E205" s="169"/>
      <c r="F205" s="605" t="e">
        <f t="shared" ref="F205:V205" si="251">100*(F$97-(AI$97+BL$97))/F$97</f>
        <v>#DIV/0!</v>
      </c>
      <c r="G205" s="244" t="e">
        <f t="shared" si="251"/>
        <v>#DIV/0!</v>
      </c>
      <c r="H205" s="244" t="e">
        <f t="shared" si="251"/>
        <v>#DIV/0!</v>
      </c>
      <c r="I205" s="1237" t="e">
        <f t="shared" si="251"/>
        <v>#DIV/0!</v>
      </c>
      <c r="J205" s="606" t="e">
        <f t="shared" si="251"/>
        <v>#DIV/0!</v>
      </c>
      <c r="K205" s="244" t="e">
        <f t="shared" si="251"/>
        <v>#DIV/0!</v>
      </c>
      <c r="L205" s="244" t="e">
        <f t="shared" si="251"/>
        <v>#DIV/0!</v>
      </c>
      <c r="M205" s="244" t="e">
        <f t="shared" si="251"/>
        <v>#DIV/0!</v>
      </c>
      <c r="N205" s="244" t="e">
        <f t="shared" si="251"/>
        <v>#DIV/0!</v>
      </c>
      <c r="O205" s="244" t="e">
        <f t="shared" si="251"/>
        <v>#DIV/0!</v>
      </c>
      <c r="P205" s="244" t="e">
        <f t="shared" si="251"/>
        <v>#DIV/0!</v>
      </c>
      <c r="Q205" s="244" t="e">
        <f t="shared" si="251"/>
        <v>#DIV/0!</v>
      </c>
      <c r="R205" s="1237" t="e">
        <f t="shared" si="251"/>
        <v>#DIV/0!</v>
      </c>
      <c r="S205" s="606" t="e">
        <f t="shared" si="251"/>
        <v>#DIV/0!</v>
      </c>
      <c r="T205" s="244" t="e">
        <f t="shared" si="251"/>
        <v>#DIV/0!</v>
      </c>
      <c r="U205" s="244" t="e">
        <f t="shared" si="251"/>
        <v>#DIV/0!</v>
      </c>
      <c r="V205" s="232" t="e">
        <f t="shared" si="251"/>
        <v>#DIV/0!</v>
      </c>
      <c r="W205" s="232" t="e">
        <f t="shared" ref="W205:AG205" si="252">100*(W$97-(BK$97+CN$97))/W$97</f>
        <v>#DIV/0!</v>
      </c>
      <c r="X205" s="1236" t="e">
        <f t="shared" si="252"/>
        <v>#DIV/0!</v>
      </c>
      <c r="Y205" s="643" t="e">
        <f t="shared" si="252"/>
        <v>#DIV/0!</v>
      </c>
      <c r="Z205" s="232" t="e">
        <f t="shared" si="252"/>
        <v>#DIV/0!</v>
      </c>
      <c r="AA205" s="232" t="e">
        <f t="shared" si="252"/>
        <v>#DIV/0!</v>
      </c>
      <c r="AB205" s="232" t="e">
        <f t="shared" si="252"/>
        <v>#DIV/0!</v>
      </c>
      <c r="AC205" s="232" t="e">
        <f t="shared" si="252"/>
        <v>#DIV/0!</v>
      </c>
      <c r="AD205" s="232" t="e">
        <f t="shared" si="252"/>
        <v>#DIV/0!</v>
      </c>
      <c r="AE205" s="232" t="e">
        <f t="shared" si="252"/>
        <v>#DIV/0!</v>
      </c>
      <c r="AF205" s="232" t="e">
        <f t="shared" si="252"/>
        <v>#DIV/0!</v>
      </c>
      <c r="AG205" s="232" t="e">
        <f t="shared" si="252"/>
        <v>#DIV/0!</v>
      </c>
    </row>
    <row r="206" spans="1:179" ht="7.9" customHeight="1" thickBot="1" x14ac:dyDescent="0.4">
      <c r="A206" s="368"/>
      <c r="B206" s="368"/>
      <c r="C206" s="1341" t="s">
        <v>313</v>
      </c>
      <c r="D206" s="1341"/>
      <c r="E206" s="1341"/>
      <c r="F206" s="1027">
        <v>73.5</v>
      </c>
      <c r="G206" s="374">
        <v>66.5</v>
      </c>
      <c r="H206" s="374"/>
      <c r="I206" s="1244">
        <v>61.9</v>
      </c>
      <c r="J206" s="1191">
        <v>62.5</v>
      </c>
      <c r="K206" s="374">
        <v>86.5</v>
      </c>
      <c r="L206" s="374">
        <v>83</v>
      </c>
      <c r="M206" s="374">
        <v>81.5</v>
      </c>
      <c r="N206" s="374">
        <v>81</v>
      </c>
      <c r="O206" s="374">
        <v>80.400000000000006</v>
      </c>
      <c r="P206" s="374">
        <v>78</v>
      </c>
      <c r="Q206" s="374"/>
      <c r="R206" s="1244">
        <v>72.5</v>
      </c>
      <c r="S206" s="1191"/>
      <c r="T206" s="374">
        <v>71.2</v>
      </c>
      <c r="U206" s="374">
        <v>71.900000000000006</v>
      </c>
      <c r="V206" s="365"/>
      <c r="W206" s="365"/>
      <c r="X206" s="1234"/>
      <c r="Y206" s="1182"/>
      <c r="Z206" s="365"/>
      <c r="AA206" s="365"/>
      <c r="AB206" s="365"/>
      <c r="AC206" s="365"/>
      <c r="AD206" s="365"/>
      <c r="AE206" s="365"/>
      <c r="AF206" s="365"/>
      <c r="AG206" s="365"/>
    </row>
    <row r="207" spans="1:179" s="377" customFormat="1" ht="15" thickTop="1" x14ac:dyDescent="0.35">
      <c r="A207"/>
      <c r="B207"/>
      <c r="C207" s="169">
        <v>1.05</v>
      </c>
      <c r="D207" s="169"/>
      <c r="E207" s="169"/>
      <c r="F207" s="1033">
        <f>F206*C207</f>
        <v>77.174999999999997</v>
      </c>
      <c r="G207" s="309">
        <f>G$206*$C$207</f>
        <v>69.825000000000003</v>
      </c>
      <c r="H207" s="309">
        <f t="shared" ref="H207:U207" si="253">H$206*$C$207</f>
        <v>0</v>
      </c>
      <c r="I207" s="422">
        <f t="shared" si="253"/>
        <v>64.995000000000005</v>
      </c>
      <c r="J207" s="421">
        <f t="shared" si="253"/>
        <v>65.625</v>
      </c>
      <c r="K207" s="309">
        <f t="shared" si="253"/>
        <v>90.825000000000003</v>
      </c>
      <c r="L207" s="309">
        <f t="shared" si="253"/>
        <v>87.15</v>
      </c>
      <c r="M207" s="309">
        <f t="shared" si="253"/>
        <v>85.575000000000003</v>
      </c>
      <c r="N207" s="309">
        <f t="shared" si="253"/>
        <v>85.05</v>
      </c>
      <c r="O207" s="309">
        <f t="shared" si="253"/>
        <v>84.420000000000016</v>
      </c>
      <c r="P207" s="309">
        <f t="shared" si="253"/>
        <v>81.900000000000006</v>
      </c>
      <c r="Q207" s="309">
        <f t="shared" si="253"/>
        <v>0</v>
      </c>
      <c r="R207" s="422">
        <f t="shared" si="253"/>
        <v>76.125</v>
      </c>
      <c r="S207" s="421">
        <f t="shared" si="253"/>
        <v>0</v>
      </c>
      <c r="T207" s="309">
        <f t="shared" si="253"/>
        <v>74.760000000000005</v>
      </c>
      <c r="U207" s="309">
        <f t="shared" si="253"/>
        <v>75.495000000000005</v>
      </c>
      <c r="V207" s="309"/>
      <c r="W207" s="309"/>
      <c r="X207" s="422"/>
      <c r="Y207" s="421"/>
      <c r="Z207" s="309"/>
      <c r="AA207" s="309"/>
      <c r="AB207" s="309"/>
      <c r="AC207" s="309"/>
      <c r="AD207" s="309"/>
      <c r="AE207" s="309"/>
      <c r="AF207" s="309"/>
      <c r="AG207" s="309"/>
      <c r="AH207" s="323"/>
      <c r="AI207" s="232"/>
      <c r="AJ207" s="232"/>
      <c r="AK207" s="232"/>
      <c r="AL207" s="1236"/>
      <c r="AM207" s="643"/>
      <c r="AN207" s="232"/>
      <c r="AO207" s="232"/>
      <c r="AP207" s="232"/>
      <c r="AQ207" s="232"/>
      <c r="AR207" s="232"/>
      <c r="AS207" s="232"/>
      <c r="AT207" s="232"/>
      <c r="AU207" s="1236"/>
      <c r="AV207" s="643"/>
      <c r="AW207" s="232"/>
      <c r="AX207" s="232"/>
      <c r="AY207" s="232"/>
      <c r="AZ207" s="232"/>
      <c r="BA207" s="1236"/>
      <c r="BB207" s="643"/>
      <c r="BC207" s="232"/>
      <c r="BD207" s="232"/>
      <c r="BE207" s="232"/>
      <c r="BF207" s="232"/>
      <c r="BG207" s="232"/>
      <c r="BH207" s="232"/>
      <c r="BI207" s="232"/>
      <c r="BJ207" s="232"/>
      <c r="BK207" s="323"/>
      <c r="BL207" s="232"/>
      <c r="BM207" s="232"/>
      <c r="BN207" s="232"/>
      <c r="BO207" s="1236"/>
      <c r="BP207" s="643"/>
      <c r="BQ207" s="232"/>
      <c r="BR207" s="232"/>
      <c r="BS207" s="232"/>
      <c r="BT207" s="232"/>
      <c r="BU207" s="232"/>
      <c r="BV207" s="232"/>
      <c r="BW207" s="232"/>
      <c r="BX207" s="1236"/>
      <c r="BY207" s="643"/>
      <c r="BZ207" s="232"/>
      <c r="CA207" s="232"/>
      <c r="CB207" s="232"/>
      <c r="CC207" s="232"/>
      <c r="CD207" s="1236"/>
      <c r="CE207" s="643"/>
      <c r="CF207" s="232"/>
      <c r="CG207" s="232"/>
      <c r="CH207" s="232"/>
      <c r="CI207" s="232"/>
      <c r="CJ207" s="232"/>
      <c r="CK207" s="232"/>
      <c r="CL207" s="232"/>
      <c r="CM207" s="232"/>
      <c r="CN207" s="323"/>
      <c r="CO207" s="232"/>
      <c r="CP207" s="232"/>
      <c r="CQ207" s="232"/>
      <c r="CR207" s="1236"/>
      <c r="CS207" s="643"/>
      <c r="CT207" s="232"/>
      <c r="CU207" s="232"/>
      <c r="CV207" s="232"/>
      <c r="CW207" s="232"/>
      <c r="CX207" s="232"/>
      <c r="CY207" s="232"/>
      <c r="CZ207" s="232"/>
      <c r="DA207" s="1236"/>
      <c r="DB207" s="643"/>
      <c r="DC207" s="232"/>
      <c r="DD207" s="232"/>
      <c r="DE207" s="232"/>
      <c r="DF207" s="232"/>
      <c r="DG207" s="1236"/>
      <c r="DH207" s="643"/>
      <c r="DI207" s="232"/>
      <c r="DJ207" s="232"/>
      <c r="DK207" s="232"/>
      <c r="DL207" s="232"/>
      <c r="DM207" s="232"/>
      <c r="DN207" s="232"/>
      <c r="DO207" s="232"/>
      <c r="DP207" s="232"/>
      <c r="DQ207" s="323"/>
      <c r="DR207" s="238"/>
      <c r="DS207" s="232"/>
      <c r="DT207" s="232"/>
      <c r="DU207" s="232"/>
      <c r="DV207" s="1236"/>
      <c r="DW207" s="643"/>
      <c r="DX207" s="232"/>
      <c r="DY207" s="232"/>
      <c r="DZ207" s="232"/>
      <c r="EA207" s="232"/>
      <c r="EB207" s="232"/>
      <c r="EC207" s="232"/>
      <c r="ED207" s="232"/>
      <c r="EE207" s="1236"/>
      <c r="EF207" s="643"/>
      <c r="EG207" s="232"/>
      <c r="EH207" s="232"/>
      <c r="EI207" s="232"/>
      <c r="EJ207" s="232"/>
      <c r="EK207" s="1236"/>
      <c r="EL207" s="643"/>
      <c r="EM207" s="232"/>
      <c r="EN207" s="232"/>
      <c r="EO207" s="232"/>
      <c r="EP207" s="232"/>
      <c r="EQ207" s="232"/>
      <c r="ER207" s="232"/>
      <c r="ES207" s="232"/>
      <c r="ET207" s="232"/>
      <c r="EU207" s="323"/>
      <c r="EV207" s="232"/>
      <c r="EW207" s="232"/>
      <c r="EX207" s="232"/>
      <c r="EY207" s="1236"/>
      <c r="EZ207" s="643"/>
      <c r="FA207" s="232"/>
      <c r="FB207" s="232"/>
      <c r="FC207" s="232"/>
      <c r="FD207" s="232"/>
      <c r="FE207" s="232"/>
      <c r="FF207" s="232"/>
      <c r="FG207" s="232"/>
      <c r="FH207" s="1236"/>
      <c r="FI207" s="643"/>
      <c r="FJ207" s="232"/>
      <c r="FK207" s="232"/>
      <c r="FL207" s="232"/>
      <c r="FM207" s="232"/>
      <c r="FN207" s="1236"/>
      <c r="FO207" s="643"/>
      <c r="FP207" s="232"/>
      <c r="FQ207" s="232"/>
      <c r="FR207" s="232"/>
      <c r="FS207" s="232"/>
      <c r="FT207" s="232"/>
      <c r="FU207" s="232"/>
      <c r="FV207" s="232"/>
      <c r="FW207" s="232"/>
    </row>
    <row r="208" spans="1:179" s="368" customFormat="1" ht="15" thickBot="1" x14ac:dyDescent="0.4">
      <c r="A208"/>
      <c r="B208"/>
      <c r="C208" s="457">
        <v>0.95</v>
      </c>
      <c r="D208" s="457"/>
      <c r="E208" s="457"/>
      <c r="F208" s="1061">
        <f>F$206*$C$208</f>
        <v>69.825000000000003</v>
      </c>
      <c r="G208" s="446">
        <f>G$206*$C$208</f>
        <v>63.174999999999997</v>
      </c>
      <c r="H208" s="446">
        <f t="shared" ref="H208:U208" si="254">H$206*$C$208</f>
        <v>0</v>
      </c>
      <c r="I208" s="1242">
        <f t="shared" si="254"/>
        <v>58.804999999999993</v>
      </c>
      <c r="J208" s="419">
        <f t="shared" si="254"/>
        <v>59.375</v>
      </c>
      <c r="K208" s="249">
        <f t="shared" si="254"/>
        <v>82.174999999999997</v>
      </c>
      <c r="L208" s="249">
        <f t="shared" si="254"/>
        <v>78.849999999999994</v>
      </c>
      <c r="M208" s="249">
        <f t="shared" si="254"/>
        <v>77.424999999999997</v>
      </c>
      <c r="N208" s="249">
        <f t="shared" si="254"/>
        <v>76.95</v>
      </c>
      <c r="O208" s="249">
        <f t="shared" si="254"/>
        <v>76.38</v>
      </c>
      <c r="P208" s="249">
        <f t="shared" si="254"/>
        <v>74.099999999999994</v>
      </c>
      <c r="Q208" s="249">
        <f t="shared" si="254"/>
        <v>0</v>
      </c>
      <c r="R208" s="1242">
        <f t="shared" si="254"/>
        <v>68.875</v>
      </c>
      <c r="S208" s="419">
        <f t="shared" si="254"/>
        <v>0</v>
      </c>
      <c r="T208" s="249">
        <f>T$206*$C$208</f>
        <v>67.64</v>
      </c>
      <c r="U208" s="249">
        <f t="shared" si="254"/>
        <v>68.305000000000007</v>
      </c>
      <c r="V208" s="232"/>
      <c r="W208" s="232"/>
      <c r="X208" s="1236"/>
      <c r="Y208" s="643"/>
      <c r="Z208" s="232"/>
      <c r="AA208" s="232"/>
      <c r="AB208" s="232"/>
      <c r="AC208" s="232"/>
      <c r="AD208" s="232"/>
      <c r="AE208" s="232"/>
      <c r="AF208" s="232"/>
      <c r="AG208" s="232"/>
      <c r="AH208" s="323"/>
      <c r="AI208" s="232"/>
      <c r="AJ208" s="232"/>
      <c r="AK208" s="232"/>
      <c r="AL208" s="1236"/>
      <c r="AM208" s="643"/>
      <c r="AN208" s="232"/>
      <c r="AO208" s="232"/>
      <c r="AP208" s="232"/>
      <c r="AQ208" s="232"/>
      <c r="AR208" s="232"/>
      <c r="AS208" s="232"/>
      <c r="AT208" s="232"/>
      <c r="AU208" s="1236"/>
      <c r="AV208" s="643"/>
      <c r="AW208" s="232"/>
      <c r="AX208" s="232"/>
      <c r="AY208" s="232"/>
      <c r="AZ208" s="232"/>
      <c r="BA208" s="1236"/>
      <c r="BB208" s="643"/>
      <c r="BC208" s="232"/>
      <c r="BD208" s="232"/>
      <c r="BE208" s="232"/>
      <c r="BF208" s="232"/>
      <c r="BG208" s="232"/>
      <c r="BH208" s="232"/>
      <c r="BI208" s="232"/>
      <c r="BJ208" s="232"/>
      <c r="BK208" s="323"/>
      <c r="BL208" s="232"/>
      <c r="BM208" s="232"/>
      <c r="BN208" s="232"/>
      <c r="BO208" s="1236"/>
      <c r="BP208" s="643"/>
      <c r="BQ208" s="232"/>
      <c r="BR208" s="232"/>
      <c r="BS208" s="232"/>
      <c r="BT208" s="232"/>
      <c r="BU208" s="232"/>
      <c r="BV208" s="232"/>
      <c r="BW208" s="232"/>
      <c r="BX208" s="1236"/>
      <c r="BY208" s="643"/>
      <c r="BZ208" s="232"/>
      <c r="CA208" s="232"/>
      <c r="CB208" s="232"/>
      <c r="CC208" s="232"/>
      <c r="CD208" s="1236"/>
      <c r="CE208" s="643"/>
      <c r="CF208" s="232"/>
      <c r="CG208" s="232"/>
      <c r="CH208" s="232"/>
      <c r="CI208" s="232"/>
      <c r="CJ208" s="232"/>
      <c r="CK208" s="232"/>
      <c r="CL208" s="232"/>
      <c r="CM208" s="232"/>
      <c r="CN208" s="323"/>
      <c r="CO208" s="232"/>
      <c r="CP208" s="232"/>
      <c r="CQ208" s="232"/>
      <c r="CR208" s="1236"/>
      <c r="CS208" s="643"/>
      <c r="CT208" s="232"/>
      <c r="CU208" s="232"/>
      <c r="CV208" s="232"/>
      <c r="CW208" s="232"/>
      <c r="CX208" s="232"/>
      <c r="CY208" s="232"/>
      <c r="CZ208" s="232"/>
      <c r="DA208" s="1236"/>
      <c r="DB208" s="643"/>
      <c r="DC208" s="232"/>
      <c r="DD208" s="232"/>
      <c r="DE208" s="232"/>
      <c r="DF208" s="232"/>
      <c r="DG208" s="1236"/>
      <c r="DH208" s="643"/>
      <c r="DI208" s="232"/>
      <c r="DJ208" s="232"/>
      <c r="DK208" s="232"/>
      <c r="DL208" s="232"/>
      <c r="DM208" s="232"/>
      <c r="DN208" s="232"/>
      <c r="DO208" s="232"/>
      <c r="DP208" s="232"/>
      <c r="DQ208" s="323"/>
      <c r="DR208" s="238"/>
      <c r="DS208" s="232"/>
      <c r="DT208" s="232"/>
      <c r="DU208" s="232"/>
      <c r="DV208" s="1236"/>
      <c r="DW208" s="643"/>
      <c r="DX208" s="232"/>
      <c r="DY208" s="232"/>
      <c r="DZ208" s="232"/>
      <c r="EA208" s="232"/>
      <c r="EB208" s="232"/>
      <c r="EC208" s="232"/>
      <c r="ED208" s="232"/>
      <c r="EE208" s="1236"/>
      <c r="EF208" s="643"/>
      <c r="EG208" s="232"/>
      <c r="EH208" s="232"/>
      <c r="EI208" s="232"/>
      <c r="EJ208" s="232"/>
      <c r="EK208" s="1236"/>
      <c r="EL208" s="643"/>
      <c r="EM208" s="232"/>
      <c r="EN208" s="232"/>
      <c r="EO208" s="232"/>
      <c r="EP208" s="232"/>
      <c r="EQ208" s="232"/>
      <c r="ER208" s="232"/>
      <c r="ES208" s="232"/>
      <c r="ET208" s="232"/>
      <c r="EU208" s="323"/>
      <c r="EV208" s="232"/>
      <c r="EW208" s="232"/>
      <c r="EX208" s="232"/>
      <c r="EY208" s="1236"/>
      <c r="EZ208" s="643"/>
      <c r="FA208" s="232"/>
      <c r="FB208" s="232"/>
      <c r="FC208" s="232"/>
      <c r="FD208" s="232"/>
      <c r="FE208" s="232"/>
      <c r="FF208" s="232"/>
      <c r="FG208" s="232"/>
      <c r="FH208" s="1236"/>
      <c r="FI208" s="643"/>
      <c r="FJ208" s="232"/>
      <c r="FK208" s="232"/>
      <c r="FL208" s="232"/>
      <c r="FM208" s="232"/>
      <c r="FN208" s="1236"/>
      <c r="FO208" s="643"/>
      <c r="FP208" s="232"/>
      <c r="FQ208" s="232"/>
      <c r="FR208" s="232"/>
      <c r="FS208" s="232"/>
      <c r="FT208" s="232"/>
      <c r="FU208" s="232"/>
      <c r="FV208" s="232"/>
      <c r="FW208" s="232"/>
    </row>
    <row r="209" spans="1:179" ht="15" thickTop="1" x14ac:dyDescent="0.35">
      <c r="C209" s="169"/>
      <c r="D209" s="169"/>
      <c r="E209" s="456"/>
      <c r="G209" s="249"/>
      <c r="H209" s="249"/>
      <c r="I209" s="1242"/>
      <c r="J209" s="419"/>
      <c r="K209" s="249"/>
      <c r="L209" s="249"/>
      <c r="M209" s="249"/>
      <c r="N209" s="249"/>
      <c r="O209" s="249"/>
      <c r="P209" s="249"/>
      <c r="Q209" s="249"/>
      <c r="R209" s="1242"/>
      <c r="S209" s="419"/>
      <c r="T209" s="249"/>
      <c r="U209" s="249"/>
    </row>
    <row r="210" spans="1:179" x14ac:dyDescent="0.35">
      <c r="C210" s="169" t="s">
        <v>348</v>
      </c>
      <c r="D210" s="169"/>
      <c r="E210" s="169"/>
      <c r="F210" s="1029" t="e">
        <f t="shared" ref="F210:V210" si="255">100*(F$96-(AI$96+BL$96))/F$96</f>
        <v>#DIV/0!</v>
      </c>
      <c r="G210" s="249" t="e">
        <f t="shared" si="255"/>
        <v>#DIV/0!</v>
      </c>
      <c r="H210" s="249" t="e">
        <f t="shared" si="255"/>
        <v>#DIV/0!</v>
      </c>
      <c r="I210" s="1242" t="e">
        <f t="shared" si="255"/>
        <v>#DIV/0!</v>
      </c>
      <c r="J210" s="419" t="e">
        <f t="shared" si="255"/>
        <v>#DIV/0!</v>
      </c>
      <c r="K210" s="249" t="e">
        <f t="shared" si="255"/>
        <v>#DIV/0!</v>
      </c>
      <c r="L210" s="249" t="e">
        <f t="shared" si="255"/>
        <v>#DIV/0!</v>
      </c>
      <c r="M210" s="249" t="e">
        <f t="shared" si="255"/>
        <v>#DIV/0!</v>
      </c>
      <c r="N210" s="249" t="e">
        <f t="shared" si="255"/>
        <v>#DIV/0!</v>
      </c>
      <c r="O210" s="249" t="e">
        <f t="shared" si="255"/>
        <v>#DIV/0!</v>
      </c>
      <c r="P210" s="249" t="e">
        <f t="shared" si="255"/>
        <v>#DIV/0!</v>
      </c>
      <c r="Q210" s="249" t="e">
        <f t="shared" si="255"/>
        <v>#DIV/0!</v>
      </c>
      <c r="R210" s="1242" t="e">
        <f t="shared" si="255"/>
        <v>#DIV/0!</v>
      </c>
      <c r="S210" s="419" t="e">
        <f t="shared" si="255"/>
        <v>#DIV/0!</v>
      </c>
      <c r="T210" s="249" t="e">
        <f t="shared" si="255"/>
        <v>#DIV/0!</v>
      </c>
      <c r="U210" s="249" t="e">
        <f t="shared" si="255"/>
        <v>#DIV/0!</v>
      </c>
      <c r="V210" s="232" t="e">
        <f t="shared" si="255"/>
        <v>#DIV/0!</v>
      </c>
      <c r="W210" s="232" t="e">
        <f t="shared" ref="W210:AG210" si="256">100*(W$96-(BK$96+CN$96))/W$96</f>
        <v>#DIV/0!</v>
      </c>
      <c r="X210" s="1236" t="e">
        <f t="shared" si="256"/>
        <v>#DIV/0!</v>
      </c>
      <c r="Y210" s="643" t="e">
        <f t="shared" si="256"/>
        <v>#DIV/0!</v>
      </c>
      <c r="Z210" s="232" t="e">
        <f t="shared" si="256"/>
        <v>#DIV/0!</v>
      </c>
      <c r="AA210" s="232" t="e">
        <f t="shared" si="256"/>
        <v>#DIV/0!</v>
      </c>
      <c r="AB210" s="232" t="e">
        <f t="shared" si="256"/>
        <v>#DIV/0!</v>
      </c>
      <c r="AC210" s="232" t="e">
        <f t="shared" si="256"/>
        <v>#DIV/0!</v>
      </c>
      <c r="AD210" s="232" t="e">
        <f t="shared" si="256"/>
        <v>#DIV/0!</v>
      </c>
      <c r="AE210" s="232" t="e">
        <f t="shared" si="256"/>
        <v>#DIV/0!</v>
      </c>
      <c r="AF210" s="232" t="e">
        <f t="shared" si="256"/>
        <v>#DIV/0!</v>
      </c>
      <c r="AG210" s="232" t="e">
        <f t="shared" si="256"/>
        <v>#DIV/0!</v>
      </c>
    </row>
    <row r="211" spans="1:179" x14ac:dyDescent="0.35">
      <c r="C211" s="168" t="s">
        <v>142</v>
      </c>
      <c r="D211" s="168"/>
      <c r="E211" s="168"/>
    </row>
    <row r="212" spans="1:179" ht="15" thickBot="1" x14ac:dyDescent="0.4">
      <c r="A212" s="368"/>
      <c r="B212" s="368"/>
      <c r="C212" s="1342" t="s">
        <v>119</v>
      </c>
      <c r="D212" s="1342"/>
      <c r="E212" s="1342"/>
      <c r="F212" s="1027">
        <f t="shared" ref="F212:V212" si="257">(EV$107+DS$107)/F$59*100</f>
        <v>1.0142680982383954</v>
      </c>
      <c r="G212" s="365">
        <f t="shared" si="257"/>
        <v>1.164721739130435</v>
      </c>
      <c r="H212" s="365">
        <f t="shared" si="257"/>
        <v>0.40248086059190019</v>
      </c>
      <c r="I212" s="1234">
        <f t="shared" si="257"/>
        <v>0.42533575094501991</v>
      </c>
      <c r="J212" s="1182">
        <f t="shared" si="257"/>
        <v>1.0863663847938336</v>
      </c>
      <c r="K212" s="365">
        <f t="shared" si="257"/>
        <v>1.2171414006059196</v>
      </c>
      <c r="L212" s="365">
        <f t="shared" si="257"/>
        <v>1.2142834807610472</v>
      </c>
      <c r="M212" s="365">
        <f t="shared" si="257"/>
        <v>1.1776976277948958</v>
      </c>
      <c r="N212" s="365">
        <f t="shared" si="257"/>
        <v>1.1673535853976533</v>
      </c>
      <c r="O212" s="365">
        <f t="shared" si="257"/>
        <v>1.1102542931616071</v>
      </c>
      <c r="P212" s="365">
        <f t="shared" si="257"/>
        <v>1.1510543428308826</v>
      </c>
      <c r="Q212" s="365">
        <f t="shared" si="257"/>
        <v>1.1537663950329842</v>
      </c>
      <c r="R212" s="1234">
        <f t="shared" si="257"/>
        <v>1.2074544395245863</v>
      </c>
      <c r="S212" s="1182" t="e">
        <f t="shared" si="257"/>
        <v>#DIV/0!</v>
      </c>
      <c r="T212" s="365" t="e">
        <f t="shared" si="257"/>
        <v>#DIV/0!</v>
      </c>
      <c r="U212" s="365" t="e">
        <f t="shared" si="257"/>
        <v>#DIV/0!</v>
      </c>
      <c r="V212" s="365" t="e">
        <f t="shared" si="257"/>
        <v>#DIV/0!</v>
      </c>
      <c r="W212" s="365" t="e">
        <f t="shared" ref="W212:AG212" si="258">(FX$107+EU$107)/W$59*100</f>
        <v>#VALUE!</v>
      </c>
      <c r="X212" s="1234" t="e">
        <f t="shared" si="258"/>
        <v>#DIV/0!</v>
      </c>
      <c r="Y212" s="1182" t="e">
        <f t="shared" si="258"/>
        <v>#DIV/0!</v>
      </c>
      <c r="Z212" s="365" t="e">
        <f t="shared" si="258"/>
        <v>#DIV/0!</v>
      </c>
      <c r="AA212" s="365" t="e">
        <f t="shared" si="258"/>
        <v>#DIV/0!</v>
      </c>
      <c r="AB212" s="365" t="e">
        <f t="shared" si="258"/>
        <v>#DIV/0!</v>
      </c>
      <c r="AC212" s="365" t="e">
        <f t="shared" si="258"/>
        <v>#DIV/0!</v>
      </c>
      <c r="AD212" s="365" t="e">
        <f t="shared" si="258"/>
        <v>#DIV/0!</v>
      </c>
      <c r="AE212" s="365" t="e">
        <f t="shared" si="258"/>
        <v>#DIV/0!</v>
      </c>
      <c r="AF212" s="365" t="e">
        <f t="shared" si="258"/>
        <v>#DIV/0!</v>
      </c>
      <c r="AG212" s="365" t="e">
        <f t="shared" si="258"/>
        <v>#DIV/0!</v>
      </c>
    </row>
    <row r="213" spans="1:179" s="377" customFormat="1" ht="19" thickTop="1" x14ac:dyDescent="0.45">
      <c r="A213"/>
      <c r="B213"/>
      <c r="C213" s="407" t="s">
        <v>582</v>
      </c>
      <c r="D213" s="407"/>
      <c r="E213" s="407"/>
      <c r="F213" s="1051" t="e">
        <f>F212/F137</f>
        <v>#DIV/0!</v>
      </c>
      <c r="G213" s="229" t="e">
        <f t="shared" ref="G213:V213" si="259">G212/G137</f>
        <v>#DIV/0!</v>
      </c>
      <c r="H213" s="229" t="e">
        <f t="shared" si="259"/>
        <v>#DIV/0!</v>
      </c>
      <c r="I213" s="1245" t="e">
        <f t="shared" si="259"/>
        <v>#DIV/0!</v>
      </c>
      <c r="J213" s="538" t="e">
        <f>J212/J137-0.3</f>
        <v>#DIV/0!</v>
      </c>
      <c r="K213" s="229" t="e">
        <f t="shared" si="259"/>
        <v>#DIV/0!</v>
      </c>
      <c r="L213" s="229" t="e">
        <f t="shared" si="259"/>
        <v>#DIV/0!</v>
      </c>
      <c r="M213" s="229" t="e">
        <f t="shared" si="259"/>
        <v>#DIV/0!</v>
      </c>
      <c r="N213" s="229" t="e">
        <f t="shared" si="259"/>
        <v>#DIV/0!</v>
      </c>
      <c r="O213" s="229" t="e">
        <f t="shared" si="259"/>
        <v>#DIV/0!</v>
      </c>
      <c r="P213" s="229" t="e">
        <f t="shared" si="259"/>
        <v>#DIV/0!</v>
      </c>
      <c r="Q213" s="229" t="e">
        <f t="shared" si="259"/>
        <v>#DIV/0!</v>
      </c>
      <c r="R213" s="1245" t="e">
        <f t="shared" si="259"/>
        <v>#DIV/0!</v>
      </c>
      <c r="S213" s="538" t="e">
        <f t="shared" si="259"/>
        <v>#DIV/0!</v>
      </c>
      <c r="T213" s="229" t="e">
        <f t="shared" si="259"/>
        <v>#DIV/0!</v>
      </c>
      <c r="U213" s="229" t="e">
        <f t="shared" si="259"/>
        <v>#DIV/0!</v>
      </c>
      <c r="V213" s="229" t="e">
        <f t="shared" si="259"/>
        <v>#DIV/0!</v>
      </c>
      <c r="W213" s="229" t="e">
        <f t="shared" ref="W213:X213" si="260">W212/W137</f>
        <v>#VALUE!</v>
      </c>
      <c r="X213" s="1245" t="e">
        <f t="shared" si="260"/>
        <v>#DIV/0!</v>
      </c>
      <c r="Y213" s="538" t="e">
        <f t="shared" ref="Y213:AD213" si="261">Y212/Y137</f>
        <v>#DIV/0!</v>
      </c>
      <c r="Z213" s="229" t="e">
        <f t="shared" si="261"/>
        <v>#DIV/0!</v>
      </c>
      <c r="AA213" s="229" t="e">
        <f t="shared" si="261"/>
        <v>#DIV/0!</v>
      </c>
      <c r="AB213" s="229" t="e">
        <f t="shared" si="261"/>
        <v>#DIV/0!</v>
      </c>
      <c r="AC213" s="229" t="e">
        <f t="shared" si="261"/>
        <v>#DIV/0!</v>
      </c>
      <c r="AD213" s="229" t="e">
        <f t="shared" si="261"/>
        <v>#DIV/0!</v>
      </c>
      <c r="AE213" s="229" t="e">
        <f t="shared" ref="AE213:AG213" si="262">AE212/AE137</f>
        <v>#DIV/0!</v>
      </c>
      <c r="AF213" s="229" t="e">
        <f t="shared" si="262"/>
        <v>#DIV/0!</v>
      </c>
      <c r="AG213" s="229" t="e">
        <f t="shared" si="262"/>
        <v>#DIV/0!</v>
      </c>
      <c r="AH213" s="323"/>
      <c r="AI213" s="232"/>
      <c r="AJ213" s="232"/>
      <c r="AK213" s="232"/>
      <c r="AL213" s="1236"/>
      <c r="AM213" s="643"/>
      <c r="AN213" s="232"/>
      <c r="AO213" s="232"/>
      <c r="AP213" s="232"/>
      <c r="AQ213" s="232"/>
      <c r="AR213" s="232"/>
      <c r="AS213" s="232"/>
      <c r="AT213" s="232"/>
      <c r="AU213" s="1236"/>
      <c r="AV213" s="643"/>
      <c r="AW213" s="232"/>
      <c r="AX213" s="232"/>
      <c r="AY213" s="232"/>
      <c r="AZ213" s="232"/>
      <c r="BA213" s="1236"/>
      <c r="BB213" s="643"/>
      <c r="BC213" s="232"/>
      <c r="BD213" s="232"/>
      <c r="BE213" s="232"/>
      <c r="BF213" s="232"/>
      <c r="BG213" s="232"/>
      <c r="BH213" s="232"/>
      <c r="BI213" s="232"/>
      <c r="BJ213" s="232"/>
      <c r="BK213" s="323"/>
      <c r="BL213" s="232"/>
      <c r="BM213" s="232"/>
      <c r="BN213" s="232"/>
      <c r="BO213" s="1236"/>
      <c r="BP213" s="643"/>
      <c r="BQ213" s="232"/>
      <c r="BR213" s="232"/>
      <c r="BS213" s="232"/>
      <c r="BT213" s="232"/>
      <c r="BU213" s="232"/>
      <c r="BV213" s="232"/>
      <c r="BW213" s="232"/>
      <c r="BX213" s="1236"/>
      <c r="BY213" s="643"/>
      <c r="BZ213" s="232"/>
      <c r="CA213" s="232"/>
      <c r="CB213" s="232"/>
      <c r="CC213" s="232"/>
      <c r="CD213" s="1236"/>
      <c r="CE213" s="643"/>
      <c r="CF213" s="232"/>
      <c r="CG213" s="232"/>
      <c r="CH213" s="232"/>
      <c r="CI213" s="232"/>
      <c r="CJ213" s="232"/>
      <c r="CK213" s="232"/>
      <c r="CL213" s="232"/>
      <c r="CM213" s="232"/>
      <c r="CN213" s="323"/>
      <c r="CO213" s="232"/>
      <c r="CP213" s="232"/>
      <c r="CQ213" s="232"/>
      <c r="CR213" s="1236"/>
      <c r="CS213" s="643"/>
      <c r="CT213" s="232"/>
      <c r="CU213" s="232"/>
      <c r="CV213" s="232"/>
      <c r="CW213" s="232"/>
      <c r="CX213" s="232"/>
      <c r="CY213" s="232"/>
      <c r="CZ213" s="232"/>
      <c r="DA213" s="1236"/>
      <c r="DB213" s="643"/>
      <c r="DC213" s="232"/>
      <c r="DD213" s="232"/>
      <c r="DE213" s="232"/>
      <c r="DF213" s="232"/>
      <c r="DG213" s="1236"/>
      <c r="DH213" s="643"/>
      <c r="DI213" s="232"/>
      <c r="DJ213" s="232"/>
      <c r="DK213" s="232"/>
      <c r="DL213" s="232"/>
      <c r="DM213" s="232"/>
      <c r="DN213" s="232"/>
      <c r="DO213" s="232"/>
      <c r="DP213" s="232"/>
      <c r="DQ213" s="323"/>
      <c r="DR213" s="238"/>
      <c r="DS213" s="232"/>
      <c r="DT213" s="232"/>
      <c r="DU213" s="232"/>
      <c r="DV213" s="1236"/>
      <c r="DW213" s="643"/>
      <c r="DX213" s="232"/>
      <c r="DY213" s="232"/>
      <c r="DZ213" s="232"/>
      <c r="EA213" s="232"/>
      <c r="EB213" s="232"/>
      <c r="EC213" s="232"/>
      <c r="ED213" s="232"/>
      <c r="EE213" s="1236"/>
      <c r="EF213" s="643"/>
      <c r="EG213" s="232"/>
      <c r="EH213" s="232"/>
      <c r="EI213" s="232"/>
      <c r="EJ213" s="232"/>
      <c r="EK213" s="1236"/>
      <c r="EL213" s="643"/>
      <c r="EM213" s="232"/>
      <c r="EN213" s="232"/>
      <c r="EO213" s="232"/>
      <c r="EP213" s="232"/>
      <c r="EQ213" s="232"/>
      <c r="ER213" s="232"/>
      <c r="ES213" s="232"/>
      <c r="ET213" s="232"/>
      <c r="EU213" s="323"/>
      <c r="EV213" s="232"/>
      <c r="EW213" s="232"/>
      <c r="EX213" s="232"/>
      <c r="EY213" s="1236"/>
      <c r="EZ213" s="643"/>
      <c r="FA213" s="232"/>
      <c r="FB213" s="232"/>
      <c r="FC213" s="232"/>
      <c r="FD213" s="232"/>
      <c r="FE213" s="232"/>
      <c r="FF213" s="232"/>
      <c r="FG213" s="232"/>
      <c r="FH213" s="1236"/>
      <c r="FI213" s="643"/>
      <c r="FJ213" s="232"/>
      <c r="FK213" s="232"/>
      <c r="FL213" s="232"/>
      <c r="FM213" s="232"/>
      <c r="FN213" s="1236"/>
      <c r="FO213" s="643"/>
      <c r="FP213" s="232"/>
      <c r="FQ213" s="232"/>
      <c r="FR213" s="232"/>
      <c r="FS213" s="232"/>
      <c r="FT213" s="232"/>
      <c r="FU213" s="232"/>
      <c r="FV213" s="232"/>
      <c r="FW213" s="232"/>
    </row>
    <row r="214" spans="1:179" x14ac:dyDescent="0.35">
      <c r="C214" s="1" t="s">
        <v>583</v>
      </c>
      <c r="F214" s="501">
        <v>0.5</v>
      </c>
      <c r="G214" s="249">
        <v>0.5</v>
      </c>
      <c r="H214" s="249">
        <v>0.5</v>
      </c>
      <c r="I214" s="1242">
        <v>0.5</v>
      </c>
      <c r="J214" s="419">
        <v>1</v>
      </c>
      <c r="K214" s="249">
        <v>1</v>
      </c>
      <c r="L214" s="249">
        <v>1</v>
      </c>
      <c r="M214" s="249">
        <v>1</v>
      </c>
      <c r="N214" s="249">
        <v>1</v>
      </c>
      <c r="O214" s="249">
        <v>1.1000000000000001</v>
      </c>
      <c r="P214" s="249">
        <v>1.1000000000000001</v>
      </c>
      <c r="Q214" s="249">
        <v>1.1000000000000001</v>
      </c>
      <c r="R214" s="1242">
        <v>1.1000000000000001</v>
      </c>
      <c r="S214" s="419">
        <v>1.1000000000000001</v>
      </c>
      <c r="T214" s="249">
        <v>1.1000000000000001</v>
      </c>
      <c r="U214" s="249">
        <v>1.2</v>
      </c>
      <c r="V214" s="249"/>
      <c r="W214" s="249"/>
      <c r="X214" s="1242"/>
      <c r="Y214" s="419"/>
      <c r="Z214" s="249"/>
      <c r="AA214" s="249"/>
      <c r="AB214" s="249"/>
      <c r="AC214" s="249"/>
      <c r="AD214" s="249"/>
      <c r="AE214" s="249"/>
      <c r="AF214" s="249"/>
      <c r="AG214" s="249"/>
    </row>
    <row r="215" spans="1:179" x14ac:dyDescent="0.35">
      <c r="C215" s="1" t="s">
        <v>120</v>
      </c>
      <c r="F215" s="501">
        <f t="shared" ref="F215:V215" si="263">((DS$108+EV$108)/F$59)*100</f>
        <v>0.82941371994342294</v>
      </c>
      <c r="G215" s="249">
        <f t="shared" si="263"/>
        <v>0.90690409207161127</v>
      </c>
      <c r="H215" s="249">
        <f t="shared" si="263"/>
        <v>0.33270837227414324</v>
      </c>
      <c r="I215" s="1242">
        <f t="shared" si="263"/>
        <v>0.35170001126852912</v>
      </c>
      <c r="J215" s="419">
        <f t="shared" si="263"/>
        <v>0.89578208486118394</v>
      </c>
      <c r="K215" s="249">
        <f t="shared" si="263"/>
        <v>1.0464727530490174</v>
      </c>
      <c r="L215" s="249">
        <f t="shared" si="263"/>
        <v>1.0429045625673741</v>
      </c>
      <c r="M215" s="249">
        <f t="shared" si="263"/>
        <v>0.97606443074978277</v>
      </c>
      <c r="N215" s="249">
        <f t="shared" si="263"/>
        <v>0.98048598435462841</v>
      </c>
      <c r="O215" s="249">
        <f t="shared" si="263"/>
        <v>0.94929176249616676</v>
      </c>
      <c r="P215" s="249">
        <f t="shared" si="263"/>
        <v>0.93155901501225502</v>
      </c>
      <c r="Q215" s="249">
        <f t="shared" si="263"/>
        <v>0.93329662398137381</v>
      </c>
      <c r="R215" s="1242">
        <f t="shared" si="263"/>
        <v>1.0176320787695174</v>
      </c>
      <c r="S215" s="419" t="e">
        <f t="shared" si="263"/>
        <v>#DIV/0!</v>
      </c>
      <c r="T215" s="249" t="e">
        <f t="shared" si="263"/>
        <v>#DIV/0!</v>
      </c>
      <c r="U215" s="249" t="e">
        <f t="shared" si="263"/>
        <v>#DIV/0!</v>
      </c>
      <c r="V215" s="249" t="e">
        <f t="shared" si="263"/>
        <v>#DIV/0!</v>
      </c>
      <c r="W215" s="249" t="e">
        <f t="shared" ref="W215:AG215" si="264">((EU$108+FX$108)/W$59)*100</f>
        <v>#VALUE!</v>
      </c>
      <c r="X215" s="1242" t="e">
        <f t="shared" si="264"/>
        <v>#DIV/0!</v>
      </c>
      <c r="Y215" s="419" t="e">
        <f t="shared" si="264"/>
        <v>#DIV/0!</v>
      </c>
      <c r="Z215" s="249" t="e">
        <f t="shared" si="264"/>
        <v>#DIV/0!</v>
      </c>
      <c r="AA215" s="249" t="e">
        <f t="shared" si="264"/>
        <v>#DIV/0!</v>
      </c>
      <c r="AB215" s="249" t="e">
        <f t="shared" si="264"/>
        <v>#DIV/0!</v>
      </c>
      <c r="AC215" s="249" t="e">
        <f t="shared" si="264"/>
        <v>#DIV/0!</v>
      </c>
      <c r="AD215" s="249" t="e">
        <f t="shared" si="264"/>
        <v>#DIV/0!</v>
      </c>
      <c r="AE215" s="249" t="e">
        <f t="shared" si="264"/>
        <v>#DIV/0!</v>
      </c>
      <c r="AF215" s="249" t="e">
        <f t="shared" si="264"/>
        <v>#DIV/0!</v>
      </c>
      <c r="AG215" s="249" t="e">
        <f t="shared" si="264"/>
        <v>#DIV/0!</v>
      </c>
    </row>
    <row r="216" spans="1:179" x14ac:dyDescent="0.35">
      <c r="C216" s="444" t="s">
        <v>590</v>
      </c>
      <c r="F216" s="501" t="e">
        <f>F215/F137</f>
        <v>#DIV/0!</v>
      </c>
      <c r="G216" s="249" t="e">
        <f t="shared" ref="G216:U216" si="265">G215/G137</f>
        <v>#DIV/0!</v>
      </c>
      <c r="H216" s="249" t="e">
        <f t="shared" si="265"/>
        <v>#DIV/0!</v>
      </c>
      <c r="I216" s="1242" t="e">
        <f t="shared" si="265"/>
        <v>#DIV/0!</v>
      </c>
      <c r="J216" s="419" t="e">
        <f>J215/J137-0.3</f>
        <v>#DIV/0!</v>
      </c>
      <c r="K216" s="249" t="e">
        <f t="shared" si="265"/>
        <v>#DIV/0!</v>
      </c>
      <c r="L216" s="249" t="e">
        <f t="shared" si="265"/>
        <v>#DIV/0!</v>
      </c>
      <c r="M216" s="249" t="e">
        <f t="shared" si="265"/>
        <v>#DIV/0!</v>
      </c>
      <c r="N216" s="249" t="e">
        <f t="shared" si="265"/>
        <v>#DIV/0!</v>
      </c>
      <c r="O216" s="249" t="e">
        <f t="shared" si="265"/>
        <v>#DIV/0!</v>
      </c>
      <c r="P216" s="249" t="e">
        <f t="shared" si="265"/>
        <v>#DIV/0!</v>
      </c>
      <c r="Q216" s="249" t="e">
        <f t="shared" si="265"/>
        <v>#DIV/0!</v>
      </c>
      <c r="R216" s="1242" t="e">
        <f t="shared" si="265"/>
        <v>#DIV/0!</v>
      </c>
      <c r="S216" s="419" t="e">
        <f t="shared" si="265"/>
        <v>#DIV/0!</v>
      </c>
      <c r="T216" s="249" t="e">
        <f t="shared" si="265"/>
        <v>#DIV/0!</v>
      </c>
      <c r="U216" s="249" t="e">
        <f t="shared" si="265"/>
        <v>#DIV/0!</v>
      </c>
    </row>
    <row r="217" spans="1:179" x14ac:dyDescent="0.35">
      <c r="C217" s="1" t="s">
        <v>588</v>
      </c>
      <c r="F217" s="501">
        <v>0.4</v>
      </c>
      <c r="G217" s="249">
        <v>0.4</v>
      </c>
      <c r="H217" s="249">
        <v>0.4</v>
      </c>
      <c r="I217" s="1242">
        <v>0.4</v>
      </c>
      <c r="J217" s="419">
        <v>0.89</v>
      </c>
      <c r="K217" s="249">
        <v>0.89</v>
      </c>
      <c r="L217" s="249">
        <v>0.89</v>
      </c>
      <c r="M217" s="249">
        <v>0.84</v>
      </c>
      <c r="N217" s="249">
        <v>0.9</v>
      </c>
      <c r="O217" s="249">
        <v>0.9</v>
      </c>
      <c r="P217" s="249">
        <v>0.9</v>
      </c>
      <c r="Q217" s="249">
        <v>0.89</v>
      </c>
      <c r="R217" s="1242">
        <v>0.89</v>
      </c>
      <c r="S217" s="419">
        <v>0.89</v>
      </c>
      <c r="T217" s="249">
        <v>0.9</v>
      </c>
      <c r="U217" s="249">
        <v>0.9</v>
      </c>
      <c r="V217" s="249"/>
      <c r="W217" s="249"/>
      <c r="X217" s="1242"/>
      <c r="Y217" s="419"/>
      <c r="Z217" s="249"/>
      <c r="AA217" s="249"/>
      <c r="AB217" s="249"/>
      <c r="AC217" s="249"/>
      <c r="AD217" s="249"/>
      <c r="AE217" s="249"/>
      <c r="AF217" s="249"/>
      <c r="AG217" s="249"/>
    </row>
    <row r="218" spans="1:179" x14ac:dyDescent="0.35">
      <c r="C218" s="1" t="s">
        <v>121</v>
      </c>
      <c r="F218" s="501">
        <f>(EV$109+DS$109)/F$59*100</f>
        <v>0.95866976340491183</v>
      </c>
      <c r="G218" s="249">
        <f>(EW$109+DT$109)/G$59*100</f>
        <v>0.96993350383631738</v>
      </c>
      <c r="H218" s="249">
        <f>(EX$109+DU$109)/H$59*100</f>
        <v>0.33849939641744542</v>
      </c>
      <c r="I218" s="1242">
        <f>(EY$109+DV$109)/I$59*100</f>
        <v>0.35569905856561873</v>
      </c>
      <c r="J218" s="419">
        <f>(EZ$109+DW$109)/J$59*100-0.2</f>
        <v>0.69684195165756213</v>
      </c>
      <c r="K218" s="249">
        <f t="shared" ref="K218:V218" si="266">(FA$109+DX$109)/K$59*100</f>
        <v>1.091644624407675</v>
      </c>
      <c r="L218" s="249">
        <f t="shared" si="266"/>
        <v>1.1291055374654189</v>
      </c>
      <c r="M218" s="249">
        <f t="shared" si="266"/>
        <v>1.0548490163545863</v>
      </c>
      <c r="N218" s="249">
        <f t="shared" si="266"/>
        <v>1.0399608865710561</v>
      </c>
      <c r="O218" s="249">
        <f t="shared" si="266"/>
        <v>1.0752879101502608</v>
      </c>
      <c r="P218" s="249">
        <f t="shared" si="266"/>
        <v>0.94848839613970592</v>
      </c>
      <c r="Q218" s="249">
        <f t="shared" si="266"/>
        <v>0.9845807334109431</v>
      </c>
      <c r="R218" s="1242">
        <f t="shared" si="266"/>
        <v>1.1129492833838266</v>
      </c>
      <c r="S218" s="419" t="e">
        <f t="shared" si="266"/>
        <v>#DIV/0!</v>
      </c>
      <c r="T218" s="249" t="e">
        <f t="shared" si="266"/>
        <v>#DIV/0!</v>
      </c>
      <c r="U218" s="249" t="e">
        <f t="shared" si="266"/>
        <v>#DIV/0!</v>
      </c>
      <c r="V218" s="249" t="e">
        <f t="shared" si="266"/>
        <v>#DIV/0!</v>
      </c>
      <c r="W218" s="249" t="e">
        <f t="shared" ref="W218:AG218" si="267">(FX$109+EU$109)/W$59*100</f>
        <v>#VALUE!</v>
      </c>
      <c r="X218" s="1242" t="e">
        <f t="shared" si="267"/>
        <v>#DIV/0!</v>
      </c>
      <c r="Y218" s="419" t="e">
        <f t="shared" si="267"/>
        <v>#DIV/0!</v>
      </c>
      <c r="Z218" s="249" t="e">
        <f t="shared" si="267"/>
        <v>#DIV/0!</v>
      </c>
      <c r="AA218" s="249" t="e">
        <f t="shared" si="267"/>
        <v>#DIV/0!</v>
      </c>
      <c r="AB218" s="249" t="e">
        <f t="shared" si="267"/>
        <v>#DIV/0!</v>
      </c>
      <c r="AC218" s="249" t="e">
        <f t="shared" si="267"/>
        <v>#DIV/0!</v>
      </c>
      <c r="AD218" s="249" t="e">
        <f t="shared" si="267"/>
        <v>#DIV/0!</v>
      </c>
      <c r="AE218" s="249" t="e">
        <f t="shared" si="267"/>
        <v>#DIV/0!</v>
      </c>
      <c r="AF218" s="249" t="e">
        <f t="shared" si="267"/>
        <v>#DIV/0!</v>
      </c>
      <c r="AG218" s="249" t="e">
        <f t="shared" si="267"/>
        <v>#DIV/0!</v>
      </c>
    </row>
    <row r="219" spans="1:179" x14ac:dyDescent="0.35">
      <c r="C219" s="444" t="s">
        <v>592</v>
      </c>
      <c r="F219" s="501" t="e">
        <f>F218/F137</f>
        <v>#DIV/0!</v>
      </c>
      <c r="G219" s="249" t="e">
        <f t="shared" ref="G219:U219" si="268">G218/G137</f>
        <v>#DIV/0!</v>
      </c>
      <c r="H219" s="249" t="e">
        <f t="shared" si="268"/>
        <v>#DIV/0!</v>
      </c>
      <c r="I219" s="1242" t="e">
        <f t="shared" si="268"/>
        <v>#DIV/0!</v>
      </c>
      <c r="J219" s="419" t="e">
        <f>J218/J137</f>
        <v>#DIV/0!</v>
      </c>
      <c r="K219" s="249" t="e">
        <f t="shared" si="268"/>
        <v>#DIV/0!</v>
      </c>
      <c r="L219" s="249" t="e">
        <f t="shared" si="268"/>
        <v>#DIV/0!</v>
      </c>
      <c r="M219" s="249" t="e">
        <f t="shared" si="268"/>
        <v>#DIV/0!</v>
      </c>
      <c r="N219" s="249" t="e">
        <f t="shared" si="268"/>
        <v>#DIV/0!</v>
      </c>
      <c r="O219" s="249" t="e">
        <f t="shared" si="268"/>
        <v>#DIV/0!</v>
      </c>
      <c r="P219" s="249" t="e">
        <f t="shared" si="268"/>
        <v>#DIV/0!</v>
      </c>
      <c r="Q219" s="249" t="e">
        <f t="shared" si="268"/>
        <v>#DIV/0!</v>
      </c>
      <c r="R219" s="1242" t="e">
        <f t="shared" si="268"/>
        <v>#DIV/0!</v>
      </c>
      <c r="S219" s="419" t="e">
        <f t="shared" si="268"/>
        <v>#DIV/0!</v>
      </c>
      <c r="T219" s="249" t="e">
        <f t="shared" si="268"/>
        <v>#DIV/0!</v>
      </c>
      <c r="U219" s="249" t="e">
        <f t="shared" si="268"/>
        <v>#DIV/0!</v>
      </c>
      <c r="V219" s="249"/>
      <c r="W219" s="249"/>
      <c r="X219" s="1242"/>
      <c r="Y219" s="419"/>
      <c r="Z219" s="249"/>
      <c r="AA219" s="249"/>
      <c r="AB219" s="249"/>
      <c r="AC219" s="249"/>
      <c r="AD219" s="249"/>
      <c r="AE219" s="249"/>
      <c r="AF219" s="249"/>
      <c r="AG219" s="249"/>
    </row>
    <row r="220" spans="1:179" x14ac:dyDescent="0.35">
      <c r="C220" s="1" t="s">
        <v>594</v>
      </c>
      <c r="F220" s="501">
        <v>0.5</v>
      </c>
      <c r="G220" s="249">
        <v>0.5</v>
      </c>
      <c r="H220" s="249">
        <v>0.5</v>
      </c>
      <c r="I220" s="1242">
        <v>0.5</v>
      </c>
      <c r="J220" s="419">
        <v>0.92</v>
      </c>
      <c r="K220" s="249">
        <v>0.95</v>
      </c>
      <c r="L220" s="249">
        <v>1</v>
      </c>
      <c r="M220" s="249">
        <v>0.95</v>
      </c>
      <c r="N220" s="249">
        <v>1.2</v>
      </c>
      <c r="O220" s="249">
        <v>1.1000000000000001</v>
      </c>
      <c r="P220" s="249">
        <v>1.1000000000000001</v>
      </c>
      <c r="Q220" s="249">
        <v>0.95</v>
      </c>
      <c r="R220" s="1242">
        <v>0.95</v>
      </c>
      <c r="S220" s="419">
        <v>1.1000000000000001</v>
      </c>
      <c r="T220" s="249">
        <v>1.1000000000000001</v>
      </c>
      <c r="U220" s="249">
        <v>1.1000000000000001</v>
      </c>
      <c r="V220" s="249"/>
      <c r="W220" s="249"/>
      <c r="X220" s="1242"/>
      <c r="Y220" s="419"/>
      <c r="Z220" s="249"/>
      <c r="AA220" s="249"/>
      <c r="AB220" s="249"/>
      <c r="AC220" s="249"/>
      <c r="AD220" s="249"/>
      <c r="AE220" s="249"/>
      <c r="AF220" s="249"/>
      <c r="AG220" s="249"/>
    </row>
    <row r="221" spans="1:179" x14ac:dyDescent="0.35">
      <c r="C221" s="1" t="s">
        <v>122</v>
      </c>
      <c r="F221" s="501">
        <f t="shared" ref="F221:V221" si="269">((DS$120+EV$120)/F$59)*100</f>
        <v>0.96489906133470504</v>
      </c>
      <c r="G221" s="249">
        <f t="shared" si="269"/>
        <v>0.88936253196930959</v>
      </c>
      <c r="H221" s="249">
        <f t="shared" si="269"/>
        <v>0.22451724753374866</v>
      </c>
      <c r="I221" s="1242">
        <f t="shared" si="269"/>
        <v>0.23371804262235751</v>
      </c>
      <c r="J221" s="419">
        <f t="shared" si="269"/>
        <v>0.56217372595973958</v>
      </c>
      <c r="K221" s="249">
        <f t="shared" si="269"/>
        <v>0.69101915507910616</v>
      </c>
      <c r="L221" s="249">
        <f t="shared" si="269"/>
        <v>0.73453145500350914</v>
      </c>
      <c r="M221" s="249">
        <f t="shared" si="269"/>
        <v>0.76770264642753683</v>
      </c>
      <c r="N221" s="249">
        <f t="shared" si="269"/>
        <v>0.68259620817036071</v>
      </c>
      <c r="O221" s="249">
        <f t="shared" si="269"/>
        <v>0.76731025758969662</v>
      </c>
      <c r="P221" s="249">
        <f t="shared" si="269"/>
        <v>0.58650645935457535</v>
      </c>
      <c r="Q221" s="249">
        <f t="shared" si="269"/>
        <v>0.6504152923295824</v>
      </c>
      <c r="R221" s="1242">
        <f t="shared" si="269"/>
        <v>0.75872652547968622</v>
      </c>
      <c r="S221" s="419" t="e">
        <f t="shared" si="269"/>
        <v>#DIV/0!</v>
      </c>
      <c r="T221" s="249" t="e">
        <f t="shared" si="269"/>
        <v>#DIV/0!</v>
      </c>
      <c r="U221" s="249" t="e">
        <f t="shared" si="269"/>
        <v>#DIV/0!</v>
      </c>
      <c r="V221" s="249" t="e">
        <f t="shared" si="269"/>
        <v>#DIV/0!</v>
      </c>
      <c r="W221" s="249" t="e">
        <f t="shared" ref="W221:AG221" si="270">((EU$120+FX$120)/W$59)*100</f>
        <v>#VALUE!</v>
      </c>
      <c r="X221" s="1242" t="e">
        <f t="shared" si="270"/>
        <v>#DIV/0!</v>
      </c>
      <c r="Y221" s="419" t="e">
        <f t="shared" si="270"/>
        <v>#DIV/0!</v>
      </c>
      <c r="Z221" s="249" t="e">
        <f t="shared" si="270"/>
        <v>#DIV/0!</v>
      </c>
      <c r="AA221" s="249" t="e">
        <f t="shared" si="270"/>
        <v>#DIV/0!</v>
      </c>
      <c r="AB221" s="249" t="e">
        <f t="shared" si="270"/>
        <v>#DIV/0!</v>
      </c>
      <c r="AC221" s="249" t="e">
        <f t="shared" si="270"/>
        <v>#DIV/0!</v>
      </c>
      <c r="AD221" s="249" t="e">
        <f t="shared" si="270"/>
        <v>#DIV/0!</v>
      </c>
      <c r="AE221" s="249" t="e">
        <f t="shared" si="270"/>
        <v>#DIV/0!</v>
      </c>
      <c r="AF221" s="249" t="e">
        <f t="shared" si="270"/>
        <v>#DIV/0!</v>
      </c>
      <c r="AG221" s="249" t="e">
        <f t="shared" si="270"/>
        <v>#DIV/0!</v>
      </c>
    </row>
    <row r="222" spans="1:179" x14ac:dyDescent="0.35">
      <c r="C222" s="1" t="s">
        <v>591</v>
      </c>
      <c r="F222" s="501" t="e">
        <f t="shared" ref="F222:U222" si="271">F221/F137</f>
        <v>#DIV/0!</v>
      </c>
      <c r="G222" s="249" t="e">
        <f t="shared" si="271"/>
        <v>#DIV/0!</v>
      </c>
      <c r="H222" s="249" t="e">
        <f t="shared" si="271"/>
        <v>#DIV/0!</v>
      </c>
      <c r="I222" s="1242" t="e">
        <f t="shared" si="271"/>
        <v>#DIV/0!</v>
      </c>
      <c r="J222" s="419" t="e">
        <f t="shared" si="271"/>
        <v>#DIV/0!</v>
      </c>
      <c r="K222" s="249" t="e">
        <f t="shared" si="271"/>
        <v>#DIV/0!</v>
      </c>
      <c r="L222" s="249" t="e">
        <f t="shared" si="271"/>
        <v>#DIV/0!</v>
      </c>
      <c r="M222" s="249" t="e">
        <f t="shared" si="271"/>
        <v>#DIV/0!</v>
      </c>
      <c r="N222" s="249" t="e">
        <f t="shared" si="271"/>
        <v>#DIV/0!</v>
      </c>
      <c r="O222" s="249" t="e">
        <f t="shared" si="271"/>
        <v>#DIV/0!</v>
      </c>
      <c r="P222" s="249" t="e">
        <f t="shared" si="271"/>
        <v>#DIV/0!</v>
      </c>
      <c r="Q222" s="249" t="e">
        <f t="shared" si="271"/>
        <v>#DIV/0!</v>
      </c>
      <c r="R222" s="1242" t="e">
        <f t="shared" si="271"/>
        <v>#DIV/0!</v>
      </c>
      <c r="S222" s="419" t="e">
        <f t="shared" si="271"/>
        <v>#DIV/0!</v>
      </c>
      <c r="T222" s="249" t="e">
        <f t="shared" si="271"/>
        <v>#DIV/0!</v>
      </c>
      <c r="U222" s="249" t="e">
        <f t="shared" si="271"/>
        <v>#DIV/0!</v>
      </c>
      <c r="V222" s="249"/>
      <c r="W222" s="249"/>
      <c r="X222" s="1242"/>
      <c r="Y222" s="419"/>
      <c r="Z222" s="249"/>
      <c r="AA222" s="249"/>
      <c r="AB222" s="249"/>
      <c r="AC222" s="249"/>
      <c r="AD222" s="249"/>
      <c r="AE222" s="249"/>
      <c r="AF222" s="249"/>
      <c r="AG222" s="249"/>
    </row>
    <row r="223" spans="1:179" x14ac:dyDescent="0.35">
      <c r="C223" s="1" t="s">
        <v>589</v>
      </c>
      <c r="F223" s="501">
        <v>0.4</v>
      </c>
      <c r="G223" s="249">
        <v>0.4</v>
      </c>
      <c r="H223" s="249">
        <v>0.4</v>
      </c>
      <c r="I223" s="1242">
        <v>0.4</v>
      </c>
      <c r="J223" s="419">
        <v>0.8</v>
      </c>
      <c r="K223" s="249">
        <v>0.81</v>
      </c>
      <c r="L223" s="249">
        <v>0.92</v>
      </c>
      <c r="M223" s="249">
        <v>0.83</v>
      </c>
      <c r="N223" s="249">
        <v>1</v>
      </c>
      <c r="O223" s="249">
        <v>0.89</v>
      </c>
      <c r="P223" s="249">
        <v>0.9</v>
      </c>
      <c r="Q223" s="249">
        <v>0.75</v>
      </c>
      <c r="R223" s="1242">
        <v>0.75</v>
      </c>
      <c r="S223" s="419">
        <v>0.8</v>
      </c>
      <c r="T223" s="249">
        <v>0.9</v>
      </c>
      <c r="U223" s="249">
        <v>0.9</v>
      </c>
      <c r="V223" s="249"/>
      <c r="W223" s="249"/>
      <c r="X223" s="1242"/>
      <c r="Y223" s="419"/>
      <c r="Z223" s="249"/>
      <c r="AA223" s="249"/>
      <c r="AB223" s="249"/>
      <c r="AC223" s="249"/>
      <c r="AD223" s="249"/>
      <c r="AE223" s="249"/>
      <c r="AF223" s="249"/>
      <c r="AG223" s="249"/>
    </row>
    <row r="224" spans="1:179" x14ac:dyDescent="0.35">
      <c r="C224" s="1" t="s">
        <v>123</v>
      </c>
      <c r="F224" s="501">
        <f t="shared" ref="F224:V224" si="272">((DS$111+EV$111)/F$59)*100</f>
        <v>0.62080098366979553</v>
      </c>
      <c r="G224" s="249">
        <f t="shared" si="272"/>
        <v>0.45353324808184148</v>
      </c>
      <c r="H224" s="249">
        <f t="shared" si="272"/>
        <v>0.19273006230529593</v>
      </c>
      <c r="I224" s="1242">
        <f t="shared" si="272"/>
        <v>0.19647922493008393</v>
      </c>
      <c r="J224" s="419">
        <f t="shared" si="272"/>
        <v>0.4193148245154531</v>
      </c>
      <c r="K224" s="249">
        <f t="shared" si="272"/>
        <v>0.49548580361997979</v>
      </c>
      <c r="L224" s="249">
        <f t="shared" si="272"/>
        <v>0.5118903894711696</v>
      </c>
      <c r="M224" s="249">
        <f t="shared" si="272"/>
        <v>0.73669529706881565</v>
      </c>
      <c r="N224" s="249">
        <f t="shared" si="272"/>
        <v>0.54833021512385915</v>
      </c>
      <c r="O224" s="249">
        <f t="shared" si="272"/>
        <v>0.60118753833180016</v>
      </c>
      <c r="P224" s="249">
        <f t="shared" si="272"/>
        <v>0.52298223039215697</v>
      </c>
      <c r="Q224" s="249">
        <f t="shared" si="272"/>
        <v>0.58962066356228171</v>
      </c>
      <c r="R224" s="1242">
        <f t="shared" si="272"/>
        <v>0.62813959450011647</v>
      </c>
      <c r="S224" s="419" t="e">
        <f t="shared" si="272"/>
        <v>#DIV/0!</v>
      </c>
      <c r="T224" s="249" t="e">
        <f t="shared" si="272"/>
        <v>#DIV/0!</v>
      </c>
      <c r="U224" s="249" t="e">
        <f t="shared" si="272"/>
        <v>#DIV/0!</v>
      </c>
      <c r="V224" s="249" t="e">
        <f t="shared" si="272"/>
        <v>#DIV/0!</v>
      </c>
      <c r="W224" s="249" t="e">
        <f t="shared" ref="W224:AG224" si="273">((EU$111+FX$111)/W$59)*100</f>
        <v>#VALUE!</v>
      </c>
      <c r="X224" s="1242" t="e">
        <f t="shared" si="273"/>
        <v>#DIV/0!</v>
      </c>
      <c r="Y224" s="419" t="e">
        <f t="shared" si="273"/>
        <v>#DIV/0!</v>
      </c>
      <c r="Z224" s="249" t="e">
        <f t="shared" si="273"/>
        <v>#DIV/0!</v>
      </c>
      <c r="AA224" s="249" t="e">
        <f t="shared" si="273"/>
        <v>#DIV/0!</v>
      </c>
      <c r="AB224" s="249" t="e">
        <f t="shared" si="273"/>
        <v>#DIV/0!</v>
      </c>
      <c r="AC224" s="249" t="e">
        <f t="shared" si="273"/>
        <v>#DIV/0!</v>
      </c>
      <c r="AD224" s="249" t="e">
        <f t="shared" si="273"/>
        <v>#DIV/0!</v>
      </c>
      <c r="AE224" s="249" t="e">
        <f t="shared" si="273"/>
        <v>#DIV/0!</v>
      </c>
      <c r="AF224" s="249" t="e">
        <f t="shared" si="273"/>
        <v>#DIV/0!</v>
      </c>
      <c r="AG224" s="249" t="e">
        <f t="shared" si="273"/>
        <v>#DIV/0!</v>
      </c>
    </row>
    <row r="225" spans="1:179" x14ac:dyDescent="0.35">
      <c r="C225" s="444" t="s">
        <v>124</v>
      </c>
      <c r="F225" s="501">
        <f t="shared" ref="F225:V225" si="274">((DS$122+EV$122)/F$59)*100</f>
        <v>0.38786331490291887</v>
      </c>
      <c r="G225" s="249">
        <f t="shared" si="274"/>
        <v>0.71810118360792263</v>
      </c>
      <c r="H225" s="249">
        <f t="shared" si="274"/>
        <v>0.15745073896978914</v>
      </c>
      <c r="I225" s="1242">
        <f t="shared" si="274"/>
        <v>8.4779695492421633E-2</v>
      </c>
      <c r="J225" s="419">
        <f t="shared" si="274"/>
        <v>0.43622088063361353</v>
      </c>
      <c r="K225" s="249">
        <f t="shared" si="274"/>
        <v>0.44701744592521941</v>
      </c>
      <c r="L225" s="249">
        <f t="shared" si="274"/>
        <v>0.41957795607130488</v>
      </c>
      <c r="M225" s="249">
        <f t="shared" si="274"/>
        <v>0.31967149991456151</v>
      </c>
      <c r="N225" s="249">
        <f t="shared" si="274"/>
        <v>0.27391619114035359</v>
      </c>
      <c r="O225" s="249">
        <f t="shared" si="274"/>
        <v>0.45228779604629782</v>
      </c>
      <c r="P225" s="249">
        <f t="shared" si="274"/>
        <v>0.41235405266757863</v>
      </c>
      <c r="Q225" s="249">
        <f t="shared" si="274"/>
        <v>0.61882821019573875</v>
      </c>
      <c r="R225" s="1242">
        <f t="shared" si="274"/>
        <v>0.56490695235566057</v>
      </c>
      <c r="S225" s="419" t="e">
        <f t="shared" si="274"/>
        <v>#DIV/0!</v>
      </c>
      <c r="T225" s="249" t="e">
        <f t="shared" si="274"/>
        <v>#DIV/0!</v>
      </c>
      <c r="U225" s="249" t="e">
        <f t="shared" si="274"/>
        <v>#DIV/0!</v>
      </c>
      <c r="V225" s="249" t="e">
        <f t="shared" si="274"/>
        <v>#DIV/0!</v>
      </c>
      <c r="W225" s="249" t="e">
        <f t="shared" ref="W225:AG225" si="275">((EU$122+FX$122)/W$59)*100</f>
        <v>#VALUE!</v>
      </c>
      <c r="X225" s="1242" t="e">
        <f t="shared" si="275"/>
        <v>#DIV/0!</v>
      </c>
      <c r="Y225" s="419" t="e">
        <f t="shared" si="275"/>
        <v>#DIV/0!</v>
      </c>
      <c r="Z225" s="249" t="e">
        <f t="shared" si="275"/>
        <v>#DIV/0!</v>
      </c>
      <c r="AA225" s="249" t="e">
        <f t="shared" si="275"/>
        <v>#DIV/0!</v>
      </c>
      <c r="AB225" s="249" t="e">
        <f t="shared" si="275"/>
        <v>#DIV/0!</v>
      </c>
      <c r="AC225" s="249" t="e">
        <f t="shared" si="275"/>
        <v>#DIV/0!</v>
      </c>
      <c r="AD225" s="249" t="e">
        <f t="shared" si="275"/>
        <v>#DIV/0!</v>
      </c>
      <c r="AE225" s="249" t="e">
        <f t="shared" si="275"/>
        <v>#DIV/0!</v>
      </c>
      <c r="AF225" s="249" t="e">
        <f t="shared" si="275"/>
        <v>#DIV/0!</v>
      </c>
      <c r="AG225" s="249" t="e">
        <f t="shared" si="275"/>
        <v>#DIV/0!</v>
      </c>
      <c r="AJ225" s="232" t="s">
        <v>832</v>
      </c>
      <c r="AK225" s="232" t="s">
        <v>833</v>
      </c>
      <c r="AN225" s="232" t="s">
        <v>872</v>
      </c>
      <c r="AO225" s="232" t="s">
        <v>832</v>
      </c>
      <c r="AP225" s="232" t="s">
        <v>833</v>
      </c>
    </row>
    <row r="226" spans="1:179" x14ac:dyDescent="0.35">
      <c r="C226" s="1" t="s">
        <v>109</v>
      </c>
      <c r="F226" s="501" t="e">
        <f t="shared" ref="F226:V226" si="276">($K$113/$G$113)*(F193/F$59)*100</f>
        <v>#DIV/0!</v>
      </c>
      <c r="G226" s="249" t="e">
        <f t="shared" si="276"/>
        <v>#DIV/0!</v>
      </c>
      <c r="H226" s="249" t="e">
        <f t="shared" si="276"/>
        <v>#DIV/0!</v>
      </c>
      <c r="I226" s="1242" t="e">
        <f t="shared" si="276"/>
        <v>#DIV/0!</v>
      </c>
      <c r="J226" s="419" t="e">
        <f>($K$113/$G$113)*(J193/J$59)*100-0.2</f>
        <v>#DIV/0!</v>
      </c>
      <c r="K226" s="249" t="e">
        <f t="shared" si="276"/>
        <v>#DIV/0!</v>
      </c>
      <c r="L226" s="249" t="e">
        <f t="shared" si="276"/>
        <v>#DIV/0!</v>
      </c>
      <c r="M226" s="249" t="e">
        <f t="shared" si="276"/>
        <v>#DIV/0!</v>
      </c>
      <c r="N226" s="249" t="e">
        <f t="shared" si="276"/>
        <v>#DIV/0!</v>
      </c>
      <c r="O226" s="249" t="e">
        <f t="shared" si="276"/>
        <v>#DIV/0!</v>
      </c>
      <c r="P226" s="249" t="e">
        <f t="shared" si="276"/>
        <v>#DIV/0!</v>
      </c>
      <c r="Q226" s="249" t="e">
        <f t="shared" si="276"/>
        <v>#DIV/0!</v>
      </c>
      <c r="R226" s="1242" t="e">
        <f t="shared" si="276"/>
        <v>#DIV/0!</v>
      </c>
      <c r="S226" s="419" t="e">
        <f t="shared" si="276"/>
        <v>#DIV/0!</v>
      </c>
      <c r="T226" s="249" t="e">
        <f t="shared" si="276"/>
        <v>#DIV/0!</v>
      </c>
      <c r="U226" s="249" t="e">
        <f t="shared" si="276"/>
        <v>#DIV/0!</v>
      </c>
      <c r="V226" s="249" t="e">
        <f t="shared" si="276"/>
        <v>#DIV/0!</v>
      </c>
      <c r="W226" s="249" t="e">
        <f t="shared" ref="W226:X226" si="277">($K$113/$G$113)*(W193/W$59)*100</f>
        <v>#DIV/0!</v>
      </c>
      <c r="X226" s="1242" t="e">
        <f t="shared" si="277"/>
        <v>#DIV/0!</v>
      </c>
      <c r="Y226" s="419" t="e">
        <f t="shared" ref="Y226:AD226" si="278">($K$113/$G$113)*(Y193/Y$59)*100</f>
        <v>#DIV/0!</v>
      </c>
      <c r="Z226" s="249" t="e">
        <f t="shared" si="278"/>
        <v>#DIV/0!</v>
      </c>
      <c r="AA226" s="249" t="e">
        <f t="shared" si="278"/>
        <v>#DIV/0!</v>
      </c>
      <c r="AB226" s="249" t="e">
        <f t="shared" si="278"/>
        <v>#DIV/0!</v>
      </c>
      <c r="AC226" s="249" t="e">
        <f t="shared" si="278"/>
        <v>#DIV/0!</v>
      </c>
      <c r="AD226" s="249" t="e">
        <f t="shared" si="278"/>
        <v>#DIV/0!</v>
      </c>
      <c r="AE226" s="249" t="e">
        <f t="shared" ref="AE226:AG226" si="279">($K$113/$G$113)*(AE193/AE$59)*100</f>
        <v>#DIV/0!</v>
      </c>
      <c r="AF226" s="249" t="e">
        <f t="shared" si="279"/>
        <v>#DIV/0!</v>
      </c>
      <c r="AG226" s="249" t="e">
        <f t="shared" si="279"/>
        <v>#DIV/0!</v>
      </c>
      <c r="AI226" s="232" t="s">
        <v>135</v>
      </c>
      <c r="AJ226" s="232" t="e">
        <f>AVERAGE(K226:N226)</f>
        <v>#DIV/0!</v>
      </c>
      <c r="AK226" s="232" t="e">
        <f>AVERAGE(Q226:T226)</f>
        <v>#DIV/0!</v>
      </c>
      <c r="AL226" s="1236" t="s">
        <v>295</v>
      </c>
      <c r="AN226" s="232" t="e">
        <f>AVERAGE(H226:I226)</f>
        <v>#DIV/0!</v>
      </c>
      <c r="AO226" s="232" t="e">
        <f>AVERAGE(M226:O226)</f>
        <v>#DIV/0!</v>
      </c>
      <c r="AP226" s="232" t="e">
        <f>AVERAGE(R226:T226)</f>
        <v>#DIV/0!</v>
      </c>
    </row>
    <row r="227" spans="1:179" x14ac:dyDescent="0.35">
      <c r="C227" s="1" t="s">
        <v>593</v>
      </c>
      <c r="F227" s="501">
        <v>4.9000000000000004</v>
      </c>
      <c r="G227" s="249">
        <v>4.5</v>
      </c>
      <c r="H227" s="249">
        <v>4.4000000000000004</v>
      </c>
      <c r="I227" s="1242">
        <v>4.4000000000000004</v>
      </c>
      <c r="J227" s="419">
        <v>5.5</v>
      </c>
      <c r="K227" s="249">
        <v>5.4</v>
      </c>
      <c r="L227" s="249">
        <v>5.3</v>
      </c>
      <c r="M227" s="249">
        <v>5.3</v>
      </c>
      <c r="N227" s="249">
        <v>5.3</v>
      </c>
      <c r="O227" s="249">
        <v>5.3</v>
      </c>
      <c r="P227" s="249">
        <v>3.9</v>
      </c>
      <c r="Q227" s="249">
        <v>3.9</v>
      </c>
      <c r="R227" s="1242">
        <v>3.9</v>
      </c>
      <c r="S227" s="419">
        <v>3.9</v>
      </c>
      <c r="T227" s="249">
        <v>3.9</v>
      </c>
      <c r="U227" s="249">
        <v>3.9</v>
      </c>
      <c r="V227" s="249"/>
      <c r="W227" s="249"/>
      <c r="X227" s="1242"/>
      <c r="Y227" s="419"/>
      <c r="Z227" s="249"/>
      <c r="AA227" s="249"/>
      <c r="AB227" s="249"/>
      <c r="AC227" s="249"/>
      <c r="AD227" s="249"/>
      <c r="AE227" s="249"/>
      <c r="AF227" s="249"/>
      <c r="AG227" s="249"/>
      <c r="AI227" s="232" t="s">
        <v>135</v>
      </c>
      <c r="AJ227" s="232">
        <f>AVERAGE(K227:N227)</f>
        <v>5.3250000000000002</v>
      </c>
      <c r="AK227" s="232">
        <f>AVERAGE(Q227:T227)</f>
        <v>3.9</v>
      </c>
      <c r="AL227" s="1236" t="s">
        <v>608</v>
      </c>
      <c r="AN227" s="947">
        <f>AVERAGE(H227:I227)</f>
        <v>4.4000000000000004</v>
      </c>
      <c r="AO227" s="947">
        <f>AVERAGE(M227:O227)</f>
        <v>5.3</v>
      </c>
      <c r="AP227" s="947">
        <f>AVERAGE(R227:T227)</f>
        <v>3.9</v>
      </c>
    </row>
    <row r="228" spans="1:179" x14ac:dyDescent="0.35">
      <c r="C228" s="1" t="s">
        <v>110</v>
      </c>
      <c r="F228" s="501" t="e">
        <f t="shared" ref="F228:V228" si="280">($K$114/$G$114)*(F196/F$59)*100</f>
        <v>#DIV/0!</v>
      </c>
      <c r="G228" s="249" t="e">
        <f t="shared" si="280"/>
        <v>#DIV/0!</v>
      </c>
      <c r="H228" s="249" t="e">
        <f t="shared" si="280"/>
        <v>#DIV/0!</v>
      </c>
      <c r="I228" s="1242" t="e">
        <f t="shared" si="280"/>
        <v>#DIV/0!</v>
      </c>
      <c r="J228" s="419" t="e">
        <f>($K$114/$G$114)*(J196/J$59)*100-0.2</f>
        <v>#DIV/0!</v>
      </c>
      <c r="K228" s="249" t="e">
        <f t="shared" si="280"/>
        <v>#DIV/0!</v>
      </c>
      <c r="L228" s="249" t="e">
        <f t="shared" si="280"/>
        <v>#DIV/0!</v>
      </c>
      <c r="M228" s="249" t="e">
        <f t="shared" si="280"/>
        <v>#DIV/0!</v>
      </c>
      <c r="N228" s="249" t="e">
        <f t="shared" si="280"/>
        <v>#DIV/0!</v>
      </c>
      <c r="O228" s="249" t="e">
        <f t="shared" si="280"/>
        <v>#DIV/0!</v>
      </c>
      <c r="P228" s="249" t="e">
        <f t="shared" si="280"/>
        <v>#DIV/0!</v>
      </c>
      <c r="Q228" s="249" t="e">
        <f t="shared" si="280"/>
        <v>#DIV/0!</v>
      </c>
      <c r="R228" s="1242" t="e">
        <f t="shared" si="280"/>
        <v>#DIV/0!</v>
      </c>
      <c r="S228" s="419" t="e">
        <f t="shared" si="280"/>
        <v>#DIV/0!</v>
      </c>
      <c r="T228" s="249" t="e">
        <f t="shared" si="280"/>
        <v>#DIV/0!</v>
      </c>
      <c r="U228" s="249" t="e">
        <f t="shared" si="280"/>
        <v>#DIV/0!</v>
      </c>
      <c r="V228" s="249" t="e">
        <f t="shared" si="280"/>
        <v>#DIV/0!</v>
      </c>
      <c r="W228" s="249" t="e">
        <f t="shared" ref="W228:X228" si="281">($K$114/$G$114)*(W196/W$59)*100</f>
        <v>#DIV/0!</v>
      </c>
      <c r="X228" s="1242" t="e">
        <f t="shared" si="281"/>
        <v>#DIV/0!</v>
      </c>
      <c r="Y228" s="419" t="e">
        <f t="shared" ref="Y228:AD228" si="282">($K$114/$G$114)*(Y196/Y$59)*100</f>
        <v>#DIV/0!</v>
      </c>
      <c r="Z228" s="249" t="e">
        <f t="shared" si="282"/>
        <v>#DIV/0!</v>
      </c>
      <c r="AA228" s="249" t="e">
        <f t="shared" si="282"/>
        <v>#DIV/0!</v>
      </c>
      <c r="AB228" s="249" t="e">
        <f t="shared" si="282"/>
        <v>#DIV/0!</v>
      </c>
      <c r="AC228" s="249" t="e">
        <f t="shared" si="282"/>
        <v>#DIV/0!</v>
      </c>
      <c r="AD228" s="249" t="e">
        <f t="shared" si="282"/>
        <v>#DIV/0!</v>
      </c>
      <c r="AE228" s="249" t="e">
        <f t="shared" ref="AE228:AG228" si="283">($K$114/$G$114)*(AE196/AE$59)*100</f>
        <v>#DIV/0!</v>
      </c>
      <c r="AF228" s="249" t="e">
        <f t="shared" si="283"/>
        <v>#DIV/0!</v>
      </c>
      <c r="AG228" s="249" t="e">
        <f t="shared" si="283"/>
        <v>#DIV/0!</v>
      </c>
      <c r="AI228" s="232" t="s">
        <v>136</v>
      </c>
      <c r="AJ228" s="267" t="e">
        <f>AVERAGE(K228:N228)</f>
        <v>#DIV/0!</v>
      </c>
      <c r="AK228" s="267" t="e">
        <f>AVERAGE(Q228:T228)</f>
        <v>#DIV/0!</v>
      </c>
      <c r="AL228" s="1236" t="s">
        <v>295</v>
      </c>
      <c r="AN228" s="916" t="e">
        <f>AVERAGE(G228:I228)</f>
        <v>#DIV/0!</v>
      </c>
      <c r="AO228" s="916" t="e">
        <f>AVERAGE(M228:O228)</f>
        <v>#DIV/0!</v>
      </c>
      <c r="AP228" s="916" t="e">
        <f>AVERAGE(R228:T228)</f>
        <v>#DIV/0!</v>
      </c>
      <c r="BL228" s="249"/>
    </row>
    <row r="229" spans="1:179" x14ac:dyDescent="0.35">
      <c r="C229" s="444" t="s">
        <v>595</v>
      </c>
      <c r="F229" s="501">
        <v>0.2</v>
      </c>
      <c r="G229" s="249">
        <v>0.2</v>
      </c>
      <c r="H229" s="249">
        <v>0.2</v>
      </c>
      <c r="I229" s="1242">
        <v>0.2</v>
      </c>
      <c r="J229" s="419">
        <v>0.3</v>
      </c>
      <c r="K229" s="249">
        <v>0.3</v>
      </c>
      <c r="L229" s="249">
        <v>0.3</v>
      </c>
      <c r="M229" s="249">
        <v>0.3</v>
      </c>
      <c r="N229" s="249">
        <v>0.3</v>
      </c>
      <c r="O229" s="249">
        <v>0.3</v>
      </c>
      <c r="P229" s="249">
        <v>0.3</v>
      </c>
      <c r="Q229" s="249">
        <v>0.3</v>
      </c>
      <c r="R229" s="1242">
        <v>0.3</v>
      </c>
      <c r="S229" s="419">
        <v>0.3</v>
      </c>
      <c r="T229" s="249">
        <v>0.3</v>
      </c>
      <c r="U229" s="249">
        <v>0.3</v>
      </c>
      <c r="V229" s="249"/>
      <c r="W229" s="249"/>
      <c r="X229" s="1242"/>
      <c r="Y229" s="419"/>
      <c r="Z229" s="249"/>
      <c r="AA229" s="249"/>
      <c r="AB229" s="249"/>
      <c r="AC229" s="249"/>
      <c r="AD229" s="249"/>
      <c r="AE229" s="249"/>
      <c r="AF229" s="249"/>
      <c r="AG229" s="249"/>
      <c r="AI229" s="232" t="s">
        <v>136</v>
      </c>
      <c r="AJ229" s="267">
        <f>AVERAGE(K229:N229)</f>
        <v>0.3</v>
      </c>
      <c r="AK229" s="267">
        <f>AVERAGE(Q229:T229)</f>
        <v>0.3</v>
      </c>
      <c r="AL229" s="1236" t="s">
        <v>608</v>
      </c>
      <c r="AN229" s="459">
        <f>AVERAGE(G229:I229)</f>
        <v>0.20000000000000004</v>
      </c>
      <c r="AO229" s="459">
        <f>AVERAGE(M229:O229)</f>
        <v>0.3</v>
      </c>
      <c r="AP229" s="459">
        <f>AVERAGE(R229:T229)</f>
        <v>0.3</v>
      </c>
      <c r="BL229" s="249"/>
    </row>
    <row r="230" spans="1:179" x14ac:dyDescent="0.35">
      <c r="C230" s="1" t="s">
        <v>143</v>
      </c>
      <c r="F230" s="501">
        <f t="shared" ref="F230:V230" si="284">((AI$74+BL$74+CO$74)/F$59)*100</f>
        <v>1.7144791050533619</v>
      </c>
      <c r="G230" s="249">
        <f t="shared" si="284"/>
        <v>1.660514066496164</v>
      </c>
      <c r="H230" s="249">
        <f t="shared" si="284"/>
        <v>1.7208598974558671</v>
      </c>
      <c r="I230" s="1242">
        <f t="shared" si="284"/>
        <v>1.7399279838552713</v>
      </c>
      <c r="J230" s="419">
        <f t="shared" si="284"/>
        <v>1.4699827882960415</v>
      </c>
      <c r="K230" s="249">
        <f t="shared" si="284"/>
        <v>1.7868294362878376</v>
      </c>
      <c r="L230" s="249">
        <f t="shared" si="284"/>
        <v>1.5412109837210834</v>
      </c>
      <c r="M230" s="249">
        <f t="shared" si="284"/>
        <v>1.5851628347949751</v>
      </c>
      <c r="N230" s="249">
        <f t="shared" si="284"/>
        <v>1.4839068640328019</v>
      </c>
      <c r="O230" s="249">
        <f t="shared" si="284"/>
        <v>1.585959234130635</v>
      </c>
      <c r="P230" s="249">
        <f t="shared" si="284"/>
        <v>1.479856924019608</v>
      </c>
      <c r="Q230" s="249">
        <f t="shared" si="284"/>
        <v>1.5375192083818394</v>
      </c>
      <c r="R230" s="1242">
        <f t="shared" si="284"/>
        <v>1.553786413423444</v>
      </c>
      <c r="S230" s="419" t="e">
        <f t="shared" si="284"/>
        <v>#DIV/0!</v>
      </c>
      <c r="T230" s="249" t="e">
        <f t="shared" si="284"/>
        <v>#DIV/0!</v>
      </c>
      <c r="U230" s="249" t="e">
        <f t="shared" si="284"/>
        <v>#DIV/0!</v>
      </c>
      <c r="V230" s="249" t="e">
        <f t="shared" si="284"/>
        <v>#DIV/0!</v>
      </c>
      <c r="W230" s="249" t="e">
        <f t="shared" ref="W230:AG230" si="285">((BK$74+CN$74+DQ$74)/W$59)*100</f>
        <v>#DIV/0!</v>
      </c>
      <c r="X230" s="1242" t="e">
        <f t="shared" si="285"/>
        <v>#DIV/0!</v>
      </c>
      <c r="Y230" s="419" t="e">
        <f t="shared" si="285"/>
        <v>#DIV/0!</v>
      </c>
      <c r="Z230" s="249" t="e">
        <f t="shared" si="285"/>
        <v>#DIV/0!</v>
      </c>
      <c r="AA230" s="249" t="e">
        <f t="shared" si="285"/>
        <v>#DIV/0!</v>
      </c>
      <c r="AB230" s="249" t="e">
        <f t="shared" si="285"/>
        <v>#DIV/0!</v>
      </c>
      <c r="AC230" s="249" t="e">
        <f t="shared" si="285"/>
        <v>#DIV/0!</v>
      </c>
      <c r="AD230" s="249" t="e">
        <f t="shared" si="285"/>
        <v>#DIV/0!</v>
      </c>
      <c r="AE230" s="249" t="e">
        <f t="shared" si="285"/>
        <v>#DIV/0!</v>
      </c>
      <c r="AF230" s="249" t="e">
        <f t="shared" si="285"/>
        <v>#DIV/0!</v>
      </c>
      <c r="AG230" s="249" t="e">
        <f t="shared" si="285"/>
        <v>#DIV/0!</v>
      </c>
      <c r="AJ230" s="267"/>
      <c r="AK230" s="267"/>
      <c r="AN230" s="916"/>
      <c r="AO230" s="916"/>
      <c r="AP230" s="916"/>
    </row>
    <row r="231" spans="1:179" ht="15" thickBot="1" x14ac:dyDescent="0.4">
      <c r="C231" s="444" t="s">
        <v>113</v>
      </c>
      <c r="F231" s="653">
        <f t="shared" ref="F231:V231" si="286">((AI$75+BL$75+CO$75)/F$59)*100</f>
        <v>2.0765889160344608</v>
      </c>
      <c r="G231" s="311">
        <f t="shared" si="286"/>
        <v>2.73193094629156</v>
      </c>
      <c r="H231" s="311">
        <f t="shared" si="286"/>
        <v>2.4168564252336449</v>
      </c>
      <c r="I231" s="1241">
        <f t="shared" si="286"/>
        <v>2.694036899310571</v>
      </c>
      <c r="J231" s="654">
        <f t="shared" si="286"/>
        <v>3.826850258175559</v>
      </c>
      <c r="K231" s="311">
        <f t="shared" si="286"/>
        <v>4.4161608016779308</v>
      </c>
      <c r="L231" s="311">
        <f t="shared" si="286"/>
        <v>4.2224239901654261</v>
      </c>
      <c r="M231" s="311">
        <f t="shared" si="286"/>
        <v>3.9441483763925098</v>
      </c>
      <c r="N231" s="311">
        <f t="shared" si="286"/>
        <v>3.5529655845775228</v>
      </c>
      <c r="O231" s="311">
        <f t="shared" si="286"/>
        <v>3.8831878258203001</v>
      </c>
      <c r="P231" s="311">
        <f t="shared" si="286"/>
        <v>3.3597405024509808</v>
      </c>
      <c r="Q231" s="311">
        <f t="shared" si="286"/>
        <v>3.6646871944121071</v>
      </c>
      <c r="R231" s="1241">
        <f t="shared" si="286"/>
        <v>3.5409534490794683</v>
      </c>
      <c r="S231" s="654" t="e">
        <f t="shared" si="286"/>
        <v>#DIV/0!</v>
      </c>
      <c r="T231" s="311" t="e">
        <f t="shared" si="286"/>
        <v>#DIV/0!</v>
      </c>
      <c r="U231" s="311" t="e">
        <f t="shared" si="286"/>
        <v>#DIV/0!</v>
      </c>
      <c r="V231" s="311" t="e">
        <f t="shared" si="286"/>
        <v>#DIV/0!</v>
      </c>
      <c r="W231" s="311" t="e">
        <f t="shared" ref="W231:AG231" si="287">((BK$75+CN$75+DQ$75)/W$59)*100</f>
        <v>#DIV/0!</v>
      </c>
      <c r="X231" s="1241" t="e">
        <f t="shared" si="287"/>
        <v>#DIV/0!</v>
      </c>
      <c r="Y231" s="654" t="e">
        <f t="shared" si="287"/>
        <v>#DIV/0!</v>
      </c>
      <c r="Z231" s="311" t="e">
        <f t="shared" si="287"/>
        <v>#DIV/0!</v>
      </c>
      <c r="AA231" s="311" t="e">
        <f t="shared" si="287"/>
        <v>#DIV/0!</v>
      </c>
      <c r="AB231" s="311" t="e">
        <f t="shared" si="287"/>
        <v>#DIV/0!</v>
      </c>
      <c r="AC231" s="311" t="e">
        <f t="shared" si="287"/>
        <v>#DIV/0!</v>
      </c>
      <c r="AD231" s="311" t="e">
        <f t="shared" si="287"/>
        <v>#DIV/0!</v>
      </c>
      <c r="AE231" s="311" t="e">
        <f t="shared" si="287"/>
        <v>#DIV/0!</v>
      </c>
      <c r="AF231" s="311" t="e">
        <f t="shared" si="287"/>
        <v>#DIV/0!</v>
      </c>
      <c r="AG231" s="311" t="e">
        <f t="shared" si="287"/>
        <v>#DIV/0!</v>
      </c>
      <c r="AJ231" s="267"/>
      <c r="AK231" s="267"/>
      <c r="AN231" s="459"/>
      <c r="AO231" s="459"/>
      <c r="AP231" s="459"/>
    </row>
    <row r="232" spans="1:179" ht="15" thickTop="1" x14ac:dyDescent="0.35">
      <c r="A232" s="377"/>
      <c r="B232" s="377"/>
      <c r="C232" s="375" t="s">
        <v>114</v>
      </c>
      <c r="D232" s="375"/>
      <c r="E232" s="375"/>
      <c r="F232" s="1332">
        <f t="shared" ref="F232:V232" si="288">((AI$76+BL$76+CO$76)/F$59)*100</f>
        <v>4.1111472290086146</v>
      </c>
      <c r="G232" s="1333">
        <f t="shared" si="288"/>
        <v>5.2463989769820989</v>
      </c>
      <c r="H232" s="1333">
        <f t="shared" si="288"/>
        <v>4.8053614096573209</v>
      </c>
      <c r="I232" s="1334">
        <f t="shared" si="288"/>
        <v>5.5852991794462037</v>
      </c>
      <c r="J232" s="1335">
        <f t="shared" si="288"/>
        <v>11.402444061962132</v>
      </c>
      <c r="K232" s="1336">
        <f t="shared" si="288"/>
        <v>12.249509127631478</v>
      </c>
      <c r="L232" s="1333">
        <f t="shared" si="288"/>
        <v>13.510147562000977</v>
      </c>
      <c r="M232" s="1333">
        <f t="shared" si="288"/>
        <v>11.791782175871059</v>
      </c>
      <c r="N232" s="1333">
        <f t="shared" si="288"/>
        <v>11.20300188154487</v>
      </c>
      <c r="O232" s="1333">
        <f t="shared" si="288"/>
        <v>11.677766425176324</v>
      </c>
      <c r="P232" s="1333">
        <f t="shared" si="288"/>
        <v>11.06307310814951</v>
      </c>
      <c r="Q232" s="1333">
        <f t="shared" si="288"/>
        <v>11.332769383003493</v>
      </c>
      <c r="R232" s="1334">
        <f t="shared" si="288"/>
        <v>11.150591353996736</v>
      </c>
      <c r="S232" s="1335" t="e">
        <f t="shared" si="288"/>
        <v>#DIV/0!</v>
      </c>
      <c r="T232" s="1333" t="e">
        <f t="shared" si="288"/>
        <v>#DIV/0!</v>
      </c>
      <c r="U232" s="1333" t="e">
        <f t="shared" si="288"/>
        <v>#DIV/0!</v>
      </c>
      <c r="V232" s="1333" t="e">
        <f t="shared" si="288"/>
        <v>#DIV/0!</v>
      </c>
      <c r="W232" s="1333" t="e">
        <f t="shared" ref="W232:AG232" si="289">((BK$76+CN$76+DQ$76)/W$59)*100</f>
        <v>#DIV/0!</v>
      </c>
      <c r="X232" s="1334" t="e">
        <f t="shared" si="289"/>
        <v>#DIV/0!</v>
      </c>
      <c r="Y232" s="1335" t="e">
        <f t="shared" si="289"/>
        <v>#DIV/0!</v>
      </c>
      <c r="Z232" s="1333" t="e">
        <f t="shared" si="289"/>
        <v>#DIV/0!</v>
      </c>
      <c r="AA232" s="1333" t="e">
        <f t="shared" si="289"/>
        <v>#DIV/0!</v>
      </c>
      <c r="AB232" s="1333" t="e">
        <f t="shared" si="289"/>
        <v>#DIV/0!</v>
      </c>
      <c r="AC232" s="1333" t="e">
        <f t="shared" si="289"/>
        <v>#DIV/0!</v>
      </c>
      <c r="AD232" s="1333" t="e">
        <f t="shared" si="289"/>
        <v>#DIV/0!</v>
      </c>
      <c r="AE232" s="1333" t="e">
        <f t="shared" si="289"/>
        <v>#DIV/0!</v>
      </c>
      <c r="AF232" s="1333" t="e">
        <f t="shared" si="289"/>
        <v>#DIV/0!</v>
      </c>
      <c r="AG232" s="1333" t="e">
        <f t="shared" si="289"/>
        <v>#DIV/0!</v>
      </c>
    </row>
    <row r="233" spans="1:179" x14ac:dyDescent="0.35">
      <c r="C233" s="1" t="s">
        <v>115</v>
      </c>
      <c r="F233" s="603">
        <f t="shared" ref="F233:V233" si="290">((AI$77+BL$77+CO$77)/F$59)*100</f>
        <v>8.7733110453902512</v>
      </c>
      <c r="G233" s="250">
        <f t="shared" si="290"/>
        <v>8.9830696930946328</v>
      </c>
      <c r="H233" s="250">
        <f t="shared" si="290"/>
        <v>8.8980210215472475</v>
      </c>
      <c r="I233" s="1280">
        <f t="shared" si="290"/>
        <v>9.6718097257649802</v>
      </c>
      <c r="J233" s="1223">
        <f t="shared" si="290"/>
        <v>18.083820998278828</v>
      </c>
      <c r="K233" s="250">
        <f t="shared" si="290"/>
        <v>19.249060850876511</v>
      </c>
      <c r="L233" s="250">
        <f t="shared" si="290"/>
        <v>20.172355514641211</v>
      </c>
      <c r="M233" s="250">
        <f t="shared" si="290"/>
        <v>18.609338705854469</v>
      </c>
      <c r="N233" s="250">
        <f t="shared" si="290"/>
        <v>18.594943656490802</v>
      </c>
      <c r="O233" s="250">
        <f t="shared" si="290"/>
        <v>18.673379350659307</v>
      </c>
      <c r="P233" s="250">
        <f t="shared" si="290"/>
        <v>18.10447748161765</v>
      </c>
      <c r="Q233" s="250">
        <f t="shared" si="290"/>
        <v>18.276884400465658</v>
      </c>
      <c r="R233" s="1280">
        <f t="shared" si="290"/>
        <v>18.446304183174085</v>
      </c>
      <c r="S233" s="1223" t="e">
        <f t="shared" si="290"/>
        <v>#DIV/0!</v>
      </c>
      <c r="T233" s="250" t="e">
        <f t="shared" si="290"/>
        <v>#DIV/0!</v>
      </c>
      <c r="U233" s="250" t="e">
        <f t="shared" si="290"/>
        <v>#DIV/0!</v>
      </c>
      <c r="V233" s="250" t="e">
        <f t="shared" si="290"/>
        <v>#DIV/0!</v>
      </c>
      <c r="W233" s="250" t="e">
        <f t="shared" ref="W233:AG233" si="291">((BK$77+CN$77+DQ$77)/W$59)*100</f>
        <v>#DIV/0!</v>
      </c>
      <c r="X233" s="1280" t="e">
        <f t="shared" si="291"/>
        <v>#DIV/0!</v>
      </c>
      <c r="Y233" s="1223" t="e">
        <f t="shared" si="291"/>
        <v>#DIV/0!</v>
      </c>
      <c r="Z233" s="250" t="e">
        <f t="shared" si="291"/>
        <v>#DIV/0!</v>
      </c>
      <c r="AA233" s="250" t="e">
        <f t="shared" si="291"/>
        <v>#DIV/0!</v>
      </c>
      <c r="AB233" s="250" t="e">
        <f t="shared" si="291"/>
        <v>#DIV/0!</v>
      </c>
      <c r="AC233" s="250" t="e">
        <f t="shared" si="291"/>
        <v>#DIV/0!</v>
      </c>
      <c r="AD233" s="250" t="e">
        <f t="shared" si="291"/>
        <v>#DIV/0!</v>
      </c>
      <c r="AE233" s="250" t="e">
        <f t="shared" si="291"/>
        <v>#DIV/0!</v>
      </c>
      <c r="AF233" s="250" t="e">
        <f t="shared" si="291"/>
        <v>#DIV/0!</v>
      </c>
      <c r="AG233" s="250" t="e">
        <f t="shared" si="291"/>
        <v>#DIV/0!</v>
      </c>
    </row>
    <row r="234" spans="1:179" x14ac:dyDescent="0.35">
      <c r="C234" s="1" t="s">
        <v>116</v>
      </c>
      <c r="F234" s="603">
        <f t="shared" ref="F234:V234" si="292">((AI$78+BL$78+CO$78)/F$59)*100</f>
        <v>23.265555355535554</v>
      </c>
      <c r="G234" s="250">
        <f t="shared" si="292"/>
        <v>20.073808823529411</v>
      </c>
      <c r="H234" s="250">
        <f t="shared" si="292"/>
        <v>19.570632911474558</v>
      </c>
      <c r="I234" s="1280">
        <f t="shared" si="292"/>
        <v>19.921194054314313</v>
      </c>
      <c r="J234" s="1223">
        <f t="shared" si="292"/>
        <v>25.577452667814114</v>
      </c>
      <c r="K234" s="250">
        <f t="shared" si="292"/>
        <v>27.059659908335277</v>
      </c>
      <c r="L234" s="250">
        <f t="shared" si="292"/>
        <v>27.709437339137594</v>
      </c>
      <c r="M234" s="250">
        <f t="shared" si="292"/>
        <v>26.894512206684052</v>
      </c>
      <c r="N234" s="250">
        <f t="shared" si="292"/>
        <v>27.000264482700519</v>
      </c>
      <c r="O234" s="250">
        <f t="shared" si="292"/>
        <v>26.560841785495249</v>
      </c>
      <c r="P234" s="250">
        <f t="shared" si="292"/>
        <v>26.764791360294122</v>
      </c>
      <c r="Q234" s="250">
        <f t="shared" si="292"/>
        <v>26.466426658905707</v>
      </c>
      <c r="R234" s="1280">
        <f t="shared" si="292"/>
        <v>27.099464577021674</v>
      </c>
      <c r="S234" s="1223" t="e">
        <f t="shared" si="292"/>
        <v>#DIV/0!</v>
      </c>
      <c r="T234" s="250" t="e">
        <f t="shared" si="292"/>
        <v>#DIV/0!</v>
      </c>
      <c r="U234" s="250" t="e">
        <f t="shared" si="292"/>
        <v>#DIV/0!</v>
      </c>
      <c r="V234" s="250" t="e">
        <f t="shared" si="292"/>
        <v>#DIV/0!</v>
      </c>
      <c r="W234" s="250" t="e">
        <f t="shared" ref="W234:AG234" si="293">((BK$78+CN$78+DQ$78)/W$59)*100</f>
        <v>#DIV/0!</v>
      </c>
      <c r="X234" s="1280" t="e">
        <f t="shared" si="293"/>
        <v>#DIV/0!</v>
      </c>
      <c r="Y234" s="1223" t="e">
        <f t="shared" si="293"/>
        <v>#DIV/0!</v>
      </c>
      <c r="Z234" s="250" t="e">
        <f t="shared" si="293"/>
        <v>#DIV/0!</v>
      </c>
      <c r="AA234" s="250" t="e">
        <f t="shared" si="293"/>
        <v>#DIV/0!</v>
      </c>
      <c r="AB234" s="250" t="e">
        <f t="shared" si="293"/>
        <v>#DIV/0!</v>
      </c>
      <c r="AC234" s="250" t="e">
        <f t="shared" si="293"/>
        <v>#DIV/0!</v>
      </c>
      <c r="AD234" s="250" t="e">
        <f t="shared" si="293"/>
        <v>#DIV/0!</v>
      </c>
      <c r="AE234" s="250" t="e">
        <f t="shared" si="293"/>
        <v>#DIV/0!</v>
      </c>
      <c r="AF234" s="250" t="e">
        <f t="shared" si="293"/>
        <v>#DIV/0!</v>
      </c>
      <c r="AG234" s="250" t="e">
        <f t="shared" si="293"/>
        <v>#DIV/0!</v>
      </c>
    </row>
    <row r="235" spans="1:179" x14ac:dyDescent="0.35">
      <c r="C235" s="1" t="s">
        <v>111</v>
      </c>
      <c r="F235" s="603">
        <f t="shared" ref="F235:V235" si="294">((AI$79+BL$79+CO$79)/F$59)*100</f>
        <v>15.220158930178734</v>
      </c>
      <c r="G235" s="250">
        <f t="shared" si="294"/>
        <v>13.778042838874679</v>
      </c>
      <c r="H235" s="250">
        <f t="shared" si="294"/>
        <v>14.846517705088266</v>
      </c>
      <c r="I235" s="1280">
        <f t="shared" si="294"/>
        <v>15.633276478482234</v>
      </c>
      <c r="J235" s="1223">
        <f t="shared" si="294"/>
        <v>12.150361445783133</v>
      </c>
      <c r="K235" s="250">
        <f t="shared" si="294"/>
        <v>12.754528475620807</v>
      </c>
      <c r="L235" s="250">
        <f t="shared" si="294"/>
        <v>13.190719104821458</v>
      </c>
      <c r="M235" s="250">
        <f t="shared" si="294"/>
        <v>13.000718653709411</v>
      </c>
      <c r="N235" s="250">
        <f t="shared" si="294"/>
        <v>12.857082009576651</v>
      </c>
      <c r="O235" s="250">
        <f t="shared" si="294"/>
        <v>12.766102920883165</v>
      </c>
      <c r="P235" s="250">
        <f t="shared" si="294"/>
        <v>13.062839077818628</v>
      </c>
      <c r="Q235" s="250">
        <f t="shared" si="294"/>
        <v>12.793347031431901</v>
      </c>
      <c r="R235" s="1280">
        <f t="shared" si="294"/>
        <v>12.950947040316944</v>
      </c>
      <c r="S235" s="1223" t="e">
        <f t="shared" si="294"/>
        <v>#DIV/0!</v>
      </c>
      <c r="T235" s="250" t="e">
        <f t="shared" si="294"/>
        <v>#DIV/0!</v>
      </c>
      <c r="U235" s="250" t="e">
        <f t="shared" si="294"/>
        <v>#DIV/0!</v>
      </c>
      <c r="V235" s="250" t="e">
        <f t="shared" si="294"/>
        <v>#DIV/0!</v>
      </c>
      <c r="W235" s="250" t="e">
        <f t="shared" ref="W235:AG235" si="295">((BK$79+CN$79+DQ$79)/W$59)*100</f>
        <v>#DIV/0!</v>
      </c>
      <c r="X235" s="1280" t="e">
        <f t="shared" si="295"/>
        <v>#DIV/0!</v>
      </c>
      <c r="Y235" s="1223" t="e">
        <f t="shared" si="295"/>
        <v>#DIV/0!</v>
      </c>
      <c r="Z235" s="250" t="e">
        <f t="shared" si="295"/>
        <v>#DIV/0!</v>
      </c>
      <c r="AA235" s="250" t="e">
        <f t="shared" si="295"/>
        <v>#DIV/0!</v>
      </c>
      <c r="AB235" s="250" t="e">
        <f t="shared" si="295"/>
        <v>#DIV/0!</v>
      </c>
      <c r="AC235" s="250" t="e">
        <f t="shared" si="295"/>
        <v>#DIV/0!</v>
      </c>
      <c r="AD235" s="250" t="e">
        <f t="shared" si="295"/>
        <v>#DIV/0!</v>
      </c>
      <c r="AE235" s="250" t="e">
        <f t="shared" si="295"/>
        <v>#DIV/0!</v>
      </c>
      <c r="AF235" s="250" t="e">
        <f t="shared" si="295"/>
        <v>#DIV/0!</v>
      </c>
      <c r="AG235" s="250" t="e">
        <f t="shared" si="295"/>
        <v>#DIV/0!</v>
      </c>
    </row>
    <row r="236" spans="1:179" x14ac:dyDescent="0.35">
      <c r="C236" s="1" t="s">
        <v>112</v>
      </c>
      <c r="F236" s="603">
        <f t="shared" ref="F236:V236" si="296">((AI$80+BL$80+CO$80)/F$59)*100</f>
        <v>51.993703484634182</v>
      </c>
      <c r="G236" s="250">
        <f t="shared" si="296"/>
        <v>50.789661764705897</v>
      </c>
      <c r="H236" s="250">
        <f t="shared" si="296"/>
        <v>53.553043464434054</v>
      </c>
      <c r="I236" s="1280">
        <f t="shared" si="296"/>
        <v>51.680503395924895</v>
      </c>
      <c r="J236" s="1223">
        <f t="shared" si="296"/>
        <v>23.771359724612733</v>
      </c>
      <c r="K236" s="250">
        <f t="shared" si="296"/>
        <v>21.426714953779236</v>
      </c>
      <c r="L236" s="250">
        <f t="shared" si="296"/>
        <v>22.999243047556352</v>
      </c>
      <c r="M236" s="250">
        <f t="shared" si="296"/>
        <v>24.095408390613894</v>
      </c>
      <c r="N236" s="250">
        <f t="shared" si="296"/>
        <v>25.556519080220529</v>
      </c>
      <c r="O236" s="250">
        <f t="shared" si="296"/>
        <v>25.124228265869363</v>
      </c>
      <c r="P236" s="250">
        <f t="shared" si="296"/>
        <v>24.662157820159305</v>
      </c>
      <c r="Q236" s="250">
        <f t="shared" si="296"/>
        <v>24.525805005820729</v>
      </c>
      <c r="R236" s="1280">
        <f t="shared" si="296"/>
        <v>24.231385749242602</v>
      </c>
      <c r="S236" s="1223" t="e">
        <f t="shared" si="296"/>
        <v>#DIV/0!</v>
      </c>
      <c r="T236" s="250" t="e">
        <f t="shared" si="296"/>
        <v>#DIV/0!</v>
      </c>
      <c r="U236" s="250" t="e">
        <f t="shared" si="296"/>
        <v>#DIV/0!</v>
      </c>
      <c r="V236" s="250" t="e">
        <f t="shared" si="296"/>
        <v>#DIV/0!</v>
      </c>
      <c r="W236" s="250" t="e">
        <f t="shared" ref="W236:AG236" si="297">((BK$80+CN$80+DQ$80)/W$59)*100</f>
        <v>#DIV/0!</v>
      </c>
      <c r="X236" s="1280" t="e">
        <f t="shared" si="297"/>
        <v>#DIV/0!</v>
      </c>
      <c r="Y236" s="1223" t="e">
        <f t="shared" si="297"/>
        <v>#DIV/0!</v>
      </c>
      <c r="Z236" s="250" t="e">
        <f t="shared" si="297"/>
        <v>#DIV/0!</v>
      </c>
      <c r="AA236" s="250" t="e">
        <f t="shared" si="297"/>
        <v>#DIV/0!</v>
      </c>
      <c r="AB236" s="250" t="e">
        <f t="shared" si="297"/>
        <v>#DIV/0!</v>
      </c>
      <c r="AC236" s="250" t="e">
        <f t="shared" si="297"/>
        <v>#DIV/0!</v>
      </c>
      <c r="AD236" s="250" t="e">
        <f t="shared" si="297"/>
        <v>#DIV/0!</v>
      </c>
      <c r="AE236" s="250" t="e">
        <f t="shared" si="297"/>
        <v>#DIV/0!</v>
      </c>
      <c r="AF236" s="250" t="e">
        <f t="shared" si="297"/>
        <v>#DIV/0!</v>
      </c>
      <c r="AG236" s="250" t="e">
        <f t="shared" si="297"/>
        <v>#DIV/0!</v>
      </c>
    </row>
    <row r="237" spans="1:179" x14ac:dyDescent="0.35">
      <c r="C237" s="1" t="s">
        <v>284</v>
      </c>
      <c r="F237" s="603">
        <v>54</v>
      </c>
      <c r="G237" s="250">
        <v>54</v>
      </c>
      <c r="H237" s="250">
        <v>54.4</v>
      </c>
      <c r="I237" s="1280">
        <v>54.4</v>
      </c>
      <c r="J237" s="1223">
        <v>31</v>
      </c>
      <c r="K237" s="250">
        <v>31.3</v>
      </c>
      <c r="L237" s="250">
        <v>31.3</v>
      </c>
      <c r="M237" s="250">
        <v>30</v>
      </c>
      <c r="N237" s="250">
        <v>30.9</v>
      </c>
      <c r="O237" s="250">
        <v>30</v>
      </c>
      <c r="P237" s="250">
        <v>32</v>
      </c>
      <c r="Q237" s="250">
        <v>33.200000000000003</v>
      </c>
      <c r="R237" s="1280">
        <v>32</v>
      </c>
      <c r="S237" s="1223">
        <v>29.9</v>
      </c>
      <c r="T237" s="250">
        <v>29</v>
      </c>
      <c r="U237" s="250">
        <v>30.4</v>
      </c>
      <c r="V237" s="250"/>
      <c r="W237" s="250"/>
      <c r="X237" s="1280"/>
      <c r="Y237" s="1223"/>
      <c r="Z237" s="250"/>
      <c r="AA237" s="250"/>
      <c r="AB237" s="250"/>
      <c r="AC237" s="250"/>
      <c r="AD237" s="250"/>
      <c r="AE237" s="250"/>
      <c r="AF237" s="250"/>
      <c r="AG237" s="250"/>
    </row>
    <row r="238" spans="1:179" ht="15" thickBot="1" x14ac:dyDescent="0.4">
      <c r="A238" s="368"/>
      <c r="B238" s="368"/>
      <c r="C238" s="364"/>
      <c r="D238" s="364"/>
      <c r="E238" s="364"/>
      <c r="F238" s="1060"/>
      <c r="G238" s="372"/>
      <c r="H238" s="372"/>
      <c r="I238" s="1337"/>
      <c r="J238" s="1338"/>
      <c r="K238" s="372"/>
      <c r="L238" s="372"/>
      <c r="M238" s="372"/>
      <c r="N238" s="372"/>
      <c r="O238" s="372"/>
      <c r="P238" s="372"/>
      <c r="Q238" s="372"/>
      <c r="R238" s="1337"/>
      <c r="S238" s="1338"/>
      <c r="T238" s="372"/>
      <c r="U238" s="372"/>
      <c r="V238" s="372"/>
      <c r="W238" s="372"/>
      <c r="X238" s="1337"/>
      <c r="Y238" s="1338"/>
      <c r="Z238" s="372"/>
      <c r="AA238" s="372"/>
      <c r="AB238" s="372"/>
      <c r="AC238" s="372"/>
      <c r="AD238" s="372"/>
      <c r="AE238" s="372"/>
      <c r="AF238" s="372"/>
      <c r="AG238" s="372"/>
    </row>
    <row r="239" spans="1:179" s="368" customFormat="1" ht="15.5" thickTop="1" thickBot="1" x14ac:dyDescent="0.4">
      <c r="C239" s="458" t="s">
        <v>221</v>
      </c>
      <c r="D239" s="458"/>
      <c r="E239" s="458"/>
      <c r="F239" s="1328">
        <f>F212+F215+F218+F221</f>
        <v>3.767250642921435</v>
      </c>
      <c r="G239" s="1329">
        <f t="shared" ref="G239:U239" si="298">G212+G215+G218+G221</f>
        <v>3.9309218670076733</v>
      </c>
      <c r="H239" s="1329">
        <f t="shared" si="298"/>
        <v>1.2982058768172375</v>
      </c>
      <c r="I239" s="1330">
        <f t="shared" si="298"/>
        <v>1.3664528634015254</v>
      </c>
      <c r="J239" s="1331">
        <f t="shared" si="298"/>
        <v>3.2411641472723192</v>
      </c>
      <c r="K239" s="314">
        <f t="shared" si="298"/>
        <v>4.0462779331417185</v>
      </c>
      <c r="L239" s="314">
        <f t="shared" si="298"/>
        <v>4.120825035797349</v>
      </c>
      <c r="M239" s="314">
        <f t="shared" si="298"/>
        <v>3.9763137213268016</v>
      </c>
      <c r="N239" s="314">
        <f t="shared" si="298"/>
        <v>3.8703966644936982</v>
      </c>
      <c r="O239" s="314">
        <f t="shared" si="298"/>
        <v>3.9021442233977313</v>
      </c>
      <c r="P239" s="314">
        <f t="shared" si="298"/>
        <v>3.617608213337419</v>
      </c>
      <c r="Q239" s="314">
        <f t="shared" si="298"/>
        <v>3.7220590447548831</v>
      </c>
      <c r="R239" s="1330">
        <f t="shared" si="298"/>
        <v>4.0967623271576166</v>
      </c>
      <c r="S239" s="1331" t="e">
        <f t="shared" si="298"/>
        <v>#DIV/0!</v>
      </c>
      <c r="T239" s="314" t="e">
        <f t="shared" si="298"/>
        <v>#DIV/0!</v>
      </c>
      <c r="U239" s="314" t="e">
        <f t="shared" si="298"/>
        <v>#DIV/0!</v>
      </c>
      <c r="V239" s="229" t="e">
        <f t="shared" ref="V239:AG239" si="299">SUM(V$212:V$221)</f>
        <v>#DIV/0!</v>
      </c>
      <c r="W239" s="229" t="e">
        <f t="shared" si="299"/>
        <v>#VALUE!</v>
      </c>
      <c r="X239" s="1245" t="e">
        <f t="shared" si="299"/>
        <v>#DIV/0!</v>
      </c>
      <c r="Y239" s="538" t="e">
        <f t="shared" si="299"/>
        <v>#DIV/0!</v>
      </c>
      <c r="Z239" s="229" t="e">
        <f t="shared" si="299"/>
        <v>#DIV/0!</v>
      </c>
      <c r="AA239" s="229" t="e">
        <f t="shared" si="299"/>
        <v>#DIV/0!</v>
      </c>
      <c r="AB239" s="229" t="e">
        <f t="shared" si="299"/>
        <v>#DIV/0!</v>
      </c>
      <c r="AC239" s="229" t="e">
        <f t="shared" si="299"/>
        <v>#DIV/0!</v>
      </c>
      <c r="AD239" s="229" t="e">
        <f t="shared" si="299"/>
        <v>#DIV/0!</v>
      </c>
      <c r="AE239" s="229" t="e">
        <f t="shared" si="299"/>
        <v>#DIV/0!</v>
      </c>
      <c r="AF239" s="229" t="e">
        <f t="shared" si="299"/>
        <v>#DIV/0!</v>
      </c>
      <c r="AG239" s="229" t="e">
        <f t="shared" si="299"/>
        <v>#DIV/0!</v>
      </c>
      <c r="AH239" s="323"/>
      <c r="AI239" s="232"/>
      <c r="AJ239" s="232"/>
      <c r="AK239" s="232"/>
      <c r="AL239" s="1236"/>
      <c r="AM239" s="643"/>
      <c r="AN239" s="232" t="s">
        <v>872</v>
      </c>
      <c r="AO239" s="232" t="s">
        <v>832</v>
      </c>
      <c r="AP239" s="232" t="s">
        <v>833</v>
      </c>
      <c r="AQ239" s="232"/>
      <c r="AR239" s="232"/>
      <c r="AS239" s="232"/>
      <c r="AT239" s="232"/>
      <c r="AU239" s="1236"/>
      <c r="AV239" s="643"/>
      <c r="AW239" s="232"/>
      <c r="AX239" s="232"/>
      <c r="AY239" s="232"/>
      <c r="AZ239" s="232"/>
      <c r="BA239" s="1236"/>
      <c r="BB239" s="643"/>
      <c r="BC239" s="232"/>
      <c r="BD239" s="232"/>
      <c r="BE239" s="232"/>
      <c r="BF239" s="232"/>
      <c r="BG239" s="232"/>
      <c r="BH239" s="232"/>
      <c r="BI239" s="232"/>
      <c r="BJ239" s="232"/>
      <c r="BK239" s="323"/>
      <c r="BL239" s="232"/>
      <c r="BM239" s="232"/>
      <c r="BN239" s="232"/>
      <c r="BO239" s="1236"/>
      <c r="BP239" s="643"/>
      <c r="BQ239" s="232"/>
      <c r="BR239" s="232"/>
      <c r="BS239" s="232"/>
      <c r="BT239" s="232"/>
      <c r="BU239" s="232"/>
      <c r="BV239" s="232"/>
      <c r="BW239" s="232"/>
      <c r="BX239" s="1236"/>
      <c r="BY239" s="643"/>
      <c r="BZ239" s="232"/>
      <c r="CA239" s="232"/>
      <c r="CB239" s="232"/>
      <c r="CC239" s="232"/>
      <c r="CD239" s="1236"/>
      <c r="CE239" s="643"/>
      <c r="CF239" s="232"/>
      <c r="CG239" s="232"/>
      <c r="CH239" s="232"/>
      <c r="CI239" s="232"/>
      <c r="CJ239" s="232"/>
      <c r="CK239" s="232"/>
      <c r="CL239" s="232"/>
      <c r="CM239" s="232"/>
      <c r="CN239" s="323"/>
      <c r="CO239" s="232"/>
      <c r="CP239" s="232"/>
      <c r="CQ239" s="232"/>
      <c r="CR239" s="1236"/>
      <c r="CS239" s="643"/>
      <c r="CT239" s="232"/>
      <c r="CU239" s="232"/>
      <c r="CV239" s="232"/>
      <c r="CW239" s="232"/>
      <c r="CX239" s="232"/>
      <c r="CY239" s="232"/>
      <c r="CZ239" s="232"/>
      <c r="DA239" s="1236"/>
      <c r="DB239" s="643"/>
      <c r="DC239" s="232"/>
      <c r="DD239" s="232"/>
      <c r="DE239" s="232"/>
      <c r="DF239" s="232"/>
      <c r="DG239" s="1236"/>
      <c r="DH239" s="643"/>
      <c r="DI239" s="232"/>
      <c r="DJ239" s="232"/>
      <c r="DK239" s="232"/>
      <c r="DL239" s="232"/>
      <c r="DM239" s="232"/>
      <c r="DN239" s="232"/>
      <c r="DO239" s="232"/>
      <c r="DP239" s="232"/>
      <c r="DQ239" s="323"/>
      <c r="DR239" s="238"/>
      <c r="DS239" s="232"/>
      <c r="DT239" s="232"/>
      <c r="DU239" s="232"/>
      <c r="DV239" s="1236"/>
      <c r="DW239" s="643"/>
      <c r="DX239" s="232"/>
      <c r="DY239" s="232"/>
      <c r="DZ239" s="232"/>
      <c r="EA239" s="232"/>
      <c r="EB239" s="232"/>
      <c r="EC239" s="232"/>
      <c r="ED239" s="232"/>
      <c r="EE239" s="1236"/>
      <c r="EF239" s="643"/>
      <c r="EG239" s="232"/>
      <c r="EH239" s="232"/>
      <c r="EI239" s="232"/>
      <c r="EJ239" s="232"/>
      <c r="EK239" s="1236"/>
      <c r="EL239" s="643"/>
      <c r="EM239" s="232"/>
      <c r="EN239" s="232"/>
      <c r="EO239" s="232"/>
      <c r="EP239" s="232"/>
      <c r="EQ239" s="232"/>
      <c r="ER239" s="232"/>
      <c r="ES239" s="232"/>
      <c r="ET239" s="232"/>
      <c r="EU239" s="323"/>
      <c r="EV239" s="232"/>
      <c r="EW239" s="232"/>
      <c r="EX239" s="232"/>
      <c r="EY239" s="1236"/>
      <c r="EZ239" s="643"/>
      <c r="FA239" s="232"/>
      <c r="FB239" s="232"/>
      <c r="FC239" s="232"/>
      <c r="FD239" s="232"/>
      <c r="FE239" s="232"/>
      <c r="FF239" s="232"/>
      <c r="FG239" s="232"/>
      <c r="FH239" s="1236"/>
      <c r="FI239" s="643"/>
      <c r="FJ239" s="232"/>
      <c r="FK239" s="232"/>
      <c r="FL239" s="232"/>
      <c r="FM239" s="232"/>
      <c r="FN239" s="1236"/>
      <c r="FO239" s="643"/>
      <c r="FP239" s="232"/>
      <c r="FQ239" s="232"/>
      <c r="FR239" s="232"/>
      <c r="FS239" s="232"/>
      <c r="FT239" s="232"/>
      <c r="FU239" s="232"/>
      <c r="FV239" s="232"/>
      <c r="FW239" s="232"/>
    </row>
    <row r="240" spans="1:179" ht="6.75" customHeight="1" thickTop="1" x14ac:dyDescent="0.35">
      <c r="C240" s="1" t="s">
        <v>229</v>
      </c>
      <c r="F240" s="603" t="e">
        <f t="shared" ref="F240:AG240" si="300">F$239/F$137</f>
        <v>#DIV/0!</v>
      </c>
      <c r="G240" s="250" t="e">
        <f t="shared" si="300"/>
        <v>#DIV/0!</v>
      </c>
      <c r="H240" s="250" t="e">
        <f t="shared" si="300"/>
        <v>#DIV/0!</v>
      </c>
      <c r="I240" s="1280" t="e">
        <f t="shared" si="300"/>
        <v>#DIV/0!</v>
      </c>
      <c r="J240" s="1223" t="e">
        <f t="shared" si="300"/>
        <v>#DIV/0!</v>
      </c>
      <c r="K240" s="250" t="e">
        <f t="shared" si="300"/>
        <v>#DIV/0!</v>
      </c>
      <c r="L240" s="250" t="e">
        <f t="shared" si="300"/>
        <v>#DIV/0!</v>
      </c>
      <c r="M240" s="250" t="e">
        <f t="shared" si="300"/>
        <v>#DIV/0!</v>
      </c>
      <c r="N240" s="250" t="e">
        <f t="shared" si="300"/>
        <v>#DIV/0!</v>
      </c>
      <c r="O240" s="250" t="e">
        <f t="shared" si="300"/>
        <v>#DIV/0!</v>
      </c>
      <c r="P240" s="250" t="e">
        <f t="shared" si="300"/>
        <v>#DIV/0!</v>
      </c>
      <c r="Q240" s="250" t="e">
        <f t="shared" si="300"/>
        <v>#DIV/0!</v>
      </c>
      <c r="R240" s="1280" t="e">
        <f t="shared" si="300"/>
        <v>#DIV/0!</v>
      </c>
      <c r="S240" s="1223" t="e">
        <f t="shared" si="300"/>
        <v>#DIV/0!</v>
      </c>
      <c r="T240" s="250" t="e">
        <f t="shared" si="300"/>
        <v>#DIV/0!</v>
      </c>
      <c r="U240" s="250" t="e">
        <f t="shared" si="300"/>
        <v>#DIV/0!</v>
      </c>
      <c r="V240" s="232" t="e">
        <f t="shared" si="300"/>
        <v>#DIV/0!</v>
      </c>
      <c r="W240" s="232" t="e">
        <f t="shared" si="300"/>
        <v>#VALUE!</v>
      </c>
      <c r="X240" s="1236" t="e">
        <f t="shared" si="300"/>
        <v>#DIV/0!</v>
      </c>
      <c r="Y240" s="643" t="e">
        <f t="shared" si="300"/>
        <v>#DIV/0!</v>
      </c>
      <c r="Z240" s="232" t="e">
        <f t="shared" si="300"/>
        <v>#DIV/0!</v>
      </c>
      <c r="AA240" s="232" t="e">
        <f t="shared" si="300"/>
        <v>#DIV/0!</v>
      </c>
      <c r="AB240" s="232" t="e">
        <f t="shared" si="300"/>
        <v>#DIV/0!</v>
      </c>
      <c r="AC240" s="232" t="e">
        <f t="shared" si="300"/>
        <v>#DIV/0!</v>
      </c>
      <c r="AD240" s="232" t="e">
        <f t="shared" si="300"/>
        <v>#DIV/0!</v>
      </c>
      <c r="AE240" s="232" t="e">
        <f t="shared" si="300"/>
        <v>#DIV/0!</v>
      </c>
      <c r="AF240" s="232" t="e">
        <f t="shared" si="300"/>
        <v>#DIV/0!</v>
      </c>
      <c r="AG240" s="232" t="e">
        <f t="shared" si="300"/>
        <v>#DIV/0!</v>
      </c>
      <c r="AI240" s="232" t="s">
        <v>869</v>
      </c>
      <c r="AJ240" s="232" t="e">
        <f>AVERAGE(K240:N240)</f>
        <v>#DIV/0!</v>
      </c>
      <c r="AK240" s="232" t="e">
        <f>AVERAGE(Q240:T240)</f>
        <v>#DIV/0!</v>
      </c>
      <c r="AL240" s="1236" t="s">
        <v>295</v>
      </c>
      <c r="AN240" s="232" t="e">
        <f>AVERAGE(H240:I240)</f>
        <v>#DIV/0!</v>
      </c>
      <c r="AO240" s="232" t="e">
        <f>AVERAGE(M240:O240)</f>
        <v>#DIV/0!</v>
      </c>
      <c r="AP240" s="232" t="e">
        <f>AVERAGE(R240:T240)</f>
        <v>#DIV/0!</v>
      </c>
    </row>
    <row r="241" spans="3:179" x14ac:dyDescent="0.35">
      <c r="C241" s="1" t="s">
        <v>245</v>
      </c>
      <c r="F241" s="603">
        <v>1.6</v>
      </c>
      <c r="G241" s="250">
        <v>1.7</v>
      </c>
      <c r="H241" s="250">
        <v>1.6</v>
      </c>
      <c r="I241" s="1280">
        <v>1.7</v>
      </c>
      <c r="J241" s="1223">
        <v>3.5</v>
      </c>
      <c r="K241" s="250">
        <v>3.6</v>
      </c>
      <c r="L241" s="250">
        <v>4.0999999999999996</v>
      </c>
      <c r="M241" s="250">
        <v>3.5</v>
      </c>
      <c r="N241" s="250">
        <v>4.0999999999999996</v>
      </c>
      <c r="O241" s="250">
        <v>3.8</v>
      </c>
      <c r="P241" s="250">
        <v>4</v>
      </c>
      <c r="Q241" s="250">
        <v>3.8</v>
      </c>
      <c r="R241" s="1280">
        <v>3.8</v>
      </c>
      <c r="S241" s="1223">
        <v>4.05</v>
      </c>
      <c r="T241" s="250">
        <v>4.09</v>
      </c>
      <c r="U241" s="250">
        <v>4.0999999999999996</v>
      </c>
      <c r="V241" s="250"/>
      <c r="W241" s="250"/>
      <c r="X241" s="1280"/>
      <c r="Y241" s="1223"/>
      <c r="Z241" s="250"/>
      <c r="AA241" s="250"/>
      <c r="AB241" s="250"/>
      <c r="AC241" s="250"/>
      <c r="AD241" s="250"/>
      <c r="AE241" s="250"/>
      <c r="AF241" s="250"/>
      <c r="AG241" s="250"/>
      <c r="AI241" s="232" t="s">
        <v>869</v>
      </c>
      <c r="AJ241" s="232">
        <f>AVERAGE(K241:N241)</f>
        <v>3.8249999999999997</v>
      </c>
      <c r="AK241" s="232">
        <f>AVERAGE(Q241:T241)</f>
        <v>3.9349999999999996</v>
      </c>
      <c r="AL241" s="1236" t="s">
        <v>608</v>
      </c>
      <c r="AN241" s="947">
        <f>AVERAGE(H241:I241)</f>
        <v>1.65</v>
      </c>
      <c r="AO241" s="947">
        <f>AVERAGE(M241:O241)</f>
        <v>3.7999999999999994</v>
      </c>
      <c r="AP241" s="947">
        <f>AVERAGE(R241:T241)</f>
        <v>3.98</v>
      </c>
    </row>
    <row r="242" spans="3:179" x14ac:dyDescent="0.35">
      <c r="C242" s="1">
        <v>0.05</v>
      </c>
      <c r="F242" s="603">
        <f>F$241+$C$242*F$241</f>
        <v>1.6800000000000002</v>
      </c>
      <c r="G242" s="250">
        <f t="shared" ref="G242:U242" si="301">G$241+$C$242*G$241</f>
        <v>1.7849999999999999</v>
      </c>
      <c r="H242" s="250">
        <f t="shared" si="301"/>
        <v>1.6800000000000002</v>
      </c>
      <c r="I242" s="1280">
        <f t="shared" si="301"/>
        <v>1.7849999999999999</v>
      </c>
      <c r="J242" s="1223">
        <f t="shared" si="301"/>
        <v>3.6749999999999998</v>
      </c>
      <c r="K242" s="250">
        <f t="shared" si="301"/>
        <v>3.7800000000000002</v>
      </c>
      <c r="L242" s="250">
        <f t="shared" si="301"/>
        <v>4.3049999999999997</v>
      </c>
      <c r="M242" s="250">
        <f t="shared" si="301"/>
        <v>3.6749999999999998</v>
      </c>
      <c r="N242" s="250">
        <f t="shared" si="301"/>
        <v>4.3049999999999997</v>
      </c>
      <c r="O242" s="250">
        <f t="shared" si="301"/>
        <v>3.9899999999999998</v>
      </c>
      <c r="P242" s="250">
        <f t="shared" si="301"/>
        <v>4.2</v>
      </c>
      <c r="Q242" s="250">
        <f t="shared" si="301"/>
        <v>3.9899999999999998</v>
      </c>
      <c r="R242" s="1280">
        <f t="shared" si="301"/>
        <v>3.9899999999999998</v>
      </c>
      <c r="S242" s="1223">
        <f t="shared" si="301"/>
        <v>4.2524999999999995</v>
      </c>
      <c r="T242" s="250">
        <f t="shared" si="301"/>
        <v>4.2945000000000002</v>
      </c>
      <c r="U242" s="250">
        <f t="shared" si="301"/>
        <v>4.3049999999999997</v>
      </c>
      <c r="V242" s="250"/>
      <c r="W242" s="250"/>
      <c r="X242" s="1280"/>
      <c r="Y242" s="1223"/>
      <c r="Z242" s="250"/>
      <c r="AA242" s="250"/>
      <c r="AB242" s="250"/>
      <c r="AC242" s="250"/>
      <c r="AD242" s="250"/>
      <c r="AE242" s="250"/>
      <c r="AF242" s="250"/>
      <c r="AG242" s="250"/>
      <c r="AJ242" s="267"/>
      <c r="AK242" s="267"/>
      <c r="AN242" s="267"/>
      <c r="AO242" s="267"/>
      <c r="AP242" s="916"/>
    </row>
    <row r="243" spans="3:179" x14ac:dyDescent="0.35">
      <c r="C243" s="444">
        <v>-0.05</v>
      </c>
      <c r="D243" s="444"/>
      <c r="E243" s="444"/>
      <c r="F243" s="1056">
        <f>F$241+$C$243*F$241</f>
        <v>1.52</v>
      </c>
      <c r="G243" s="445">
        <f t="shared" ref="G243:U243" si="302">G$241+$C$243*G$241</f>
        <v>1.615</v>
      </c>
      <c r="H243" s="445">
        <f t="shared" si="302"/>
        <v>1.52</v>
      </c>
      <c r="I243" s="1280">
        <f t="shared" si="302"/>
        <v>1.615</v>
      </c>
      <c r="J243" s="1223">
        <f t="shared" si="302"/>
        <v>3.3250000000000002</v>
      </c>
      <c r="K243" s="250">
        <f t="shared" si="302"/>
        <v>3.42</v>
      </c>
      <c r="L243" s="250">
        <f t="shared" si="302"/>
        <v>3.8949999999999996</v>
      </c>
      <c r="M243" s="250">
        <f t="shared" si="302"/>
        <v>3.3250000000000002</v>
      </c>
      <c r="N243" s="250">
        <f t="shared" si="302"/>
        <v>3.8949999999999996</v>
      </c>
      <c r="O243" s="250">
        <f t="shared" si="302"/>
        <v>3.61</v>
      </c>
      <c r="P243" s="250">
        <f t="shared" si="302"/>
        <v>3.8</v>
      </c>
      <c r="Q243" s="250">
        <f t="shared" si="302"/>
        <v>3.61</v>
      </c>
      <c r="R243" s="1280">
        <f t="shared" si="302"/>
        <v>3.61</v>
      </c>
      <c r="S243" s="1223">
        <f t="shared" si="302"/>
        <v>3.8474999999999997</v>
      </c>
      <c r="T243" s="250">
        <f t="shared" si="302"/>
        <v>3.8855</v>
      </c>
      <c r="U243" s="250">
        <f t="shared" si="302"/>
        <v>3.8949999999999996</v>
      </c>
      <c r="AJ243" s="267"/>
      <c r="AK243" s="267"/>
      <c r="AN243" s="267"/>
      <c r="AO243" s="459"/>
      <c r="AP243" s="459"/>
    </row>
    <row r="244" spans="3:179" x14ac:dyDescent="0.35">
      <c r="C244" s="415"/>
      <c r="D244" s="415"/>
      <c r="E244" s="415"/>
      <c r="F244" s="603"/>
      <c r="G244" s="250"/>
      <c r="H244" s="250"/>
      <c r="I244" s="1280"/>
      <c r="J244" s="1223"/>
      <c r="K244" s="250"/>
      <c r="L244" s="250"/>
      <c r="M244" s="250"/>
      <c r="N244" s="250"/>
      <c r="O244" s="250"/>
      <c r="P244" s="250"/>
      <c r="Q244" s="250"/>
      <c r="R244" s="1280"/>
      <c r="S244" s="1223"/>
      <c r="T244" s="250"/>
      <c r="U244" s="250"/>
    </row>
    <row r="245" spans="3:179" s="368" customFormat="1" ht="15" thickBot="1" x14ac:dyDescent="0.4">
      <c r="C245" s="413" t="s">
        <v>228</v>
      </c>
      <c r="D245" s="413"/>
      <c r="E245" s="413"/>
      <c r="F245" s="603">
        <f t="shared" ref="F245:AG245" si="303">SUM(F$224:F$225)+SUM(F$230:F$234)</f>
        <v>40.949745949594956</v>
      </c>
      <c r="G245" s="250">
        <f t="shared" si="303"/>
        <v>39.867356938083631</v>
      </c>
      <c r="H245" s="250">
        <f t="shared" si="303"/>
        <v>37.761912466643722</v>
      </c>
      <c r="I245" s="1280">
        <f t="shared" si="303"/>
        <v>39.89352676311384</v>
      </c>
      <c r="J245" s="1223">
        <f t="shared" si="303"/>
        <v>61.216086479675738</v>
      </c>
      <c r="K245" s="250">
        <f t="shared" si="303"/>
        <v>65.703723374354226</v>
      </c>
      <c r="L245" s="250">
        <f t="shared" si="303"/>
        <v>68.087043735208766</v>
      </c>
      <c r="M245" s="250">
        <f t="shared" si="303"/>
        <v>63.88131109658044</v>
      </c>
      <c r="N245" s="250">
        <f t="shared" si="303"/>
        <v>62.65732887561073</v>
      </c>
      <c r="O245" s="250">
        <f t="shared" si="303"/>
        <v>63.434609955659916</v>
      </c>
      <c r="P245" s="250">
        <f t="shared" si="303"/>
        <v>61.707275659591609</v>
      </c>
      <c r="Q245" s="250">
        <f t="shared" si="303"/>
        <v>62.48673571892683</v>
      </c>
      <c r="R245" s="1280">
        <f t="shared" si="303"/>
        <v>62.984146523551182</v>
      </c>
      <c r="S245" s="1223" t="e">
        <f t="shared" si="303"/>
        <v>#DIV/0!</v>
      </c>
      <c r="T245" s="250" t="e">
        <f t="shared" si="303"/>
        <v>#DIV/0!</v>
      </c>
      <c r="U245" s="250" t="e">
        <f t="shared" si="303"/>
        <v>#DIV/0!</v>
      </c>
      <c r="V245" s="232" t="e">
        <f t="shared" si="303"/>
        <v>#DIV/0!</v>
      </c>
      <c r="W245" s="232" t="e">
        <f t="shared" si="303"/>
        <v>#VALUE!</v>
      </c>
      <c r="X245" s="1236" t="e">
        <f t="shared" si="303"/>
        <v>#DIV/0!</v>
      </c>
      <c r="Y245" s="643" t="e">
        <f t="shared" si="303"/>
        <v>#DIV/0!</v>
      </c>
      <c r="Z245" s="232" t="e">
        <f t="shared" si="303"/>
        <v>#DIV/0!</v>
      </c>
      <c r="AA245" s="232" t="e">
        <f t="shared" si="303"/>
        <v>#DIV/0!</v>
      </c>
      <c r="AB245" s="232" t="e">
        <f t="shared" si="303"/>
        <v>#DIV/0!</v>
      </c>
      <c r="AC245" s="232" t="e">
        <f t="shared" si="303"/>
        <v>#DIV/0!</v>
      </c>
      <c r="AD245" s="232" t="e">
        <f t="shared" si="303"/>
        <v>#DIV/0!</v>
      </c>
      <c r="AE245" s="232" t="e">
        <f t="shared" si="303"/>
        <v>#DIV/0!</v>
      </c>
      <c r="AF245" s="232" t="e">
        <f t="shared" si="303"/>
        <v>#DIV/0!</v>
      </c>
      <c r="AG245" s="232" t="e">
        <f t="shared" si="303"/>
        <v>#DIV/0!</v>
      </c>
      <c r="AH245" s="323"/>
      <c r="AI245" s="232"/>
      <c r="AJ245" s="232"/>
      <c r="AK245" s="232"/>
      <c r="AL245" s="1236"/>
      <c r="AM245" s="643"/>
      <c r="AN245" s="232"/>
      <c r="AO245" s="232"/>
      <c r="AP245" s="232"/>
      <c r="AQ245" s="232"/>
      <c r="AR245" s="232"/>
      <c r="AS245" s="232"/>
      <c r="AT245" s="232"/>
      <c r="AU245" s="1236"/>
      <c r="AV245" s="643"/>
      <c r="AW245" s="232"/>
      <c r="AX245" s="232"/>
      <c r="AY245" s="232"/>
      <c r="AZ245" s="232"/>
      <c r="BA245" s="1236"/>
      <c r="BB245" s="643"/>
      <c r="BC245" s="232"/>
      <c r="BD245" s="232"/>
      <c r="BE245" s="232"/>
      <c r="BF245" s="232"/>
      <c r="BG245" s="232"/>
      <c r="BH245" s="232"/>
      <c r="BI245" s="232"/>
      <c r="BJ245" s="232"/>
      <c r="BK245" s="323"/>
      <c r="BL245" s="232"/>
      <c r="BM245" s="232"/>
      <c r="BN245" s="232"/>
      <c r="BO245" s="1236"/>
      <c r="BP245" s="643"/>
      <c r="BQ245" s="232"/>
      <c r="BR245" s="232"/>
      <c r="BS245" s="232"/>
      <c r="BT245" s="232"/>
      <c r="BU245" s="232"/>
      <c r="BV245" s="232"/>
      <c r="BW245" s="232"/>
      <c r="BX245" s="1236"/>
      <c r="BY245" s="643"/>
      <c r="BZ245" s="232"/>
      <c r="CA245" s="232"/>
      <c r="CB245" s="232"/>
      <c r="CC245" s="232"/>
      <c r="CD245" s="1236"/>
      <c r="CE245" s="643"/>
      <c r="CF245" s="232"/>
      <c r="CG245" s="232"/>
      <c r="CH245" s="232"/>
      <c r="CI245" s="232"/>
      <c r="CJ245" s="232"/>
      <c r="CK245" s="232"/>
      <c r="CL245" s="232"/>
      <c r="CM245" s="232"/>
      <c r="CN245" s="323"/>
      <c r="CO245" s="232"/>
      <c r="CP245" s="232"/>
      <c r="CQ245" s="232"/>
      <c r="CR245" s="1236"/>
      <c r="CS245" s="643"/>
      <c r="CT245" s="232"/>
      <c r="CU245" s="232"/>
      <c r="CV245" s="232"/>
      <c r="CW245" s="232"/>
      <c r="CX245" s="232"/>
      <c r="CY245" s="232"/>
      <c r="CZ245" s="232"/>
      <c r="DA245" s="1236"/>
      <c r="DB245" s="643"/>
      <c r="DC245" s="232"/>
      <c r="DD245" s="232"/>
      <c r="DE245" s="232"/>
      <c r="DF245" s="232"/>
      <c r="DG245" s="1236"/>
      <c r="DH245" s="643"/>
      <c r="DI245" s="232"/>
      <c r="DJ245" s="232"/>
      <c r="DK245" s="232"/>
      <c r="DL245" s="232"/>
      <c r="DM245" s="232"/>
      <c r="DN245" s="232"/>
      <c r="DO245" s="232"/>
      <c r="DP245" s="232"/>
      <c r="DQ245" s="323"/>
      <c r="DR245" s="238"/>
      <c r="DS245" s="232"/>
      <c r="DT245" s="232"/>
      <c r="DU245" s="232"/>
      <c r="DV245" s="1236"/>
      <c r="DW245" s="643"/>
      <c r="DX245" s="232"/>
      <c r="DY245" s="232"/>
      <c r="DZ245" s="232"/>
      <c r="EA245" s="232"/>
      <c r="EB245" s="232"/>
      <c r="EC245" s="232"/>
      <c r="ED245" s="232"/>
      <c r="EE245" s="1236"/>
      <c r="EF245" s="643"/>
      <c r="EG245" s="232"/>
      <c r="EH245" s="232"/>
      <c r="EI245" s="232"/>
      <c r="EJ245" s="232"/>
      <c r="EK245" s="1236"/>
      <c r="EL245" s="643"/>
      <c r="EM245" s="232"/>
      <c r="EN245" s="232"/>
      <c r="EO245" s="232"/>
      <c r="EP245" s="232"/>
      <c r="EQ245" s="232"/>
      <c r="ER245" s="232"/>
      <c r="ES245" s="232"/>
      <c r="ET245" s="232"/>
      <c r="EU245" s="323"/>
      <c r="EV245" s="232"/>
      <c r="EW245" s="232"/>
      <c r="EX245" s="232"/>
      <c r="EY245" s="1236"/>
      <c r="EZ245" s="643"/>
      <c r="FA245" s="232"/>
      <c r="FB245" s="232"/>
      <c r="FC245" s="232"/>
      <c r="FD245" s="232"/>
      <c r="FE245" s="232"/>
      <c r="FF245" s="232"/>
      <c r="FG245" s="232"/>
      <c r="FH245" s="1236"/>
      <c r="FI245" s="643"/>
      <c r="FJ245" s="232"/>
      <c r="FK245" s="232"/>
      <c r="FL245" s="232"/>
      <c r="FM245" s="232"/>
      <c r="FN245" s="1236"/>
      <c r="FO245" s="643"/>
      <c r="FP245" s="232"/>
      <c r="FQ245" s="232"/>
      <c r="FR245" s="232"/>
      <c r="FS245" s="232"/>
      <c r="FT245" s="232"/>
      <c r="FU245" s="232"/>
      <c r="FV245" s="232"/>
      <c r="FW245" s="232"/>
    </row>
    <row r="246" spans="3:179" ht="11.65" customHeight="1" thickTop="1" x14ac:dyDescent="0.35">
      <c r="C246" s="1" t="s">
        <v>227</v>
      </c>
      <c r="F246" s="603" t="e">
        <f t="shared" ref="F246:AG246" si="304">F$245/F$137</f>
        <v>#DIV/0!</v>
      </c>
      <c r="G246" s="250" t="e">
        <f t="shared" si="304"/>
        <v>#DIV/0!</v>
      </c>
      <c r="H246" s="250" t="e">
        <f t="shared" si="304"/>
        <v>#DIV/0!</v>
      </c>
      <c r="I246" s="1280" t="e">
        <f t="shared" si="304"/>
        <v>#DIV/0!</v>
      </c>
      <c r="J246" s="1223" t="e">
        <f t="shared" si="304"/>
        <v>#DIV/0!</v>
      </c>
      <c r="K246" s="250" t="e">
        <f t="shared" si="304"/>
        <v>#DIV/0!</v>
      </c>
      <c r="L246" s="250" t="e">
        <f t="shared" si="304"/>
        <v>#DIV/0!</v>
      </c>
      <c r="M246" s="250" t="e">
        <f t="shared" si="304"/>
        <v>#DIV/0!</v>
      </c>
      <c r="N246" s="250" t="e">
        <f t="shared" si="304"/>
        <v>#DIV/0!</v>
      </c>
      <c r="O246" s="250" t="e">
        <f t="shared" si="304"/>
        <v>#DIV/0!</v>
      </c>
      <c r="P246" s="250" t="e">
        <f t="shared" si="304"/>
        <v>#DIV/0!</v>
      </c>
      <c r="Q246" s="250" t="e">
        <f t="shared" si="304"/>
        <v>#DIV/0!</v>
      </c>
      <c r="R246" s="1280" t="e">
        <f t="shared" si="304"/>
        <v>#DIV/0!</v>
      </c>
      <c r="S246" s="1223" t="e">
        <f t="shared" si="304"/>
        <v>#DIV/0!</v>
      </c>
      <c r="T246" s="250" t="e">
        <f t="shared" si="304"/>
        <v>#DIV/0!</v>
      </c>
      <c r="U246" s="250" t="e">
        <f t="shared" si="304"/>
        <v>#DIV/0!</v>
      </c>
      <c r="V246" s="232" t="e">
        <f t="shared" si="304"/>
        <v>#DIV/0!</v>
      </c>
      <c r="W246" s="232" t="e">
        <f t="shared" si="304"/>
        <v>#VALUE!</v>
      </c>
      <c r="X246" s="1236" t="e">
        <f t="shared" si="304"/>
        <v>#DIV/0!</v>
      </c>
      <c r="Y246" s="643" t="e">
        <f t="shared" si="304"/>
        <v>#DIV/0!</v>
      </c>
      <c r="Z246" s="232" t="e">
        <f t="shared" si="304"/>
        <v>#DIV/0!</v>
      </c>
      <c r="AA246" s="232" t="e">
        <f t="shared" si="304"/>
        <v>#DIV/0!</v>
      </c>
      <c r="AB246" s="232" t="e">
        <f t="shared" si="304"/>
        <v>#DIV/0!</v>
      </c>
      <c r="AC246" s="232" t="e">
        <f t="shared" si="304"/>
        <v>#DIV/0!</v>
      </c>
      <c r="AD246" s="232" t="e">
        <f t="shared" si="304"/>
        <v>#DIV/0!</v>
      </c>
      <c r="AE246" s="232" t="e">
        <f t="shared" si="304"/>
        <v>#DIV/0!</v>
      </c>
      <c r="AF246" s="232" t="e">
        <f t="shared" si="304"/>
        <v>#DIV/0!</v>
      </c>
      <c r="AG246" s="232" t="e">
        <f t="shared" si="304"/>
        <v>#DIV/0!</v>
      </c>
    </row>
    <row r="247" spans="3:179" x14ac:dyDescent="0.35">
      <c r="C247" s="1" t="s">
        <v>244</v>
      </c>
      <c r="F247" s="603"/>
      <c r="G247" s="249"/>
      <c r="H247" s="249"/>
      <c r="I247" s="1242"/>
      <c r="J247" s="419"/>
      <c r="K247" s="497"/>
      <c r="L247" s="249"/>
      <c r="M247" s="249"/>
      <c r="N247" s="249"/>
      <c r="O247" s="249"/>
      <c r="P247" s="249"/>
      <c r="Q247" s="249"/>
      <c r="R247" s="1242"/>
      <c r="S247" s="419"/>
      <c r="T247" s="249"/>
      <c r="U247" s="249"/>
      <c r="V247" s="249"/>
      <c r="W247" s="249"/>
      <c r="X247" s="1242"/>
      <c r="Y247" s="419"/>
      <c r="Z247" s="249"/>
      <c r="AA247" s="249"/>
      <c r="AB247" s="249"/>
      <c r="AC247" s="249"/>
      <c r="AD247" s="249"/>
      <c r="AE247" s="249"/>
      <c r="AF247" s="249"/>
      <c r="AG247" s="249"/>
    </row>
    <row r="248" spans="3:179" x14ac:dyDescent="0.35">
      <c r="C248" s="1" t="s">
        <v>321</v>
      </c>
      <c r="F248" s="1029">
        <f>5%*F$247</f>
        <v>0</v>
      </c>
      <c r="G248" s="249">
        <f>5%*G$247</f>
        <v>0</v>
      </c>
      <c r="H248" s="249">
        <f t="shared" ref="H248:U248" si="305">5%*H$247</f>
        <v>0</v>
      </c>
      <c r="I248" s="1242">
        <f t="shared" si="305"/>
        <v>0</v>
      </c>
      <c r="J248" s="419">
        <f t="shared" si="305"/>
        <v>0</v>
      </c>
      <c r="K248" s="497">
        <f t="shared" si="305"/>
        <v>0</v>
      </c>
      <c r="L248" s="249">
        <f t="shared" si="305"/>
        <v>0</v>
      </c>
      <c r="M248" s="249">
        <f t="shared" si="305"/>
        <v>0</v>
      </c>
      <c r="N248" s="249">
        <f t="shared" si="305"/>
        <v>0</v>
      </c>
      <c r="O248" s="249">
        <f t="shared" si="305"/>
        <v>0</v>
      </c>
      <c r="P248" s="249">
        <f t="shared" si="305"/>
        <v>0</v>
      </c>
      <c r="Q248" s="249">
        <f t="shared" si="305"/>
        <v>0</v>
      </c>
      <c r="R248" s="1242">
        <f t="shared" si="305"/>
        <v>0</v>
      </c>
      <c r="S248" s="419">
        <f t="shared" si="305"/>
        <v>0</v>
      </c>
      <c r="T248" s="249">
        <f t="shared" si="305"/>
        <v>0</v>
      </c>
      <c r="U248" s="249">
        <f t="shared" si="305"/>
        <v>0</v>
      </c>
      <c r="V248" s="249"/>
      <c r="W248" s="249"/>
      <c r="X248" s="1242"/>
      <c r="Y248" s="419"/>
      <c r="Z248" s="249"/>
      <c r="AA248" s="249"/>
      <c r="AB248" s="249"/>
      <c r="AC248" s="249"/>
      <c r="AD248" s="249"/>
      <c r="AE248" s="249"/>
      <c r="AF248" s="249"/>
      <c r="AG248" s="249"/>
    </row>
    <row r="249" spans="3:179" x14ac:dyDescent="0.35">
      <c r="C249" s="427">
        <v>0.05</v>
      </c>
      <c r="F249" s="1029">
        <f>F$248+F$247</f>
        <v>0</v>
      </c>
      <c r="G249" s="304">
        <f>G$248+G$247</f>
        <v>0</v>
      </c>
      <c r="H249" s="304">
        <f t="shared" ref="H249:U249" si="306">H$248+H$247</f>
        <v>0</v>
      </c>
      <c r="I249" s="1238">
        <f t="shared" si="306"/>
        <v>0</v>
      </c>
      <c r="J249" s="1188">
        <f t="shared" si="306"/>
        <v>0</v>
      </c>
      <c r="K249" s="304">
        <f t="shared" si="306"/>
        <v>0</v>
      </c>
      <c r="L249" s="304">
        <f t="shared" si="306"/>
        <v>0</v>
      </c>
      <c r="M249" s="304">
        <f t="shared" si="306"/>
        <v>0</v>
      </c>
      <c r="N249" s="304">
        <f t="shared" si="306"/>
        <v>0</v>
      </c>
      <c r="O249" s="304">
        <f t="shared" si="306"/>
        <v>0</v>
      </c>
      <c r="P249" s="304">
        <f t="shared" si="306"/>
        <v>0</v>
      </c>
      <c r="Q249" s="304">
        <f t="shared" si="306"/>
        <v>0</v>
      </c>
      <c r="R249" s="1238">
        <f t="shared" si="306"/>
        <v>0</v>
      </c>
      <c r="S249" s="1188">
        <f t="shared" si="306"/>
        <v>0</v>
      </c>
      <c r="T249" s="304">
        <f t="shared" si="306"/>
        <v>0</v>
      </c>
      <c r="U249" s="304">
        <f t="shared" si="306"/>
        <v>0</v>
      </c>
    </row>
    <row r="250" spans="3:179" x14ac:dyDescent="0.35">
      <c r="C250" s="1">
        <v>-0.05</v>
      </c>
      <c r="F250" s="1029">
        <f>F$247-F$248</f>
        <v>0</v>
      </c>
      <c r="G250" s="1150">
        <f>G$247-G$248</f>
        <v>0</v>
      </c>
      <c r="H250" s="1150">
        <f t="shared" ref="H250:U250" si="307">H$247-H$248</f>
        <v>0</v>
      </c>
      <c r="I250" s="1284">
        <f t="shared" si="307"/>
        <v>0</v>
      </c>
      <c r="J250" s="1226">
        <f t="shared" si="307"/>
        <v>0</v>
      </c>
      <c r="K250" s="1150">
        <f t="shared" si="307"/>
        <v>0</v>
      </c>
      <c r="L250" s="1150">
        <f t="shared" si="307"/>
        <v>0</v>
      </c>
      <c r="M250" s="1150">
        <f t="shared" si="307"/>
        <v>0</v>
      </c>
      <c r="N250" s="1150">
        <f t="shared" si="307"/>
        <v>0</v>
      </c>
      <c r="O250" s="1150">
        <f t="shared" si="307"/>
        <v>0</v>
      </c>
      <c r="P250" s="1150">
        <f t="shared" si="307"/>
        <v>0</v>
      </c>
      <c r="Q250" s="1150">
        <f t="shared" si="307"/>
        <v>0</v>
      </c>
      <c r="R250" s="1284">
        <f t="shared" si="307"/>
        <v>0</v>
      </c>
      <c r="S250" s="1226">
        <f t="shared" si="307"/>
        <v>0</v>
      </c>
      <c r="T250" s="1150">
        <f t="shared" si="307"/>
        <v>0</v>
      </c>
      <c r="U250" s="1150">
        <f t="shared" si="307"/>
        <v>0</v>
      </c>
      <c r="V250" s="643"/>
    </row>
    <row r="251" spans="3:179" x14ac:dyDescent="0.35">
      <c r="C251" s="170"/>
      <c r="D251" s="170"/>
      <c r="E251" s="170"/>
      <c r="G251" s="296"/>
      <c r="H251" s="296"/>
      <c r="I251" s="1235"/>
      <c r="J251" s="1187"/>
      <c r="K251" s="296"/>
      <c r="L251" s="296"/>
      <c r="M251" s="296"/>
      <c r="N251" s="296"/>
      <c r="O251" s="296"/>
      <c r="P251" s="296"/>
      <c r="Q251" s="296"/>
      <c r="R251" s="1235"/>
      <c r="S251" s="1187"/>
      <c r="T251" s="296"/>
      <c r="U251" s="296"/>
      <c r="AJ251" s="232" t="s">
        <v>832</v>
      </c>
      <c r="AK251" s="232" t="s">
        <v>833</v>
      </c>
    </row>
    <row r="252" spans="3:179" x14ac:dyDescent="0.35">
      <c r="C252" s="167" t="s">
        <v>233</v>
      </c>
      <c r="D252" s="167"/>
      <c r="E252" s="167"/>
      <c r="F252" s="1029">
        <f>SUM(F$224:F$225)+SUM(F$230:F$231)</f>
        <v>4.7997323196605368</v>
      </c>
      <c r="G252" s="244">
        <f>SUM(G$224:G$225)+SUM(G$230:G$231)</f>
        <v>5.5640794444774881</v>
      </c>
      <c r="H252" s="244">
        <f>SUM(H$224:H$225)+SUM(H$230:H$231)</f>
        <v>4.4878971239645971</v>
      </c>
      <c r="I252" s="1237">
        <f>SUM(I$224:I$225)+SUM(I$230:I$231)</f>
        <v>4.7152238035883478</v>
      </c>
      <c r="J252" s="606">
        <f>SUM(J$224:J$225)+SUM(J$230:J$231)-1.5</f>
        <v>4.6523687516206671</v>
      </c>
      <c r="K252" s="244">
        <f>SUM(K$224:K$225)+SUM(K$230:K$231)</f>
        <v>7.1454934875109677</v>
      </c>
      <c r="L252" s="244">
        <f t="shared" ref="L252:AG252" si="308">SUM(L$224:L$225)+SUM(L$230:L$231)</f>
        <v>6.6951033194289842</v>
      </c>
      <c r="M252" s="244">
        <f t="shared" si="308"/>
        <v>6.5856780081708628</v>
      </c>
      <c r="N252" s="244">
        <f t="shared" si="308"/>
        <v>5.8591188548745379</v>
      </c>
      <c r="O252" s="244">
        <f t="shared" si="308"/>
        <v>6.5226223943290336</v>
      </c>
      <c r="P252" s="244">
        <f t="shared" si="308"/>
        <v>5.774933709530325</v>
      </c>
      <c r="Q252" s="244">
        <f t="shared" si="308"/>
        <v>6.4106552765519664</v>
      </c>
      <c r="R252" s="1237">
        <f t="shared" si="308"/>
        <v>6.2877864093586897</v>
      </c>
      <c r="S252" s="606" t="e">
        <f t="shared" si="308"/>
        <v>#DIV/0!</v>
      </c>
      <c r="T252" s="244" t="e">
        <f t="shared" si="308"/>
        <v>#DIV/0!</v>
      </c>
      <c r="U252" s="244" t="e">
        <f t="shared" si="308"/>
        <v>#DIV/0!</v>
      </c>
      <c r="V252" s="232" t="e">
        <f t="shared" si="308"/>
        <v>#DIV/0!</v>
      </c>
      <c r="W252" s="232" t="e">
        <f t="shared" si="308"/>
        <v>#VALUE!</v>
      </c>
      <c r="X252" s="1236" t="e">
        <f t="shared" si="308"/>
        <v>#DIV/0!</v>
      </c>
      <c r="Y252" s="643" t="e">
        <f t="shared" si="308"/>
        <v>#DIV/0!</v>
      </c>
      <c r="Z252" s="232" t="e">
        <f t="shared" si="308"/>
        <v>#DIV/0!</v>
      </c>
      <c r="AA252" s="232" t="e">
        <f t="shared" si="308"/>
        <v>#DIV/0!</v>
      </c>
      <c r="AB252" s="232" t="e">
        <f t="shared" si="308"/>
        <v>#DIV/0!</v>
      </c>
      <c r="AC252" s="232" t="e">
        <f t="shared" si="308"/>
        <v>#DIV/0!</v>
      </c>
      <c r="AD252" s="232" t="e">
        <f t="shared" si="308"/>
        <v>#DIV/0!</v>
      </c>
      <c r="AE252" s="232" t="e">
        <f t="shared" si="308"/>
        <v>#DIV/0!</v>
      </c>
      <c r="AF252" s="232" t="e">
        <f t="shared" si="308"/>
        <v>#DIV/0!</v>
      </c>
      <c r="AG252" s="232" t="e">
        <f t="shared" si="308"/>
        <v>#DIV/0!</v>
      </c>
    </row>
    <row r="253" spans="3:179" x14ac:dyDescent="0.35">
      <c r="C253" s="1" t="s">
        <v>235</v>
      </c>
      <c r="F253" s="1029" t="e">
        <f>F$252/F$137</f>
        <v>#DIV/0!</v>
      </c>
      <c r="G253" s="232" t="e">
        <f>G$252/G$137</f>
        <v>#DIV/0!</v>
      </c>
      <c r="H253" s="232" t="e">
        <f>H$252/H$137</f>
        <v>#DIV/0!</v>
      </c>
      <c r="I253" s="1236" t="e">
        <f>I$252/I$137</f>
        <v>#DIV/0!</v>
      </c>
      <c r="J253" s="643" t="e">
        <f>J$252/J$137</f>
        <v>#DIV/0!</v>
      </c>
      <c r="K253" s="232" t="e">
        <f t="shared" ref="K253:AG253" si="309">K$252/K$137</f>
        <v>#DIV/0!</v>
      </c>
      <c r="L253" s="232" t="e">
        <f t="shared" si="309"/>
        <v>#DIV/0!</v>
      </c>
      <c r="M253" s="232" t="e">
        <f t="shared" si="309"/>
        <v>#DIV/0!</v>
      </c>
      <c r="N253" s="232" t="e">
        <f t="shared" si="309"/>
        <v>#DIV/0!</v>
      </c>
      <c r="O253" s="232" t="e">
        <f t="shared" si="309"/>
        <v>#DIV/0!</v>
      </c>
      <c r="P253" s="232" t="e">
        <f t="shared" si="309"/>
        <v>#DIV/0!</v>
      </c>
      <c r="Q253" s="232" t="e">
        <f t="shared" si="309"/>
        <v>#DIV/0!</v>
      </c>
      <c r="R253" s="1236" t="e">
        <f t="shared" si="309"/>
        <v>#DIV/0!</v>
      </c>
      <c r="S253" s="643" t="e">
        <f t="shared" si="309"/>
        <v>#DIV/0!</v>
      </c>
      <c r="T253" s="232" t="e">
        <f t="shared" si="309"/>
        <v>#DIV/0!</v>
      </c>
      <c r="U253" s="232" t="e">
        <f t="shared" si="309"/>
        <v>#DIV/0!</v>
      </c>
      <c r="V253" s="232" t="e">
        <f t="shared" si="309"/>
        <v>#DIV/0!</v>
      </c>
      <c r="W253" s="232" t="e">
        <f t="shared" si="309"/>
        <v>#VALUE!</v>
      </c>
      <c r="X253" s="1236" t="e">
        <f t="shared" si="309"/>
        <v>#DIV/0!</v>
      </c>
      <c r="Y253" s="643" t="e">
        <f t="shared" si="309"/>
        <v>#DIV/0!</v>
      </c>
      <c r="Z253" s="232" t="e">
        <f t="shared" si="309"/>
        <v>#DIV/0!</v>
      </c>
      <c r="AA253" s="232" t="e">
        <f t="shared" si="309"/>
        <v>#DIV/0!</v>
      </c>
      <c r="AB253" s="232" t="e">
        <f t="shared" si="309"/>
        <v>#DIV/0!</v>
      </c>
      <c r="AC253" s="232" t="e">
        <f t="shared" si="309"/>
        <v>#DIV/0!</v>
      </c>
      <c r="AD253" s="232" t="e">
        <f t="shared" si="309"/>
        <v>#DIV/0!</v>
      </c>
      <c r="AE253" s="232" t="e">
        <f t="shared" si="309"/>
        <v>#DIV/0!</v>
      </c>
      <c r="AF253" s="232" t="e">
        <f t="shared" si="309"/>
        <v>#DIV/0!</v>
      </c>
      <c r="AG253" s="232" t="e">
        <f t="shared" si="309"/>
        <v>#DIV/0!</v>
      </c>
      <c r="AI253" s="232" t="s">
        <v>822</v>
      </c>
      <c r="AJ253" s="240" t="e">
        <f>AVERAGE(K253:N253)</f>
        <v>#DIV/0!</v>
      </c>
      <c r="AK253" s="232" t="e">
        <f>AVERAGE(Q253:T253)</f>
        <v>#DIV/0!</v>
      </c>
      <c r="AL253" s="1236" t="s">
        <v>295</v>
      </c>
      <c r="AN253" s="240" t="e">
        <f>AVERAGE(H253:I253)</f>
        <v>#DIV/0!</v>
      </c>
      <c r="AO253" s="232" t="e">
        <f>AVERAGE(M253:O253)</f>
        <v>#DIV/0!</v>
      </c>
      <c r="AP253" s="232" t="e">
        <f>AVERAGE(R253:T253)</f>
        <v>#DIV/0!</v>
      </c>
    </row>
    <row r="254" spans="3:179" x14ac:dyDescent="0.35">
      <c r="C254" s="1" t="s">
        <v>243</v>
      </c>
      <c r="F254" s="501">
        <v>2.2000000000000002</v>
      </c>
      <c r="G254" s="249">
        <v>2</v>
      </c>
      <c r="H254" s="249">
        <v>1.7</v>
      </c>
      <c r="I254" s="1242">
        <v>1.7</v>
      </c>
      <c r="J254" s="419">
        <v>4.9000000000000004</v>
      </c>
      <c r="K254" s="497">
        <v>5.0999999999999996</v>
      </c>
      <c r="L254" s="251">
        <v>5.6</v>
      </c>
      <c r="M254" s="249">
        <v>5.8</v>
      </c>
      <c r="N254" s="249">
        <v>5.9</v>
      </c>
      <c r="O254" s="249">
        <v>5.8</v>
      </c>
      <c r="P254" s="249">
        <v>5.7</v>
      </c>
      <c r="Q254" s="249">
        <v>5.5</v>
      </c>
      <c r="R254" s="1242">
        <v>5.7</v>
      </c>
      <c r="S254" s="419">
        <v>5.9</v>
      </c>
      <c r="T254" s="249">
        <v>6</v>
      </c>
      <c r="U254" s="249">
        <v>6.1</v>
      </c>
      <c r="V254" s="249"/>
      <c r="W254" s="249"/>
      <c r="X254" s="1242"/>
      <c r="Y254" s="419"/>
      <c r="Z254" s="249"/>
      <c r="AA254" s="249"/>
      <c r="AB254" s="249"/>
      <c r="AC254" s="249"/>
      <c r="AD254" s="249"/>
      <c r="AE254" s="249"/>
      <c r="AF254" s="249"/>
      <c r="AG254" s="249"/>
      <c r="AI254" s="232" t="s">
        <v>822</v>
      </c>
      <c r="AJ254" s="241">
        <f>AVERAGE(K254:N254)</f>
        <v>5.6</v>
      </c>
      <c r="AK254" s="241">
        <f>AVERAGE(Q254:T254)</f>
        <v>5.7750000000000004</v>
      </c>
      <c r="AL254" s="1236" t="s">
        <v>608</v>
      </c>
      <c r="AN254" s="241">
        <f>AVERAGE(H254:I254)</f>
        <v>1.7</v>
      </c>
      <c r="AO254" s="241">
        <f>AVERAGE(M254:O254)</f>
        <v>5.833333333333333</v>
      </c>
      <c r="AP254" s="232">
        <f>AVERAGE(R254:T254)</f>
        <v>5.8666666666666671</v>
      </c>
    </row>
    <row r="255" spans="3:179" x14ac:dyDescent="0.35">
      <c r="C255" s="168" t="s">
        <v>234</v>
      </c>
      <c r="D255" s="168"/>
      <c r="E255" s="168"/>
      <c r="F255" s="501">
        <f t="shared" ref="F255:AG255" si="310">SUM(F$232:F$233)</f>
        <v>12.884458274398867</v>
      </c>
      <c r="G255" s="249">
        <f t="shared" si="310"/>
        <v>14.229468670076731</v>
      </c>
      <c r="H255" s="249">
        <f t="shared" si="310"/>
        <v>13.703382431204568</v>
      </c>
      <c r="I255" s="1242">
        <f>SUM(I$232:I$233)+0.4</f>
        <v>15.657108905211183</v>
      </c>
      <c r="J255" s="419">
        <f t="shared" si="310"/>
        <v>29.48626506024096</v>
      </c>
      <c r="K255" s="497">
        <f t="shared" si="310"/>
        <v>31.498569978507987</v>
      </c>
      <c r="L255" s="249">
        <f t="shared" si="310"/>
        <v>33.682503076642192</v>
      </c>
      <c r="M255" s="249">
        <f t="shared" si="310"/>
        <v>30.401120881725529</v>
      </c>
      <c r="N255" s="249">
        <f t="shared" si="310"/>
        <v>29.79794553803567</v>
      </c>
      <c r="O255" s="249">
        <f t="shared" si="310"/>
        <v>30.351145775835633</v>
      </c>
      <c r="P255" s="249">
        <f t="shared" si="310"/>
        <v>29.16755058976716</v>
      </c>
      <c r="Q255" s="249">
        <f t="shared" si="310"/>
        <v>29.609653783469149</v>
      </c>
      <c r="R255" s="1242">
        <f t="shared" si="310"/>
        <v>29.596895537170823</v>
      </c>
      <c r="S255" s="419" t="e">
        <f t="shared" si="310"/>
        <v>#DIV/0!</v>
      </c>
      <c r="T255" s="249" t="e">
        <f t="shared" si="310"/>
        <v>#DIV/0!</v>
      </c>
      <c r="U255" s="249" t="e">
        <f t="shared" si="310"/>
        <v>#DIV/0!</v>
      </c>
      <c r="V255" s="249" t="e">
        <f t="shared" si="310"/>
        <v>#DIV/0!</v>
      </c>
      <c r="W255" s="249" t="e">
        <f t="shared" si="310"/>
        <v>#DIV/0!</v>
      </c>
      <c r="X255" s="1242" t="e">
        <f t="shared" si="310"/>
        <v>#DIV/0!</v>
      </c>
      <c r="Y255" s="419" t="e">
        <f t="shared" si="310"/>
        <v>#DIV/0!</v>
      </c>
      <c r="Z255" s="249" t="e">
        <f t="shared" si="310"/>
        <v>#DIV/0!</v>
      </c>
      <c r="AA255" s="249" t="e">
        <f t="shared" si="310"/>
        <v>#DIV/0!</v>
      </c>
      <c r="AB255" s="249" t="e">
        <f t="shared" si="310"/>
        <v>#DIV/0!</v>
      </c>
      <c r="AC255" s="249" t="e">
        <f t="shared" si="310"/>
        <v>#DIV/0!</v>
      </c>
      <c r="AD255" s="249" t="e">
        <f t="shared" si="310"/>
        <v>#DIV/0!</v>
      </c>
      <c r="AE255" s="249" t="e">
        <f t="shared" si="310"/>
        <v>#DIV/0!</v>
      </c>
      <c r="AF255" s="249" t="e">
        <f t="shared" si="310"/>
        <v>#DIV/0!</v>
      </c>
      <c r="AG255" s="249" t="e">
        <f t="shared" si="310"/>
        <v>#DIV/0!</v>
      </c>
      <c r="AJ255" s="267"/>
      <c r="AK255" s="267"/>
      <c r="AN255" s="916"/>
      <c r="AO255" s="916"/>
      <c r="AP255" s="916"/>
    </row>
    <row r="256" spans="3:179" x14ac:dyDescent="0.35">
      <c r="C256" s="452" t="s">
        <v>236</v>
      </c>
      <c r="D256" s="452"/>
      <c r="E256" s="452"/>
      <c r="F256" s="1061" t="e">
        <f>F$255/F$137</f>
        <v>#DIV/0!</v>
      </c>
      <c r="G256" s="446" t="e">
        <f>G$255/G$137+0.5</f>
        <v>#DIV/0!</v>
      </c>
      <c r="H256" s="446" t="e">
        <f>H$255/H$137</f>
        <v>#DIV/0!</v>
      </c>
      <c r="I256" s="1242" t="e">
        <f>I$255/I$137</f>
        <v>#DIV/0!</v>
      </c>
      <c r="J256" s="419" t="e">
        <f>J$255/J$137</f>
        <v>#DIV/0!</v>
      </c>
      <c r="K256" s="249" t="e">
        <f t="shared" ref="K256:AG256" si="311">K$255/K$137</f>
        <v>#DIV/0!</v>
      </c>
      <c r="L256" s="249" t="e">
        <f t="shared" si="311"/>
        <v>#DIV/0!</v>
      </c>
      <c r="M256" s="249" t="e">
        <f t="shared" si="311"/>
        <v>#DIV/0!</v>
      </c>
      <c r="N256" s="249" t="e">
        <f t="shared" si="311"/>
        <v>#DIV/0!</v>
      </c>
      <c r="O256" s="249" t="e">
        <f t="shared" si="311"/>
        <v>#DIV/0!</v>
      </c>
      <c r="P256" s="249" t="e">
        <f t="shared" si="311"/>
        <v>#DIV/0!</v>
      </c>
      <c r="Q256" s="249" t="e">
        <f t="shared" si="311"/>
        <v>#DIV/0!</v>
      </c>
      <c r="R256" s="1242" t="e">
        <f t="shared" si="311"/>
        <v>#DIV/0!</v>
      </c>
      <c r="S256" s="419" t="e">
        <f t="shared" si="311"/>
        <v>#DIV/0!</v>
      </c>
      <c r="T256" s="249" t="e">
        <f t="shared" si="311"/>
        <v>#DIV/0!</v>
      </c>
      <c r="U256" s="249" t="e">
        <f t="shared" si="311"/>
        <v>#DIV/0!</v>
      </c>
      <c r="V256" s="232" t="e">
        <f t="shared" si="311"/>
        <v>#DIV/0!</v>
      </c>
      <c r="W256" s="232" t="e">
        <f t="shared" si="311"/>
        <v>#DIV/0!</v>
      </c>
      <c r="X256" s="1236" t="e">
        <f t="shared" si="311"/>
        <v>#DIV/0!</v>
      </c>
      <c r="Y256" s="643" t="e">
        <f t="shared" si="311"/>
        <v>#DIV/0!</v>
      </c>
      <c r="Z256" s="232" t="e">
        <f t="shared" si="311"/>
        <v>#DIV/0!</v>
      </c>
      <c r="AA256" s="232" t="e">
        <f t="shared" si="311"/>
        <v>#DIV/0!</v>
      </c>
      <c r="AB256" s="232" t="e">
        <f t="shared" si="311"/>
        <v>#DIV/0!</v>
      </c>
      <c r="AC256" s="232" t="e">
        <f t="shared" si="311"/>
        <v>#DIV/0!</v>
      </c>
      <c r="AD256" s="232" t="e">
        <f t="shared" si="311"/>
        <v>#DIV/0!</v>
      </c>
      <c r="AE256" s="232" t="e">
        <f t="shared" si="311"/>
        <v>#DIV/0!</v>
      </c>
      <c r="AF256" s="232" t="e">
        <f t="shared" si="311"/>
        <v>#DIV/0!</v>
      </c>
      <c r="AG256" s="232" t="e">
        <f t="shared" si="311"/>
        <v>#DIV/0!</v>
      </c>
      <c r="AI256" s="232" t="s">
        <v>234</v>
      </c>
      <c r="AJ256" s="267" t="e">
        <f>AVERAGE(K256:N256)</f>
        <v>#DIV/0!</v>
      </c>
      <c r="AK256" s="267" t="e">
        <f>AVERAGE(Q256:T256)</f>
        <v>#DIV/0!</v>
      </c>
      <c r="AL256" s="1236" t="s">
        <v>295</v>
      </c>
      <c r="AN256" s="459" t="e">
        <f>AVERAGE(H256:I256)</f>
        <v>#DIV/0!</v>
      </c>
      <c r="AO256" s="459" t="e">
        <f>AVERAGE(M256:O256)</f>
        <v>#DIV/0!</v>
      </c>
      <c r="AP256" s="459" t="e">
        <f>AVERAGE(R256:T256)</f>
        <v>#DIV/0!</v>
      </c>
    </row>
    <row r="257" spans="3:42" x14ac:dyDescent="0.35">
      <c r="C257" s="168" t="s">
        <v>242</v>
      </c>
      <c r="D257" s="168"/>
      <c r="E257" s="168"/>
      <c r="F257" s="501">
        <v>11.2</v>
      </c>
      <c r="G257" s="249">
        <v>11.2</v>
      </c>
      <c r="H257" s="249">
        <v>10.6</v>
      </c>
      <c r="I257" s="1242">
        <v>10.5</v>
      </c>
      <c r="J257" s="419">
        <v>22.5</v>
      </c>
      <c r="K257" s="249">
        <v>22.2</v>
      </c>
      <c r="L257" s="249">
        <v>22.1</v>
      </c>
      <c r="M257" s="249">
        <v>22.9</v>
      </c>
      <c r="N257" s="249">
        <v>22.8</v>
      </c>
      <c r="O257" s="249">
        <v>22.9</v>
      </c>
      <c r="P257" s="249">
        <v>22.8</v>
      </c>
      <c r="Q257" s="249">
        <v>22.1</v>
      </c>
      <c r="R257" s="1242">
        <v>22.8</v>
      </c>
      <c r="S257" s="419">
        <v>23.9</v>
      </c>
      <c r="T257" s="249">
        <v>24</v>
      </c>
      <c r="U257" s="249">
        <v>23.8</v>
      </c>
      <c r="V257" s="249"/>
      <c r="W257" s="249"/>
      <c r="X257" s="1242"/>
      <c r="Y257" s="419"/>
      <c r="Z257" s="249"/>
      <c r="AA257" s="249"/>
      <c r="AB257" s="249"/>
      <c r="AC257" s="249"/>
      <c r="AD257" s="249"/>
      <c r="AE257" s="249"/>
      <c r="AF257" s="249"/>
      <c r="AG257" s="249"/>
      <c r="AI257" s="232" t="s">
        <v>234</v>
      </c>
      <c r="AJ257" s="232">
        <f>AVERAGE(K257:N257)</f>
        <v>22.499999999999996</v>
      </c>
      <c r="AK257" s="232">
        <f>AVERAGE(Q257:T257)</f>
        <v>23.200000000000003</v>
      </c>
      <c r="AL257" s="1236" t="s">
        <v>608</v>
      </c>
      <c r="AN257" s="232">
        <f>AVERAGE(H257:I257)</f>
        <v>10.55</v>
      </c>
      <c r="AO257" s="232">
        <f>AVERAGE(M257:O257)</f>
        <v>22.866666666666664</v>
      </c>
      <c r="AP257" s="232">
        <f>AVERAGE(R257:T257)</f>
        <v>23.566666666666666</v>
      </c>
    </row>
    <row r="258" spans="3:42" x14ac:dyDescent="0.35">
      <c r="C258" s="168" t="s">
        <v>237</v>
      </c>
      <c r="D258" s="168"/>
      <c r="E258" s="168"/>
      <c r="F258" s="501">
        <f t="shared" ref="F258:AG258" si="312">F$234+F$235</f>
        <v>38.485714285714288</v>
      </c>
      <c r="G258" s="249">
        <f t="shared" si="312"/>
        <v>33.851851662404087</v>
      </c>
      <c r="H258" s="249">
        <f t="shared" si="312"/>
        <v>34.417150616562822</v>
      </c>
      <c r="I258" s="1242">
        <f>I$234+I$235+0.9</f>
        <v>36.454470532796542</v>
      </c>
      <c r="J258" s="419">
        <f t="shared" si="312"/>
        <v>37.727814113597248</v>
      </c>
      <c r="K258" s="249">
        <f t="shared" si="312"/>
        <v>39.814188383956086</v>
      </c>
      <c r="L258" s="249">
        <f t="shared" si="312"/>
        <v>40.900156443959048</v>
      </c>
      <c r="M258" s="249">
        <f t="shared" si="312"/>
        <v>39.895230860393461</v>
      </c>
      <c r="N258" s="249">
        <f t="shared" si="312"/>
        <v>39.857346492277173</v>
      </c>
      <c r="O258" s="249">
        <f t="shared" si="312"/>
        <v>39.326944706378413</v>
      </c>
      <c r="P258" s="249">
        <f t="shared" si="312"/>
        <v>39.827630438112749</v>
      </c>
      <c r="Q258" s="249">
        <f t="shared" si="312"/>
        <v>39.25977369033761</v>
      </c>
      <c r="R258" s="1242">
        <f t="shared" si="312"/>
        <v>40.050411617338618</v>
      </c>
      <c r="S258" s="419" t="e">
        <f t="shared" si="312"/>
        <v>#DIV/0!</v>
      </c>
      <c r="T258" s="249" t="e">
        <f t="shared" si="312"/>
        <v>#DIV/0!</v>
      </c>
      <c r="U258" s="249" t="e">
        <f t="shared" si="312"/>
        <v>#DIV/0!</v>
      </c>
      <c r="V258" s="249" t="e">
        <f t="shared" si="312"/>
        <v>#DIV/0!</v>
      </c>
      <c r="W258" s="249" t="e">
        <f t="shared" si="312"/>
        <v>#DIV/0!</v>
      </c>
      <c r="X258" s="1242" t="e">
        <f t="shared" si="312"/>
        <v>#DIV/0!</v>
      </c>
      <c r="Y258" s="419" t="e">
        <f t="shared" si="312"/>
        <v>#DIV/0!</v>
      </c>
      <c r="Z258" s="249" t="e">
        <f t="shared" si="312"/>
        <v>#DIV/0!</v>
      </c>
      <c r="AA258" s="249" t="e">
        <f t="shared" si="312"/>
        <v>#DIV/0!</v>
      </c>
      <c r="AB258" s="249" t="e">
        <f t="shared" si="312"/>
        <v>#DIV/0!</v>
      </c>
      <c r="AC258" s="249" t="e">
        <f t="shared" si="312"/>
        <v>#DIV/0!</v>
      </c>
      <c r="AD258" s="249" t="e">
        <f t="shared" si="312"/>
        <v>#DIV/0!</v>
      </c>
      <c r="AE258" s="249" t="e">
        <f t="shared" si="312"/>
        <v>#DIV/0!</v>
      </c>
      <c r="AF258" s="249" t="e">
        <f t="shared" si="312"/>
        <v>#DIV/0!</v>
      </c>
      <c r="AG258" s="249" t="e">
        <f t="shared" si="312"/>
        <v>#DIV/0!</v>
      </c>
      <c r="AJ258" s="267"/>
      <c r="AK258" s="267"/>
      <c r="AN258" s="916"/>
      <c r="AO258" s="916"/>
      <c r="AP258" s="916"/>
    </row>
    <row r="259" spans="3:42" x14ac:dyDescent="0.35">
      <c r="C259" s="452" t="s">
        <v>238</v>
      </c>
      <c r="D259" s="452"/>
      <c r="E259" s="452"/>
      <c r="F259" s="492" t="e">
        <f>F$258/F$137</f>
        <v>#DIV/0!</v>
      </c>
      <c r="G259" s="446" t="e">
        <f>G$258/G$137+1</f>
        <v>#DIV/0!</v>
      </c>
      <c r="H259" s="446" t="e">
        <f>H$258/H$137</f>
        <v>#DIV/0!</v>
      </c>
      <c r="I259" s="1242" t="e">
        <f>I$258/I$137+0.2</f>
        <v>#DIV/0!</v>
      </c>
      <c r="J259" s="419" t="e">
        <f t="shared" ref="J259:T259" si="313">J$258/J$137</f>
        <v>#DIV/0!</v>
      </c>
      <c r="K259" s="249" t="e">
        <f t="shared" si="313"/>
        <v>#DIV/0!</v>
      </c>
      <c r="L259" s="249" t="e">
        <f t="shared" si="313"/>
        <v>#DIV/0!</v>
      </c>
      <c r="M259" s="249" t="e">
        <f t="shared" si="313"/>
        <v>#DIV/0!</v>
      </c>
      <c r="N259" s="249" t="e">
        <f t="shared" si="313"/>
        <v>#DIV/0!</v>
      </c>
      <c r="O259" s="249" t="e">
        <f t="shared" si="313"/>
        <v>#DIV/0!</v>
      </c>
      <c r="P259" s="249" t="e">
        <f t="shared" si="313"/>
        <v>#DIV/0!</v>
      </c>
      <c r="Q259" s="249" t="e">
        <f t="shared" si="313"/>
        <v>#DIV/0!</v>
      </c>
      <c r="R259" s="1242" t="e">
        <f t="shared" si="313"/>
        <v>#DIV/0!</v>
      </c>
      <c r="S259" s="419" t="e">
        <f t="shared" si="313"/>
        <v>#DIV/0!</v>
      </c>
      <c r="T259" s="249" t="e">
        <f t="shared" si="313"/>
        <v>#DIV/0!</v>
      </c>
      <c r="U259" s="249">
        <v>32.89</v>
      </c>
      <c r="V259" s="232" t="e">
        <f t="shared" ref="V259:AG259" si="314">V$258/V$137</f>
        <v>#DIV/0!</v>
      </c>
      <c r="W259" s="232" t="e">
        <f t="shared" si="314"/>
        <v>#DIV/0!</v>
      </c>
      <c r="X259" s="1236" t="e">
        <f t="shared" si="314"/>
        <v>#DIV/0!</v>
      </c>
      <c r="Y259" s="643" t="e">
        <f t="shared" si="314"/>
        <v>#DIV/0!</v>
      </c>
      <c r="Z259" s="232" t="e">
        <f t="shared" si="314"/>
        <v>#DIV/0!</v>
      </c>
      <c r="AA259" s="232" t="e">
        <f t="shared" si="314"/>
        <v>#DIV/0!</v>
      </c>
      <c r="AB259" s="232" t="e">
        <f t="shared" si="314"/>
        <v>#DIV/0!</v>
      </c>
      <c r="AC259" s="232" t="e">
        <f t="shared" si="314"/>
        <v>#DIV/0!</v>
      </c>
      <c r="AD259" s="232" t="e">
        <f t="shared" si="314"/>
        <v>#DIV/0!</v>
      </c>
      <c r="AE259" s="232" t="e">
        <f t="shared" si="314"/>
        <v>#DIV/0!</v>
      </c>
      <c r="AF259" s="232" t="e">
        <f t="shared" si="314"/>
        <v>#DIV/0!</v>
      </c>
      <c r="AG259" s="232" t="e">
        <f t="shared" si="314"/>
        <v>#DIV/0!</v>
      </c>
      <c r="AI259" s="232" t="s">
        <v>237</v>
      </c>
      <c r="AJ259" s="267" t="e">
        <f>AVERAGE(K259:N259)</f>
        <v>#DIV/0!</v>
      </c>
      <c r="AK259" s="267" t="e">
        <f>AVERAGE(Q259:T259)</f>
        <v>#DIV/0!</v>
      </c>
      <c r="AL259" s="1236" t="s">
        <v>295</v>
      </c>
      <c r="AN259" s="459" t="e">
        <f>AVERAGE(H259:I259)</f>
        <v>#DIV/0!</v>
      </c>
      <c r="AO259" s="459" t="e">
        <f>AVERAGE(M259:O259)</f>
        <v>#DIV/0!</v>
      </c>
      <c r="AP259" s="459" t="e">
        <f>AVERAGE(R259:T259)</f>
        <v>#DIV/0!</v>
      </c>
    </row>
    <row r="260" spans="3:42" x14ac:dyDescent="0.35">
      <c r="C260" s="1" t="s">
        <v>241</v>
      </c>
      <c r="F260" s="501">
        <v>28.6</v>
      </c>
      <c r="G260" s="249">
        <v>28.7</v>
      </c>
      <c r="H260" s="249">
        <v>28.9</v>
      </c>
      <c r="I260" s="1242">
        <v>28.7</v>
      </c>
      <c r="J260" s="419">
        <v>34.200000000000003</v>
      </c>
      <c r="K260" s="249">
        <v>33.700000000000003</v>
      </c>
      <c r="L260" s="249">
        <v>33</v>
      </c>
      <c r="M260" s="249">
        <v>33.9</v>
      </c>
      <c r="N260" s="249">
        <v>33</v>
      </c>
      <c r="O260" s="249">
        <v>33.5</v>
      </c>
      <c r="P260" s="249">
        <v>33</v>
      </c>
      <c r="Q260" s="249">
        <v>33</v>
      </c>
      <c r="R260" s="1242">
        <v>33.299999999999997</v>
      </c>
      <c r="S260" s="419">
        <v>33.9</v>
      </c>
      <c r="T260" s="249">
        <v>33.799999999999997</v>
      </c>
      <c r="U260" s="249">
        <v>33.299999999999997</v>
      </c>
      <c r="V260" s="249"/>
      <c r="W260" s="249"/>
      <c r="X260" s="1242"/>
      <c r="Y260" s="419"/>
      <c r="Z260" s="249"/>
      <c r="AA260" s="249"/>
      <c r="AB260" s="249"/>
      <c r="AC260" s="249"/>
      <c r="AD260" s="249"/>
      <c r="AE260" s="249"/>
      <c r="AF260" s="249"/>
      <c r="AG260" s="249"/>
      <c r="AI260" s="232" t="s">
        <v>237</v>
      </c>
      <c r="AJ260" s="232">
        <f>AVERAGE(K260:N260)</f>
        <v>33.4</v>
      </c>
      <c r="AK260" s="232">
        <f>AVERAGE(Q260:T260)</f>
        <v>33.5</v>
      </c>
      <c r="AL260" s="1236" t="s">
        <v>608</v>
      </c>
      <c r="AN260" s="232">
        <f>AVERAGE(H260:I260)</f>
        <v>28.799999999999997</v>
      </c>
      <c r="AO260" s="232">
        <f>AVERAGE(M260:O260)</f>
        <v>33.466666666666669</v>
      </c>
      <c r="AP260" s="232">
        <f>AVERAGE(R260:T260)</f>
        <v>33.666666666666664</v>
      </c>
    </row>
    <row r="261" spans="3:42" x14ac:dyDescent="0.35">
      <c r="C261" s="1" t="s">
        <v>239</v>
      </c>
      <c r="F261" s="501" t="e">
        <f>F$236/F137</f>
        <v>#DIV/0!</v>
      </c>
      <c r="G261" s="249">
        <f>G$236</f>
        <v>50.789661764705897</v>
      </c>
      <c r="H261" s="249">
        <v>54.08</v>
      </c>
      <c r="I261" s="1242">
        <f>54.46</f>
        <v>54.46</v>
      </c>
      <c r="J261" s="419">
        <f t="shared" ref="J261:U261" si="315">J$236</f>
        <v>23.771359724612733</v>
      </c>
      <c r="K261" s="249">
        <f t="shared" si="315"/>
        <v>21.426714953779236</v>
      </c>
      <c r="L261" s="249">
        <f t="shared" si="315"/>
        <v>22.999243047556352</v>
      </c>
      <c r="M261" s="249">
        <f t="shared" si="315"/>
        <v>24.095408390613894</v>
      </c>
      <c r="N261" s="249">
        <f t="shared" si="315"/>
        <v>25.556519080220529</v>
      </c>
      <c r="O261" s="249">
        <f t="shared" si="315"/>
        <v>25.124228265869363</v>
      </c>
      <c r="P261" s="249">
        <f t="shared" si="315"/>
        <v>24.662157820159305</v>
      </c>
      <c r="Q261" s="249">
        <f t="shared" si="315"/>
        <v>24.525805005820729</v>
      </c>
      <c r="R261" s="1242">
        <f t="shared" si="315"/>
        <v>24.231385749242602</v>
      </c>
      <c r="S261" s="419" t="e">
        <f t="shared" si="315"/>
        <v>#DIV/0!</v>
      </c>
      <c r="T261" s="249" t="e">
        <f t="shared" si="315"/>
        <v>#DIV/0!</v>
      </c>
      <c r="U261" s="249" t="e">
        <f t="shared" si="315"/>
        <v>#DIV/0!</v>
      </c>
      <c r="V261" s="249" t="e">
        <f t="shared" ref="V261:AG261" si="316">V$236/V$137</f>
        <v>#DIV/0!</v>
      </c>
      <c r="W261" s="249" t="e">
        <f t="shared" si="316"/>
        <v>#DIV/0!</v>
      </c>
      <c r="X261" s="1242" t="e">
        <f t="shared" si="316"/>
        <v>#DIV/0!</v>
      </c>
      <c r="Y261" s="419" t="e">
        <f t="shared" si="316"/>
        <v>#DIV/0!</v>
      </c>
      <c r="Z261" s="249" t="e">
        <f t="shared" si="316"/>
        <v>#DIV/0!</v>
      </c>
      <c r="AA261" s="249" t="e">
        <f t="shared" si="316"/>
        <v>#DIV/0!</v>
      </c>
      <c r="AB261" s="249" t="e">
        <f t="shared" si="316"/>
        <v>#DIV/0!</v>
      </c>
      <c r="AC261" s="249" t="e">
        <f t="shared" si="316"/>
        <v>#DIV/0!</v>
      </c>
      <c r="AD261" s="249" t="e">
        <f t="shared" si="316"/>
        <v>#DIV/0!</v>
      </c>
      <c r="AE261" s="249" t="e">
        <f t="shared" si="316"/>
        <v>#DIV/0!</v>
      </c>
      <c r="AF261" s="249" t="e">
        <f t="shared" si="316"/>
        <v>#DIV/0!</v>
      </c>
      <c r="AG261" s="249" t="e">
        <f t="shared" si="316"/>
        <v>#DIV/0!</v>
      </c>
      <c r="AI261" s="232" t="s">
        <v>160</v>
      </c>
      <c r="AJ261" s="267">
        <f>AVERAGE(K261:N261)</f>
        <v>23.519471368042502</v>
      </c>
      <c r="AK261" s="267" t="e">
        <f>AVERAGE(Q261:T261)</f>
        <v>#DIV/0!</v>
      </c>
      <c r="AL261" s="1236" t="s">
        <v>295</v>
      </c>
      <c r="AN261" s="916">
        <f>AVERAGE(H261:I261)</f>
        <v>54.269999999999996</v>
      </c>
      <c r="AO261" s="916">
        <f>AVERAGE(M261:O261)</f>
        <v>24.925385245567927</v>
      </c>
      <c r="AP261" s="916" t="e">
        <f>AVERAGE(R261:T261)</f>
        <v>#DIV/0!</v>
      </c>
    </row>
    <row r="262" spans="3:42" x14ac:dyDescent="0.35">
      <c r="C262" s="444" t="s">
        <v>240</v>
      </c>
      <c r="D262" s="444"/>
      <c r="E262" s="444"/>
      <c r="F262" s="492">
        <v>53</v>
      </c>
      <c r="G262" s="446">
        <v>53</v>
      </c>
      <c r="H262" s="446">
        <v>53.8</v>
      </c>
      <c r="I262" s="1242">
        <v>54.4</v>
      </c>
      <c r="J262" s="419">
        <v>31</v>
      </c>
      <c r="K262" s="249">
        <v>31.3</v>
      </c>
      <c r="L262" s="249">
        <v>31.3</v>
      </c>
      <c r="M262" s="249">
        <v>30</v>
      </c>
      <c r="N262" s="249">
        <v>30.9</v>
      </c>
      <c r="O262" s="249">
        <v>30</v>
      </c>
      <c r="P262" s="249">
        <v>32</v>
      </c>
      <c r="Q262" s="249">
        <v>33.200000000000003</v>
      </c>
      <c r="R262" s="1242">
        <v>32</v>
      </c>
      <c r="S262" s="419">
        <v>29.9</v>
      </c>
      <c r="T262" s="249">
        <v>29</v>
      </c>
      <c r="U262" s="249">
        <v>30.4</v>
      </c>
      <c r="AI262" s="232" t="s">
        <v>160</v>
      </c>
      <c r="AJ262" s="267">
        <f>AVERAGE(K262:N262)</f>
        <v>30.875</v>
      </c>
      <c r="AK262" s="267">
        <f>AVERAGE(Q262:T262)</f>
        <v>31.024999999999999</v>
      </c>
      <c r="AL262" s="1236" t="s">
        <v>608</v>
      </c>
      <c r="AN262" s="459">
        <f>AVERAGE(H262:I262)</f>
        <v>54.099999999999994</v>
      </c>
      <c r="AO262" s="459">
        <f>AVERAGE(M262:O262)</f>
        <v>30.3</v>
      </c>
      <c r="AP262" s="459">
        <f>AVERAGE(R262:T262)</f>
        <v>30.3</v>
      </c>
    </row>
    <row r="263" spans="3:42" x14ac:dyDescent="0.35">
      <c r="F263" s="501"/>
      <c r="G263" s="249"/>
      <c r="H263" s="249"/>
      <c r="I263" s="1242"/>
      <c r="J263" s="419"/>
      <c r="K263" s="249"/>
      <c r="L263" s="249"/>
      <c r="M263" s="249"/>
      <c r="N263" s="249"/>
      <c r="O263" s="249"/>
      <c r="P263" s="249"/>
      <c r="Q263" s="249"/>
      <c r="R263" s="1242"/>
      <c r="S263" s="419"/>
      <c r="T263" s="249"/>
      <c r="U263" s="249"/>
      <c r="V263" s="249"/>
      <c r="W263" s="249"/>
      <c r="X263" s="1242"/>
      <c r="Y263" s="419"/>
      <c r="Z263" s="249"/>
      <c r="AA263" s="249"/>
      <c r="AB263" s="249"/>
      <c r="AC263" s="249"/>
      <c r="AD263" s="249"/>
      <c r="AE263" s="249"/>
      <c r="AF263" s="249"/>
      <c r="AG263" s="249"/>
      <c r="AJ263" s="267"/>
      <c r="AK263" s="267"/>
      <c r="AN263" s="916"/>
      <c r="AO263" s="916"/>
      <c r="AP263" s="916"/>
    </row>
    <row r="264" spans="3:42" x14ac:dyDescent="0.35">
      <c r="C264" s="444"/>
      <c r="D264" s="444"/>
      <c r="E264" s="444"/>
      <c r="F264" s="492"/>
      <c r="G264" s="446"/>
      <c r="H264" s="446"/>
      <c r="I264" s="1242"/>
      <c r="J264" s="419"/>
      <c r="K264" s="249"/>
      <c r="L264" s="249"/>
      <c r="M264" s="249"/>
      <c r="N264" s="249"/>
      <c r="O264" s="249"/>
      <c r="P264" s="249"/>
      <c r="Q264" s="249"/>
      <c r="R264" s="1242"/>
      <c r="S264" s="419"/>
      <c r="T264" s="249"/>
      <c r="U264" s="249"/>
      <c r="AJ264" s="267"/>
      <c r="AK264" s="267"/>
      <c r="AN264" s="459"/>
      <c r="AO264" s="459"/>
      <c r="AP264" s="459"/>
    </row>
    <row r="265" spans="3:42" x14ac:dyDescent="0.35">
      <c r="C265" s="1" t="s">
        <v>223</v>
      </c>
      <c r="F265" s="1029" cm="1">
        <f t="array" ref="F265:V265">'HPS DAILY'!K90:AA90</f>
        <v>0</v>
      </c>
      <c r="G265" s="267">
        <v>0</v>
      </c>
      <c r="H265" s="267">
        <v>46.5</v>
      </c>
      <c r="I265" s="1285">
        <v>47.66</v>
      </c>
      <c r="J265" s="645">
        <v>231.3</v>
      </c>
      <c r="K265" s="267">
        <v>687.38</v>
      </c>
      <c r="L265" s="267">
        <v>521.02</v>
      </c>
      <c r="M265" s="267">
        <v>404.92</v>
      </c>
      <c r="N265" s="267">
        <v>305.33</v>
      </c>
      <c r="O265" s="267">
        <v>101.32</v>
      </c>
      <c r="P265" s="267">
        <v>379.52</v>
      </c>
      <c r="Q265" s="267">
        <v>153.5</v>
      </c>
      <c r="R265" s="1285">
        <v>130.41999999999999</v>
      </c>
      <c r="S265" s="645">
        <v>0</v>
      </c>
      <c r="T265" s="267">
        <v>0</v>
      </c>
      <c r="U265" s="267">
        <v>0</v>
      </c>
      <c r="V265" s="232">
        <v>0</v>
      </c>
      <c r="AJ265" s="232">
        <f>AVERAGE(K265:N265)</f>
        <v>479.66250000000002</v>
      </c>
      <c r="AK265" s="232">
        <f>AVERAGE(Q265:T265)</f>
        <v>70.97999999999999</v>
      </c>
      <c r="AN265" s="232">
        <f>AVERAGE(G265:I265)</f>
        <v>31.386666666666667</v>
      </c>
      <c r="AO265" s="232">
        <f>AVERAGE(M265:O265)</f>
        <v>270.52333333333331</v>
      </c>
      <c r="AP265" s="232">
        <f>AVERAGE(S265:U265)</f>
        <v>0</v>
      </c>
    </row>
    <row r="266" spans="3:42" x14ac:dyDescent="0.35">
      <c r="C266" s="1" t="s">
        <v>210</v>
      </c>
      <c r="G266" s="267"/>
      <c r="J266" s="643">
        <v>400</v>
      </c>
      <c r="K266" s="232">
        <v>600</v>
      </c>
      <c r="L266" s="232">
        <v>700</v>
      </c>
      <c r="M266" s="232">
        <v>900</v>
      </c>
      <c r="N266" s="232">
        <v>913</v>
      </c>
      <c r="O266" s="232">
        <v>913</v>
      </c>
      <c r="P266" s="232">
        <v>1600</v>
      </c>
      <c r="Q266" s="232">
        <v>5700</v>
      </c>
      <c r="R266" s="1236">
        <v>6400</v>
      </c>
      <c r="S266" s="643">
        <v>7600</v>
      </c>
      <c r="T266" s="232">
        <v>10044</v>
      </c>
      <c r="U266" s="232">
        <v>9500</v>
      </c>
      <c r="AJ266" s="267">
        <f>AVERAGE(K266:N266)</f>
        <v>778.25</v>
      </c>
      <c r="AK266" s="232">
        <f>AVERAGE(Q266:T266)</f>
        <v>7436</v>
      </c>
      <c r="AN266" s="232" t="e">
        <f>AVERAGE(G266:I266)</f>
        <v>#DIV/0!</v>
      </c>
      <c r="AO266" s="232">
        <f>AVERAGE(M266:O266)</f>
        <v>908.66666666666663</v>
      </c>
      <c r="AP266" s="232">
        <f>AVERAGE(S266:U266)</f>
        <v>9048</v>
      </c>
    </row>
    <row r="267" spans="3:42" x14ac:dyDescent="0.35">
      <c r="F267" s="1062"/>
      <c r="G267" s="243"/>
      <c r="H267" s="243"/>
      <c r="I267" s="1286"/>
      <c r="J267" s="1225"/>
      <c r="K267" s="497"/>
      <c r="L267" s="497"/>
      <c r="M267" s="243"/>
      <c r="N267" s="497"/>
      <c r="O267" s="243"/>
      <c r="P267" s="243"/>
      <c r="Q267" s="497"/>
      <c r="R267" s="1286"/>
      <c r="S267" s="1225"/>
      <c r="T267" s="497"/>
      <c r="U267" s="243"/>
      <c r="AJ267" s="902"/>
      <c r="AK267" s="902"/>
      <c r="AN267" s="915"/>
      <c r="AO267" s="946"/>
      <c r="AP267" s="946"/>
    </row>
    <row r="268" spans="3:42" x14ac:dyDescent="0.35">
      <c r="C268" s="1" t="s">
        <v>413</v>
      </c>
      <c r="F268" s="1029" t="e">
        <f t="shared" ref="F268:U268" si="317">F$226+F$228+F$240+F$253+F$256+F$259+F$261</f>
        <v>#DIV/0!</v>
      </c>
      <c r="G268" s="244" t="e">
        <f t="shared" si="317"/>
        <v>#DIV/0!</v>
      </c>
      <c r="H268" s="244" t="e">
        <f t="shared" si="317"/>
        <v>#DIV/0!</v>
      </c>
      <c r="I268" s="1237" t="e">
        <f t="shared" si="317"/>
        <v>#DIV/0!</v>
      </c>
      <c r="J268" s="606" t="e">
        <f t="shared" si="317"/>
        <v>#DIV/0!</v>
      </c>
      <c r="K268" s="244" t="e">
        <f t="shared" si="317"/>
        <v>#DIV/0!</v>
      </c>
      <c r="L268" s="244" t="e">
        <f t="shared" si="317"/>
        <v>#DIV/0!</v>
      </c>
      <c r="M268" s="244" t="e">
        <f t="shared" si="317"/>
        <v>#DIV/0!</v>
      </c>
      <c r="N268" s="244" t="e">
        <f t="shared" si="317"/>
        <v>#DIV/0!</v>
      </c>
      <c r="O268" s="244" t="e">
        <f t="shared" si="317"/>
        <v>#DIV/0!</v>
      </c>
      <c r="P268" s="244" t="e">
        <f t="shared" si="317"/>
        <v>#DIV/0!</v>
      </c>
      <c r="Q268" s="244" t="e">
        <f t="shared" si="317"/>
        <v>#DIV/0!</v>
      </c>
      <c r="R268" s="1237" t="e">
        <f t="shared" si="317"/>
        <v>#DIV/0!</v>
      </c>
      <c r="S268" s="606" t="e">
        <f t="shared" si="317"/>
        <v>#DIV/0!</v>
      </c>
      <c r="T268" s="244" t="e">
        <f t="shared" si="317"/>
        <v>#DIV/0!</v>
      </c>
      <c r="U268" s="244" t="e">
        <f t="shared" si="317"/>
        <v>#DIV/0!</v>
      </c>
      <c r="AN268" s="468"/>
      <c r="AO268" s="468"/>
      <c r="AP268" s="468"/>
    </row>
    <row r="270" spans="3:42" x14ac:dyDescent="0.35">
      <c r="C270" s="168" t="s">
        <v>597</v>
      </c>
      <c r="D270" s="168"/>
      <c r="E270" s="168"/>
      <c r="F270" s="605">
        <f>F102</f>
        <v>0</v>
      </c>
      <c r="G270" s="249">
        <f t="shared" ref="G270:U270" si="318">G102</f>
        <v>0</v>
      </c>
      <c r="H270" s="243">
        <f t="shared" si="318"/>
        <v>0</v>
      </c>
      <c r="I270" s="1282">
        <f t="shared" si="318"/>
        <v>0</v>
      </c>
      <c r="J270" s="419">
        <f t="shared" si="318"/>
        <v>0</v>
      </c>
      <c r="K270" s="244">
        <f t="shared" si="318"/>
        <v>0</v>
      </c>
      <c r="L270" s="249">
        <f t="shared" si="318"/>
        <v>0</v>
      </c>
      <c r="M270" s="249">
        <f t="shared" si="318"/>
        <v>0</v>
      </c>
      <c r="N270" s="249">
        <f t="shared" si="318"/>
        <v>0</v>
      </c>
      <c r="O270" s="249">
        <f t="shared" si="318"/>
        <v>0</v>
      </c>
      <c r="P270" s="249">
        <f t="shared" si="318"/>
        <v>0</v>
      </c>
      <c r="Q270" s="249">
        <f t="shared" si="318"/>
        <v>0</v>
      </c>
      <c r="R270" s="1242">
        <f t="shared" si="318"/>
        <v>0</v>
      </c>
      <c r="S270" s="419">
        <f t="shared" si="318"/>
        <v>0</v>
      </c>
      <c r="T270" s="249">
        <f t="shared" si="318"/>
        <v>0</v>
      </c>
      <c r="U270" s="249">
        <f t="shared" si="318"/>
        <v>0</v>
      </c>
      <c r="AJ270" s="945"/>
    </row>
    <row r="271" spans="3:42" x14ac:dyDescent="0.35">
      <c r="C271" s="168" t="s">
        <v>598</v>
      </c>
      <c r="D271" s="168"/>
      <c r="E271" s="168"/>
      <c r="F271" s="605" t="e">
        <f t="shared" ref="F271:U271" si="319">AI102+BL102+CO102+SUM(DS124:DS129)+SUM(EV124:EV129)</f>
        <v>#DIV/0!</v>
      </c>
      <c r="G271" s="249">
        <f t="shared" si="319"/>
        <v>37.760677233071199</v>
      </c>
      <c r="H271" s="243">
        <f t="shared" si="319"/>
        <v>36.727232886474866</v>
      </c>
      <c r="I271" s="1282">
        <f t="shared" si="319"/>
        <v>36.753754106428886</v>
      </c>
      <c r="J271" s="419">
        <f t="shared" si="319"/>
        <v>21.928269467259959</v>
      </c>
      <c r="K271" s="244">
        <f t="shared" si="319"/>
        <v>21.961915559063275</v>
      </c>
      <c r="L271" s="249">
        <f t="shared" si="319"/>
        <v>22.49993833048611</v>
      </c>
      <c r="M271" s="249">
        <f t="shared" si="319"/>
        <v>21.138926040060248</v>
      </c>
      <c r="N271" s="249">
        <f t="shared" si="319"/>
        <v>20.998925212092463</v>
      </c>
      <c r="O271" s="249">
        <f t="shared" si="319"/>
        <v>21.772058542346858</v>
      </c>
      <c r="P271" s="249">
        <f t="shared" si="319"/>
        <v>21.2915405972877</v>
      </c>
      <c r="Q271" s="249">
        <f t="shared" si="319"/>
        <v>21.053518509259586</v>
      </c>
      <c r="R271" s="1242">
        <f t="shared" si="319"/>
        <v>21.49035502227165</v>
      </c>
      <c r="S271" s="419" t="e">
        <f t="shared" si="319"/>
        <v>#DIV/0!</v>
      </c>
      <c r="T271" s="249" t="e">
        <f t="shared" si="319"/>
        <v>#DIV/0!</v>
      </c>
      <c r="U271" s="249" t="e">
        <f t="shared" si="319"/>
        <v>#DIV/0!</v>
      </c>
    </row>
    <row r="272" spans="3:42" x14ac:dyDescent="0.35">
      <c r="C272" s="168" t="s">
        <v>621</v>
      </c>
      <c r="D272" s="168"/>
      <c r="E272" s="168"/>
      <c r="F272" s="604" t="e">
        <f>F271-F270</f>
        <v>#DIV/0!</v>
      </c>
      <c r="G272" s="251">
        <f t="shared" ref="G272:U272" si="320">G271-G270</f>
        <v>37.760677233071199</v>
      </c>
      <c r="H272" s="251">
        <f t="shared" si="320"/>
        <v>36.727232886474866</v>
      </c>
      <c r="I272" s="1267">
        <f t="shared" si="320"/>
        <v>36.753754106428886</v>
      </c>
      <c r="J272" s="1212">
        <f t="shared" si="320"/>
        <v>21.928269467259959</v>
      </c>
      <c r="K272" s="251">
        <f t="shared" si="320"/>
        <v>21.961915559063275</v>
      </c>
      <c r="L272" s="251">
        <f t="shared" si="320"/>
        <v>22.49993833048611</v>
      </c>
      <c r="M272" s="251">
        <f t="shared" si="320"/>
        <v>21.138926040060248</v>
      </c>
      <c r="N272" s="251">
        <f t="shared" si="320"/>
        <v>20.998925212092463</v>
      </c>
      <c r="O272" s="251">
        <f t="shared" si="320"/>
        <v>21.772058542346858</v>
      </c>
      <c r="P272" s="251">
        <f t="shared" si="320"/>
        <v>21.2915405972877</v>
      </c>
      <c r="Q272" s="251">
        <f t="shared" si="320"/>
        <v>21.053518509259586</v>
      </c>
      <c r="R272" s="1267">
        <f t="shared" si="320"/>
        <v>21.49035502227165</v>
      </c>
      <c r="S272" s="1212" t="e">
        <f t="shared" si="320"/>
        <v>#DIV/0!</v>
      </c>
      <c r="T272" s="251" t="e">
        <f t="shared" si="320"/>
        <v>#DIV/0!</v>
      </c>
      <c r="U272" s="251" t="e">
        <f t="shared" si="320"/>
        <v>#DIV/0!</v>
      </c>
    </row>
    <row r="273" spans="3:21" x14ac:dyDescent="0.35">
      <c r="C273" s="168" t="s">
        <v>599</v>
      </c>
      <c r="D273" s="168"/>
      <c r="E273" s="168"/>
      <c r="F273" s="604" t="e">
        <f>F272/F$137</f>
        <v>#DIV/0!</v>
      </c>
      <c r="G273" s="251" t="e">
        <f t="shared" ref="G273:U273" si="321">G272/G$137</f>
        <v>#DIV/0!</v>
      </c>
      <c r="H273" s="251" t="e">
        <f t="shared" si="321"/>
        <v>#DIV/0!</v>
      </c>
      <c r="I273" s="1237" t="e">
        <f t="shared" si="321"/>
        <v>#DIV/0!</v>
      </c>
      <c r="J273" s="1212" t="e">
        <f t="shared" si="321"/>
        <v>#DIV/0!</v>
      </c>
      <c r="K273" s="251" t="e">
        <f t="shared" si="321"/>
        <v>#DIV/0!</v>
      </c>
      <c r="L273" s="251" t="e">
        <f t="shared" si="321"/>
        <v>#DIV/0!</v>
      </c>
      <c r="M273" s="251" t="e">
        <f t="shared" si="321"/>
        <v>#DIV/0!</v>
      </c>
      <c r="N273" s="251" t="e">
        <f t="shared" si="321"/>
        <v>#DIV/0!</v>
      </c>
      <c r="O273" s="251" t="e">
        <f t="shared" si="321"/>
        <v>#DIV/0!</v>
      </c>
      <c r="P273" s="251" t="e">
        <f t="shared" si="321"/>
        <v>#DIV/0!</v>
      </c>
      <c r="Q273" s="251" t="e">
        <f t="shared" si="321"/>
        <v>#DIV/0!</v>
      </c>
      <c r="R273" s="1267" t="e">
        <f t="shared" si="321"/>
        <v>#DIV/0!</v>
      </c>
      <c r="S273" s="1212" t="e">
        <f t="shared" si="321"/>
        <v>#DIV/0!</v>
      </c>
      <c r="T273" s="251" t="e">
        <f t="shared" si="321"/>
        <v>#DIV/0!</v>
      </c>
      <c r="U273" s="251" t="e">
        <f t="shared" si="321"/>
        <v>#DIV/0!</v>
      </c>
    </row>
    <row r="274" spans="3:21" x14ac:dyDescent="0.35">
      <c r="C274" s="168" t="s">
        <v>600</v>
      </c>
      <c r="D274" s="168"/>
      <c r="E274" s="168"/>
      <c r="F274" s="604" t="e">
        <f>F273*2</f>
        <v>#DIV/0!</v>
      </c>
      <c r="G274" s="251" t="e">
        <f t="shared" ref="G274:U274" si="322">G273*2</f>
        <v>#DIV/0!</v>
      </c>
      <c r="H274" s="251" t="e">
        <f t="shared" si="322"/>
        <v>#DIV/0!</v>
      </c>
      <c r="I274" s="1267" t="e">
        <f t="shared" si="322"/>
        <v>#DIV/0!</v>
      </c>
      <c r="J274" s="1212" t="e">
        <f t="shared" si="322"/>
        <v>#DIV/0!</v>
      </c>
      <c r="K274" s="251" t="e">
        <f t="shared" si="322"/>
        <v>#DIV/0!</v>
      </c>
      <c r="L274" s="251" t="e">
        <f t="shared" si="322"/>
        <v>#DIV/0!</v>
      </c>
      <c r="M274" s="251" t="e">
        <f t="shared" si="322"/>
        <v>#DIV/0!</v>
      </c>
      <c r="N274" s="251" t="e">
        <f t="shared" si="322"/>
        <v>#DIV/0!</v>
      </c>
      <c r="O274" s="251" t="e">
        <f t="shared" si="322"/>
        <v>#DIV/0!</v>
      </c>
      <c r="P274" s="251" t="e">
        <f t="shared" si="322"/>
        <v>#DIV/0!</v>
      </c>
      <c r="Q274" s="251" t="e">
        <f t="shared" si="322"/>
        <v>#DIV/0!</v>
      </c>
      <c r="R274" s="1267" t="e">
        <f t="shared" si="322"/>
        <v>#DIV/0!</v>
      </c>
      <c r="S274" s="1212" t="e">
        <f t="shared" si="322"/>
        <v>#DIV/0!</v>
      </c>
      <c r="T274" s="251" t="e">
        <f t="shared" si="322"/>
        <v>#DIV/0!</v>
      </c>
      <c r="U274" s="251" t="e">
        <f t="shared" si="322"/>
        <v>#DIV/0!</v>
      </c>
    </row>
    <row r="275" spans="3:21" x14ac:dyDescent="0.35">
      <c r="C275" s="168" t="s">
        <v>601</v>
      </c>
      <c r="D275" s="168"/>
      <c r="E275" s="168"/>
      <c r="F275" s="605" t="e">
        <f>0.082*(F274/2)*(273.15+15)</f>
        <v>#DIV/0!</v>
      </c>
      <c r="G275" s="244" t="e">
        <f t="shared" ref="G275:U275" si="323">0.082*(G274/2)*(273.15+15)</f>
        <v>#DIV/0!</v>
      </c>
      <c r="H275" s="244" t="e">
        <f t="shared" si="323"/>
        <v>#DIV/0!</v>
      </c>
      <c r="I275" s="1237" t="e">
        <f t="shared" si="323"/>
        <v>#DIV/0!</v>
      </c>
      <c r="J275" s="606" t="e">
        <f t="shared" si="323"/>
        <v>#DIV/0!</v>
      </c>
      <c r="K275" s="244" t="e">
        <f t="shared" si="323"/>
        <v>#DIV/0!</v>
      </c>
      <c r="L275" s="244" t="e">
        <f t="shared" si="323"/>
        <v>#DIV/0!</v>
      </c>
      <c r="M275" s="244" t="e">
        <f t="shared" si="323"/>
        <v>#DIV/0!</v>
      </c>
      <c r="N275" s="244" t="e">
        <f t="shared" si="323"/>
        <v>#DIV/0!</v>
      </c>
      <c r="O275" s="244" t="e">
        <f t="shared" si="323"/>
        <v>#DIV/0!</v>
      </c>
      <c r="P275" s="244" t="e">
        <f t="shared" si="323"/>
        <v>#DIV/0!</v>
      </c>
      <c r="Q275" s="244" t="e">
        <f t="shared" si="323"/>
        <v>#DIV/0!</v>
      </c>
      <c r="R275" s="1237" t="e">
        <f t="shared" si="323"/>
        <v>#DIV/0!</v>
      </c>
      <c r="S275" s="606" t="e">
        <f t="shared" si="323"/>
        <v>#DIV/0!</v>
      </c>
      <c r="T275" s="244" t="e">
        <f t="shared" si="323"/>
        <v>#DIV/0!</v>
      </c>
      <c r="U275" s="244" t="e">
        <f t="shared" si="323"/>
        <v>#DIV/0!</v>
      </c>
    </row>
    <row r="276" spans="3:21" x14ac:dyDescent="0.35">
      <c r="C276" s="168" t="s">
        <v>602</v>
      </c>
      <c r="D276" s="168"/>
      <c r="E276" s="168"/>
      <c r="F276" s="605" t="e">
        <f>F275/28.317</f>
        <v>#DIV/0!</v>
      </c>
      <c r="G276" s="244" t="e">
        <f t="shared" ref="G276:U276" si="324">G275/28.317</f>
        <v>#DIV/0!</v>
      </c>
      <c r="H276" s="244" t="e">
        <f t="shared" si="324"/>
        <v>#DIV/0!</v>
      </c>
      <c r="I276" s="1237" t="e">
        <f t="shared" si="324"/>
        <v>#DIV/0!</v>
      </c>
      <c r="J276" s="606" t="e">
        <f t="shared" si="324"/>
        <v>#DIV/0!</v>
      </c>
      <c r="K276" s="244" t="e">
        <f t="shared" si="324"/>
        <v>#DIV/0!</v>
      </c>
      <c r="L276" s="244" t="e">
        <f t="shared" si="324"/>
        <v>#DIV/0!</v>
      </c>
      <c r="M276" s="244" t="e">
        <f t="shared" si="324"/>
        <v>#DIV/0!</v>
      </c>
      <c r="N276" s="244" t="e">
        <f t="shared" si="324"/>
        <v>#DIV/0!</v>
      </c>
      <c r="O276" s="244" t="e">
        <f t="shared" si="324"/>
        <v>#DIV/0!</v>
      </c>
      <c r="P276" s="244" t="e">
        <f t="shared" si="324"/>
        <v>#DIV/0!</v>
      </c>
      <c r="Q276" s="244" t="e">
        <f t="shared" si="324"/>
        <v>#DIV/0!</v>
      </c>
      <c r="R276" s="1237" t="e">
        <f t="shared" si="324"/>
        <v>#DIV/0!</v>
      </c>
      <c r="S276" s="606" t="e">
        <f t="shared" si="324"/>
        <v>#DIV/0!</v>
      </c>
      <c r="T276" s="244" t="e">
        <f t="shared" si="324"/>
        <v>#DIV/0!</v>
      </c>
      <c r="U276" s="244" t="e">
        <f t="shared" si="324"/>
        <v>#DIV/0!</v>
      </c>
    </row>
    <row r="277" spans="3:21" x14ac:dyDescent="0.35">
      <c r="C277" s="168" t="s">
        <v>603</v>
      </c>
      <c r="D277" s="168"/>
      <c r="E277" s="168"/>
      <c r="F277" s="605">
        <f>(F59/F62)/158.99/1000</f>
        <v>1.9842616515129132E-3</v>
      </c>
      <c r="G277" s="244">
        <f t="shared" ref="G277:U277" si="325">(G59/G62)/158.99/1000</f>
        <v>1.9536655292236083E-3</v>
      </c>
      <c r="H277" s="244">
        <f t="shared" si="325"/>
        <v>1.9740362301972174E-3</v>
      </c>
      <c r="I277" s="1237">
        <f t="shared" si="325"/>
        <v>1.9510073449229767E-3</v>
      </c>
      <c r="J277" s="606">
        <f t="shared" si="325"/>
        <v>1.1589971080329131E-3</v>
      </c>
      <c r="K277" s="244">
        <f t="shared" si="325"/>
        <v>1.1164985236629269E-3</v>
      </c>
      <c r="L277" s="244">
        <f t="shared" si="325"/>
        <v>1.1172303232662366E-3</v>
      </c>
      <c r="M277" s="244">
        <f t="shared" si="325"/>
        <v>1.0977644538181983E-3</v>
      </c>
      <c r="N277" s="244">
        <f t="shared" si="325"/>
        <v>1.0928826922316751E-3</v>
      </c>
      <c r="O277" s="244">
        <f t="shared" si="325"/>
        <v>1.1313296622900038E-3</v>
      </c>
      <c r="P277" s="244">
        <f t="shared" si="325"/>
        <v>1.1216977724687978E-3</v>
      </c>
      <c r="Q277" s="244">
        <f t="shared" si="325"/>
        <v>1.107006418371665E-3</v>
      </c>
      <c r="R277" s="1237">
        <f t="shared" si="325"/>
        <v>1.1059754461543224E-3</v>
      </c>
      <c r="S277" s="606">
        <f t="shared" si="325"/>
        <v>0</v>
      </c>
      <c r="T277" s="244">
        <f t="shared" si="325"/>
        <v>0</v>
      </c>
      <c r="U277" s="244">
        <f t="shared" si="325"/>
        <v>0</v>
      </c>
    </row>
    <row r="278" spans="3:21" x14ac:dyDescent="0.35">
      <c r="C278" s="168" t="s">
        <v>604</v>
      </c>
      <c r="D278" s="168"/>
      <c r="E278" s="168"/>
      <c r="F278" s="605" t="e">
        <f>F276/F277</f>
        <v>#DIV/0!</v>
      </c>
      <c r="G278" s="244" t="e">
        <f t="shared" ref="G278:U278" si="326">G276/G277</f>
        <v>#DIV/0!</v>
      </c>
      <c r="H278" s="244" t="e">
        <f t="shared" si="326"/>
        <v>#DIV/0!</v>
      </c>
      <c r="I278" s="1237" t="e">
        <f t="shared" si="326"/>
        <v>#DIV/0!</v>
      </c>
      <c r="J278" s="606" t="e">
        <f t="shared" si="326"/>
        <v>#DIV/0!</v>
      </c>
      <c r="K278" s="244" t="e">
        <f t="shared" si="326"/>
        <v>#DIV/0!</v>
      </c>
      <c r="L278" s="244" t="e">
        <f t="shared" si="326"/>
        <v>#DIV/0!</v>
      </c>
      <c r="M278" s="244" t="e">
        <f t="shared" si="326"/>
        <v>#DIV/0!</v>
      </c>
      <c r="N278" s="244" t="e">
        <f t="shared" si="326"/>
        <v>#DIV/0!</v>
      </c>
      <c r="O278" s="244" t="e">
        <f t="shared" si="326"/>
        <v>#DIV/0!</v>
      </c>
      <c r="P278" s="244" t="e">
        <f t="shared" si="326"/>
        <v>#DIV/0!</v>
      </c>
      <c r="Q278" s="244" t="e">
        <f t="shared" si="326"/>
        <v>#DIV/0!</v>
      </c>
      <c r="R278" s="1237" t="e">
        <f t="shared" si="326"/>
        <v>#DIV/0!</v>
      </c>
      <c r="S278" s="606" t="e">
        <f t="shared" si="326"/>
        <v>#DIV/0!</v>
      </c>
      <c r="T278" s="244" t="e">
        <f t="shared" si="326"/>
        <v>#DIV/0!</v>
      </c>
      <c r="U278" s="244" t="e">
        <f t="shared" si="326"/>
        <v>#DIV/0!</v>
      </c>
    </row>
    <row r="279" spans="3:21" x14ac:dyDescent="0.35">
      <c r="C279" s="168" t="s">
        <v>605</v>
      </c>
      <c r="D279" s="168"/>
      <c r="E279" s="168"/>
      <c r="F279" s="605"/>
      <c r="G279" s="244" t="e">
        <f>AVERAGE(F278:I278)</f>
        <v>#DIV/0!</v>
      </c>
      <c r="H279" s="244"/>
      <c r="I279" s="1237"/>
      <c r="J279" s="606"/>
      <c r="K279" s="244" t="e">
        <f>AVERAGE(K278:O278)</f>
        <v>#DIV/0!</v>
      </c>
      <c r="L279" s="244"/>
      <c r="M279" s="244"/>
      <c r="N279" s="244"/>
      <c r="O279" s="244"/>
      <c r="P279" s="244"/>
      <c r="Q279" s="244"/>
      <c r="R279" s="1237" t="e">
        <f>AVERAGE(P278:T278)</f>
        <v>#DIV/0!</v>
      </c>
      <c r="S279" s="606"/>
      <c r="T279" s="244"/>
      <c r="U279" s="244"/>
    </row>
    <row r="280" spans="3:21" x14ac:dyDescent="0.35">
      <c r="C280" s="168" t="s">
        <v>834</v>
      </c>
      <c r="D280" s="168"/>
      <c r="E280" s="168"/>
      <c r="F280" s="605"/>
      <c r="G280" s="244">
        <v>1041</v>
      </c>
      <c r="H280" s="244"/>
      <c r="I280" s="1237"/>
      <c r="J280" s="606"/>
      <c r="K280" s="244">
        <v>1605</v>
      </c>
      <c r="L280" s="244"/>
      <c r="M280" s="244"/>
      <c r="N280" s="244"/>
      <c r="O280" s="244"/>
      <c r="P280" s="244"/>
      <c r="Q280" s="244"/>
      <c r="R280" s="1237">
        <v>1334</v>
      </c>
      <c r="S280" s="606"/>
      <c r="T280" s="244"/>
      <c r="U280" s="244"/>
    </row>
    <row r="281" spans="3:21" x14ac:dyDescent="0.35">
      <c r="C281" s="168"/>
      <c r="D281" s="168"/>
      <c r="E281" s="168"/>
      <c r="F281" s="605"/>
      <c r="G281" s="244"/>
      <c r="H281" s="244"/>
      <c r="I281" s="1237"/>
      <c r="J281" s="606"/>
      <c r="K281" s="607"/>
      <c r="L281" s="244"/>
      <c r="M281" s="244"/>
      <c r="N281" s="244"/>
      <c r="O281" s="244"/>
      <c r="P281" s="244"/>
      <c r="Q281" s="244"/>
      <c r="R281" s="1419"/>
      <c r="S281" s="606"/>
      <c r="T281" s="244"/>
      <c r="U281" s="244"/>
    </row>
    <row r="282" spans="3:21" x14ac:dyDescent="0.35">
      <c r="C282" s="168"/>
      <c r="D282" s="168"/>
      <c r="E282" s="168"/>
      <c r="F282" s="605"/>
      <c r="G282" s="244"/>
      <c r="H282" s="244"/>
      <c r="I282" s="1237"/>
      <c r="J282" s="606"/>
      <c r="K282" s="244"/>
      <c r="L282" s="244"/>
      <c r="M282" s="244"/>
      <c r="N282" s="244"/>
      <c r="O282" s="244"/>
      <c r="P282" s="244"/>
      <c r="Q282" s="244"/>
      <c r="R282" s="1237"/>
      <c r="S282" s="606"/>
      <c r="T282" s="244"/>
      <c r="U282" s="244"/>
    </row>
    <row r="283" spans="3:21" x14ac:dyDescent="0.35">
      <c r="C283" s="168"/>
      <c r="D283" s="168"/>
      <c r="E283" s="168"/>
      <c r="F283" s="605"/>
      <c r="G283" s="244"/>
      <c r="H283" s="244"/>
      <c r="I283" s="1237"/>
      <c r="J283" s="606"/>
      <c r="K283" s="497"/>
      <c r="L283" s="244"/>
      <c r="M283" s="244"/>
      <c r="N283" s="244"/>
      <c r="O283" s="244"/>
      <c r="P283" s="244"/>
      <c r="Q283" s="244"/>
      <c r="R283" s="1237"/>
      <c r="S283" s="606"/>
      <c r="T283" s="249"/>
      <c r="U283" s="244"/>
    </row>
    <row r="284" spans="3:21" x14ac:dyDescent="0.35">
      <c r="F284" s="605"/>
      <c r="G284" s="244"/>
      <c r="H284" s="244"/>
      <c r="I284" s="1237"/>
      <c r="J284" s="606"/>
      <c r="K284" s="497"/>
      <c r="L284" s="244"/>
      <c r="M284" s="244"/>
      <c r="N284" s="244"/>
      <c r="O284" s="244"/>
      <c r="P284" s="244"/>
      <c r="Q284" s="244"/>
      <c r="R284" s="1237"/>
      <c r="S284" s="606"/>
      <c r="T284" s="244"/>
      <c r="U284" s="244"/>
    </row>
    <row r="285" spans="3:21" x14ac:dyDescent="0.35">
      <c r="C285" s="168"/>
      <c r="D285" s="168"/>
      <c r="E285" s="168"/>
      <c r="G285" s="267"/>
      <c r="H285" s="267"/>
      <c r="I285" s="1285"/>
      <c r="J285" s="645"/>
      <c r="K285" s="267"/>
      <c r="L285" s="267"/>
      <c r="M285" s="267"/>
      <c r="N285" s="267"/>
      <c r="O285" s="267"/>
      <c r="P285" s="267"/>
      <c r="Q285" s="267"/>
      <c r="R285" s="1285"/>
      <c r="S285" s="645"/>
      <c r="T285" s="267"/>
      <c r="U285" s="267"/>
    </row>
    <row r="286" spans="3:21" x14ac:dyDescent="0.35">
      <c r="D286"/>
      <c r="E286"/>
      <c r="G286" s="268"/>
      <c r="H286" s="268"/>
      <c r="I286" s="1287"/>
      <c r="J286" s="1227"/>
      <c r="T286" s="268"/>
      <c r="U286" s="268"/>
    </row>
    <row r="287" spans="3:21" x14ac:dyDescent="0.35">
      <c r="C287"/>
      <c r="D287"/>
      <c r="E287"/>
      <c r="G287" s="268"/>
      <c r="H287" s="268"/>
      <c r="I287" s="1287"/>
      <c r="J287" s="1227"/>
      <c r="K287" s="268"/>
      <c r="L287" s="268"/>
      <c r="M287" s="268"/>
      <c r="N287" s="268"/>
      <c r="O287" s="268"/>
      <c r="P287" s="268"/>
      <c r="Q287" s="268"/>
      <c r="R287" s="1287"/>
      <c r="S287" s="1227"/>
      <c r="T287" s="268"/>
      <c r="U287" s="268"/>
    </row>
    <row r="288" spans="3:21" x14ac:dyDescent="0.35">
      <c r="C288"/>
      <c r="D288"/>
      <c r="E288"/>
      <c r="G288" s="268"/>
      <c r="H288" s="268"/>
      <c r="I288" s="1287"/>
      <c r="J288" s="1227"/>
      <c r="L288" s="268"/>
      <c r="M288" s="268"/>
      <c r="N288" s="268"/>
      <c r="O288" s="268"/>
      <c r="P288" s="268"/>
      <c r="Q288" s="268"/>
      <c r="S288" s="1227"/>
      <c r="T288" s="268"/>
      <c r="U288" s="268"/>
    </row>
    <row r="289" spans="3:21" x14ac:dyDescent="0.35">
      <c r="C289"/>
      <c r="D289"/>
      <c r="E289"/>
      <c r="G289" s="267"/>
      <c r="H289" s="267"/>
      <c r="I289" s="1285"/>
      <c r="J289" s="645"/>
      <c r="K289" s="267"/>
      <c r="L289" s="267"/>
      <c r="M289" s="267"/>
      <c r="N289" s="267"/>
      <c r="O289" s="267"/>
      <c r="P289" s="267"/>
      <c r="Q289" s="267"/>
      <c r="R289" s="1285"/>
      <c r="S289" s="645"/>
      <c r="T289" s="267"/>
      <c r="U289" s="267"/>
    </row>
    <row r="290" spans="3:21" x14ac:dyDescent="0.35">
      <c r="C290"/>
      <c r="D290"/>
      <c r="E290"/>
      <c r="G290" s="267"/>
      <c r="H290" s="267"/>
      <c r="I290" s="1285"/>
      <c r="J290" s="645"/>
      <c r="K290" s="267"/>
      <c r="L290" s="267"/>
      <c r="M290" s="267"/>
      <c r="N290" s="267"/>
      <c r="O290" s="267"/>
      <c r="P290" s="267"/>
      <c r="Q290" s="267"/>
      <c r="R290" s="1285"/>
      <c r="S290" s="645"/>
      <c r="T290" s="267"/>
      <c r="U290" s="267"/>
    </row>
    <row r="291" spans="3:21" x14ac:dyDescent="0.35">
      <c r="C291"/>
      <c r="D291"/>
      <c r="E291"/>
      <c r="G291" s="267"/>
      <c r="H291" s="267"/>
      <c r="I291" s="1285"/>
      <c r="J291" s="645"/>
      <c r="K291" s="267"/>
      <c r="L291" s="267"/>
      <c r="M291" s="267"/>
      <c r="N291" s="267"/>
      <c r="O291" s="267"/>
      <c r="P291" s="267"/>
      <c r="Q291" s="267"/>
      <c r="R291" s="1285"/>
      <c r="S291" s="645"/>
      <c r="T291" s="267"/>
      <c r="U291" s="267"/>
    </row>
    <row r="292" spans="3:21" x14ac:dyDescent="0.35">
      <c r="C292"/>
      <c r="D292"/>
      <c r="E292"/>
      <c r="G292" s="267"/>
      <c r="H292" s="267"/>
      <c r="I292" s="1285"/>
      <c r="J292" s="645"/>
      <c r="K292" s="267"/>
      <c r="L292" s="267"/>
      <c r="M292" s="267"/>
      <c r="N292" s="267"/>
      <c r="O292" s="267"/>
      <c r="P292" s="267"/>
      <c r="Q292" s="267"/>
      <c r="R292" s="1285"/>
      <c r="S292" s="645"/>
      <c r="T292" s="267"/>
      <c r="U292" s="267"/>
    </row>
    <row r="295" spans="3:21" x14ac:dyDescent="0.35">
      <c r="H295" s="267"/>
      <c r="K295" s="267"/>
    </row>
  </sheetData>
  <mergeCells count="70">
    <mergeCell ref="EZ2:FA2"/>
    <mergeCell ref="FB2:FE2"/>
    <mergeCell ref="FF2:FH2"/>
    <mergeCell ref="CY2:DA2"/>
    <mergeCell ref="DS2:DT2"/>
    <mergeCell ref="DW2:DX2"/>
    <mergeCell ref="DY2:EB2"/>
    <mergeCell ref="EC2:EE2"/>
    <mergeCell ref="EV2:EW2"/>
    <mergeCell ref="BL2:BM2"/>
    <mergeCell ref="BR2:BU2"/>
    <mergeCell ref="BV2:BX2"/>
    <mergeCell ref="CU2:CX2"/>
    <mergeCell ref="CS2:CT2"/>
    <mergeCell ref="DS115:DV115"/>
    <mergeCell ref="DW115:EB115"/>
    <mergeCell ref="EC115:EH115"/>
    <mergeCell ref="EV115:EY115"/>
    <mergeCell ref="EZ115:FE115"/>
    <mergeCell ref="FF115:FJ115"/>
    <mergeCell ref="DW53:EB53"/>
    <mergeCell ref="EC53:EH53"/>
    <mergeCell ref="EV53:EY53"/>
    <mergeCell ref="EZ53:FE53"/>
    <mergeCell ref="FF53:FK53"/>
    <mergeCell ref="EV105:FE105"/>
    <mergeCell ref="DS53:DV53"/>
    <mergeCell ref="EV44:EY44"/>
    <mergeCell ref="EZ44:FD44"/>
    <mergeCell ref="FF44:FK44"/>
    <mergeCell ref="F53:I53"/>
    <mergeCell ref="J53:O53"/>
    <mergeCell ref="P53:U53"/>
    <mergeCell ref="AI53:AL53"/>
    <mergeCell ref="AM53:AR53"/>
    <mergeCell ref="AS53:AX53"/>
    <mergeCell ref="BL53:BO53"/>
    <mergeCell ref="BP53:BU53"/>
    <mergeCell ref="BV53:CA53"/>
    <mergeCell ref="CO53:CR53"/>
    <mergeCell ref="CS53:CX53"/>
    <mergeCell ref="CY53:DD53"/>
    <mergeCell ref="FF7:FK7"/>
    <mergeCell ref="BL7:BO7"/>
    <mergeCell ref="BP7:BU7"/>
    <mergeCell ref="BV7:CA7"/>
    <mergeCell ref="CO7:CR7"/>
    <mergeCell ref="CS7:CX7"/>
    <mergeCell ref="CY7:DD7"/>
    <mergeCell ref="DS7:DV7"/>
    <mergeCell ref="DW7:EA7"/>
    <mergeCell ref="EC7:EI7"/>
    <mergeCell ref="EV7:EY7"/>
    <mergeCell ref="EZ7:FE7"/>
    <mergeCell ref="AS7:AW7"/>
    <mergeCell ref="F2:G2"/>
    <mergeCell ref="J2:K2"/>
    <mergeCell ref="BP2:BQ2"/>
    <mergeCell ref="CO2:CP2"/>
    <mergeCell ref="F7:I7"/>
    <mergeCell ref="J7:O7"/>
    <mergeCell ref="P7:U7"/>
    <mergeCell ref="AI7:AL7"/>
    <mergeCell ref="AM7:AR7"/>
    <mergeCell ref="L2:O2"/>
    <mergeCell ref="P2:R2"/>
    <mergeCell ref="AI2:AJ2"/>
    <mergeCell ref="AM2:AN2"/>
    <mergeCell ref="AO2:AR2"/>
    <mergeCell ref="AS2:AU2"/>
  </mergeCells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ABA9B-6DD9-4B18-815B-6C13A27C768C}">
  <sheetPr codeName="Sheet30">
    <tabColor rgb="FFFF0000"/>
    <pageSetUpPr fitToPage="1"/>
  </sheetPr>
  <dimension ref="B1:AK128"/>
  <sheetViews>
    <sheetView showGridLines="0" zoomScale="54" zoomScaleNormal="10" zoomScaleSheetLayoutView="100" workbookViewId="0">
      <pane xSplit="4" ySplit="8" topLeftCell="F9" activePane="bottomRight" state="frozen"/>
      <selection activeCell="F9" sqref="F9"/>
      <selection pane="topRight" activeCell="F9" sqref="F9"/>
      <selection pane="bottomLeft" activeCell="F9" sqref="F9"/>
      <selection pane="bottomRight" activeCell="F9" sqref="F9"/>
    </sheetView>
  </sheetViews>
  <sheetFormatPr defaultColWidth="9.26953125" defaultRowHeight="16" x14ac:dyDescent="0.35"/>
  <cols>
    <col min="1" max="2" width="9.26953125" style="7"/>
    <col min="3" max="3" width="1" style="7" customWidth="1"/>
    <col min="4" max="4" width="31.26953125" style="18" customWidth="1"/>
    <col min="5" max="5" width="31.7265625" style="18" bestFit="1" customWidth="1"/>
    <col min="6" max="6" width="14.453125" style="18" customWidth="1"/>
    <col min="7" max="7" width="39.453125" style="18" bestFit="1" customWidth="1"/>
    <col min="8" max="23" width="22.7265625" style="18" customWidth="1"/>
    <col min="24" max="24" width="22.7265625" style="7" customWidth="1"/>
    <col min="25" max="25" width="21.7265625" style="576" customWidth="1"/>
    <col min="26" max="26" width="21.7265625" style="18" customWidth="1"/>
    <col min="27" max="16384" width="9.26953125" style="7"/>
  </cols>
  <sheetData>
    <row r="1" spans="4:37" ht="26.25" customHeight="1" x14ac:dyDescent="0.55000000000000004">
      <c r="D1" s="2676" t="s">
        <v>5</v>
      </c>
      <c r="E1" s="2676"/>
      <c r="F1" s="2676"/>
      <c r="G1" s="2676"/>
      <c r="H1" s="2676"/>
      <c r="I1" s="2676"/>
      <c r="J1" s="2676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4:37" ht="30.75" customHeight="1" x14ac:dyDescent="0.35">
      <c r="D2" s="8" t="s">
        <v>6</v>
      </c>
      <c r="E2" s="9" t="s">
        <v>353</v>
      </c>
      <c r="F2" s="10"/>
      <c r="G2" s="10"/>
      <c r="H2" s="12"/>
      <c r="I2" s="12"/>
      <c r="J2" s="11"/>
      <c r="K2" s="11"/>
      <c r="L2" s="7"/>
      <c r="M2" s="7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4:37" ht="26.25" customHeight="1" x14ac:dyDescent="0.35">
      <c r="D3" s="8" t="s">
        <v>8</v>
      </c>
      <c r="E3" s="14" t="s">
        <v>432</v>
      </c>
      <c r="F3" s="15"/>
      <c r="G3" s="15"/>
      <c r="H3" s="12"/>
      <c r="I3" s="12"/>
      <c r="J3" s="11"/>
      <c r="K3" s="11"/>
      <c r="L3" s="7"/>
      <c r="M3" s="7"/>
      <c r="N3" s="2705"/>
      <c r="O3" s="2705"/>
      <c r="P3" s="2705"/>
      <c r="Q3" s="2705"/>
      <c r="R3" s="2705"/>
      <c r="S3" s="2705"/>
      <c r="T3" s="2705"/>
      <c r="U3" s="2705"/>
      <c r="V3" s="2705"/>
      <c r="W3" s="2705"/>
      <c r="X3" s="2705"/>
      <c r="Y3" s="588"/>
    </row>
    <row r="4" spans="4:37" ht="28.5" customHeight="1" x14ac:dyDescent="0.45">
      <c r="D4" s="8" t="s">
        <v>9</v>
      </c>
      <c r="E4" s="16" t="s">
        <v>10</v>
      </c>
      <c r="F4" s="15"/>
      <c r="G4" s="15"/>
      <c r="H4" s="12"/>
      <c r="I4" s="12"/>
      <c r="J4" s="2685" t="s">
        <v>162</v>
      </c>
      <c r="K4" s="2685"/>
      <c r="L4" s="2685"/>
      <c r="M4" s="2685"/>
      <c r="N4" s="2772" t="s">
        <v>149</v>
      </c>
      <c r="O4" s="2772"/>
      <c r="P4" s="2772"/>
      <c r="Q4" s="2772"/>
      <c r="R4" s="2772"/>
      <c r="S4" s="2772"/>
      <c r="T4" s="2772"/>
      <c r="U4" s="2772"/>
      <c r="V4" s="2772"/>
      <c r="W4" s="2772"/>
      <c r="X4" s="2772"/>
      <c r="Y4" s="589"/>
    </row>
    <row r="5" spans="4:37" ht="28.5" customHeight="1" x14ac:dyDescent="0.45">
      <c r="D5" s="8" t="s">
        <v>427</v>
      </c>
      <c r="E5" s="11"/>
      <c r="F5" s="12"/>
      <c r="G5" s="12"/>
      <c r="H5" s="12"/>
      <c r="I5" s="12"/>
      <c r="J5" s="187" t="s">
        <v>94</v>
      </c>
      <c r="K5" s="185"/>
      <c r="L5" s="185"/>
      <c r="M5" s="185"/>
      <c r="N5" s="188" t="s">
        <v>356</v>
      </c>
      <c r="O5" s="186"/>
      <c r="P5" s="186"/>
      <c r="Q5" s="186"/>
      <c r="R5" s="186"/>
      <c r="S5" s="186"/>
      <c r="T5" s="188" t="s">
        <v>357</v>
      </c>
      <c r="U5" s="186"/>
      <c r="V5" s="186"/>
      <c r="W5" s="186"/>
      <c r="X5" s="186"/>
    </row>
    <row r="6" spans="4:37" ht="21.4" customHeight="1" x14ac:dyDescent="0.35">
      <c r="D6" s="17"/>
      <c r="J6" s="712">
        <v>1</v>
      </c>
      <c r="K6" s="212">
        <v>2</v>
      </c>
      <c r="L6" s="212">
        <v>3</v>
      </c>
      <c r="M6" s="212">
        <v>4</v>
      </c>
      <c r="N6" s="190">
        <v>5</v>
      </c>
      <c r="O6" s="191">
        <v>6</v>
      </c>
      <c r="P6" s="191">
        <v>7</v>
      </c>
      <c r="Q6" s="212">
        <v>8</v>
      </c>
      <c r="R6" s="212">
        <v>9</v>
      </c>
      <c r="S6" s="191">
        <v>10</v>
      </c>
      <c r="T6" s="190">
        <v>11</v>
      </c>
      <c r="U6" s="191">
        <v>12</v>
      </c>
      <c r="V6" s="191">
        <v>13</v>
      </c>
      <c r="W6" s="191">
        <v>14</v>
      </c>
      <c r="X6" s="191">
        <v>15</v>
      </c>
      <c r="Y6" s="212">
        <v>16</v>
      </c>
      <c r="Z6" s="212">
        <v>17</v>
      </c>
      <c r="AA6" s="212">
        <v>18</v>
      </c>
      <c r="AB6" s="212">
        <v>19</v>
      </c>
      <c r="AC6" s="212">
        <v>20</v>
      </c>
      <c r="AD6" s="212">
        <v>21</v>
      </c>
      <c r="AE6" s="212">
        <v>22</v>
      </c>
      <c r="AF6" s="212">
        <v>23</v>
      </c>
      <c r="AG6" s="212">
        <v>24</v>
      </c>
      <c r="AH6" s="212">
        <v>25</v>
      </c>
      <c r="AI6" s="212">
        <v>26</v>
      </c>
      <c r="AJ6" s="212">
        <v>27</v>
      </c>
      <c r="AK6" s="212">
        <v>28</v>
      </c>
    </row>
    <row r="7" spans="4:37" ht="16.899999999999999" customHeight="1" thickBot="1" x14ac:dyDescent="0.4">
      <c r="D7" s="17"/>
      <c r="I7" s="18" t="s">
        <v>354</v>
      </c>
      <c r="J7" s="428">
        <v>45856</v>
      </c>
      <c r="K7" s="12"/>
      <c r="L7" s="12"/>
      <c r="M7" s="12"/>
      <c r="N7" s="184"/>
      <c r="O7" s="12"/>
      <c r="P7" s="12"/>
      <c r="Q7" s="12"/>
      <c r="R7" s="12"/>
      <c r="S7" s="12"/>
      <c r="T7" s="184"/>
      <c r="U7" s="12"/>
      <c r="V7" s="12"/>
      <c r="W7" s="12"/>
      <c r="X7" s="12"/>
      <c r="Y7" s="576" t="s">
        <v>585</v>
      </c>
      <c r="Z7" s="18" t="s">
        <v>584</v>
      </c>
    </row>
    <row r="8" spans="4:37" ht="16.5" thickBot="1" x14ac:dyDescent="0.4">
      <c r="D8" s="19" t="s">
        <v>11</v>
      </c>
      <c r="E8" s="20" t="s">
        <v>12</v>
      </c>
      <c r="F8" s="21" t="s">
        <v>13</v>
      </c>
      <c r="G8" s="22" t="s">
        <v>873</v>
      </c>
      <c r="H8" s="22"/>
      <c r="I8" s="22"/>
      <c r="J8" s="22" t="s">
        <v>15</v>
      </c>
      <c r="K8" s="110" t="s">
        <v>15</v>
      </c>
      <c r="L8" s="110" t="s">
        <v>15</v>
      </c>
      <c r="M8" s="111" t="s">
        <v>15</v>
      </c>
      <c r="N8" s="111" t="s">
        <v>15</v>
      </c>
      <c r="O8" s="111" t="s">
        <v>15</v>
      </c>
      <c r="P8" s="111" t="s">
        <v>15</v>
      </c>
      <c r="Q8" s="111" t="s">
        <v>15</v>
      </c>
      <c r="R8" s="111" t="s">
        <v>15</v>
      </c>
      <c r="S8" s="111" t="s">
        <v>15</v>
      </c>
      <c r="T8" s="111" t="s">
        <v>15</v>
      </c>
      <c r="U8" s="111" t="s">
        <v>15</v>
      </c>
      <c r="V8" s="111" t="s">
        <v>15</v>
      </c>
      <c r="W8" s="111" t="s">
        <v>15</v>
      </c>
      <c r="X8" s="111" t="s">
        <v>15</v>
      </c>
      <c r="Y8" s="111" t="s">
        <v>15</v>
      </c>
      <c r="Z8" s="111" t="s">
        <v>15</v>
      </c>
      <c r="AA8" s="111" t="s">
        <v>15</v>
      </c>
      <c r="AB8" s="111" t="s">
        <v>15</v>
      </c>
      <c r="AC8" s="111" t="s">
        <v>15</v>
      </c>
      <c r="AD8" s="111" t="s">
        <v>15</v>
      </c>
      <c r="AE8" s="111" t="s">
        <v>15</v>
      </c>
      <c r="AF8" s="111" t="s">
        <v>15</v>
      </c>
      <c r="AG8" s="111" t="s">
        <v>15</v>
      </c>
      <c r="AH8" s="111" t="s">
        <v>15</v>
      </c>
      <c r="AI8" s="111" t="s">
        <v>15</v>
      </c>
      <c r="AJ8" s="111" t="s">
        <v>15</v>
      </c>
      <c r="AK8" s="111" t="s">
        <v>15</v>
      </c>
    </row>
    <row r="9" spans="4:37" ht="19.5" customHeight="1" x14ac:dyDescent="0.35">
      <c r="D9" s="23" t="s">
        <v>16</v>
      </c>
      <c r="E9" s="24" t="s">
        <v>17</v>
      </c>
      <c r="F9" s="25" t="s">
        <v>18</v>
      </c>
      <c r="G9" s="26"/>
      <c r="H9" s="948"/>
      <c r="I9" s="948"/>
      <c r="J9" s="27"/>
      <c r="K9" s="28"/>
      <c r="L9" s="28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192"/>
      <c r="Y9" s="590"/>
      <c r="Z9" s="172"/>
      <c r="AA9" s="172"/>
      <c r="AB9" s="172"/>
      <c r="AC9" s="172"/>
      <c r="AD9" s="172"/>
      <c r="AE9" s="172"/>
      <c r="AF9" s="172"/>
      <c r="AG9" s="172"/>
      <c r="AH9" s="172"/>
      <c r="AI9" s="172"/>
      <c r="AJ9" s="172"/>
      <c r="AK9" s="172"/>
    </row>
    <row r="10" spans="4:37" ht="19.5" customHeight="1" x14ac:dyDescent="0.35">
      <c r="D10" s="30" t="s">
        <v>835</v>
      </c>
      <c r="E10" s="31" t="s">
        <v>17</v>
      </c>
      <c r="F10" s="32"/>
      <c r="G10" s="889">
        <v>0.61</v>
      </c>
      <c r="H10" s="949"/>
      <c r="I10" s="949"/>
      <c r="J10" s="981">
        <f>'HPS DAILY'!K10-'HPS DAILY (repro-)'!$G10</f>
        <v>12.65</v>
      </c>
      <c r="K10" s="981">
        <f>'HPS DAILY'!L10-'HPS DAILY (repro-)'!$G10</f>
        <v>12.020000000000001</v>
      </c>
      <c r="L10" s="981">
        <f>'HPS DAILY'!M10-'HPS DAILY (repro-)'!$G10</f>
        <v>11.32</v>
      </c>
      <c r="M10" s="981">
        <f>'HPS DAILY'!N10-'HPS DAILY (repro-)'!$G10</f>
        <v>11.33</v>
      </c>
      <c r="N10" s="981">
        <f>'HPS DAILY'!O10-'HPS DAILY (repro-)'!$G10</f>
        <v>17.830000000000002</v>
      </c>
      <c r="O10" s="981">
        <f>'HPS DAILY'!P10-'HPS DAILY (repro-)'!$G10</f>
        <v>17.080000000000002</v>
      </c>
      <c r="P10" s="981">
        <f>'HPS DAILY'!Q10-'HPS DAILY (repro-)'!$G10</f>
        <v>16.59</v>
      </c>
      <c r="Q10" s="981">
        <f>'HPS DAILY'!R10-'HPS DAILY (repro-)'!$G10</f>
        <v>16.350000000000001</v>
      </c>
      <c r="R10" s="981">
        <f>'HPS DAILY'!S10-'HPS DAILY (repro-)'!$G10</f>
        <v>15.620000000000001</v>
      </c>
      <c r="S10" s="981">
        <f>'HPS DAILY'!T10-'HPS DAILY (repro-)'!$G10</f>
        <v>15.86</v>
      </c>
      <c r="T10" s="981">
        <f>'HPS DAILY'!U10-'HPS DAILY (repro-)'!$G10</f>
        <v>15.57</v>
      </c>
      <c r="U10" s="981">
        <f>'HPS DAILY'!V10-'HPS DAILY (repro-)'!$G10</f>
        <v>15.440000000000001</v>
      </c>
      <c r="V10" s="981">
        <f>'HPS DAILY'!W10-'HPS DAILY (repro-)'!$G10</f>
        <v>15.39</v>
      </c>
      <c r="W10" s="981">
        <f>'HPS DAILY'!X10-'HPS DAILY (repro-)'!$G10</f>
        <v>-0.61</v>
      </c>
      <c r="X10" s="981">
        <f>'HPS DAILY'!Y10-'HPS DAILY (repro-)'!$G10</f>
        <v>-0.61</v>
      </c>
      <c r="Y10" s="577">
        <v>15.1</v>
      </c>
      <c r="Z10" s="39">
        <v>15.6</v>
      </c>
      <c r="AA10" s="39">
        <v>15.6</v>
      </c>
      <c r="AB10" s="39">
        <v>15.6</v>
      </c>
      <c r="AC10" s="39">
        <v>15.6</v>
      </c>
      <c r="AD10" s="39">
        <v>15.6</v>
      </c>
      <c r="AE10" s="39">
        <v>15.6</v>
      </c>
      <c r="AF10" s="39">
        <v>15.6</v>
      </c>
      <c r="AG10" s="39">
        <v>15.6</v>
      </c>
      <c r="AH10" s="39">
        <v>15.6</v>
      </c>
      <c r="AI10" s="39">
        <v>15.6</v>
      </c>
      <c r="AJ10" s="39">
        <v>15.6</v>
      </c>
      <c r="AK10" s="39">
        <v>15.6</v>
      </c>
    </row>
    <row r="11" spans="4:37" ht="19.5" customHeight="1" x14ac:dyDescent="0.35">
      <c r="D11" s="37" t="s">
        <v>836</v>
      </c>
      <c r="E11" s="31" t="s">
        <v>22</v>
      </c>
      <c r="F11" s="32" t="s">
        <v>23</v>
      </c>
      <c r="G11" s="39">
        <v>3.8999999999999998E-3</v>
      </c>
      <c r="H11" s="950"/>
      <c r="I11" s="951"/>
      <c r="J11" s="39">
        <f>'HPS DAILY'!K11-'HPS DAILY (repro-)'!$G11</f>
        <v>0.97260000000000002</v>
      </c>
      <c r="K11" s="39">
        <f>'HPS DAILY'!L11-'HPS DAILY (repro-)'!$G11</f>
        <v>0.97689999999999999</v>
      </c>
      <c r="L11" s="39">
        <f>'HPS DAILY'!M11-'HPS DAILY (repro-)'!$G11</f>
        <v>0.98170000000000002</v>
      </c>
      <c r="M11" s="39">
        <f>'HPS DAILY'!N11-'HPS DAILY (repro-)'!$G11</f>
        <v>0.98160000000000003</v>
      </c>
      <c r="N11" s="39">
        <f>'HPS DAILY'!O11-'HPS DAILY (repro-)'!$G11</f>
        <v>0.93889999999999996</v>
      </c>
      <c r="O11" s="39">
        <f>'HPS DAILY'!P11-'HPS DAILY (repro-)'!$G11</f>
        <v>0.94369999999999998</v>
      </c>
      <c r="P11" s="39">
        <f>'HPS DAILY'!Q11-'HPS DAILY (repro-)'!$G11</f>
        <v>0.94619999999999993</v>
      </c>
      <c r="Q11" s="39">
        <f>'HPS DAILY'!R11-'HPS DAILY (repro-)'!$G11</f>
        <v>0.94830000000000003</v>
      </c>
      <c r="R11" s="39">
        <f>'HPS DAILY'!S11-'HPS DAILY (repro-)'!$G11</f>
        <v>0.95299999999999996</v>
      </c>
      <c r="S11" s="39">
        <f>'HPS DAILY'!T11-'HPS DAILY (repro-)'!$G11</f>
        <v>0.95240000000000002</v>
      </c>
      <c r="T11" s="39">
        <f>'HPS DAILY'!U11-'HPS DAILY (repro-)'!$G11</f>
        <v>0.95330000000000004</v>
      </c>
      <c r="U11" s="39">
        <f>'HPS DAILY'!V11-'HPS DAILY (repro-)'!$G11</f>
        <v>0.95409999999999995</v>
      </c>
      <c r="V11" s="39">
        <f>'HPS DAILY'!W11-'HPS DAILY (repro-)'!$G11</f>
        <v>0.95450000000000002</v>
      </c>
      <c r="W11" s="39">
        <f>'HPS DAILY'!X11-'HPS DAILY (repro-)'!$G11</f>
        <v>-3.8999999999999998E-3</v>
      </c>
      <c r="X11" s="39">
        <f>'HPS DAILY'!Y11-'HPS DAILY (repro-)'!$G11</f>
        <v>-3.8999999999999998E-3</v>
      </c>
      <c r="Y11" s="577">
        <v>0.96440000000000003</v>
      </c>
      <c r="Z11" s="39">
        <v>0.96120000000000005</v>
      </c>
      <c r="AA11" s="39">
        <v>0.96120000000000005</v>
      </c>
      <c r="AB11" s="39">
        <v>0.96120000000000005</v>
      </c>
      <c r="AC11" s="39">
        <v>0.96120000000000005</v>
      </c>
      <c r="AD11" s="39">
        <v>0.96120000000000005</v>
      </c>
      <c r="AE11" s="39">
        <v>0.96120000000000005</v>
      </c>
      <c r="AF11" s="39">
        <v>0.96120000000000005</v>
      </c>
      <c r="AG11" s="39">
        <v>0.96120000000000005</v>
      </c>
      <c r="AH11" s="39">
        <v>0.96120000000000005</v>
      </c>
      <c r="AI11" s="39">
        <v>0.96120000000000005</v>
      </c>
      <c r="AJ11" s="39">
        <v>0.96120000000000005</v>
      </c>
      <c r="AK11" s="39">
        <v>0.96120000000000005</v>
      </c>
    </row>
    <row r="12" spans="4:37" ht="19.5" customHeight="1" x14ac:dyDescent="0.35">
      <c r="D12" s="37" t="s">
        <v>24</v>
      </c>
      <c r="E12" s="31" t="s">
        <v>25</v>
      </c>
      <c r="F12" s="32" t="s">
        <v>17</v>
      </c>
      <c r="G12" s="39">
        <v>5.4000000000000003E-3</v>
      </c>
      <c r="H12" s="950"/>
      <c r="I12" s="951"/>
      <c r="J12" s="38"/>
      <c r="K12" s="42"/>
      <c r="L12" s="42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194"/>
      <c r="Y12" s="591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</row>
    <row r="13" spans="4:37" ht="19.5" customHeight="1" x14ac:dyDescent="0.35">
      <c r="D13" s="44" t="s">
        <v>26</v>
      </c>
      <c r="E13" s="2677" t="s">
        <v>27</v>
      </c>
      <c r="F13" s="2680" t="s">
        <v>28</v>
      </c>
      <c r="G13" s="38"/>
      <c r="H13" s="951"/>
      <c r="I13" s="951"/>
      <c r="J13" s="38"/>
      <c r="K13" s="42"/>
      <c r="L13" s="42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194"/>
      <c r="Y13" s="590"/>
      <c r="Z13" s="172"/>
      <c r="AA13" s="172"/>
      <c r="AB13" s="172"/>
      <c r="AC13" s="172"/>
      <c r="AD13" s="172"/>
      <c r="AE13" s="172"/>
      <c r="AF13" s="172"/>
      <c r="AG13" s="172"/>
      <c r="AH13" s="172"/>
      <c r="AI13" s="172"/>
      <c r="AJ13" s="172"/>
      <c r="AK13" s="172"/>
    </row>
    <row r="14" spans="4:37" ht="19.5" customHeight="1" x14ac:dyDescent="0.35">
      <c r="D14" s="44" t="s">
        <v>29</v>
      </c>
      <c r="E14" s="2678"/>
      <c r="F14" s="2681"/>
      <c r="G14" s="47"/>
      <c r="H14" s="952"/>
      <c r="I14" s="952"/>
      <c r="J14" s="47"/>
      <c r="K14" s="55"/>
      <c r="L14" s="55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195"/>
      <c r="Y14" s="590"/>
      <c r="Z14" s="172"/>
      <c r="AA14" s="172"/>
      <c r="AB14" s="172"/>
      <c r="AC14" s="172"/>
      <c r="AD14" s="172"/>
      <c r="AE14" s="172"/>
      <c r="AF14" s="172"/>
      <c r="AG14" s="172"/>
      <c r="AH14" s="172"/>
      <c r="AI14" s="172"/>
      <c r="AJ14" s="172"/>
      <c r="AK14" s="172"/>
    </row>
    <row r="15" spans="4:37" ht="19.5" customHeight="1" x14ac:dyDescent="0.35">
      <c r="D15" s="44" t="s">
        <v>30</v>
      </c>
      <c r="E15" s="2678"/>
      <c r="F15" s="2681"/>
      <c r="G15" s="47"/>
      <c r="H15" s="952"/>
      <c r="I15" s="952"/>
      <c r="J15" s="47"/>
      <c r="K15" s="286"/>
      <c r="L15" s="286"/>
      <c r="M15" s="287"/>
      <c r="N15" s="287"/>
      <c r="O15" s="287"/>
      <c r="P15" s="287"/>
      <c r="Q15" s="287"/>
      <c r="R15" s="287"/>
      <c r="S15" s="287"/>
      <c r="T15" s="287"/>
      <c r="U15" s="287"/>
      <c r="V15" s="287"/>
      <c r="W15" s="287"/>
      <c r="X15" s="288"/>
      <c r="Y15" s="591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</row>
    <row r="16" spans="4:37" ht="19.5" customHeight="1" x14ac:dyDescent="0.35">
      <c r="D16" s="44" t="s">
        <v>31</v>
      </c>
      <c r="E16" s="2678"/>
      <c r="F16" s="2681"/>
      <c r="G16" s="47"/>
      <c r="H16" s="952"/>
      <c r="I16" s="952"/>
      <c r="J16" s="47"/>
      <c r="K16" s="55"/>
      <c r="L16" s="55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195"/>
      <c r="Y16" s="591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</row>
    <row r="17" spans="2:37" ht="19.5" customHeight="1" x14ac:dyDescent="0.35">
      <c r="D17" s="44" t="s">
        <v>428</v>
      </c>
      <c r="E17" s="2678"/>
      <c r="F17" s="2681"/>
      <c r="G17" s="952"/>
      <c r="H17" s="952"/>
      <c r="I17" s="952"/>
      <c r="J17" s="47"/>
      <c r="K17" s="55"/>
      <c r="L17" s="55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195"/>
      <c r="Y17" s="591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</row>
    <row r="18" spans="2:37" ht="19.5" customHeight="1" x14ac:dyDescent="0.35">
      <c r="D18" s="44" t="s">
        <v>32</v>
      </c>
      <c r="E18" s="2678"/>
      <c r="F18" s="2681"/>
      <c r="G18" s="952"/>
      <c r="H18" s="952"/>
      <c r="I18" s="952"/>
      <c r="J18" s="47"/>
      <c r="K18" s="55"/>
      <c r="L18" s="55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195"/>
      <c r="Y18" s="590"/>
      <c r="Z18" s="172"/>
      <c r="AA18" s="172"/>
      <c r="AB18" s="172"/>
      <c r="AC18" s="172"/>
      <c r="AD18" s="172"/>
      <c r="AE18" s="172"/>
      <c r="AF18" s="172"/>
      <c r="AG18" s="172"/>
      <c r="AH18" s="172"/>
      <c r="AI18" s="172"/>
      <c r="AJ18" s="172"/>
      <c r="AK18" s="172"/>
    </row>
    <row r="19" spans="2:37" ht="19.5" customHeight="1" x14ac:dyDescent="0.35">
      <c r="D19" s="44" t="s">
        <v>33</v>
      </c>
      <c r="E19" s="2679"/>
      <c r="F19" s="2682"/>
      <c r="G19" s="57"/>
      <c r="H19" s="953"/>
      <c r="I19" s="949"/>
      <c r="J19" s="47"/>
      <c r="K19" s="55"/>
      <c r="L19" s="55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195"/>
      <c r="Y19" s="590"/>
      <c r="Z19" s="172"/>
      <c r="AA19" s="172"/>
      <c r="AB19" s="172"/>
      <c r="AC19" s="172"/>
      <c r="AD19" s="172"/>
      <c r="AE19" s="172"/>
      <c r="AF19" s="172"/>
      <c r="AG19" s="172"/>
      <c r="AH19" s="172"/>
      <c r="AI19" s="172"/>
      <c r="AJ19" s="172"/>
      <c r="AK19" s="172"/>
    </row>
    <row r="20" spans="2:37" ht="19.5" customHeight="1" x14ac:dyDescent="0.35">
      <c r="D20" s="2683" t="s">
        <v>34</v>
      </c>
      <c r="E20" s="58" t="s">
        <v>35</v>
      </c>
      <c r="F20" s="59" t="s">
        <v>36</v>
      </c>
      <c r="G20" s="982" t="s">
        <v>880</v>
      </c>
      <c r="H20" s="954"/>
      <c r="I20" s="952"/>
      <c r="J20" s="60">
        <f>'HPS DAILY'!K20-(1.9182*(('HPS DAILY'!K20*10000)^0.6446)/10000)</f>
        <v>1.8464355604067721</v>
      </c>
      <c r="K20" s="60">
        <f>'HPS DAILY'!L20-(1.9182*(('HPS DAILY'!L20*10000)^0.6446)/10000)</f>
        <v>1.9716956028698713</v>
      </c>
      <c r="L20" s="60">
        <f>'HPS DAILY'!M20-(1.9182*(('HPS DAILY'!M20*10000)^0.6446)/10000)</f>
        <v>2.1563999378778784</v>
      </c>
      <c r="M20" s="60">
        <f>'HPS DAILY'!N20-(1.9182*(('HPS DAILY'!N20*10000)^0.6446)/10000)</f>
        <v>2.1226263418094766</v>
      </c>
      <c r="N20" s="60">
        <f>'HPS DAILY'!O20-(1.9182*(('HPS DAILY'!O20*10000)^0.6446)/10000)</f>
        <v>0.8007263336702658</v>
      </c>
      <c r="O20" s="60">
        <f>'HPS DAILY'!P20-(1.9182*(('HPS DAILY'!P20*10000)^0.6446)/10000)</f>
        <v>0.87113337607358365</v>
      </c>
      <c r="P20" s="60">
        <f>'HPS DAILY'!Q20-(1.9182*(('HPS DAILY'!Q20*10000)^0.6446)/10000)</f>
        <v>0.96261851013958699</v>
      </c>
      <c r="Q20" s="60">
        <f>'HPS DAILY'!R20-(1.9182*(('HPS DAILY'!R20*10000)^0.6446)/10000)</f>
        <v>1.0427886712039072</v>
      </c>
      <c r="R20" s="60">
        <f>'HPS DAILY'!S20-(1.9182*(('HPS DAILY'!S20*10000)^0.6446)/10000)</f>
        <v>1.0896017689902777</v>
      </c>
      <c r="S20" s="60">
        <f>'HPS DAILY'!T20-(1.9182*(('HPS DAILY'!T20*10000)^0.6446)/10000)</f>
        <v>1.1316656138135712</v>
      </c>
      <c r="T20" s="60">
        <f>'HPS DAILY'!U20-(1.9182*(('HPS DAILY'!U20*10000)^0.6446)/10000)</f>
        <v>1.1823662288865746</v>
      </c>
      <c r="U20" s="60">
        <f>'HPS DAILY'!V20-(1.9182*(('HPS DAILY'!V20*10000)^0.6446)/10000)</f>
        <v>1.2053362775454763</v>
      </c>
      <c r="V20" s="60">
        <f>'HPS DAILY'!W20-(1.9182*(('HPS DAILY'!W20*10000)^0.6446)/10000)</f>
        <v>1.2283131090916815</v>
      </c>
      <c r="W20" s="60">
        <f>'HPS DAILY'!X20-(1.9182*(('HPS DAILY'!X20*10000)^0.6446)/10000)</f>
        <v>0</v>
      </c>
      <c r="X20" s="60">
        <f>'HPS DAILY'!Y20-(1.9182*(('HPS DAILY'!Y20*10000)^0.6446)/10000)</f>
        <v>0</v>
      </c>
      <c r="Y20" s="60">
        <f>'HPS DAILY'!Z20-(1.9182*(('HPS DAILY'!Z20*10000)^0.6446)/10000)</f>
        <v>0</v>
      </c>
      <c r="Z20" s="60">
        <f>'HPS DAILY'!AA20-(1.9182*(('HPS DAILY'!AA20*10000)^0.6446)/10000)</f>
        <v>0</v>
      </c>
      <c r="AA20" s="60">
        <f>'HPS DAILY'!AB20-(1.9182*(('HPS DAILY'!AB20*10000)^0.6446)/10000)</f>
        <v>0</v>
      </c>
      <c r="AB20" s="60">
        <f>'HPS DAILY'!AC20-(1.9182*(('HPS DAILY'!AC20*10000)^0.6446)/10000)</f>
        <v>0</v>
      </c>
      <c r="AC20" s="60">
        <f>'HPS DAILY'!AD20-(1.9182*(('HPS DAILY'!AD20*10000)^0.6446)/10000)</f>
        <v>0</v>
      </c>
      <c r="AD20" s="60">
        <f>'HPS DAILY'!AE20-(1.9182*(('HPS DAILY'!AE20*10000)^0.6446)/10000)</f>
        <v>0</v>
      </c>
      <c r="AE20" s="60">
        <f>'HPS DAILY'!AF20-(1.9182*(('HPS DAILY'!AF20*10000)^0.6446)/10000)</f>
        <v>0</v>
      </c>
      <c r="AF20" s="60">
        <f>'HPS DAILY'!AG20-(1.9182*(('HPS DAILY'!AG20*10000)^0.6446)/10000)</f>
        <v>0</v>
      </c>
      <c r="AG20" s="60">
        <f>'HPS DAILY'!AH20-(1.9182*(('HPS DAILY'!AH20*10000)^0.6446)/10000)</f>
        <v>0</v>
      </c>
      <c r="AH20" s="60">
        <f>'HPS DAILY'!AI20-(1.9182*(('HPS DAILY'!AI20*10000)^0.6446)/10000)</f>
        <v>0</v>
      </c>
      <c r="AI20" s="60">
        <f>'HPS DAILY'!AJ20-(1.9182*(('HPS DAILY'!AJ20*10000)^0.6446)/10000)</f>
        <v>0</v>
      </c>
      <c r="AJ20" s="60">
        <f>'HPS DAILY'!AK20-(1.9182*(('HPS DAILY'!AK20*10000)^0.6446)/10000)</f>
        <v>0</v>
      </c>
      <c r="AK20" s="60">
        <f>'HPS DAILY'!AL20-(1.9182*(('HPS DAILY'!AL20*10000)^0.6446)/10000)</f>
        <v>0</v>
      </c>
    </row>
    <row r="21" spans="2:37" ht="19.5" customHeight="1" x14ac:dyDescent="0.35">
      <c r="D21" s="2683"/>
      <c r="E21" s="2684" t="s">
        <v>37</v>
      </c>
      <c r="F21" s="59" t="s">
        <v>36</v>
      </c>
      <c r="G21" s="47"/>
      <c r="H21" s="952"/>
      <c r="I21" s="952"/>
      <c r="J21" s="47"/>
      <c r="K21" s="55"/>
      <c r="L21" s="55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195"/>
      <c r="Y21" s="590"/>
      <c r="Z21" s="172"/>
      <c r="AA21" s="172"/>
      <c r="AB21" s="172"/>
      <c r="AC21" s="172"/>
      <c r="AD21" s="172"/>
      <c r="AE21" s="172"/>
      <c r="AF21" s="172"/>
      <c r="AG21" s="172"/>
      <c r="AH21" s="172"/>
      <c r="AI21" s="172"/>
      <c r="AJ21" s="172"/>
      <c r="AK21" s="172"/>
    </row>
    <row r="22" spans="2:37" ht="19.5" customHeight="1" x14ac:dyDescent="0.35">
      <c r="D22" s="2683"/>
      <c r="E22" s="2684"/>
      <c r="F22" s="59" t="s">
        <v>38</v>
      </c>
      <c r="G22" s="47"/>
      <c r="H22" s="952"/>
      <c r="I22" s="952"/>
      <c r="J22" s="47"/>
      <c r="K22" s="55"/>
      <c r="L22" s="55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195"/>
      <c r="Y22" s="590"/>
      <c r="Z22" s="172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</row>
    <row r="23" spans="2:37" ht="19.5" customHeight="1" x14ac:dyDescent="0.35">
      <c r="D23" s="2686" t="s">
        <v>39</v>
      </c>
      <c r="E23" s="64" t="s">
        <v>40</v>
      </c>
      <c r="F23" s="59" t="s">
        <v>38</v>
      </c>
      <c r="G23" s="65"/>
      <c r="H23" s="955"/>
      <c r="I23" s="955"/>
      <c r="J23" s="47"/>
      <c r="K23" s="55"/>
      <c r="L23" s="55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195"/>
      <c r="Y23" s="590"/>
      <c r="Z23" s="172"/>
      <c r="AA23" s="172"/>
      <c r="AB23" s="172"/>
      <c r="AC23" s="172"/>
      <c r="AD23" s="172"/>
      <c r="AE23" s="172"/>
      <c r="AF23" s="172"/>
      <c r="AG23" s="172"/>
      <c r="AH23" s="172"/>
      <c r="AI23" s="172"/>
      <c r="AJ23" s="172"/>
      <c r="AK23" s="172"/>
    </row>
    <row r="24" spans="2:37" ht="19.5" customHeight="1" x14ac:dyDescent="0.35">
      <c r="D24" s="2687"/>
      <c r="E24" s="2677" t="s">
        <v>41</v>
      </c>
      <c r="F24" s="66" t="s">
        <v>38</v>
      </c>
      <c r="G24" s="979" t="s">
        <v>876</v>
      </c>
      <c r="H24" s="955"/>
      <c r="I24" s="955"/>
      <c r="J24" s="68">
        <f>'HPS DAILY'!K24-('HPS DAILY'!K24*0.087)</f>
        <v>2571.9209999999998</v>
      </c>
      <c r="K24" s="68">
        <f>'HPS DAILY'!L24-('HPS DAILY'!L24*0.087)</f>
        <v>2688.7804349999997</v>
      </c>
      <c r="L24" s="68">
        <f>'HPS DAILY'!M24-('HPS DAILY'!M24*0.087)</f>
        <v>2828.0905400000001</v>
      </c>
      <c r="M24" s="68">
        <f>'HPS DAILY'!N24-('HPS DAILY'!N24*0.087)</f>
        <v>2755.5709500000003</v>
      </c>
      <c r="N24" s="68">
        <f>'HPS DAILY'!O24-('HPS DAILY'!O24*0.087)</f>
        <v>2206.721</v>
      </c>
      <c r="O24" s="68">
        <f>'HPS DAILY'!P24-('HPS DAILY'!P24*0.087)</f>
        <v>2335.1983599999999</v>
      </c>
      <c r="P24" s="68">
        <f>'HPS DAILY'!Q24-('HPS DAILY'!Q24*0.087)</f>
        <v>2432.7341500000002</v>
      </c>
      <c r="Q24" s="68">
        <f>'HPS DAILY'!R24-('HPS DAILY'!R24*0.087)</f>
        <v>2339.1060000000002</v>
      </c>
      <c r="R24" s="68">
        <f>'HPS DAILY'!S24-('HPS DAILY'!S24*0.087)</f>
        <v>2383.39563</v>
      </c>
      <c r="S24" s="68">
        <f>'HPS DAILY'!T24-('HPS DAILY'!T24*0.087)</f>
        <v>2321.759</v>
      </c>
      <c r="T24" s="68">
        <f>'HPS DAILY'!U24-('HPS DAILY'!U24*0.087)</f>
        <v>2534.3830050000001</v>
      </c>
      <c r="U24" s="68">
        <f>'HPS DAILY'!V24-('HPS DAILY'!V24*0.087)</f>
        <v>2367.5550800000001</v>
      </c>
      <c r="V24" s="68">
        <f>'HPS DAILY'!W24-('HPS DAILY'!W24*0.087)</f>
        <v>2437.2991500000003</v>
      </c>
      <c r="W24" s="68">
        <f>'HPS DAILY'!X24-('HPS DAILY'!X24*0.087)</f>
        <v>0</v>
      </c>
      <c r="X24" s="68">
        <f>'HPS DAILY'!Y24-('HPS DAILY'!Y24*0.087)</f>
        <v>0</v>
      </c>
      <c r="Y24" s="68">
        <f>'HPS DAILY'!Z24-('HPS DAILY'!Z24*0.087)</f>
        <v>0</v>
      </c>
      <c r="Z24" s="68">
        <f>'HPS DAILY'!AA24-('HPS DAILY'!AA24*0.087)</f>
        <v>0</v>
      </c>
      <c r="AA24" s="68">
        <f>'HPS DAILY'!AB24-('HPS DAILY'!AB24*0.087)</f>
        <v>0</v>
      </c>
      <c r="AB24" s="68">
        <f>'HPS DAILY'!AC24-('HPS DAILY'!AC24*0.087)</f>
        <v>0</v>
      </c>
      <c r="AC24" s="68">
        <f>'HPS DAILY'!AD24-('HPS DAILY'!AD24*0.087)</f>
        <v>0</v>
      </c>
      <c r="AD24" s="68">
        <f>'HPS DAILY'!AE24-('HPS DAILY'!AE24*0.087)</f>
        <v>0</v>
      </c>
      <c r="AE24" s="68">
        <f>'HPS DAILY'!AF24-('HPS DAILY'!AF24*0.087)</f>
        <v>0</v>
      </c>
      <c r="AF24" s="68">
        <f>'HPS DAILY'!AG24-('HPS DAILY'!AG24*0.087)</f>
        <v>0</v>
      </c>
      <c r="AG24" s="68">
        <f>'HPS DAILY'!AH24-('HPS DAILY'!AH24*0.087)</f>
        <v>0</v>
      </c>
      <c r="AH24" s="68">
        <f>'HPS DAILY'!AI24-('HPS DAILY'!AI24*0.087)</f>
        <v>0</v>
      </c>
      <c r="AI24" s="68">
        <f>'HPS DAILY'!AJ24-('HPS DAILY'!AJ24*0.087)</f>
        <v>0</v>
      </c>
      <c r="AJ24" s="68">
        <f>'HPS DAILY'!AK24-('HPS DAILY'!AK24*0.087)</f>
        <v>0</v>
      </c>
      <c r="AK24" s="68">
        <f>'HPS DAILY'!AL24-('HPS DAILY'!AL24*0.087)</f>
        <v>0</v>
      </c>
    </row>
    <row r="25" spans="2:37" ht="19.5" customHeight="1" x14ac:dyDescent="0.35">
      <c r="B25" s="72">
        <v>0.45190000000000002</v>
      </c>
      <c r="D25" s="2688"/>
      <c r="E25" s="2679"/>
      <c r="F25" s="66" t="s">
        <v>36</v>
      </c>
      <c r="G25" s="956"/>
      <c r="H25" s="956"/>
      <c r="I25" s="956"/>
      <c r="J25" s="74">
        <f t="shared" ref="J25:Z25" si="0">J24/10000</f>
        <v>0.25719209999999998</v>
      </c>
      <c r="K25" s="74">
        <f t="shared" si="0"/>
        <v>0.26887804349999994</v>
      </c>
      <c r="L25" s="74">
        <f t="shared" si="0"/>
        <v>0.282809054</v>
      </c>
      <c r="M25" s="74">
        <f t="shared" si="0"/>
        <v>0.27555709500000003</v>
      </c>
      <c r="N25" s="74">
        <f t="shared" si="0"/>
        <v>0.22067210000000001</v>
      </c>
      <c r="O25" s="74">
        <f t="shared" si="0"/>
        <v>0.23351983599999998</v>
      </c>
      <c r="P25" s="74">
        <f t="shared" si="0"/>
        <v>0.24327341500000002</v>
      </c>
      <c r="Q25" s="74">
        <f t="shared" si="0"/>
        <v>0.23391060000000002</v>
      </c>
      <c r="R25" s="74">
        <f t="shared" si="0"/>
        <v>0.238339563</v>
      </c>
      <c r="S25" s="74">
        <f t="shared" si="0"/>
        <v>0.23217589999999999</v>
      </c>
      <c r="T25" s="74">
        <f t="shared" si="0"/>
        <v>0.25343830049999999</v>
      </c>
      <c r="U25" s="74">
        <f t="shared" si="0"/>
        <v>0.236755508</v>
      </c>
      <c r="V25" s="74">
        <f t="shared" si="0"/>
        <v>0.24372991500000002</v>
      </c>
      <c r="W25" s="74">
        <f t="shared" si="0"/>
        <v>0</v>
      </c>
      <c r="X25" s="74">
        <f t="shared" si="0"/>
        <v>0</v>
      </c>
      <c r="Y25" s="578">
        <f t="shared" si="0"/>
        <v>0</v>
      </c>
      <c r="Z25" s="74">
        <f t="shared" si="0"/>
        <v>0</v>
      </c>
      <c r="AA25" s="74">
        <f t="shared" ref="AA25:AH25" si="1">AA24/10000</f>
        <v>0</v>
      </c>
      <c r="AB25" s="74">
        <f t="shared" si="1"/>
        <v>0</v>
      </c>
      <c r="AC25" s="74">
        <f t="shared" si="1"/>
        <v>0</v>
      </c>
      <c r="AD25" s="74">
        <f t="shared" si="1"/>
        <v>0</v>
      </c>
      <c r="AE25" s="74">
        <f t="shared" si="1"/>
        <v>0</v>
      </c>
      <c r="AF25" s="74">
        <f t="shared" si="1"/>
        <v>0</v>
      </c>
      <c r="AG25" s="74">
        <f t="shared" si="1"/>
        <v>0</v>
      </c>
      <c r="AH25" s="74">
        <f t="shared" si="1"/>
        <v>0</v>
      </c>
      <c r="AI25" s="74">
        <f t="shared" ref="AI25:AK25" si="2">AI24/10000</f>
        <v>0</v>
      </c>
      <c r="AJ25" s="74">
        <f t="shared" si="2"/>
        <v>0</v>
      </c>
      <c r="AK25" s="74">
        <f t="shared" si="2"/>
        <v>0</v>
      </c>
    </row>
    <row r="26" spans="2:37" ht="19.5" customHeight="1" x14ac:dyDescent="0.35">
      <c r="D26" s="75" t="s">
        <v>42</v>
      </c>
      <c r="E26" s="2677" t="s">
        <v>43</v>
      </c>
      <c r="F26" s="2680" t="s">
        <v>36</v>
      </c>
      <c r="G26" s="47"/>
      <c r="H26" s="952"/>
      <c r="I26" s="952"/>
      <c r="J26" s="47"/>
      <c r="K26" s="55"/>
      <c r="L26" s="55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195"/>
      <c r="Y26" s="590"/>
      <c r="Z26" s="172"/>
      <c r="AA26" s="172"/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</row>
    <row r="27" spans="2:37" ht="19.5" customHeight="1" x14ac:dyDescent="0.35">
      <c r="B27" s="76"/>
      <c r="D27" s="44" t="s">
        <v>44</v>
      </c>
      <c r="E27" s="2678"/>
      <c r="F27" s="2681"/>
      <c r="G27" s="978" t="s">
        <v>874</v>
      </c>
      <c r="H27" s="952"/>
      <c r="I27" s="952"/>
      <c r="J27" s="77">
        <f>'HPS DAILY'!K27-('HPS DAILY'!K27+48.48)*0.0018</f>
        <v>87.434912000000011</v>
      </c>
      <c r="K27" s="77">
        <f>'HPS DAILY'!L27-('HPS DAILY'!L27+48.48)*0.0018</f>
        <v>86.646333999999996</v>
      </c>
      <c r="L27" s="77">
        <f>'HPS DAILY'!M27-('HPS DAILY'!M27+48.48)*0.0018</f>
        <v>88.193544000000003</v>
      </c>
      <c r="M27" s="77">
        <f>'HPS DAILY'!N27-('HPS DAILY'!N27+48.48)*0.0018</f>
        <v>87.84417400000001</v>
      </c>
      <c r="N27" s="77">
        <f>'HPS DAILY'!O27-('HPS DAILY'!O27+48.48)*0.0018</f>
        <v>88.293364000000011</v>
      </c>
      <c r="O27" s="77">
        <f>'HPS DAILY'!P27-('HPS DAILY'!P27+48.48)*0.0018</f>
        <v>88.123670000000004</v>
      </c>
      <c r="P27" s="77">
        <f>'HPS DAILY'!Q27-('HPS DAILY'!Q27+48.48)*0.0018</f>
        <v>88.912247999999991</v>
      </c>
      <c r="Q27" s="77">
        <f>'HPS DAILY'!R27-('HPS DAILY'!R27+48.48)*0.0018</f>
        <v>89.341474000000005</v>
      </c>
      <c r="R27" s="77">
        <f>'HPS DAILY'!S27-('HPS DAILY'!S27+48.48)*0.0018</f>
        <v>89.16179799999999</v>
      </c>
      <c r="S27" s="77">
        <f>'HPS DAILY'!T27-('HPS DAILY'!T27+48.48)*0.0018</f>
        <v>89.311527999999996</v>
      </c>
      <c r="T27" s="77">
        <f>'HPS DAILY'!U27-('HPS DAILY'!U27+48.48)*0.0018</f>
        <v>88.872320000000002</v>
      </c>
      <c r="U27" s="77">
        <f>'HPS DAILY'!V27-('HPS DAILY'!V27+48.48)*0.0018</f>
        <v>89.41134799999999</v>
      </c>
      <c r="V27" s="77">
        <f>'HPS DAILY'!W27-('HPS DAILY'!W27+48.48)*0.0018</f>
        <v>88.532932000000002</v>
      </c>
      <c r="W27" s="77">
        <f>'HPS DAILY'!X27-('HPS DAILY'!X27+48.48)*0.0018</f>
        <v>-8.7263999999999994E-2</v>
      </c>
      <c r="X27" s="77">
        <f>'HPS DAILY'!Y27-('HPS DAILY'!Y27+48.48)*0.0018</f>
        <v>-8.7263999999999994E-2</v>
      </c>
      <c r="Y27" s="77">
        <f>'HPS DAILY'!Z27-('HPS DAILY'!Z27+48.48)*0.0018</f>
        <v>-8.7263999999999994E-2</v>
      </c>
      <c r="Z27" s="77">
        <f>'HPS DAILY'!AA27-('HPS DAILY'!AA27+48.48)*0.0018</f>
        <v>-8.7263999999999994E-2</v>
      </c>
      <c r="AA27" s="77">
        <f>'HPS DAILY'!AB27-('HPS DAILY'!AB27+48.48)*0.0018</f>
        <v>-8.7263999999999994E-2</v>
      </c>
      <c r="AB27" s="77">
        <f>'HPS DAILY'!AC27-('HPS DAILY'!AC27+48.48)*0.0018</f>
        <v>-8.7263999999999994E-2</v>
      </c>
      <c r="AC27" s="77">
        <f>'HPS DAILY'!AD27-('HPS DAILY'!AD27+48.48)*0.0018</f>
        <v>-8.7263999999999994E-2</v>
      </c>
      <c r="AD27" s="77">
        <f>'HPS DAILY'!AE27-('HPS DAILY'!AE27+48.48)*0.0018</f>
        <v>-8.7263999999999994E-2</v>
      </c>
      <c r="AE27" s="77">
        <f>'HPS DAILY'!AF27-('HPS DAILY'!AF27+48.48)*0.0018</f>
        <v>-8.7263999999999994E-2</v>
      </c>
      <c r="AF27" s="77">
        <f>'HPS DAILY'!AG27-('HPS DAILY'!AG27+48.48)*0.0018</f>
        <v>-8.7263999999999994E-2</v>
      </c>
      <c r="AG27" s="77">
        <f>'HPS DAILY'!AH27-('HPS DAILY'!AH27+48.48)*0.0018</f>
        <v>-8.7263999999999994E-2</v>
      </c>
      <c r="AH27" s="77">
        <f>'HPS DAILY'!AI27-('HPS DAILY'!AI27+48.48)*0.0018</f>
        <v>-8.7263999999999994E-2</v>
      </c>
      <c r="AI27" s="77">
        <f>'HPS DAILY'!AJ27-('HPS DAILY'!AJ27+48.48)*0.0018</f>
        <v>-8.7263999999999994E-2</v>
      </c>
      <c r="AJ27" s="77">
        <f>'HPS DAILY'!AK27-('HPS DAILY'!AK27+48.48)*0.0018</f>
        <v>-8.7263999999999994E-2</v>
      </c>
      <c r="AK27" s="77">
        <f>'HPS DAILY'!AL27-('HPS DAILY'!AL27+48.48)*0.0018</f>
        <v>-8.7263999999999994E-2</v>
      </c>
    </row>
    <row r="28" spans="2:37" ht="19.5" customHeight="1" x14ac:dyDescent="0.35">
      <c r="B28" s="76"/>
      <c r="D28" s="44" t="s">
        <v>45</v>
      </c>
      <c r="E28" s="2678"/>
      <c r="F28" s="2681"/>
      <c r="G28" s="978" t="s">
        <v>875</v>
      </c>
      <c r="H28" s="952"/>
      <c r="I28" s="952"/>
      <c r="J28" s="77">
        <f>'HPS DAILY'!K28-('HPS DAILY'!K28*0.5)*0.2314</f>
        <v>9.8068869999999997</v>
      </c>
      <c r="K28" s="77">
        <f>'HPS DAILY'!L28-('HPS DAILY'!L28*0.5)*0.2314</f>
        <v>9.497382</v>
      </c>
      <c r="L28" s="77">
        <f>'HPS DAILY'!M28-('HPS DAILY'!M28*0.5)*0.2314</f>
        <v>9.7007710000000014</v>
      </c>
      <c r="M28" s="77">
        <f>'HPS DAILY'!N28-('HPS DAILY'!N28*0.5)*0.2314</f>
        <v>9.6565560000000001</v>
      </c>
      <c r="N28" s="77">
        <f>'HPS DAILY'!O28-('HPS DAILY'!O28*0.5)*0.2314</f>
        <v>10.134078000000001</v>
      </c>
      <c r="O28" s="77">
        <f>'HPS DAILY'!P28-('HPS DAILY'!P28*0.5)*0.2314</f>
        <v>10.081020000000001</v>
      </c>
      <c r="P28" s="77">
        <f>'HPS DAILY'!Q28-('HPS DAILY'!Q28*0.5)*0.2314</f>
        <v>9.9483750000000004</v>
      </c>
      <c r="Q28" s="77">
        <f>'HPS DAILY'!R28-('HPS DAILY'!R28*0.5)*0.2314</f>
        <v>9.8687880000000003</v>
      </c>
      <c r="R28" s="77">
        <f>'HPS DAILY'!S28-('HPS DAILY'!S28*0.5)*0.2314</f>
        <v>9.8776310000000009</v>
      </c>
      <c r="S28" s="77">
        <f>'HPS DAILY'!T28-('HPS DAILY'!T28*0.5)*0.2314</f>
        <v>9.8245729999999991</v>
      </c>
      <c r="T28" s="77">
        <f>'HPS DAILY'!U28-('HPS DAILY'!U28*0.5)*0.2314</f>
        <v>9.8245729999999991</v>
      </c>
      <c r="U28" s="77">
        <f>'HPS DAILY'!V28-('HPS DAILY'!V28*0.5)*0.2314</f>
        <v>9.7892010000000003</v>
      </c>
      <c r="V28" s="77">
        <f>'HPS DAILY'!W28-('HPS DAILY'!W28*0.5)*0.2314</f>
        <v>9.8953170000000004</v>
      </c>
      <c r="W28" s="77">
        <f>'HPS DAILY'!X28-('HPS DAILY'!X28*0.5)*0.2314</f>
        <v>0</v>
      </c>
      <c r="X28" s="77">
        <f>'HPS DAILY'!Y28-('HPS DAILY'!Y28*0.5)*0.2314</f>
        <v>0</v>
      </c>
      <c r="Y28" s="77">
        <f>'HPS DAILY'!Z28-('HPS DAILY'!Z28*0.5)*0.2314</f>
        <v>0</v>
      </c>
      <c r="Z28" s="77">
        <f>'HPS DAILY'!AA28-('HPS DAILY'!AA28*0.5)*0.2314</f>
        <v>0</v>
      </c>
      <c r="AA28" s="77">
        <f>'HPS DAILY'!AB28-('HPS DAILY'!AB28*0.5)*0.2314</f>
        <v>0</v>
      </c>
      <c r="AB28" s="77">
        <f>'HPS DAILY'!AC28-('HPS DAILY'!AC28*0.5)*0.2314</f>
        <v>0</v>
      </c>
      <c r="AC28" s="77">
        <f>'HPS DAILY'!AD28-('HPS DAILY'!AD28*0.5)*0.2314</f>
        <v>0</v>
      </c>
      <c r="AD28" s="77">
        <f>'HPS DAILY'!AE28-('HPS DAILY'!AE28*0.5)*0.2314</f>
        <v>0</v>
      </c>
      <c r="AE28" s="77">
        <f>'HPS DAILY'!AF28-('HPS DAILY'!AF28*0.5)*0.2314</f>
        <v>0</v>
      </c>
      <c r="AF28" s="77">
        <f>'HPS DAILY'!AG28-('HPS DAILY'!AG28*0.5)*0.2314</f>
        <v>0</v>
      </c>
      <c r="AG28" s="77">
        <f>'HPS DAILY'!AH28-('HPS DAILY'!AH28*0.5)*0.2314</f>
        <v>0</v>
      </c>
      <c r="AH28" s="77">
        <f>'HPS DAILY'!AI28-('HPS DAILY'!AI28*0.5)*0.2314</f>
        <v>0</v>
      </c>
      <c r="AI28" s="77">
        <f>'HPS DAILY'!AJ28-('HPS DAILY'!AJ28*0.5)*0.2314</f>
        <v>0</v>
      </c>
      <c r="AJ28" s="77">
        <f>'HPS DAILY'!AK28-('HPS DAILY'!AK28*0.5)*0.2314</f>
        <v>0</v>
      </c>
      <c r="AK28" s="77">
        <f>'HPS DAILY'!AL28-('HPS DAILY'!AL28*0.5)*0.2314</f>
        <v>0</v>
      </c>
    </row>
    <row r="29" spans="2:37" ht="19.5" customHeight="1" x14ac:dyDescent="0.35">
      <c r="B29" s="76"/>
      <c r="D29" s="44" t="s">
        <v>46</v>
      </c>
      <c r="E29" s="2679"/>
      <c r="F29" s="2682"/>
      <c r="G29" s="60">
        <v>0.44600000000000001</v>
      </c>
      <c r="H29" s="952"/>
      <c r="I29" s="952"/>
      <c r="J29" s="77">
        <v>0.44</v>
      </c>
      <c r="K29" s="62">
        <v>0.44419999999999998</v>
      </c>
      <c r="L29" s="62">
        <v>0.44556000000000001</v>
      </c>
      <c r="M29" s="63">
        <v>0.44</v>
      </c>
      <c r="N29" s="63">
        <v>0.48570000000000002</v>
      </c>
      <c r="O29" s="525">
        <v>1.0069999999999999</v>
      </c>
      <c r="P29" s="525">
        <v>0.52500000000000002</v>
      </c>
      <c r="Q29" s="525">
        <v>1.0449999999999999</v>
      </c>
      <c r="R29" s="525">
        <v>0.64729999999999999</v>
      </c>
      <c r="S29" s="525">
        <v>2.14</v>
      </c>
      <c r="T29" s="525">
        <v>2.1949999999999998</v>
      </c>
      <c r="U29" s="525">
        <v>2.31</v>
      </c>
      <c r="V29" s="525">
        <v>3.16</v>
      </c>
      <c r="W29" s="525">
        <v>3.266</v>
      </c>
      <c r="X29" s="529">
        <v>5.1470000000000002</v>
      </c>
      <c r="Y29" s="592">
        <v>4.8899999999999997</v>
      </c>
      <c r="Z29" s="597">
        <v>9.0299999999999994</v>
      </c>
      <c r="AA29" s="597">
        <v>10.029999999999999</v>
      </c>
      <c r="AB29" s="597">
        <v>11.03</v>
      </c>
      <c r="AC29" s="597">
        <v>12.03</v>
      </c>
      <c r="AD29" s="597">
        <v>13.03</v>
      </c>
      <c r="AE29" s="597">
        <v>14.03</v>
      </c>
      <c r="AF29" s="597">
        <v>15.03</v>
      </c>
      <c r="AG29" s="597">
        <v>16.03</v>
      </c>
      <c r="AH29" s="597">
        <v>17.03</v>
      </c>
      <c r="AI29" s="597">
        <v>17.03</v>
      </c>
      <c r="AJ29" s="597">
        <v>17.03</v>
      </c>
      <c r="AK29" s="597">
        <v>17.03</v>
      </c>
    </row>
    <row r="30" spans="2:37" ht="19.5" customHeight="1" x14ac:dyDescent="0.35">
      <c r="B30" s="76"/>
      <c r="D30" s="78" t="s">
        <v>150</v>
      </c>
      <c r="E30" s="79"/>
      <c r="F30" s="80"/>
      <c r="G30" s="2"/>
      <c r="H30" s="957"/>
      <c r="I30" s="957"/>
      <c r="J30" s="2">
        <f t="shared" ref="J30:AK30" si="3">(J$27+J$28+J$25+J$20)</f>
        <v>99.345426660406787</v>
      </c>
      <c r="K30" s="2">
        <f t="shared" si="3"/>
        <v>98.384289646369865</v>
      </c>
      <c r="L30" s="2">
        <f t="shared" si="3"/>
        <v>100.33352399187788</v>
      </c>
      <c r="M30" s="2">
        <f t="shared" si="3"/>
        <v>99.89891343680948</v>
      </c>
      <c r="N30" s="2">
        <f t="shared" si="3"/>
        <v>99.448840433670284</v>
      </c>
      <c r="O30" s="2">
        <f t="shared" si="3"/>
        <v>99.309343212073586</v>
      </c>
      <c r="P30" s="2">
        <f t="shared" si="3"/>
        <v>100.06651492513959</v>
      </c>
      <c r="Q30" s="2">
        <f t="shared" si="3"/>
        <v>100.48696127120391</v>
      </c>
      <c r="R30" s="2">
        <f t="shared" si="3"/>
        <v>100.36737033199026</v>
      </c>
      <c r="S30" s="2">
        <f t="shared" si="3"/>
        <v>100.49994251381356</v>
      </c>
      <c r="T30" s="2">
        <f t="shared" si="3"/>
        <v>100.13269752938658</v>
      </c>
      <c r="U30" s="2">
        <f t="shared" si="3"/>
        <v>100.64264078554547</v>
      </c>
      <c r="V30" s="2">
        <f t="shared" si="3"/>
        <v>99.900292024091698</v>
      </c>
      <c r="W30" s="2">
        <f t="shared" si="3"/>
        <v>-8.7263999999999994E-2</v>
      </c>
      <c r="X30" s="2">
        <f t="shared" si="3"/>
        <v>-8.7263999999999994E-2</v>
      </c>
      <c r="Y30" s="2">
        <f t="shared" si="3"/>
        <v>-8.7263999999999994E-2</v>
      </c>
      <c r="Z30" s="2">
        <f t="shared" si="3"/>
        <v>-8.7263999999999994E-2</v>
      </c>
      <c r="AA30" s="2">
        <f t="shared" si="3"/>
        <v>-8.7263999999999994E-2</v>
      </c>
      <c r="AB30" s="2">
        <f t="shared" si="3"/>
        <v>-8.7263999999999994E-2</v>
      </c>
      <c r="AC30" s="2">
        <f t="shared" si="3"/>
        <v>-8.7263999999999994E-2</v>
      </c>
      <c r="AD30" s="2">
        <f t="shared" si="3"/>
        <v>-8.7263999999999994E-2</v>
      </c>
      <c r="AE30" s="2">
        <f t="shared" si="3"/>
        <v>-8.7263999999999994E-2</v>
      </c>
      <c r="AF30" s="2">
        <f t="shared" si="3"/>
        <v>-8.7263999999999994E-2</v>
      </c>
      <c r="AG30" s="2">
        <f t="shared" si="3"/>
        <v>-8.7263999999999994E-2</v>
      </c>
      <c r="AH30" s="2">
        <f t="shared" si="3"/>
        <v>-8.7263999999999994E-2</v>
      </c>
      <c r="AI30" s="2">
        <f t="shared" si="3"/>
        <v>-8.7263999999999994E-2</v>
      </c>
      <c r="AJ30" s="2">
        <f t="shared" si="3"/>
        <v>-8.7263999999999994E-2</v>
      </c>
      <c r="AK30" s="2">
        <f t="shared" si="3"/>
        <v>-8.7263999999999994E-2</v>
      </c>
    </row>
    <row r="31" spans="2:37" ht="19.5" customHeight="1" x14ac:dyDescent="0.35">
      <c r="D31" s="78" t="s">
        <v>151</v>
      </c>
      <c r="E31" s="79"/>
      <c r="F31" s="80"/>
      <c r="G31" s="2"/>
      <c r="H31" s="957"/>
      <c r="I31" s="957"/>
      <c r="J31" s="2">
        <f>(100-J$33-J$34)/(1+(J$28/J$27))</f>
        <v>88.011008598190855</v>
      </c>
      <c r="K31" s="2">
        <f t="shared" ref="K31:AK31" si="4">(100-K$33-K$34)/(1+(K$28/K$27))</f>
        <v>88.069278450288664</v>
      </c>
      <c r="L31" s="2">
        <f t="shared" si="4"/>
        <v>87.900375159891098</v>
      </c>
      <c r="M31" s="2">
        <f t="shared" si="4"/>
        <v>87.93306251080034</v>
      </c>
      <c r="N31" s="2">
        <f t="shared" si="4"/>
        <v>88.782698335119676</v>
      </c>
      <c r="O31" s="2">
        <f t="shared" si="4"/>
        <v>88.736534901669074</v>
      </c>
      <c r="P31" s="2">
        <f t="shared" si="4"/>
        <v>88.85314739552571</v>
      </c>
      <c r="Q31" s="2">
        <f>(100-Q$33-Q$34)/(1+(Q$28/Q$27))</f>
        <v>88.908523921702255</v>
      </c>
      <c r="R31" s="2">
        <f t="shared" si="4"/>
        <v>88.835442938352344</v>
      </c>
      <c r="S31" s="2">
        <f t="shared" si="4"/>
        <v>88.867242872028768</v>
      </c>
      <c r="T31" s="2">
        <f t="shared" si="4"/>
        <v>88.754544911683908</v>
      </c>
      <c r="U31" s="2">
        <f t="shared" si="4"/>
        <v>88.840423206424305</v>
      </c>
      <c r="V31" s="2">
        <f t="shared" si="4"/>
        <v>88.621294498968666</v>
      </c>
      <c r="W31" s="2">
        <f t="shared" si="4"/>
        <v>100</v>
      </c>
      <c r="X31" s="2">
        <f t="shared" si="4"/>
        <v>100</v>
      </c>
      <c r="Y31" s="579">
        <f t="shared" si="4"/>
        <v>100</v>
      </c>
      <c r="Z31" s="2">
        <f t="shared" si="4"/>
        <v>100</v>
      </c>
      <c r="AA31" s="2">
        <f t="shared" si="4"/>
        <v>100</v>
      </c>
      <c r="AB31" s="2">
        <f t="shared" si="4"/>
        <v>100</v>
      </c>
      <c r="AC31" s="2">
        <f t="shared" si="4"/>
        <v>100</v>
      </c>
      <c r="AD31" s="2">
        <f t="shared" si="4"/>
        <v>100</v>
      </c>
      <c r="AE31" s="2">
        <f t="shared" si="4"/>
        <v>100</v>
      </c>
      <c r="AF31" s="2">
        <f t="shared" si="4"/>
        <v>100</v>
      </c>
      <c r="AG31" s="2">
        <f t="shared" si="4"/>
        <v>100</v>
      </c>
      <c r="AH31" s="2">
        <f t="shared" si="4"/>
        <v>100</v>
      </c>
      <c r="AI31" s="2">
        <f t="shared" si="4"/>
        <v>100</v>
      </c>
      <c r="AJ31" s="2">
        <f t="shared" si="4"/>
        <v>100</v>
      </c>
      <c r="AK31" s="2">
        <f t="shared" si="4"/>
        <v>100</v>
      </c>
    </row>
    <row r="32" spans="2:37" ht="19.5" customHeight="1" x14ac:dyDescent="0.35">
      <c r="D32" s="78" t="s">
        <v>152</v>
      </c>
      <c r="E32" s="79"/>
      <c r="F32" s="80" t="s">
        <v>36</v>
      </c>
      <c r="G32" s="2"/>
      <c r="H32" s="957"/>
      <c r="I32" s="957"/>
      <c r="J32" s="2">
        <f t="shared" ref="J32:AK32" si="5">J$31*(J$28/J$27)</f>
        <v>9.8715032283498605</v>
      </c>
      <c r="K32" s="2">
        <f t="shared" si="5"/>
        <v>9.6533522111478991</v>
      </c>
      <c r="L32" s="2">
        <f t="shared" si="5"/>
        <v>9.6685241522916012</v>
      </c>
      <c r="M32" s="2">
        <f t="shared" si="5"/>
        <v>9.66632735811306</v>
      </c>
      <c r="N32" s="2">
        <f t="shared" si="5"/>
        <v>10.190242496350834</v>
      </c>
      <c r="O32" s="2">
        <f t="shared" si="5"/>
        <v>10.151129464699144</v>
      </c>
      <c r="P32" s="2">
        <f t="shared" si="5"/>
        <v>9.9417622442856608</v>
      </c>
      <c r="Q32" s="2">
        <f t="shared" si="5"/>
        <v>9.8209637102719842</v>
      </c>
      <c r="R32" s="2">
        <f t="shared" si="5"/>
        <v>9.8414763357127502</v>
      </c>
      <c r="S32" s="2">
        <f t="shared" si="5"/>
        <v>9.7757001190817867</v>
      </c>
      <c r="T32" s="2">
        <f t="shared" si="5"/>
        <v>9.8115533111616422</v>
      </c>
      <c r="U32" s="2">
        <f t="shared" si="5"/>
        <v>9.7266933017579831</v>
      </c>
      <c r="V32" s="2">
        <f t="shared" si="5"/>
        <v>9.9051932677170473</v>
      </c>
      <c r="W32" s="2">
        <f t="shared" si="5"/>
        <v>0</v>
      </c>
      <c r="X32" s="2">
        <f t="shared" si="5"/>
        <v>0</v>
      </c>
      <c r="Y32" s="579">
        <f t="shared" si="5"/>
        <v>0</v>
      </c>
      <c r="Z32" s="2">
        <f t="shared" si="5"/>
        <v>0</v>
      </c>
      <c r="AA32" s="2">
        <f t="shared" si="5"/>
        <v>0</v>
      </c>
      <c r="AB32" s="2">
        <f t="shared" si="5"/>
        <v>0</v>
      </c>
      <c r="AC32" s="2">
        <f t="shared" si="5"/>
        <v>0</v>
      </c>
      <c r="AD32" s="2">
        <f t="shared" si="5"/>
        <v>0</v>
      </c>
      <c r="AE32" s="2">
        <f t="shared" si="5"/>
        <v>0</v>
      </c>
      <c r="AF32" s="2">
        <f t="shared" si="5"/>
        <v>0</v>
      </c>
      <c r="AG32" s="2">
        <f t="shared" si="5"/>
        <v>0</v>
      </c>
      <c r="AH32" s="2">
        <f t="shared" si="5"/>
        <v>0</v>
      </c>
      <c r="AI32" s="2">
        <f t="shared" si="5"/>
        <v>0</v>
      </c>
      <c r="AJ32" s="2">
        <f t="shared" si="5"/>
        <v>0</v>
      </c>
      <c r="AK32" s="2">
        <f t="shared" si="5"/>
        <v>0</v>
      </c>
    </row>
    <row r="33" spans="4:37" ht="19.5" customHeight="1" x14ac:dyDescent="0.35">
      <c r="D33" s="78" t="s">
        <v>153</v>
      </c>
      <c r="E33" s="79"/>
      <c r="F33" s="80"/>
      <c r="G33" s="2"/>
      <c r="H33" s="957"/>
      <c r="I33" s="957"/>
      <c r="J33" s="2">
        <f t="shared" ref="J33:AK33" si="6">J$25*100/J$30</f>
        <v>0.25888670333981417</v>
      </c>
      <c r="K33" s="2">
        <f t="shared" si="6"/>
        <v>0.27329367774717767</v>
      </c>
      <c r="L33" s="2">
        <f t="shared" si="6"/>
        <v>0.28186895341470686</v>
      </c>
      <c r="M33" s="2">
        <f t="shared" si="6"/>
        <v>0.27583592805972029</v>
      </c>
      <c r="N33" s="2">
        <f t="shared" si="6"/>
        <v>0.22189509604909108</v>
      </c>
      <c r="O33" s="2">
        <f t="shared" si="6"/>
        <v>0.23514387312110396</v>
      </c>
      <c r="P33" s="2">
        <f t="shared" si="6"/>
        <v>0.2431117094284681</v>
      </c>
      <c r="Q33" s="2">
        <f>Q$25*100/Q$30</f>
        <v>0.23277706584110899</v>
      </c>
      <c r="R33" s="2">
        <f t="shared" si="6"/>
        <v>0.23746717903600753</v>
      </c>
      <c r="S33" s="2">
        <f t="shared" si="6"/>
        <v>0.23102092816429995</v>
      </c>
      <c r="T33" s="2">
        <f t="shared" si="6"/>
        <v>0.25310243981554759</v>
      </c>
      <c r="U33" s="2">
        <f t="shared" si="6"/>
        <v>0.23524373580825533</v>
      </c>
      <c r="V33" s="2">
        <f t="shared" si="6"/>
        <v>0.24397317571526492</v>
      </c>
      <c r="W33" s="2">
        <f t="shared" si="6"/>
        <v>0</v>
      </c>
      <c r="X33" s="2">
        <f t="shared" si="6"/>
        <v>0</v>
      </c>
      <c r="Y33" s="579">
        <f t="shared" si="6"/>
        <v>0</v>
      </c>
      <c r="Z33" s="2">
        <f t="shared" si="6"/>
        <v>0</v>
      </c>
      <c r="AA33" s="2">
        <f t="shared" si="6"/>
        <v>0</v>
      </c>
      <c r="AB33" s="2">
        <f t="shared" si="6"/>
        <v>0</v>
      </c>
      <c r="AC33" s="2">
        <f t="shared" si="6"/>
        <v>0</v>
      </c>
      <c r="AD33" s="2">
        <f t="shared" si="6"/>
        <v>0</v>
      </c>
      <c r="AE33" s="2">
        <f t="shared" si="6"/>
        <v>0</v>
      </c>
      <c r="AF33" s="2">
        <f t="shared" si="6"/>
        <v>0</v>
      </c>
      <c r="AG33" s="2">
        <f t="shared" si="6"/>
        <v>0</v>
      </c>
      <c r="AH33" s="2">
        <f t="shared" si="6"/>
        <v>0</v>
      </c>
      <c r="AI33" s="2">
        <f t="shared" si="6"/>
        <v>0</v>
      </c>
      <c r="AJ33" s="2">
        <f t="shared" si="6"/>
        <v>0</v>
      </c>
      <c r="AK33" s="2">
        <f t="shared" si="6"/>
        <v>0</v>
      </c>
    </row>
    <row r="34" spans="4:37" ht="19.5" customHeight="1" x14ac:dyDescent="0.35">
      <c r="D34" s="78" t="s">
        <v>154</v>
      </c>
      <c r="E34" s="79"/>
      <c r="F34" s="80"/>
      <c r="G34" s="2"/>
      <c r="H34" s="957"/>
      <c r="I34" s="957"/>
      <c r="J34" s="2">
        <f t="shared" ref="J34:AK34" si="7">J$20*100/J$30</f>
        <v>1.8586014701194618</v>
      </c>
      <c r="K34" s="2">
        <f t="shared" si="7"/>
        <v>2.0040756608162611</v>
      </c>
      <c r="L34" s="2">
        <f t="shared" si="7"/>
        <v>2.1492317344025924</v>
      </c>
      <c r="M34" s="2">
        <f t="shared" si="7"/>
        <v>2.1247742030268753</v>
      </c>
      <c r="N34" s="2">
        <f t="shared" si="7"/>
        <v>0.80516407248039146</v>
      </c>
      <c r="O34" s="2">
        <f t="shared" si="7"/>
        <v>0.87719176051068182</v>
      </c>
      <c r="P34" s="2">
        <f t="shared" si="7"/>
        <v>0.96197865076017508</v>
      </c>
      <c r="Q34" s="2">
        <f t="shared" si="7"/>
        <v>1.0377353021846569</v>
      </c>
      <c r="R34" s="2">
        <f t="shared" si="7"/>
        <v>1.0856135468989041</v>
      </c>
      <c r="S34" s="2">
        <f t="shared" si="7"/>
        <v>1.1260360807251462</v>
      </c>
      <c r="T34" s="2">
        <f t="shared" si="7"/>
        <v>1.180799337338913</v>
      </c>
      <c r="U34" s="2">
        <f t="shared" si="7"/>
        <v>1.1976397560094525</v>
      </c>
      <c r="V34" s="2">
        <f t="shared" si="7"/>
        <v>1.2295390575990153</v>
      </c>
      <c r="W34" s="2">
        <f t="shared" si="7"/>
        <v>0</v>
      </c>
      <c r="X34" s="2">
        <f t="shared" si="7"/>
        <v>0</v>
      </c>
      <c r="Y34" s="579">
        <f t="shared" si="7"/>
        <v>0</v>
      </c>
      <c r="Z34" s="2">
        <f t="shared" si="7"/>
        <v>0</v>
      </c>
      <c r="AA34" s="2">
        <f t="shared" si="7"/>
        <v>0</v>
      </c>
      <c r="AB34" s="2">
        <f t="shared" si="7"/>
        <v>0</v>
      </c>
      <c r="AC34" s="2">
        <f t="shared" si="7"/>
        <v>0</v>
      </c>
      <c r="AD34" s="2">
        <f t="shared" si="7"/>
        <v>0</v>
      </c>
      <c r="AE34" s="2">
        <f t="shared" si="7"/>
        <v>0</v>
      </c>
      <c r="AF34" s="2">
        <f t="shared" si="7"/>
        <v>0</v>
      </c>
      <c r="AG34" s="2">
        <f t="shared" si="7"/>
        <v>0</v>
      </c>
      <c r="AH34" s="2">
        <f t="shared" si="7"/>
        <v>0</v>
      </c>
      <c r="AI34" s="2">
        <f t="shared" si="7"/>
        <v>0</v>
      </c>
      <c r="AJ34" s="2">
        <f t="shared" si="7"/>
        <v>0</v>
      </c>
      <c r="AK34" s="2">
        <f t="shared" si="7"/>
        <v>0</v>
      </c>
    </row>
    <row r="35" spans="4:37" ht="19.5" customHeight="1" x14ac:dyDescent="0.35">
      <c r="D35" s="78" t="s">
        <v>155</v>
      </c>
      <c r="E35" s="79"/>
      <c r="F35" s="80"/>
      <c r="G35" s="149"/>
      <c r="H35" s="958"/>
      <c r="I35" s="958"/>
      <c r="J35" s="149">
        <f>J$32/J$31</f>
        <v>0.11216214182270805</v>
      </c>
      <c r="K35" s="149">
        <f t="shared" ref="K35:AK35" si="8">K$32/K$31</f>
        <v>0.10961089248161382</v>
      </c>
      <c r="L35" s="149">
        <f t="shared" si="8"/>
        <v>0.10999411702970005</v>
      </c>
      <c r="M35" s="149">
        <f t="shared" si="8"/>
        <v>0.10992824635131748</v>
      </c>
      <c r="N35" s="149">
        <f t="shared" si="8"/>
        <v>0.1147773461208251</v>
      </c>
      <c r="O35" s="149">
        <f t="shared" si="8"/>
        <v>0.11439627968285933</v>
      </c>
      <c r="P35" s="149">
        <f t="shared" si="8"/>
        <v>0.11188981522545692</v>
      </c>
      <c r="Q35" s="149">
        <f t="shared" si="8"/>
        <v>0.11046144145774893</v>
      </c>
      <c r="R35" s="149">
        <f t="shared" si="8"/>
        <v>0.11078321906429033</v>
      </c>
      <c r="S35" s="149">
        <f t="shared" si="8"/>
        <v>0.11000341411693236</v>
      </c>
      <c r="T35" s="149">
        <f t="shared" si="8"/>
        <v>0.1105470522205339</v>
      </c>
      <c r="U35" s="149">
        <f t="shared" si="8"/>
        <v>0.10948499512612203</v>
      </c>
      <c r="V35" s="149">
        <f t="shared" si="8"/>
        <v>0.11176990049307302</v>
      </c>
      <c r="W35" s="149">
        <f t="shared" si="8"/>
        <v>0</v>
      </c>
      <c r="X35" s="149">
        <f t="shared" si="8"/>
        <v>0</v>
      </c>
      <c r="Y35" s="580">
        <f t="shared" si="8"/>
        <v>0</v>
      </c>
      <c r="Z35" s="149">
        <f t="shared" si="8"/>
        <v>0</v>
      </c>
      <c r="AA35" s="149">
        <f t="shared" si="8"/>
        <v>0</v>
      </c>
      <c r="AB35" s="149">
        <f t="shared" si="8"/>
        <v>0</v>
      </c>
      <c r="AC35" s="149">
        <f t="shared" si="8"/>
        <v>0</v>
      </c>
      <c r="AD35" s="149">
        <f t="shared" si="8"/>
        <v>0</v>
      </c>
      <c r="AE35" s="149">
        <f t="shared" si="8"/>
        <v>0</v>
      </c>
      <c r="AF35" s="149">
        <f t="shared" si="8"/>
        <v>0</v>
      </c>
      <c r="AG35" s="149">
        <f t="shared" si="8"/>
        <v>0</v>
      </c>
      <c r="AH35" s="149">
        <f t="shared" si="8"/>
        <v>0</v>
      </c>
      <c r="AI35" s="149">
        <f t="shared" si="8"/>
        <v>0</v>
      </c>
      <c r="AJ35" s="149">
        <f t="shared" si="8"/>
        <v>0</v>
      </c>
      <c r="AK35" s="149">
        <f t="shared" si="8"/>
        <v>0</v>
      </c>
    </row>
    <row r="36" spans="4:37" ht="19.5" hidden="1" customHeight="1" x14ac:dyDescent="0.35">
      <c r="D36" s="81" t="s">
        <v>106</v>
      </c>
      <c r="E36" s="45"/>
      <c r="F36" s="46"/>
      <c r="G36" s="82"/>
      <c r="H36" s="959"/>
      <c r="I36" s="959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199"/>
      <c r="Y36" s="577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</row>
    <row r="37" spans="4:37" ht="19.5" hidden="1" customHeight="1" x14ac:dyDescent="0.35">
      <c r="D37" s="81" t="s">
        <v>107</v>
      </c>
      <c r="E37" s="45"/>
      <c r="F37" s="46"/>
      <c r="G37" s="82"/>
      <c r="H37" s="959"/>
      <c r="I37" s="959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199"/>
      <c r="Y37" s="577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</row>
    <row r="38" spans="4:37" ht="19.5" hidden="1" customHeight="1" x14ac:dyDescent="0.35">
      <c r="D38" s="81" t="s">
        <v>156</v>
      </c>
      <c r="E38" s="45"/>
      <c r="F38" s="46"/>
      <c r="G38" s="82"/>
      <c r="H38" s="959"/>
      <c r="I38" s="959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199"/>
      <c r="Y38" s="577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</row>
    <row r="39" spans="4:37" ht="19.5" hidden="1" customHeight="1" x14ac:dyDescent="0.35">
      <c r="D39" s="81" t="s">
        <v>157</v>
      </c>
      <c r="E39" s="45"/>
      <c r="F39" s="46"/>
      <c r="G39" s="82"/>
      <c r="H39" s="959"/>
      <c r="I39" s="959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199"/>
      <c r="Y39" s="577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</row>
    <row r="40" spans="4:37" ht="19.5" hidden="1" customHeight="1" x14ac:dyDescent="0.35">
      <c r="D40" s="81" t="s">
        <v>108</v>
      </c>
      <c r="E40" s="45"/>
      <c r="F40" s="46"/>
      <c r="G40" s="82"/>
      <c r="H40" s="959"/>
      <c r="I40" s="959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199"/>
      <c r="Y40" s="577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</row>
    <row r="41" spans="4:37" ht="19.5" customHeight="1" x14ac:dyDescent="0.35">
      <c r="D41" s="75" t="s">
        <v>47</v>
      </c>
      <c r="E41" s="2689" t="s">
        <v>48</v>
      </c>
      <c r="F41" s="2680" t="s">
        <v>38</v>
      </c>
      <c r="G41" s="47"/>
      <c r="H41" s="952"/>
      <c r="I41" s="952"/>
      <c r="J41" s="47"/>
      <c r="K41" s="55"/>
      <c r="L41" s="55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195"/>
      <c r="Y41" s="590"/>
      <c r="Z41" s="172"/>
      <c r="AA41" s="172"/>
      <c r="AB41" s="172"/>
      <c r="AC41" s="172"/>
      <c r="AD41" s="172"/>
      <c r="AE41" s="172"/>
      <c r="AF41" s="172"/>
      <c r="AG41" s="172"/>
      <c r="AH41" s="172"/>
      <c r="AI41" s="172"/>
      <c r="AJ41" s="172"/>
      <c r="AK41" s="172"/>
    </row>
    <row r="42" spans="4:37" ht="19.5" customHeight="1" x14ac:dyDescent="0.35">
      <c r="D42" s="44" t="s">
        <v>49</v>
      </c>
      <c r="E42" s="2703"/>
      <c r="F42" s="2681"/>
      <c r="G42" s="977">
        <f>0.07/9.83</f>
        <v>7.1210579857578843E-3</v>
      </c>
      <c r="H42" s="952"/>
      <c r="I42" s="952"/>
      <c r="J42" s="77">
        <f>'HPS DAILY'!K42-('HPS DAILY'!K42*'HPS DAILY (repro-)'!$G$42)</f>
        <v>19.72354018311292</v>
      </c>
      <c r="K42" s="77">
        <f>'HPS DAILY'!L42-('HPS DAILY'!L42*'HPS DAILY (repro-)'!$G$42)</f>
        <v>20.840528992878941</v>
      </c>
      <c r="L42" s="77">
        <f>'HPS DAILY'!M42-('HPS DAILY'!M42*'HPS DAILY (repro-)'!$G$42)</f>
        <v>22.445683282468632</v>
      </c>
      <c r="M42" s="77">
        <f>'HPS DAILY'!N42-('HPS DAILY'!N42*'HPS DAILY (repro-)'!$G$42)</f>
        <v>21.485900305188199</v>
      </c>
      <c r="N42" s="77" t="e">
        <f>'HPS DAILY'!#REF!-('HPS DAILY'!#REF!*'HPS DAILY (repro-)'!$G$42)</f>
        <v>#REF!</v>
      </c>
      <c r="O42" s="77">
        <f>'HPS DAILY'!P42-('HPS DAILY'!P42*'HPS DAILY (repro-)'!$G$42)</f>
        <v>4.7161749745676502</v>
      </c>
      <c r="P42" s="77">
        <f>'HPS DAILY'!Q42-('HPS DAILY'!Q42*'HPS DAILY (repro-)'!$G$42)</f>
        <v>5.957273652085453</v>
      </c>
      <c r="Q42" s="77">
        <f>'HPS DAILY'!R42-('HPS DAILY'!R42*'HPS DAILY (repro-)'!$G$42)</f>
        <v>6.7615055951169882</v>
      </c>
      <c r="R42" s="77">
        <f>'HPS DAILY'!S42-('HPS DAILY'!S42*'HPS DAILY (repro-)'!$G$42)</f>
        <v>7.6004883011190234</v>
      </c>
      <c r="S42" s="77">
        <f>'HPS DAILY'!T42-('HPS DAILY'!T42*'HPS DAILY (repro-)'!$G$42)</f>
        <v>8.2508240081383519</v>
      </c>
      <c r="T42" s="77">
        <f>'HPS DAILY'!U42-('HPS DAILY'!U42*'HPS DAILY (repro-)'!$G$42)</f>
        <v>9.2437029501525938</v>
      </c>
      <c r="U42" s="77">
        <f>'HPS DAILY'!V42-('HPS DAILY'!V42*'HPS DAILY (repro-)'!$G$42)</f>
        <v>9.1444150559511712</v>
      </c>
      <c r="V42" s="77">
        <f>'HPS DAILY'!W42-('HPS DAILY'!W42*'HPS DAILY (repro-)'!$G$42)</f>
        <v>9.5316378433367248</v>
      </c>
      <c r="W42" s="77">
        <f>'HPS DAILY'!X42-('HPS DAILY'!X42*'HPS DAILY (repro-)'!$G$42)</f>
        <v>0</v>
      </c>
      <c r="X42" s="77">
        <f>'HPS DAILY'!Y42-('HPS DAILY'!Y42*'HPS DAILY (repro-)'!$G$42)</f>
        <v>0</v>
      </c>
      <c r="Y42" s="577">
        <v>42.98</v>
      </c>
      <c r="Z42" s="577">
        <v>48.83</v>
      </c>
      <c r="AA42" s="577">
        <v>48.83</v>
      </c>
      <c r="AB42" s="577">
        <v>48.83</v>
      </c>
      <c r="AC42" s="577">
        <v>48.83</v>
      </c>
      <c r="AD42" s="577">
        <v>48.83</v>
      </c>
      <c r="AE42" s="577">
        <v>48.83</v>
      </c>
      <c r="AF42" s="577">
        <v>48.83</v>
      </c>
      <c r="AG42" s="577">
        <v>48.83</v>
      </c>
      <c r="AH42" s="577">
        <v>48.83</v>
      </c>
      <c r="AI42" s="577">
        <v>48.83</v>
      </c>
      <c r="AJ42" s="577">
        <v>48.83</v>
      </c>
      <c r="AK42" s="577">
        <v>48.83</v>
      </c>
    </row>
    <row r="43" spans="4:37" ht="19.5" customHeight="1" x14ac:dyDescent="0.35">
      <c r="D43" s="44" t="s">
        <v>50</v>
      </c>
      <c r="E43" s="2703"/>
      <c r="F43" s="2681"/>
      <c r="G43" s="48">
        <f>0.15/9.93</f>
        <v>1.5105740181268881E-2</v>
      </c>
      <c r="H43" s="952"/>
      <c r="I43" s="952"/>
      <c r="J43" s="77">
        <f>'HPS DAILY'!K43-('HPS DAILY'!K43*'HPS DAILY (repro-)'!$G$43)</f>
        <v>24.809486404833834</v>
      </c>
      <c r="K43" s="77">
        <f>'HPS DAILY'!L43-('HPS DAILY'!L43*'HPS DAILY (repro-)'!$G$43)</f>
        <v>29.349848942598189</v>
      </c>
      <c r="L43" s="77">
        <f>'HPS DAILY'!M43-('HPS DAILY'!M43*'HPS DAILY (repro-)'!$G$43)</f>
        <v>35.426646525679757</v>
      </c>
      <c r="M43" s="77">
        <f>'HPS DAILY'!N43-('HPS DAILY'!N43*'HPS DAILY (repro-)'!$G$43)</f>
        <v>35.200120845921454</v>
      </c>
      <c r="N43" s="77" t="e">
        <f>'HPS DAILY'!#REF!-('HPS DAILY'!#REF!*'HPS DAILY (repro-)'!$G$43)</f>
        <v>#REF!</v>
      </c>
      <c r="O43" s="77">
        <f>'HPS DAILY'!P43-('HPS DAILY'!P43*'HPS DAILY (repro-)'!$G$43)</f>
        <v>0.80761329305135943</v>
      </c>
      <c r="P43" s="77">
        <f>'HPS DAILY'!Q43-('HPS DAILY'!Q43*'HPS DAILY (repro-)'!$G$43)</f>
        <v>1.1917220543806646</v>
      </c>
      <c r="Q43" s="77">
        <f>'HPS DAILY'!R43-('HPS DAILY'!R43*'HPS DAILY (repro-)'!$G$43)</f>
        <v>1.6743202416918428</v>
      </c>
      <c r="R43" s="77">
        <f>'HPS DAILY'!S43-('HPS DAILY'!S43*'HPS DAILY (repro-)'!$G$43)</f>
        <v>2.614894259818731</v>
      </c>
      <c r="S43" s="77">
        <f>'HPS DAILY'!T43-('HPS DAILY'!T43*'HPS DAILY (repro-)'!$G$43)</f>
        <v>2.7183081570996976</v>
      </c>
      <c r="T43" s="77">
        <f>'HPS DAILY'!U43-('HPS DAILY'!U43*'HPS DAILY (repro-)'!$G$43)</f>
        <v>3.3486404833836856</v>
      </c>
      <c r="U43" s="77">
        <f>'HPS DAILY'!V43-('HPS DAILY'!V43*'HPS DAILY (repro-)'!$G$43)</f>
        <v>3.3092447129909366</v>
      </c>
      <c r="V43" s="77">
        <f>'HPS DAILY'!W43-('HPS DAILY'!W43*'HPS DAILY (repro-)'!$G$43)</f>
        <v>3.6835045317220545</v>
      </c>
      <c r="W43" s="77">
        <f>'HPS DAILY'!X43-('HPS DAILY'!X43*'HPS DAILY (repro-)'!$G$43)</f>
        <v>0</v>
      </c>
      <c r="X43" s="77">
        <f>'HPS DAILY'!Y43-('HPS DAILY'!Y43*'HPS DAILY (repro-)'!$G$43)</f>
        <v>0</v>
      </c>
      <c r="Y43" s="577">
        <v>55.81</v>
      </c>
      <c r="Z43" s="577">
        <v>73.86</v>
      </c>
      <c r="AA43" s="577">
        <v>73.86</v>
      </c>
      <c r="AB43" s="577">
        <v>73.86</v>
      </c>
      <c r="AC43" s="577">
        <v>73.86</v>
      </c>
      <c r="AD43" s="577">
        <v>73.86</v>
      </c>
      <c r="AE43" s="577">
        <v>73.86</v>
      </c>
      <c r="AF43" s="577">
        <v>73.86</v>
      </c>
      <c r="AG43" s="577">
        <v>73.86</v>
      </c>
      <c r="AH43" s="577">
        <v>73.86</v>
      </c>
      <c r="AI43" s="577">
        <v>73.86</v>
      </c>
      <c r="AJ43" s="577">
        <v>73.86</v>
      </c>
      <c r="AK43" s="577">
        <v>73.86</v>
      </c>
    </row>
    <row r="44" spans="4:37" ht="19.5" customHeight="1" x14ac:dyDescent="0.35">
      <c r="D44" s="44" t="s">
        <v>51</v>
      </c>
      <c r="E44" s="2703"/>
      <c r="F44" s="2681"/>
      <c r="G44" s="60"/>
      <c r="H44" s="952"/>
      <c r="I44" s="952"/>
      <c r="J44" s="60">
        <v>19.440000000000001</v>
      </c>
      <c r="K44" s="62">
        <v>16.399999999999999</v>
      </c>
      <c r="L44" s="62">
        <v>20.23</v>
      </c>
      <c r="M44" s="63">
        <v>22.15</v>
      </c>
      <c r="N44" s="63">
        <v>22.65</v>
      </c>
      <c r="O44" s="63">
        <v>5.87</v>
      </c>
      <c r="P44" s="63">
        <v>12.06</v>
      </c>
      <c r="Q44" s="63">
        <v>11.15</v>
      </c>
      <c r="R44" s="63">
        <v>15.22</v>
      </c>
      <c r="S44" s="63">
        <v>16.100000000000001</v>
      </c>
      <c r="T44" s="63">
        <v>21.25</v>
      </c>
      <c r="U44" s="63">
        <v>16.920000000000002</v>
      </c>
      <c r="V44" s="63">
        <v>17.38</v>
      </c>
      <c r="W44" s="63">
        <v>22.14</v>
      </c>
      <c r="X44" s="198">
        <v>14.15</v>
      </c>
      <c r="Y44" s="577">
        <v>35.68</v>
      </c>
      <c r="Z44" s="577">
        <v>25.16</v>
      </c>
      <c r="AA44" s="577">
        <v>25.16</v>
      </c>
      <c r="AB44" s="577">
        <v>25.16</v>
      </c>
      <c r="AC44" s="577">
        <v>25.16</v>
      </c>
      <c r="AD44" s="577">
        <v>25.16</v>
      </c>
      <c r="AE44" s="577">
        <v>25.16</v>
      </c>
      <c r="AF44" s="577">
        <v>25.16</v>
      </c>
      <c r="AG44" s="577">
        <v>25.16</v>
      </c>
      <c r="AH44" s="577">
        <v>25.16</v>
      </c>
      <c r="AI44" s="577">
        <v>25.16</v>
      </c>
      <c r="AJ44" s="577">
        <v>25.16</v>
      </c>
      <c r="AK44" s="577">
        <v>25.16</v>
      </c>
    </row>
    <row r="45" spans="4:37" ht="19.5" customHeight="1" x14ac:dyDescent="0.35">
      <c r="D45" s="44" t="s">
        <v>52</v>
      </c>
      <c r="E45" s="2703"/>
      <c r="F45" s="2681"/>
      <c r="G45" s="60">
        <f>0.31/10.06</f>
        <v>3.081510934393638E-2</v>
      </c>
      <c r="H45" s="952"/>
      <c r="I45" s="952"/>
      <c r="J45" s="84">
        <f>'HPS DAILY'!K45-('HPS DAILY'!K45*'HPS DAILY (repro-)'!$G$45)</f>
        <v>26.681660039761429</v>
      </c>
      <c r="K45" s="84">
        <f>'HPS DAILY'!L45-('HPS DAILY'!L45*'HPS DAILY (repro-)'!$G$45)</f>
        <v>10.069831013916502</v>
      </c>
      <c r="L45" s="84">
        <f>'HPS DAILY'!M45-('HPS DAILY'!M45*'HPS DAILY (repro-)'!$G$45)</f>
        <v>4.8814612326043738</v>
      </c>
      <c r="M45" s="84">
        <f>'HPS DAILY'!N45-('HPS DAILY'!N45*'HPS DAILY (repro-)'!$G$45)</f>
        <v>3.794358846918489</v>
      </c>
      <c r="N45" s="84" t="e">
        <f>'HPS DAILY'!#REF!-('HPS DAILY'!#REF!*'HPS DAILY (repro-)'!$G$45)</f>
        <v>#REF!</v>
      </c>
      <c r="O45" s="84">
        <f>'HPS DAILY'!P45-('HPS DAILY'!P45*'HPS DAILY (repro-)'!$G$45)</f>
        <v>9.672465208747516</v>
      </c>
      <c r="P45" s="84">
        <f>'HPS DAILY'!Q45-('HPS DAILY'!Q45*'HPS DAILY (repro-)'!$G$45)</f>
        <v>1.5216202783300199</v>
      </c>
      <c r="Q45" s="84">
        <f>'HPS DAILY'!R45-('HPS DAILY'!R45*'HPS DAILY (repro-)'!$G$45)</f>
        <v>1.5603876739562625</v>
      </c>
      <c r="R45" s="84">
        <f>'HPS DAILY'!S45-('HPS DAILY'!S45*'HPS DAILY (repro-)'!$G$45)</f>
        <v>1.6815357852882704</v>
      </c>
      <c r="S45" s="84">
        <f>'HPS DAILY'!T45-('HPS DAILY'!T45*'HPS DAILY (repro-)'!$G$45)</f>
        <v>0</v>
      </c>
      <c r="T45" s="84">
        <f>'HPS DAILY'!U45-('HPS DAILY'!U45*'HPS DAILY (repro-)'!$G$45)</f>
        <v>2.374502982107356</v>
      </c>
      <c r="U45" s="84">
        <f>'HPS DAILY'!V45-('HPS DAILY'!V45*'HPS DAILY (repro-)'!$G$45)</f>
        <v>4.8556163021868786</v>
      </c>
      <c r="V45" s="84">
        <f>'HPS DAILY'!W45-('HPS DAILY'!W45*'HPS DAILY (repro-)'!$G$45)</f>
        <v>4.3031809145129225</v>
      </c>
      <c r="W45" s="84">
        <f>'HPS DAILY'!X45-('HPS DAILY'!X45*'HPS DAILY (repro-)'!$G$45)</f>
        <v>0</v>
      </c>
      <c r="X45" s="84">
        <f>'HPS DAILY'!Y45-('HPS DAILY'!Y45*'HPS DAILY (repro-)'!$G$45)</f>
        <v>0</v>
      </c>
      <c r="Y45" s="577">
        <v>18.75</v>
      </c>
      <c r="Z45" s="577">
        <v>24.09</v>
      </c>
      <c r="AA45" s="577">
        <v>24.09</v>
      </c>
      <c r="AB45" s="577">
        <v>24.09</v>
      </c>
      <c r="AC45" s="577">
        <v>24.09</v>
      </c>
      <c r="AD45" s="577">
        <v>24.09</v>
      </c>
      <c r="AE45" s="577">
        <v>24.09</v>
      </c>
      <c r="AF45" s="577">
        <v>24.09</v>
      </c>
      <c r="AG45" s="577">
        <v>24.09</v>
      </c>
      <c r="AH45" s="577">
        <v>24.09</v>
      </c>
      <c r="AI45" s="577">
        <v>24.09</v>
      </c>
      <c r="AJ45" s="577">
        <v>24.09</v>
      </c>
      <c r="AK45" s="577">
        <v>24.09</v>
      </c>
    </row>
    <row r="46" spans="4:37" ht="19.5" customHeight="1" x14ac:dyDescent="0.35">
      <c r="D46" s="44" t="s">
        <v>53</v>
      </c>
      <c r="E46" s="2704"/>
      <c r="F46" s="2682"/>
      <c r="G46" s="60">
        <f>0.21/9.94</f>
        <v>2.1126760563380281E-2</v>
      </c>
      <c r="H46" s="952"/>
      <c r="I46" s="952"/>
      <c r="J46" s="84">
        <f>'HPS DAILY'!K46-('HPS DAILY'!K46*$G$46)</f>
        <v>21.300281690140842</v>
      </c>
      <c r="K46" s="84">
        <f>'HPS DAILY'!L46-('HPS DAILY'!L46*$G$46)</f>
        <v>14.037042253521127</v>
      </c>
      <c r="L46" s="84">
        <f>'HPS DAILY'!M46-('HPS DAILY'!M46*$G$46)</f>
        <v>13.929366197183096</v>
      </c>
      <c r="M46" s="84">
        <f>'HPS DAILY'!N46-('HPS DAILY'!N46*$G$46)</f>
        <v>6.2452112676056339</v>
      </c>
      <c r="N46" s="84" t="e">
        <f>'HPS DAILY'!#REF!-('HPS DAILY'!#REF!*$G$46)</f>
        <v>#REF!</v>
      </c>
      <c r="O46" s="84">
        <f>'HPS DAILY'!P46-('HPS DAILY'!P46*$G$46)</f>
        <v>1.39</v>
      </c>
      <c r="P46" s="84">
        <f>'HPS DAILY'!Q46-('HPS DAILY'!Q46*$G$46)</f>
        <v>1.1844366197183098</v>
      </c>
      <c r="Q46" s="84">
        <f>'HPS DAILY'!R46-('HPS DAILY'!R46*$G$46)</f>
        <v>1.840281690140845</v>
      </c>
      <c r="R46" s="84">
        <f>'HPS DAILY'!S46-('HPS DAILY'!S46*$G$46)</f>
        <v>1.5466197183098593</v>
      </c>
      <c r="S46" s="84">
        <f>'HPS DAILY'!T46-('HPS DAILY'!T46*$G$46)</f>
        <v>1.2725352112676056</v>
      </c>
      <c r="T46" s="84">
        <f>'HPS DAILY'!U46-('HPS DAILY'!U46*$G$46)</f>
        <v>1.1648591549295775</v>
      </c>
      <c r="U46" s="84">
        <f>'HPS DAILY'!V46-('HPS DAILY'!V46*$G$46)</f>
        <v>1.2921126760563382</v>
      </c>
      <c r="V46" s="84">
        <f>'HPS DAILY'!W46-('HPS DAILY'!W46*$G$46)</f>
        <v>1.585774647887324</v>
      </c>
      <c r="W46" s="84">
        <f>'HPS DAILY'!X46-('HPS DAILY'!X46*$G$46)</f>
        <v>0</v>
      </c>
      <c r="X46" s="84">
        <f>'HPS DAILY'!Y46-('HPS DAILY'!Y46*$G$46)</f>
        <v>0</v>
      </c>
      <c r="Y46" s="577">
        <v>10.45</v>
      </c>
      <c r="Z46" s="577">
        <v>28.42</v>
      </c>
      <c r="AA46" s="577">
        <v>28.42</v>
      </c>
      <c r="AB46" s="577">
        <v>28.42</v>
      </c>
      <c r="AC46" s="577">
        <v>28.42</v>
      </c>
      <c r="AD46" s="577">
        <v>28.42</v>
      </c>
      <c r="AE46" s="577">
        <v>28.42</v>
      </c>
      <c r="AF46" s="577">
        <v>28.42</v>
      </c>
      <c r="AG46" s="577">
        <v>28.42</v>
      </c>
      <c r="AH46" s="577">
        <v>28.42</v>
      </c>
      <c r="AI46" s="577">
        <v>28.42</v>
      </c>
      <c r="AJ46" s="577">
        <v>28.42</v>
      </c>
      <c r="AK46" s="577">
        <v>28.42</v>
      </c>
    </row>
    <row r="47" spans="4:37" ht="19.5" customHeight="1" x14ac:dyDescent="0.35">
      <c r="D47" s="113" t="s">
        <v>3</v>
      </c>
      <c r="E47" s="79"/>
      <c r="F47" s="80"/>
      <c r="G47" s="114"/>
      <c r="H47" s="952"/>
      <c r="I47" s="952"/>
      <c r="J47" s="115">
        <f>100-(J42*100/$G$42)</f>
        <v>-276874.85714285716</v>
      </c>
      <c r="K47" s="115">
        <f t="shared" ref="K47:M47" si="9">100-(K42*100/$G$42)</f>
        <v>-292560.57142857136</v>
      </c>
      <c r="L47" s="115">
        <f t="shared" si="9"/>
        <v>-315101.52380952379</v>
      </c>
      <c r="M47" s="115">
        <f t="shared" si="9"/>
        <v>-301623.42857142852</v>
      </c>
      <c r="N47" s="115" t="e">
        <f>100-(N42*100/$H$42)</f>
        <v>#REF!</v>
      </c>
      <c r="O47" s="115" t="e">
        <f t="shared" ref="O47:S47" si="10">100-(O42*100/$H$42)</f>
        <v>#DIV/0!</v>
      </c>
      <c r="P47" s="115" t="e">
        <f t="shared" si="10"/>
        <v>#DIV/0!</v>
      </c>
      <c r="Q47" s="115" t="e">
        <f t="shared" si="10"/>
        <v>#DIV/0!</v>
      </c>
      <c r="R47" s="115" t="e">
        <f t="shared" si="10"/>
        <v>#DIV/0!</v>
      </c>
      <c r="S47" s="115" t="e">
        <f t="shared" si="10"/>
        <v>#DIV/0!</v>
      </c>
      <c r="T47" s="115" t="e">
        <f>100-(T42*100/$I$42)</f>
        <v>#DIV/0!</v>
      </c>
      <c r="U47" s="115" t="e">
        <f t="shared" ref="U47:Z47" si="11">100-(U42*100/$I$42)</f>
        <v>#DIV/0!</v>
      </c>
      <c r="V47" s="115" t="e">
        <f t="shared" si="11"/>
        <v>#DIV/0!</v>
      </c>
      <c r="W47" s="115" t="e">
        <f t="shared" si="11"/>
        <v>#DIV/0!</v>
      </c>
      <c r="X47" s="115" t="e">
        <f t="shared" si="11"/>
        <v>#DIV/0!</v>
      </c>
      <c r="Y47" s="581" t="e">
        <f t="shared" si="11"/>
        <v>#DIV/0!</v>
      </c>
      <c r="Z47" s="115" t="e">
        <f t="shared" si="11"/>
        <v>#DIV/0!</v>
      </c>
      <c r="AA47" s="115" t="e">
        <f t="shared" ref="AA47:AH47" si="12">100-(AA42*100/$I$42)</f>
        <v>#DIV/0!</v>
      </c>
      <c r="AB47" s="115" t="e">
        <f t="shared" si="12"/>
        <v>#DIV/0!</v>
      </c>
      <c r="AC47" s="115" t="e">
        <f t="shared" si="12"/>
        <v>#DIV/0!</v>
      </c>
      <c r="AD47" s="115" t="e">
        <f t="shared" si="12"/>
        <v>#DIV/0!</v>
      </c>
      <c r="AE47" s="115" t="e">
        <f t="shared" si="12"/>
        <v>#DIV/0!</v>
      </c>
      <c r="AF47" s="115" t="e">
        <f t="shared" si="12"/>
        <v>#DIV/0!</v>
      </c>
      <c r="AG47" s="115" t="e">
        <f t="shared" si="12"/>
        <v>#DIV/0!</v>
      </c>
      <c r="AH47" s="115" t="e">
        <f t="shared" si="12"/>
        <v>#DIV/0!</v>
      </c>
      <c r="AI47" s="115" t="e">
        <f t="shared" ref="AI47:AK47" si="13">100-(AI42*100/$I$42)</f>
        <v>#DIV/0!</v>
      </c>
      <c r="AJ47" s="115" t="e">
        <f t="shared" si="13"/>
        <v>#DIV/0!</v>
      </c>
      <c r="AK47" s="115" t="e">
        <f t="shared" si="13"/>
        <v>#DIV/0!</v>
      </c>
    </row>
    <row r="48" spans="4:37" ht="19.5" customHeight="1" x14ac:dyDescent="0.35">
      <c r="D48" s="113" t="s">
        <v>4</v>
      </c>
      <c r="E48" s="79" t="s">
        <v>163</v>
      </c>
      <c r="F48" s="80" t="s">
        <v>55</v>
      </c>
      <c r="G48" s="114"/>
      <c r="H48" s="952"/>
      <c r="I48" s="952"/>
      <c r="J48" s="115">
        <f>100-(J43*100/$G$43)</f>
        <v>-164138.79999999999</v>
      </c>
      <c r="K48" s="115">
        <f t="shared" ref="K48:M48" si="14">100-(K43*100/$G$43)</f>
        <v>-194196.00000000003</v>
      </c>
      <c r="L48" s="115">
        <f t="shared" si="14"/>
        <v>-234424.4</v>
      </c>
      <c r="M48" s="115">
        <f t="shared" si="14"/>
        <v>-232924.80000000005</v>
      </c>
      <c r="N48" s="115" t="e">
        <f>100-(N43*100/$H$43)</f>
        <v>#REF!</v>
      </c>
      <c r="O48" s="115" t="e">
        <f t="shared" ref="O48:S48" si="15">100-(O43*100/$H$43)</f>
        <v>#DIV/0!</v>
      </c>
      <c r="P48" s="115" t="e">
        <f t="shared" si="15"/>
        <v>#DIV/0!</v>
      </c>
      <c r="Q48" s="115" t="e">
        <f t="shared" si="15"/>
        <v>#DIV/0!</v>
      </c>
      <c r="R48" s="115" t="e">
        <f t="shared" si="15"/>
        <v>#DIV/0!</v>
      </c>
      <c r="S48" s="115" t="e">
        <f t="shared" si="15"/>
        <v>#DIV/0!</v>
      </c>
      <c r="T48" s="115" t="e">
        <f>100-(T43*100/$I$43)</f>
        <v>#DIV/0!</v>
      </c>
      <c r="U48" s="115" t="e">
        <f>100-(U44*100/$I$43)</f>
        <v>#DIV/0!</v>
      </c>
      <c r="V48" s="115" t="e">
        <f t="shared" ref="V48:Z48" si="16">100-(V43*100/$I$43)</f>
        <v>#DIV/0!</v>
      </c>
      <c r="W48" s="115" t="e">
        <f t="shared" si="16"/>
        <v>#DIV/0!</v>
      </c>
      <c r="X48" s="115" t="e">
        <f t="shared" si="16"/>
        <v>#DIV/0!</v>
      </c>
      <c r="Y48" s="581" t="e">
        <f t="shared" si="16"/>
        <v>#DIV/0!</v>
      </c>
      <c r="Z48" s="115" t="e">
        <f t="shared" si="16"/>
        <v>#DIV/0!</v>
      </c>
      <c r="AA48" s="115" t="e">
        <f t="shared" ref="AA48:AH48" si="17">100-(AA43*100/$I$43)</f>
        <v>#DIV/0!</v>
      </c>
      <c r="AB48" s="115" t="e">
        <f t="shared" si="17"/>
        <v>#DIV/0!</v>
      </c>
      <c r="AC48" s="115" t="e">
        <f t="shared" si="17"/>
        <v>#DIV/0!</v>
      </c>
      <c r="AD48" s="115" t="e">
        <f t="shared" si="17"/>
        <v>#DIV/0!</v>
      </c>
      <c r="AE48" s="115" t="e">
        <f t="shared" si="17"/>
        <v>#DIV/0!</v>
      </c>
      <c r="AF48" s="115" t="e">
        <f t="shared" si="17"/>
        <v>#DIV/0!</v>
      </c>
      <c r="AG48" s="115" t="e">
        <f t="shared" si="17"/>
        <v>#DIV/0!</v>
      </c>
      <c r="AH48" s="115" t="e">
        <f t="shared" si="17"/>
        <v>#DIV/0!</v>
      </c>
      <c r="AI48" s="115" t="e">
        <f t="shared" ref="AI48:AK48" si="18">100-(AI43*100/$I$43)</f>
        <v>#DIV/0!</v>
      </c>
      <c r="AJ48" s="115" t="e">
        <f t="shared" si="18"/>
        <v>#DIV/0!</v>
      </c>
      <c r="AK48" s="115" t="e">
        <f t="shared" si="18"/>
        <v>#DIV/0!</v>
      </c>
    </row>
    <row r="49" spans="4:37" ht="19.5" customHeight="1" x14ac:dyDescent="0.35">
      <c r="D49" s="113" t="s">
        <v>56</v>
      </c>
      <c r="E49" s="79"/>
      <c r="F49" s="80"/>
      <c r="G49" s="114"/>
      <c r="H49" s="952"/>
      <c r="I49" s="952"/>
      <c r="J49" s="115">
        <f>100-((J42+J43)*100/($G$42+$G$43))</f>
        <v>-200257.36255530972</v>
      </c>
      <c r="K49" s="115">
        <f t="shared" ref="K49:L49" si="19">100-((K42+K43)*100/($G$42+$G$43))</f>
        <v>-225710.20243362829</v>
      </c>
      <c r="L49" s="115">
        <f t="shared" si="19"/>
        <v>-260271.86900811212</v>
      </c>
      <c r="M49" s="115">
        <f>100-((M42+M43)*100/($G$42+$G$43))</f>
        <v>-254934.57909292038</v>
      </c>
      <c r="N49" s="115" t="e">
        <f>100-((N42+N43)*100/($H$42+$H$43))</f>
        <v>#REF!</v>
      </c>
      <c r="O49" s="115" t="e">
        <f t="shared" ref="O49:R49" si="20">100-((O42+O43)*100/($H$42+$H$43))</f>
        <v>#DIV/0!</v>
      </c>
      <c r="P49" s="115" t="e">
        <f t="shared" si="20"/>
        <v>#DIV/0!</v>
      </c>
      <c r="Q49" s="115" t="e">
        <f t="shared" si="20"/>
        <v>#DIV/0!</v>
      </c>
      <c r="R49" s="115" t="e">
        <f t="shared" si="20"/>
        <v>#DIV/0!</v>
      </c>
      <c r="S49" s="115" t="e">
        <f>100-((S42+S43)*100/($H$42+$H$43))</f>
        <v>#DIV/0!</v>
      </c>
      <c r="T49" s="115" t="e">
        <f>100-((T42+T43)*100/($I$42+$I$43))</f>
        <v>#DIV/0!</v>
      </c>
      <c r="U49" s="115" t="e">
        <f>100-((U42+U44)*100/($I$42+$I$43))</f>
        <v>#DIV/0!</v>
      </c>
      <c r="V49" s="115" t="e">
        <f t="shared" ref="V49:Z49" si="21">100-((V42+V43)*100/($I$42+$I$43))</f>
        <v>#DIV/0!</v>
      </c>
      <c r="W49" s="115" t="e">
        <f t="shared" si="21"/>
        <v>#DIV/0!</v>
      </c>
      <c r="X49" s="115" t="e">
        <f t="shared" si="21"/>
        <v>#DIV/0!</v>
      </c>
      <c r="Y49" s="581" t="e">
        <f t="shared" si="21"/>
        <v>#DIV/0!</v>
      </c>
      <c r="Z49" s="115" t="e">
        <f t="shared" si="21"/>
        <v>#DIV/0!</v>
      </c>
      <c r="AA49" s="115" t="e">
        <f t="shared" ref="AA49:AH49" si="22">100-((AA42+AA43)*100/($I$42+$I$43))</f>
        <v>#DIV/0!</v>
      </c>
      <c r="AB49" s="115" t="e">
        <f t="shared" si="22"/>
        <v>#DIV/0!</v>
      </c>
      <c r="AC49" s="115" t="e">
        <f t="shared" si="22"/>
        <v>#DIV/0!</v>
      </c>
      <c r="AD49" s="115" t="e">
        <f t="shared" si="22"/>
        <v>#DIV/0!</v>
      </c>
      <c r="AE49" s="115" t="e">
        <f t="shared" si="22"/>
        <v>#DIV/0!</v>
      </c>
      <c r="AF49" s="115" t="e">
        <f t="shared" si="22"/>
        <v>#DIV/0!</v>
      </c>
      <c r="AG49" s="115" t="e">
        <f t="shared" si="22"/>
        <v>#DIV/0!</v>
      </c>
      <c r="AH49" s="115" t="e">
        <f t="shared" si="22"/>
        <v>#DIV/0!</v>
      </c>
      <c r="AI49" s="115" t="e">
        <f t="shared" ref="AI49:AK49" si="23">100-((AI42+AI43)*100/($I$42+$I$43))</f>
        <v>#DIV/0!</v>
      </c>
      <c r="AJ49" s="115" t="e">
        <f t="shared" si="23"/>
        <v>#DIV/0!</v>
      </c>
      <c r="AK49" s="115" t="e">
        <f t="shared" si="23"/>
        <v>#DIV/0!</v>
      </c>
    </row>
    <row r="50" spans="4:37" ht="19.5" customHeight="1" x14ac:dyDescent="0.35">
      <c r="D50" s="75" t="s">
        <v>57</v>
      </c>
      <c r="E50" s="2689" t="s">
        <v>58</v>
      </c>
      <c r="F50" s="2680" t="s">
        <v>59</v>
      </c>
      <c r="G50" s="47"/>
      <c r="H50" s="952"/>
      <c r="I50" s="952"/>
      <c r="J50" s="47"/>
      <c r="K50" s="55"/>
      <c r="L50" s="55"/>
      <c r="M50" s="56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200"/>
      <c r="Y50" s="590"/>
      <c r="Z50" s="172"/>
      <c r="AA50" s="172"/>
      <c r="AB50" s="172"/>
      <c r="AC50" s="172"/>
      <c r="AD50" s="172"/>
      <c r="AE50" s="172"/>
      <c r="AF50" s="172"/>
      <c r="AG50" s="172"/>
      <c r="AH50" s="172"/>
      <c r="AI50" s="172"/>
      <c r="AJ50" s="172"/>
      <c r="AK50" s="172"/>
    </row>
    <row r="51" spans="4:37" ht="19.5" customHeight="1" x14ac:dyDescent="0.35">
      <c r="D51" s="83" t="s">
        <v>60</v>
      </c>
      <c r="E51" s="2690"/>
      <c r="F51" s="2681"/>
      <c r="G51" s="961"/>
      <c r="H51" s="960"/>
      <c r="I51" s="961"/>
      <c r="J51" s="84">
        <f>'HPS LTO DAILY '!H10</f>
        <v>153.4</v>
      </c>
      <c r="K51" s="84">
        <f>'HPS LTO DAILY '!I10</f>
        <v>140.19999999999999</v>
      </c>
      <c r="L51" s="84">
        <f>'HPS LTO DAILY '!J10</f>
        <v>158.69999999999999</v>
      </c>
      <c r="M51" s="84">
        <f>'HPS LTO DAILY '!K10</f>
        <v>156</v>
      </c>
      <c r="N51" s="84">
        <f>'HPS LTO DAILY '!L10</f>
        <v>114.8</v>
      </c>
      <c r="O51" s="84">
        <f>'HPS LTO DAILY '!M10</f>
        <v>130.69999999999999</v>
      </c>
      <c r="P51" s="84">
        <v>106</v>
      </c>
      <c r="Q51" s="84">
        <f>'HPS LTO DAILY '!O10</f>
        <v>131.80000000000001</v>
      </c>
      <c r="R51" s="84">
        <f>'HPS LTO DAILY '!P10</f>
        <v>149.30000000000001</v>
      </c>
      <c r="S51" s="84">
        <f>'HPS LTO DAILY '!Q10</f>
        <v>135</v>
      </c>
      <c r="T51" s="84" t="e">
        <f>'HPS LTO DAILY '!#REF!</f>
        <v>#REF!</v>
      </c>
      <c r="U51" s="84">
        <f>'HPS LTO DAILY '!R10</f>
        <v>133.1</v>
      </c>
      <c r="V51" s="84">
        <f>'HPS LTO DAILY '!S10</f>
        <v>136.19999999999999</v>
      </c>
      <c r="W51" s="84">
        <f>'HPS LTO DAILY '!T10</f>
        <v>132.6</v>
      </c>
      <c r="X51" s="84">
        <f>'HPS LTO DAILY '!V10</f>
        <v>0</v>
      </c>
      <c r="Y51" s="582">
        <f>'HPS LTO DAILY '!W10</f>
        <v>0</v>
      </c>
      <c r="Z51" s="84">
        <f>'HPS LTO DAILY '!X10</f>
        <v>0</v>
      </c>
      <c r="AA51" s="84">
        <f>'HPS LTO DAILY '!AG10</f>
        <v>0</v>
      </c>
      <c r="AB51" s="84">
        <f>'HPS LTO DAILY '!AH10</f>
        <v>0</v>
      </c>
      <c r="AC51" s="84">
        <f>'HPS LTO DAILY '!AI10</f>
        <v>0</v>
      </c>
      <c r="AD51" s="84">
        <f>'HPS LTO DAILY '!AJ10</f>
        <v>0</v>
      </c>
      <c r="AE51" s="84">
        <f>'HPS LTO DAILY '!AK10</f>
        <v>4.5</v>
      </c>
      <c r="AF51" s="84">
        <f>'HPS LTO DAILY '!AL10</f>
        <v>105</v>
      </c>
      <c r="AG51" s="84">
        <f>'HPS LTO DAILY '!AM10</f>
        <v>0</v>
      </c>
      <c r="AH51" s="84">
        <f>'HPS LTO DAILY '!AN10</f>
        <v>0</v>
      </c>
      <c r="AI51" s="84">
        <f>'HPS LTO DAILY '!AO10</f>
        <v>0</v>
      </c>
      <c r="AJ51" s="84">
        <f>'HPS LTO DAILY '!AP10</f>
        <v>0</v>
      </c>
      <c r="AK51" s="84">
        <f>'HPS LTO DAILY '!AQ10</f>
        <v>0</v>
      </c>
    </row>
    <row r="52" spans="4:37" ht="19.5" customHeight="1" x14ac:dyDescent="0.35">
      <c r="D52" s="83">
        <v>5</v>
      </c>
      <c r="E52" s="2690"/>
      <c r="F52" s="2681"/>
      <c r="G52" s="961"/>
      <c r="H52" s="960"/>
      <c r="I52" s="961"/>
      <c r="J52" s="84">
        <f>'HPS LTO DAILY '!H15</f>
        <v>301.5</v>
      </c>
      <c r="K52" s="84">
        <f>'HPS LTO DAILY '!I15</f>
        <v>290.8</v>
      </c>
      <c r="L52" s="84">
        <f>'HPS LTO DAILY '!J15</f>
        <v>295.8</v>
      </c>
      <c r="M52" s="84">
        <f>'HPS LTO DAILY '!K15</f>
        <v>283.3</v>
      </c>
      <c r="N52" s="84">
        <f>'HPS LTO DAILY '!L15</f>
        <v>209.6</v>
      </c>
      <c r="O52" s="84">
        <f>'HPS LTO DAILY '!M15</f>
        <v>208.3</v>
      </c>
      <c r="P52" s="84">
        <v>211.5</v>
      </c>
      <c r="Q52" s="84">
        <f>'HPS LTO DAILY '!O15</f>
        <v>212.7</v>
      </c>
      <c r="R52" s="84">
        <f>'HPS LTO DAILY '!P15</f>
        <v>223.4</v>
      </c>
      <c r="S52" s="84">
        <f>'HPS LTO DAILY '!Q15</f>
        <v>217.4</v>
      </c>
      <c r="T52" s="84" t="e">
        <f>'HPS LTO DAILY '!#REF!</f>
        <v>#REF!</v>
      </c>
      <c r="U52" s="84">
        <f>'HPS LTO DAILY '!R15</f>
        <v>216.9</v>
      </c>
      <c r="V52" s="84">
        <f>'HPS LTO DAILY '!S15</f>
        <v>218.6</v>
      </c>
      <c r="W52" s="84">
        <f>'HPS LTO DAILY '!T15</f>
        <v>218.2</v>
      </c>
      <c r="X52" s="84">
        <f>'HPS LTO DAILY '!V15</f>
        <v>0</v>
      </c>
      <c r="Y52" s="582">
        <f>'HPS LTO DAILY '!W15</f>
        <v>0</v>
      </c>
      <c r="Z52" s="84">
        <f>'HPS LTO DAILY '!X15</f>
        <v>0</v>
      </c>
      <c r="AA52" s="84">
        <f>'HPS LTO DAILY '!AG15</f>
        <v>0</v>
      </c>
      <c r="AB52" s="84">
        <f>'HPS LTO DAILY '!AH15</f>
        <v>0</v>
      </c>
      <c r="AC52" s="84">
        <f>'HPS LTO DAILY '!AI15</f>
        <v>0</v>
      </c>
      <c r="AD52" s="84">
        <f>'HPS LTO DAILY '!AJ15</f>
        <v>16</v>
      </c>
      <c r="AE52" s="84">
        <f>'HPS LTO DAILY '!AK15</f>
        <v>0</v>
      </c>
      <c r="AF52" s="84">
        <f>'HPS LTO DAILY '!AL15</f>
        <v>0</v>
      </c>
      <c r="AG52" s="84">
        <f>'HPS LTO DAILY '!AM15</f>
        <v>0</v>
      </c>
      <c r="AH52" s="84">
        <f>'HPS LTO DAILY '!AN15</f>
        <v>0</v>
      </c>
      <c r="AI52" s="84">
        <f>'HPS LTO DAILY '!AO15</f>
        <v>0</v>
      </c>
      <c r="AJ52" s="84">
        <f>'HPS LTO DAILY '!AP15</f>
        <v>0</v>
      </c>
      <c r="AK52" s="84">
        <f>'HPS LTO DAILY '!AQ15</f>
        <v>0</v>
      </c>
    </row>
    <row r="53" spans="4:37" ht="19.5" customHeight="1" x14ac:dyDescent="0.35">
      <c r="D53" s="83">
        <v>10</v>
      </c>
      <c r="E53" s="2690"/>
      <c r="F53" s="2681"/>
      <c r="G53" s="961"/>
      <c r="H53" s="960"/>
      <c r="I53" s="961"/>
      <c r="J53" s="84">
        <f>'HPS LTO DAILY '!H20</f>
        <v>367.4</v>
      </c>
      <c r="K53" s="84">
        <f>'HPS LTO DAILY '!I20</f>
        <v>359.3</v>
      </c>
      <c r="L53" s="84">
        <f>'HPS LTO DAILY '!J20</f>
        <v>365.9</v>
      </c>
      <c r="M53" s="84">
        <f>'HPS LTO DAILY '!K20</f>
        <v>352.6</v>
      </c>
      <c r="N53" s="84">
        <f>'HPS LTO DAILY '!L20</f>
        <v>252.5</v>
      </c>
      <c r="O53" s="84">
        <f>'HPS LTO DAILY '!M20</f>
        <v>249.7</v>
      </c>
      <c r="P53" s="84">
        <v>262.60000000000002</v>
      </c>
      <c r="Q53" s="84">
        <f>'HPS LTO DAILY '!O20</f>
        <v>255.4</v>
      </c>
      <c r="R53" s="84">
        <f>'HPS LTO DAILY '!P20</f>
        <v>266.3</v>
      </c>
      <c r="S53" s="84">
        <f>'HPS LTO DAILY '!Q20</f>
        <v>260.10000000000002</v>
      </c>
      <c r="T53" s="84" t="e">
        <f>'HPS LTO DAILY '!#REF!</f>
        <v>#REF!</v>
      </c>
      <c r="U53" s="84">
        <f>'HPS LTO DAILY '!R20</f>
        <v>259.2</v>
      </c>
      <c r="V53" s="84">
        <f>'HPS LTO DAILY '!S20</f>
        <v>261.2</v>
      </c>
      <c r="W53" s="84">
        <f>'HPS LTO DAILY '!T20</f>
        <v>258.8</v>
      </c>
      <c r="X53" s="84">
        <f>'HPS LTO DAILY '!V20</f>
        <v>0</v>
      </c>
      <c r="Y53" s="582">
        <f>'HPS LTO DAILY '!W20</f>
        <v>0</v>
      </c>
      <c r="Z53" s="84">
        <f>'HPS LTO DAILY '!X20</f>
        <v>0</v>
      </c>
      <c r="AA53" s="84">
        <f>'HPS LTO DAILY '!AG20</f>
        <v>0</v>
      </c>
      <c r="AB53" s="84">
        <f>'HPS LTO DAILY '!AH20</f>
        <v>0</v>
      </c>
      <c r="AC53" s="84">
        <f>'HPS LTO DAILY '!AI20</f>
        <v>0</v>
      </c>
      <c r="AD53" s="84">
        <f>'HPS LTO DAILY '!AJ20</f>
        <v>15.7</v>
      </c>
      <c r="AE53" s="84">
        <f>'HPS LTO DAILY '!AK20</f>
        <v>0</v>
      </c>
      <c r="AF53" s="84">
        <f>'HPS LTO DAILY '!AL20</f>
        <v>0</v>
      </c>
      <c r="AG53" s="84">
        <f>'HPS LTO DAILY '!AM20</f>
        <v>0</v>
      </c>
      <c r="AH53" s="84">
        <f>'HPS LTO DAILY '!AN20</f>
        <v>0</v>
      </c>
      <c r="AI53" s="84">
        <f>'HPS LTO DAILY '!AO20</f>
        <v>0</v>
      </c>
      <c r="AJ53" s="84">
        <f>'HPS LTO DAILY '!AP20</f>
        <v>0</v>
      </c>
      <c r="AK53" s="84">
        <f>'HPS LTO DAILY '!AQ20</f>
        <v>0</v>
      </c>
    </row>
    <row r="54" spans="4:37" ht="19.5" customHeight="1" x14ac:dyDescent="0.35">
      <c r="D54" s="83">
        <v>15</v>
      </c>
      <c r="E54" s="2690"/>
      <c r="F54" s="2681"/>
      <c r="G54" s="961"/>
      <c r="H54" s="960"/>
      <c r="I54" s="961"/>
      <c r="J54" s="84">
        <f>'HPS LTO DAILY '!H25</f>
        <v>407.7</v>
      </c>
      <c r="K54" s="84">
        <f>'HPS LTO DAILY '!I25</f>
        <v>403</v>
      </c>
      <c r="L54" s="84">
        <f>'HPS LTO DAILY '!J25</f>
        <v>411.9</v>
      </c>
      <c r="M54" s="84">
        <f>'HPS LTO DAILY '!K25</f>
        <v>398.3</v>
      </c>
      <c r="N54" s="84">
        <f>'HPS LTO DAILY '!L25</f>
        <v>289.89999999999998</v>
      </c>
      <c r="O54" s="84">
        <f>'HPS LTO DAILY '!M25</f>
        <v>284.8</v>
      </c>
      <c r="P54" s="84">
        <v>305</v>
      </c>
      <c r="Q54" s="84">
        <f>'HPS LTO DAILY '!O25</f>
        <v>291.60000000000002</v>
      </c>
      <c r="R54" s="84">
        <f>'HPS LTO DAILY '!P25</f>
        <v>301.60000000000002</v>
      </c>
      <c r="S54" s="84">
        <f>'HPS LTO DAILY '!Q25</f>
        <v>297.60000000000002</v>
      </c>
      <c r="T54" s="84" t="e">
        <f>'HPS LTO DAILY '!#REF!</f>
        <v>#REF!</v>
      </c>
      <c r="U54" s="84">
        <f>'HPS LTO DAILY '!R25</f>
        <v>294.8</v>
      </c>
      <c r="V54" s="84">
        <f>'HPS LTO DAILY '!S25</f>
        <v>297.3</v>
      </c>
      <c r="W54" s="84">
        <f>'HPS LTO DAILY '!T25</f>
        <v>291.5</v>
      </c>
      <c r="X54" s="84">
        <f>'HPS LTO DAILY '!V25</f>
        <v>0</v>
      </c>
      <c r="Y54" s="582">
        <f>'HPS LTO DAILY '!W25</f>
        <v>0</v>
      </c>
      <c r="Z54" s="84">
        <f>'HPS LTO DAILY '!X25</f>
        <v>0</v>
      </c>
      <c r="AA54" s="84">
        <f>'HPS LTO DAILY '!AG25</f>
        <v>0</v>
      </c>
      <c r="AB54" s="84">
        <f>'HPS LTO DAILY '!AH25</f>
        <v>0</v>
      </c>
      <c r="AC54" s="84">
        <f>'HPS LTO DAILY '!AI25</f>
        <v>0</v>
      </c>
      <c r="AD54" s="84">
        <f>'HPS LTO DAILY '!AJ25</f>
        <v>15</v>
      </c>
      <c r="AE54" s="84">
        <f>'HPS LTO DAILY '!AK25</f>
        <v>0</v>
      </c>
      <c r="AF54" s="84">
        <f>'HPS LTO DAILY '!AL25</f>
        <v>0</v>
      </c>
      <c r="AG54" s="84">
        <f>'HPS LTO DAILY '!AM25</f>
        <v>0</v>
      </c>
      <c r="AH54" s="84">
        <f>'HPS LTO DAILY '!AN25</f>
        <v>0</v>
      </c>
      <c r="AI54" s="84">
        <f>'HPS LTO DAILY '!AO25</f>
        <v>0</v>
      </c>
      <c r="AJ54" s="84">
        <f>'HPS LTO DAILY '!AP25</f>
        <v>0</v>
      </c>
      <c r="AK54" s="84">
        <f>'HPS LTO DAILY '!AQ25</f>
        <v>0</v>
      </c>
    </row>
    <row r="55" spans="4:37" ht="19.5" customHeight="1" x14ac:dyDescent="0.35">
      <c r="D55" s="83">
        <v>20</v>
      </c>
      <c r="E55" s="2690"/>
      <c r="F55" s="2681"/>
      <c r="G55" s="961"/>
      <c r="H55" s="960"/>
      <c r="I55" s="961"/>
      <c r="J55" s="84">
        <f>'HPS LTO DAILY '!H30</f>
        <v>440.4</v>
      </c>
      <c r="K55" s="84">
        <f>'HPS LTO DAILY '!I30</f>
        <v>438.9</v>
      </c>
      <c r="L55" s="84">
        <f>'HPS LTO DAILY '!J30</f>
        <v>449.8</v>
      </c>
      <c r="M55" s="84">
        <f>'HPS LTO DAILY '!K30</f>
        <v>436.5</v>
      </c>
      <c r="N55" s="84">
        <f>'HPS LTO DAILY '!L30</f>
        <v>322.3</v>
      </c>
      <c r="O55" s="84">
        <f>'HPS LTO DAILY '!M30</f>
        <v>314.39999999999998</v>
      </c>
      <c r="P55" s="84">
        <v>341</v>
      </c>
      <c r="Q55" s="84">
        <f>'HPS LTO DAILY '!O30</f>
        <v>322.39999999999998</v>
      </c>
      <c r="R55" s="84">
        <f>'HPS LTO DAILY '!P30</f>
        <v>332</v>
      </c>
      <c r="S55" s="84">
        <f>'HPS LTO DAILY '!Q30</f>
        <v>328.4</v>
      </c>
      <c r="T55" s="84" t="e">
        <f>'HPS LTO DAILY '!#REF!</f>
        <v>#REF!</v>
      </c>
      <c r="U55" s="84">
        <f>'HPS LTO DAILY '!R30</f>
        <v>325.8</v>
      </c>
      <c r="V55" s="84">
        <f>'HPS LTO DAILY '!S30</f>
        <v>327.3</v>
      </c>
      <c r="W55" s="84">
        <f>'HPS LTO DAILY '!T30</f>
        <v>322.10000000000002</v>
      </c>
      <c r="X55" s="84">
        <f>'HPS LTO DAILY '!V30</f>
        <v>0</v>
      </c>
      <c r="Y55" s="582">
        <f>'HPS LTO DAILY '!W30</f>
        <v>0</v>
      </c>
      <c r="Z55" s="84">
        <f>'HPS LTO DAILY '!X30</f>
        <v>0</v>
      </c>
      <c r="AA55" s="84">
        <f>'HPS LTO DAILY '!AG30</f>
        <v>0</v>
      </c>
      <c r="AB55" s="84">
        <f>'HPS LTO DAILY '!AH30</f>
        <v>0</v>
      </c>
      <c r="AC55" s="84">
        <f>'HPS LTO DAILY '!AI30</f>
        <v>0</v>
      </c>
      <c r="AD55" s="84">
        <f>'HPS LTO DAILY '!AJ30</f>
        <v>0</v>
      </c>
      <c r="AE55" s="84">
        <f>'HPS LTO DAILY '!AK30</f>
        <v>0</v>
      </c>
      <c r="AF55" s="84">
        <f>'HPS LTO DAILY '!AL30</f>
        <v>0</v>
      </c>
      <c r="AG55" s="84">
        <f>'HPS LTO DAILY '!AM30</f>
        <v>0</v>
      </c>
      <c r="AH55" s="84">
        <f>'HPS LTO DAILY '!AN30</f>
        <v>0</v>
      </c>
      <c r="AI55" s="84">
        <f>'HPS LTO DAILY '!AO30</f>
        <v>0</v>
      </c>
      <c r="AJ55" s="84">
        <f>'HPS LTO DAILY '!AP30</f>
        <v>0</v>
      </c>
      <c r="AK55" s="84">
        <f>'HPS LTO DAILY '!AQ30</f>
        <v>0</v>
      </c>
    </row>
    <row r="56" spans="4:37" ht="19.5" customHeight="1" x14ac:dyDescent="0.35">
      <c r="D56" s="83">
        <v>30</v>
      </c>
      <c r="E56" s="2690"/>
      <c r="F56" s="2681"/>
      <c r="G56" s="961"/>
      <c r="H56" s="960"/>
      <c r="I56" s="961"/>
      <c r="J56" s="84">
        <f>'HPS LTO DAILY '!H40</f>
        <v>499.9</v>
      </c>
      <c r="K56" s="84">
        <f>'HPS LTO DAILY '!I40</f>
        <v>500.9</v>
      </c>
      <c r="L56" s="84">
        <f>'HPS LTO DAILY '!J40</f>
        <v>512.29999999999995</v>
      </c>
      <c r="M56" s="84">
        <f>'HPS LTO DAILY '!K40</f>
        <v>499.3</v>
      </c>
      <c r="N56" s="84">
        <f>'HPS LTO DAILY '!L40</f>
        <v>377.2</v>
      </c>
      <c r="O56" s="84">
        <f>'HPS LTO DAILY '!M40</f>
        <v>363.5</v>
      </c>
      <c r="P56" s="84">
        <v>402.8</v>
      </c>
      <c r="Q56" s="84">
        <f>'HPS LTO DAILY '!O40</f>
        <v>371.7</v>
      </c>
      <c r="R56" s="84">
        <f>'HPS LTO DAILY '!P40</f>
        <v>381.4</v>
      </c>
      <c r="S56" s="84">
        <f>'HPS LTO DAILY '!Q40</f>
        <v>379.5</v>
      </c>
      <c r="T56" s="84">
        <f>'HPS LTO DAILY '!R40</f>
        <v>375.6</v>
      </c>
      <c r="U56" s="84">
        <f>'HPS LTO DAILY '!S40</f>
        <v>376.2</v>
      </c>
      <c r="V56" s="84">
        <f>'HPS LTO DAILY '!T40</f>
        <v>374.9</v>
      </c>
      <c r="W56" s="84">
        <f>'HPS LTO DAILY '!U40</f>
        <v>0</v>
      </c>
      <c r="X56" s="84">
        <f>'HPS LTO DAILY '!V40</f>
        <v>0</v>
      </c>
      <c r="Y56" s="582">
        <f>'HPS LTO DAILY '!W40</f>
        <v>0</v>
      </c>
      <c r="Z56" s="84">
        <f>'HPS LTO DAILY '!X40</f>
        <v>0</v>
      </c>
      <c r="AA56" s="84">
        <f>'HPS LTO DAILY '!AG40</f>
        <v>0</v>
      </c>
      <c r="AB56" s="84">
        <f>'HPS LTO DAILY '!AH40</f>
        <v>0</v>
      </c>
      <c r="AC56" s="84">
        <f>'HPS LTO DAILY '!AI40</f>
        <v>0</v>
      </c>
      <c r="AD56" s="84">
        <f>'HPS LTO DAILY '!AJ40</f>
        <v>0</v>
      </c>
      <c r="AE56" s="84">
        <f>'HPS LTO DAILY '!AK40</f>
        <v>0</v>
      </c>
      <c r="AF56" s="84">
        <f>'HPS LTO DAILY '!AL40</f>
        <v>0</v>
      </c>
      <c r="AG56" s="84">
        <f>'HPS LTO DAILY '!AM40</f>
        <v>0</v>
      </c>
      <c r="AH56" s="84">
        <f>'HPS LTO DAILY '!AN40</f>
        <v>0</v>
      </c>
      <c r="AI56" s="84">
        <f>'HPS LTO DAILY '!AO40</f>
        <v>0</v>
      </c>
      <c r="AJ56" s="84">
        <f>'HPS LTO DAILY '!AP40</f>
        <v>0</v>
      </c>
      <c r="AK56" s="84">
        <f>'HPS LTO DAILY '!AQ40</f>
        <v>0</v>
      </c>
    </row>
    <row r="57" spans="4:37" ht="19.5" customHeight="1" x14ac:dyDescent="0.35">
      <c r="D57" s="83">
        <v>40</v>
      </c>
      <c r="E57" s="2690"/>
      <c r="F57" s="2681"/>
      <c r="G57" s="961"/>
      <c r="H57" s="960"/>
      <c r="I57" s="961"/>
      <c r="J57" s="84">
        <f>'HPS LTO DAILY '!H50</f>
        <v>545.79999999999995</v>
      </c>
      <c r="K57" s="84">
        <f>'HPS LTO DAILY '!I50</f>
        <v>546.20000000000005</v>
      </c>
      <c r="L57" s="84">
        <f>'HPS LTO DAILY '!J50</f>
        <v>555.4</v>
      </c>
      <c r="M57" s="84">
        <f>'HPS LTO DAILY '!K50</f>
        <v>542.29999999999995</v>
      </c>
      <c r="N57" s="84">
        <f>'HPS LTO DAILY '!L50</f>
        <v>425.8</v>
      </c>
      <c r="O57" s="84">
        <f>'HPS LTO DAILY '!M50</f>
        <v>408.4</v>
      </c>
      <c r="P57" s="84">
        <v>457.1</v>
      </c>
      <c r="Q57" s="84">
        <f>'HPS LTO DAILY '!O50</f>
        <v>418.4</v>
      </c>
      <c r="R57" s="84">
        <f>'HPS LTO DAILY '!P50</f>
        <v>427.9</v>
      </c>
      <c r="S57" s="84">
        <f>'HPS LTO DAILY '!Q50</f>
        <v>427.3</v>
      </c>
      <c r="T57" s="84">
        <f>'HPS LTO DAILY '!R50</f>
        <v>422.4</v>
      </c>
      <c r="U57" s="84">
        <f>'HPS LTO DAILY '!S50</f>
        <v>422.4</v>
      </c>
      <c r="V57" s="84">
        <f>'HPS LTO DAILY '!T50</f>
        <v>418.9</v>
      </c>
      <c r="W57" s="84">
        <f>'HPS LTO DAILY '!U50</f>
        <v>0</v>
      </c>
      <c r="X57" s="84">
        <f>'HPS LTO DAILY '!V50</f>
        <v>0</v>
      </c>
      <c r="Y57" s="582">
        <f>'HPS LTO DAILY '!W50</f>
        <v>0</v>
      </c>
      <c r="Z57" s="84">
        <f>'HPS LTO DAILY '!X50</f>
        <v>0</v>
      </c>
      <c r="AA57" s="84">
        <f>'HPS LTO DAILY '!AG50</f>
        <v>0</v>
      </c>
      <c r="AB57" s="84">
        <f>'HPS LTO DAILY '!AH50</f>
        <v>0</v>
      </c>
      <c r="AC57" s="84">
        <f>'HPS LTO DAILY '!AI50</f>
        <v>0</v>
      </c>
      <c r="AD57" s="84">
        <f>'HPS LTO DAILY '!AJ50</f>
        <v>0</v>
      </c>
      <c r="AE57" s="84">
        <f>'HPS LTO DAILY '!AK50</f>
        <v>0</v>
      </c>
      <c r="AF57" s="84">
        <f>'HPS LTO DAILY '!AL50</f>
        <v>0</v>
      </c>
      <c r="AG57" s="84">
        <f>'HPS LTO DAILY '!AM50</f>
        <v>0</v>
      </c>
      <c r="AH57" s="84">
        <f>'HPS LTO DAILY '!AN50</f>
        <v>0</v>
      </c>
      <c r="AI57" s="84">
        <f>'HPS LTO DAILY '!AO50</f>
        <v>0</v>
      </c>
      <c r="AJ57" s="84">
        <f>'HPS LTO DAILY '!AP50</f>
        <v>0</v>
      </c>
      <c r="AK57" s="84">
        <f>'HPS LTO DAILY '!AQ50</f>
        <v>0</v>
      </c>
    </row>
    <row r="58" spans="4:37" ht="19.5" customHeight="1" x14ac:dyDescent="0.35">
      <c r="D58" s="83">
        <v>50</v>
      </c>
      <c r="E58" s="2690"/>
      <c r="F58" s="2681"/>
      <c r="G58" s="961"/>
      <c r="H58" s="960"/>
      <c r="I58" s="961"/>
      <c r="J58" s="84">
        <f>'HPS LTO DAILY '!H60</f>
        <v>581.4</v>
      </c>
      <c r="K58" s="84">
        <f>'HPS LTO DAILY '!I60</f>
        <v>581</v>
      </c>
      <c r="L58" s="84">
        <f>'HPS LTO DAILY '!J60</f>
        <v>587.4</v>
      </c>
      <c r="M58" s="84">
        <f>'HPS LTO DAILY '!K60</f>
        <v>574.1</v>
      </c>
      <c r="N58" s="84">
        <f>'HPS LTO DAILY '!L60</f>
        <v>474.3</v>
      </c>
      <c r="O58" s="84">
        <f>'HPS LTO DAILY '!M60</f>
        <v>451.5</v>
      </c>
      <c r="P58" s="84">
        <v>507.9</v>
      </c>
      <c r="Q58" s="84">
        <f>'HPS LTO DAILY '!O60</f>
        <v>462.9</v>
      </c>
      <c r="R58" s="84">
        <f>'HPS LTO DAILY '!P60</f>
        <v>472.7</v>
      </c>
      <c r="S58" s="84">
        <f>'HPS LTO DAILY '!Q60</f>
        <v>472.8</v>
      </c>
      <c r="T58" s="84">
        <f>'HPS LTO DAILY '!R60</f>
        <v>467.6</v>
      </c>
      <c r="U58" s="84">
        <f>'HPS LTO DAILY '!S60</f>
        <v>467</v>
      </c>
      <c r="V58" s="84">
        <f>'HPS LTO DAILY '!T60</f>
        <v>463.2</v>
      </c>
      <c r="W58" s="84">
        <f>'HPS LTO DAILY '!U60</f>
        <v>0</v>
      </c>
      <c r="X58" s="84">
        <f>'HPS LTO DAILY '!V60</f>
        <v>0</v>
      </c>
      <c r="Y58" s="582">
        <f>'HPS LTO DAILY '!W60</f>
        <v>0</v>
      </c>
      <c r="Z58" s="84">
        <f>'HPS LTO DAILY '!X60</f>
        <v>0</v>
      </c>
      <c r="AA58" s="84">
        <f>'HPS LTO DAILY '!AG60</f>
        <v>0</v>
      </c>
      <c r="AB58" s="84">
        <f>'HPS LTO DAILY '!AH60</f>
        <v>0</v>
      </c>
      <c r="AC58" s="84">
        <f>'HPS LTO DAILY '!AI60</f>
        <v>0</v>
      </c>
      <c r="AD58" s="84">
        <f>'HPS LTO DAILY '!AJ60</f>
        <v>0</v>
      </c>
      <c r="AE58" s="84">
        <f>'HPS LTO DAILY '!AK60</f>
        <v>0</v>
      </c>
      <c r="AF58" s="84">
        <f>'HPS LTO DAILY '!AL60</f>
        <v>0</v>
      </c>
      <c r="AG58" s="84">
        <f>'HPS LTO DAILY '!AM60</f>
        <v>0</v>
      </c>
      <c r="AH58" s="84">
        <f>'HPS LTO DAILY '!AN60</f>
        <v>0</v>
      </c>
      <c r="AI58" s="84">
        <f>'HPS LTO DAILY '!AO60</f>
        <v>0</v>
      </c>
      <c r="AJ58" s="84">
        <f>'HPS LTO DAILY '!AP60</f>
        <v>0</v>
      </c>
      <c r="AK58" s="84">
        <f>'HPS LTO DAILY '!AQ60</f>
        <v>0</v>
      </c>
    </row>
    <row r="59" spans="4:37" ht="19.5" customHeight="1" x14ac:dyDescent="0.35">
      <c r="D59" s="83">
        <v>60</v>
      </c>
      <c r="E59" s="2690"/>
      <c r="F59" s="2681"/>
      <c r="G59" s="961"/>
      <c r="H59" s="960"/>
      <c r="I59" s="961"/>
      <c r="J59" s="84">
        <f>'HPS LTO DAILY '!H70</f>
        <v>615.9</v>
      </c>
      <c r="K59" s="84">
        <f>'HPS LTO DAILY '!I70</f>
        <v>613.70000000000005</v>
      </c>
      <c r="L59" s="84">
        <f>'HPS LTO DAILY '!J70</f>
        <v>620.79999999999995</v>
      </c>
      <c r="M59" s="84">
        <f>'HPS LTO DAILY '!K70</f>
        <v>602.70000000000005</v>
      </c>
      <c r="N59" s="84">
        <f>'HPS LTO DAILY '!L70</f>
        <v>522.9</v>
      </c>
      <c r="O59" s="84">
        <f>'HPS LTO DAILY '!M70</f>
        <v>495.5</v>
      </c>
      <c r="P59" s="84">
        <v>551.70000000000005</v>
      </c>
      <c r="Q59" s="84">
        <f>'HPS LTO DAILY '!O70</f>
        <v>507.4</v>
      </c>
      <c r="R59" s="84">
        <f>'HPS LTO DAILY '!P70</f>
        <v>517</v>
      </c>
      <c r="S59" s="84">
        <f>'HPS LTO DAILY '!Q70</f>
        <v>517.9</v>
      </c>
      <c r="T59" s="84">
        <f>'HPS LTO DAILY '!R70</f>
        <v>512.6</v>
      </c>
      <c r="U59" s="84">
        <f>'HPS LTO DAILY '!S70</f>
        <v>511.3</v>
      </c>
      <c r="V59" s="84">
        <f>'HPS LTO DAILY '!T70</f>
        <v>508</v>
      </c>
      <c r="W59" s="84">
        <f>'HPS LTO DAILY '!U70</f>
        <v>0</v>
      </c>
      <c r="X59" s="84">
        <f>'HPS LTO DAILY '!V70</f>
        <v>0</v>
      </c>
      <c r="Y59" s="582">
        <f>'HPS LTO DAILY '!W70</f>
        <v>0</v>
      </c>
      <c r="Z59" s="84">
        <f>'HPS LTO DAILY '!X70</f>
        <v>0</v>
      </c>
      <c r="AA59" s="84">
        <f>'HPS LTO DAILY '!AG70</f>
        <v>0</v>
      </c>
      <c r="AB59" s="84">
        <f>'HPS LTO DAILY '!AH70</f>
        <v>0</v>
      </c>
      <c r="AC59" s="84">
        <f>'HPS LTO DAILY '!AI70</f>
        <v>0</v>
      </c>
      <c r="AD59" s="84">
        <f>'HPS LTO DAILY '!AJ70</f>
        <v>0</v>
      </c>
      <c r="AE59" s="84">
        <f>'HPS LTO DAILY '!AK70</f>
        <v>0</v>
      </c>
      <c r="AF59" s="84">
        <f>'HPS LTO DAILY '!AL70</f>
        <v>0</v>
      </c>
      <c r="AG59" s="84">
        <f>'HPS LTO DAILY '!AM70</f>
        <v>0</v>
      </c>
      <c r="AH59" s="84">
        <f>'HPS LTO DAILY '!AN70</f>
        <v>0</v>
      </c>
      <c r="AI59" s="84">
        <f>'HPS LTO DAILY '!AO70</f>
        <v>0</v>
      </c>
      <c r="AJ59" s="84">
        <f>'HPS LTO DAILY '!AP70</f>
        <v>0</v>
      </c>
      <c r="AK59" s="84">
        <f>'HPS LTO DAILY '!AQ70</f>
        <v>0</v>
      </c>
    </row>
    <row r="60" spans="4:37" ht="19.5" customHeight="1" x14ac:dyDescent="0.35">
      <c r="D60" s="83">
        <v>70</v>
      </c>
      <c r="E60" s="2690"/>
      <c r="F60" s="2681"/>
      <c r="G60" s="952"/>
      <c r="H60" s="960"/>
      <c r="I60" s="952"/>
      <c r="J60" s="60">
        <f>'HPS LTO DAILY '!H80</f>
        <v>658.9</v>
      </c>
      <c r="K60" s="60">
        <f>'HPS LTO DAILY '!I80</f>
        <v>653.29999999999995</v>
      </c>
      <c r="L60" s="60">
        <f>'HPS LTO DAILY '!J80</f>
        <v>663.1</v>
      </c>
      <c r="M60" s="60">
        <f>'HPS LTO DAILY '!K80</f>
        <v>635.79999999999995</v>
      </c>
      <c r="N60" s="60">
        <f>'HPS LTO DAILY '!L80</f>
        <v>570.6</v>
      </c>
      <c r="O60" s="60">
        <f>'HPS LTO DAILY '!M80</f>
        <v>538.1</v>
      </c>
      <c r="P60" s="60">
        <v>586.9</v>
      </c>
      <c r="Q60" s="60">
        <f>'HPS LTO DAILY '!O80</f>
        <v>549.9</v>
      </c>
      <c r="R60" s="60">
        <f>'HPS LTO DAILY '!P80</f>
        <v>560.29999999999995</v>
      </c>
      <c r="S60" s="60">
        <f>'HPS LTO DAILY '!Q80</f>
        <v>561.6</v>
      </c>
      <c r="T60" s="60">
        <f>'HPS LTO DAILY '!R80</f>
        <v>556.29999999999995</v>
      </c>
      <c r="U60" s="60">
        <f>'HPS LTO DAILY '!S80</f>
        <v>554.20000000000005</v>
      </c>
      <c r="V60" s="60">
        <f>'HPS LTO DAILY '!T80</f>
        <v>550.20000000000005</v>
      </c>
      <c r="W60" s="60">
        <f>'HPS LTO DAILY '!U80</f>
        <v>0</v>
      </c>
      <c r="X60" s="60">
        <f>'HPS LTO DAILY '!V80</f>
        <v>0</v>
      </c>
      <c r="Y60" s="583">
        <f>'HPS LTO DAILY '!W80</f>
        <v>0</v>
      </c>
      <c r="Z60" s="60">
        <f>'HPS LTO DAILY '!X80</f>
        <v>0</v>
      </c>
      <c r="AA60" s="60">
        <f>'HPS LTO DAILY '!AG80</f>
        <v>0</v>
      </c>
      <c r="AB60" s="60">
        <f>'HPS LTO DAILY '!AH80</f>
        <v>0</v>
      </c>
      <c r="AC60" s="60">
        <f>'HPS LTO DAILY '!AI80</f>
        <v>0</v>
      </c>
      <c r="AD60" s="60">
        <f>'HPS LTO DAILY '!AJ80</f>
        <v>0</v>
      </c>
      <c r="AE60" s="60">
        <f>'HPS LTO DAILY '!AK80</f>
        <v>0</v>
      </c>
      <c r="AF60" s="60">
        <f>'HPS LTO DAILY '!AL80</f>
        <v>0</v>
      </c>
      <c r="AG60" s="60">
        <f>'HPS LTO DAILY '!AM80</f>
        <v>0</v>
      </c>
      <c r="AH60" s="60">
        <f>'HPS LTO DAILY '!AN80</f>
        <v>0</v>
      </c>
      <c r="AI60" s="60">
        <f>'HPS LTO DAILY '!AO80</f>
        <v>0</v>
      </c>
      <c r="AJ60" s="60">
        <f>'HPS LTO DAILY '!AP80</f>
        <v>0</v>
      </c>
      <c r="AK60" s="60">
        <f>'HPS LTO DAILY '!AQ80</f>
        <v>0</v>
      </c>
    </row>
    <row r="61" spans="4:37" ht="19.5" customHeight="1" x14ac:dyDescent="0.35">
      <c r="D61" s="83">
        <v>80</v>
      </c>
      <c r="E61" s="2690"/>
      <c r="F61" s="2681"/>
      <c r="G61" s="952"/>
      <c r="H61" s="960"/>
      <c r="I61" s="952"/>
      <c r="J61" s="60" t="str">
        <f>'HPS LTO DAILY '!H90</f>
        <v>-</v>
      </c>
      <c r="K61" s="60" t="str">
        <f>'HPS LTO DAILY '!I90</f>
        <v>-</v>
      </c>
      <c r="L61" s="60" t="str">
        <f>'HPS LTO DAILY '!J90</f>
        <v>-</v>
      </c>
      <c r="M61" s="60">
        <f>'HPS LTO DAILY '!K90</f>
        <v>693.6</v>
      </c>
      <c r="N61" s="60">
        <f>'HPS LTO DAILY '!L90</f>
        <v>627.20000000000005</v>
      </c>
      <c r="O61" s="60">
        <f>'HPS LTO DAILY '!M90</f>
        <v>580</v>
      </c>
      <c r="P61" s="60">
        <v>626.1</v>
      </c>
      <c r="Q61" s="60">
        <f>'HPS LTO DAILY '!O90</f>
        <v>592.9</v>
      </c>
      <c r="R61" s="60">
        <f>'HPS LTO DAILY '!P90</f>
        <v>603.9</v>
      </c>
      <c r="S61" s="60">
        <f>'HPS LTO DAILY '!Q90</f>
        <v>606.29999999999995</v>
      </c>
      <c r="T61" s="60">
        <f>'HPS LTO DAILY '!R90</f>
        <v>599.9</v>
      </c>
      <c r="U61" s="60">
        <f>'HPS LTO DAILY '!S90</f>
        <v>597.6</v>
      </c>
      <c r="V61" s="60">
        <f>'HPS LTO DAILY '!T90</f>
        <v>593.4</v>
      </c>
      <c r="W61" s="60">
        <f>'HPS LTO DAILY '!U90</f>
        <v>0</v>
      </c>
      <c r="X61" s="60">
        <f>'HPS LTO DAILY '!V90</f>
        <v>0</v>
      </c>
      <c r="Y61" s="583">
        <f>'HPS LTO DAILY '!W90</f>
        <v>0</v>
      </c>
      <c r="Z61" s="60">
        <f>'HPS LTO DAILY '!X90</f>
        <v>0</v>
      </c>
      <c r="AA61" s="60">
        <f>'HPS LTO DAILY '!AG90</f>
        <v>0</v>
      </c>
      <c r="AB61" s="60">
        <f>'HPS LTO DAILY '!AH90</f>
        <v>0</v>
      </c>
      <c r="AC61" s="60">
        <f>'HPS LTO DAILY '!AI90</f>
        <v>0</v>
      </c>
      <c r="AD61" s="60">
        <f>'HPS LTO DAILY '!AJ90</f>
        <v>0</v>
      </c>
      <c r="AE61" s="60">
        <f>'HPS LTO DAILY '!AK90</f>
        <v>0</v>
      </c>
      <c r="AF61" s="60">
        <f>'HPS LTO DAILY '!AL90</f>
        <v>0</v>
      </c>
      <c r="AG61" s="60">
        <f>'HPS LTO DAILY '!AM90</f>
        <v>0</v>
      </c>
      <c r="AH61" s="60">
        <f>'HPS LTO DAILY '!AN90</f>
        <v>0</v>
      </c>
      <c r="AI61" s="60">
        <f>'HPS LTO DAILY '!AO90</f>
        <v>0</v>
      </c>
      <c r="AJ61" s="60">
        <f>'HPS LTO DAILY '!AP90</f>
        <v>0</v>
      </c>
      <c r="AK61" s="60">
        <f>'HPS LTO DAILY '!AQ90</f>
        <v>0</v>
      </c>
    </row>
    <row r="62" spans="4:37" ht="19.5" customHeight="1" x14ac:dyDescent="0.35">
      <c r="D62" s="83">
        <v>90</v>
      </c>
      <c r="E62" s="2690"/>
      <c r="F62" s="2681"/>
      <c r="G62" s="952"/>
      <c r="H62" s="960"/>
      <c r="I62" s="952"/>
      <c r="J62" s="60" t="str">
        <f>'HPS LTO DAILY '!H100</f>
        <v>-</v>
      </c>
      <c r="K62" s="60" t="str">
        <f>'HPS LTO DAILY '!I100</f>
        <v>-</v>
      </c>
      <c r="L62" s="60" t="str">
        <f>'HPS LTO DAILY '!J100</f>
        <v>-</v>
      </c>
      <c r="M62" s="60" t="str">
        <f>'HPS LTO DAILY '!K100</f>
        <v>-</v>
      </c>
      <c r="N62" s="60" t="str">
        <f>'HPS LTO DAILY '!L100</f>
        <v>-</v>
      </c>
      <c r="O62" s="60">
        <f>'HPS LTO DAILY '!M100</f>
        <v>632.4</v>
      </c>
      <c r="P62" s="60">
        <v>693.3</v>
      </c>
      <c r="Q62" s="60">
        <f>'HPS LTO DAILY '!O100</f>
        <v>653.5</v>
      </c>
      <c r="R62" s="60">
        <f>'HPS LTO DAILY '!P100</f>
        <v>674.2</v>
      </c>
      <c r="S62" s="60">
        <f>'HPS LTO DAILY '!Q100</f>
        <v>682.2</v>
      </c>
      <c r="T62" s="60">
        <f>'HPS LTO DAILY '!R100</f>
        <v>669.6</v>
      </c>
      <c r="U62" s="60">
        <f>'HPS LTO DAILY '!S100</f>
        <v>665.6</v>
      </c>
      <c r="V62" s="60">
        <f>'HPS LTO DAILY '!T100</f>
        <v>655.29999999999995</v>
      </c>
      <c r="W62" s="60">
        <f>'HPS LTO DAILY '!U100</f>
        <v>0</v>
      </c>
      <c r="X62" s="60">
        <f>'HPS LTO DAILY '!V100</f>
        <v>0</v>
      </c>
      <c r="Y62" s="583">
        <f>'HPS LTO DAILY '!W100</f>
        <v>0</v>
      </c>
      <c r="Z62" s="60">
        <f>'HPS LTO DAILY '!X100</f>
        <v>0</v>
      </c>
      <c r="AA62" s="60">
        <f>'HPS LTO DAILY '!AG100</f>
        <v>0</v>
      </c>
      <c r="AB62" s="60">
        <f>'HPS LTO DAILY '!AH100</f>
        <v>0</v>
      </c>
      <c r="AC62" s="60">
        <f>'HPS LTO DAILY '!AI100</f>
        <v>0</v>
      </c>
      <c r="AD62" s="60">
        <f>'HPS LTO DAILY '!AJ100</f>
        <v>0</v>
      </c>
      <c r="AE62" s="60">
        <f>'HPS LTO DAILY '!AK100</f>
        <v>0</v>
      </c>
      <c r="AF62" s="60">
        <f>'HPS LTO DAILY '!AL100</f>
        <v>0</v>
      </c>
      <c r="AG62" s="60">
        <f>'HPS LTO DAILY '!AM100</f>
        <v>0</v>
      </c>
      <c r="AH62" s="60">
        <f>'HPS LTO DAILY '!AN100</f>
        <v>0</v>
      </c>
      <c r="AI62" s="60">
        <f>'HPS LTO DAILY '!AO100</f>
        <v>0</v>
      </c>
      <c r="AJ62" s="60">
        <f>'HPS LTO DAILY '!AP100</f>
        <v>0</v>
      </c>
      <c r="AK62" s="60">
        <f>'HPS LTO DAILY '!AQ100</f>
        <v>0</v>
      </c>
    </row>
    <row r="63" spans="4:37" ht="19.5" customHeight="1" x14ac:dyDescent="0.35">
      <c r="D63" s="83">
        <v>95</v>
      </c>
      <c r="E63" s="2690"/>
      <c r="F63" s="2681"/>
      <c r="G63" s="952"/>
      <c r="H63" s="960"/>
      <c r="I63" s="952"/>
      <c r="J63" s="60" t="str">
        <f>'HPS LTO DAILY '!H105</f>
        <v>-</v>
      </c>
      <c r="K63" s="60" t="str">
        <f>'HPS LTO DAILY '!I105</f>
        <v>-</v>
      </c>
      <c r="L63" s="60" t="str">
        <f>'HPS LTO DAILY '!J105</f>
        <v>-</v>
      </c>
      <c r="M63" s="60" t="str">
        <f>'HPS LTO DAILY '!K105</f>
        <v>-</v>
      </c>
      <c r="N63" s="60" t="str">
        <f>'HPS LTO DAILY '!L105</f>
        <v>-</v>
      </c>
      <c r="O63" s="60">
        <f>'HPS LTO DAILY '!M105</f>
        <v>675.6</v>
      </c>
      <c r="P63" s="60" t="s">
        <v>17</v>
      </c>
      <c r="Q63" s="60">
        <f>'HPS LTO DAILY '!O105</f>
        <v>715.6</v>
      </c>
      <c r="R63" s="60" t="str">
        <f>'HPS LTO DAILY '!P105</f>
        <v>-</v>
      </c>
      <c r="S63" s="60" t="str">
        <f>'HPS LTO DAILY '!Q105</f>
        <v>-</v>
      </c>
      <c r="T63" s="60" t="str">
        <f>'HPS LTO DAILY '!R105</f>
        <v>-</v>
      </c>
      <c r="U63" s="60">
        <f>'HPS LTO DAILY '!S105</f>
        <v>0</v>
      </c>
      <c r="V63" s="60" t="str">
        <f>'HPS LTO DAILY '!T105</f>
        <v>-</v>
      </c>
      <c r="W63" s="60">
        <f>'HPS LTO DAILY '!U105</f>
        <v>0</v>
      </c>
      <c r="X63" s="60">
        <f>'HPS LTO DAILY '!V105</f>
        <v>0</v>
      </c>
      <c r="Y63" s="583">
        <f>'HPS LTO DAILY '!W105</f>
        <v>0</v>
      </c>
      <c r="Z63" s="60">
        <f>'HPS LTO DAILY '!X105</f>
        <v>0</v>
      </c>
      <c r="AA63" s="60">
        <f>'HPS LTO DAILY '!AG105</f>
        <v>0</v>
      </c>
      <c r="AB63" s="60">
        <f>'HPS LTO DAILY '!AH105</f>
        <v>0</v>
      </c>
      <c r="AC63" s="60">
        <f>'HPS LTO DAILY '!AI105</f>
        <v>0</v>
      </c>
      <c r="AD63" s="60">
        <f>'HPS LTO DAILY '!AJ105</f>
        <v>0</v>
      </c>
      <c r="AE63" s="60">
        <f>'HPS LTO DAILY '!AK105</f>
        <v>0</v>
      </c>
      <c r="AF63" s="60">
        <f>'HPS LTO DAILY '!AL105</f>
        <v>0</v>
      </c>
      <c r="AG63" s="60">
        <f>'HPS LTO DAILY '!AM105</f>
        <v>0</v>
      </c>
      <c r="AH63" s="60">
        <f>'HPS LTO DAILY '!AN105</f>
        <v>0</v>
      </c>
      <c r="AI63" s="60">
        <f>'HPS LTO DAILY '!AO105</f>
        <v>0</v>
      </c>
      <c r="AJ63" s="60">
        <f>'HPS LTO DAILY '!AP105</f>
        <v>0</v>
      </c>
      <c r="AK63" s="60">
        <f>'HPS LTO DAILY '!AQ105</f>
        <v>0</v>
      </c>
    </row>
    <row r="64" spans="4:37" ht="19.5" customHeight="1" thickBot="1" x14ac:dyDescent="0.4">
      <c r="D64" s="83" t="s">
        <v>61</v>
      </c>
      <c r="E64" s="89" t="s">
        <v>54</v>
      </c>
      <c r="F64" s="2682"/>
      <c r="G64" s="963"/>
      <c r="H64" s="962"/>
      <c r="I64" s="963"/>
      <c r="J64" s="91" t="str">
        <f>'HPS LTO DAILY '!H110</f>
        <v>-</v>
      </c>
      <c r="K64" s="91" t="str">
        <f>'HPS LTO DAILY '!I110</f>
        <v>-</v>
      </c>
      <c r="L64" s="91" t="str">
        <f>'HPS LTO DAILY '!J110</f>
        <v>-</v>
      </c>
      <c r="M64" s="91" t="str">
        <f>'HPS LTO DAILY '!K110</f>
        <v>-</v>
      </c>
      <c r="N64" s="91" t="str">
        <f>'HPS LTO DAILY '!L110</f>
        <v>-</v>
      </c>
      <c r="O64" s="91" t="str">
        <f>'HPS LTO DAILY '!M110</f>
        <v>-</v>
      </c>
      <c r="P64" s="91" t="s">
        <v>17</v>
      </c>
      <c r="Q64" s="91" t="str">
        <f>'HPS LTO DAILY '!O110</f>
        <v>-</v>
      </c>
      <c r="R64" s="91" t="str">
        <f>'HPS LTO DAILY '!P110</f>
        <v>-</v>
      </c>
      <c r="S64" s="91" t="str">
        <f>'HPS LTO DAILY '!Q110</f>
        <v>-</v>
      </c>
      <c r="T64" s="91" t="str">
        <f>'HPS LTO DAILY '!R110</f>
        <v>-</v>
      </c>
      <c r="U64" s="91">
        <f>'HPS LTO DAILY '!S110</f>
        <v>0</v>
      </c>
      <c r="V64" s="91" t="str">
        <f>'HPS LTO DAILY '!T110</f>
        <v>-</v>
      </c>
      <c r="W64" s="91">
        <f>'HPS LTO DAILY '!U110</f>
        <v>0</v>
      </c>
      <c r="X64" s="91">
        <f>'HPS LTO DAILY '!V110</f>
        <v>0</v>
      </c>
      <c r="Y64" s="584">
        <f>'HPS LTO DAILY '!W110</f>
        <v>0</v>
      </c>
      <c r="Z64" s="91">
        <f>'HPS LTO DAILY '!X110</f>
        <v>0</v>
      </c>
      <c r="AA64" s="91">
        <f>'HPS LTO DAILY '!AG110</f>
        <v>0</v>
      </c>
      <c r="AB64" s="91">
        <f>'HPS LTO DAILY '!AH110</f>
        <v>0</v>
      </c>
      <c r="AC64" s="91">
        <f>'HPS LTO DAILY '!AI110</f>
        <v>0</v>
      </c>
      <c r="AD64" s="91">
        <f>'HPS LTO DAILY '!AJ110</f>
        <v>0</v>
      </c>
      <c r="AE64" s="91">
        <f>'HPS LTO DAILY '!AK110</f>
        <v>0</v>
      </c>
      <c r="AF64" s="91">
        <f>'HPS LTO DAILY '!AL110</f>
        <v>0</v>
      </c>
      <c r="AG64" s="91">
        <f>'HPS LTO DAILY '!AM110</f>
        <v>0</v>
      </c>
      <c r="AH64" s="91">
        <f>'HPS LTO DAILY '!AN110</f>
        <v>0</v>
      </c>
      <c r="AI64" s="91">
        <f>'HPS LTO DAILY '!AO110</f>
        <v>0</v>
      </c>
      <c r="AJ64" s="91">
        <f>'HPS LTO DAILY '!AP110</f>
        <v>0</v>
      </c>
      <c r="AK64" s="91">
        <f>'HPS LTO DAILY '!AQ110</f>
        <v>0</v>
      </c>
    </row>
    <row r="65" spans="4:37" ht="19.5" customHeight="1" x14ac:dyDescent="0.35">
      <c r="D65" s="92" t="s">
        <v>159</v>
      </c>
      <c r="E65" s="93"/>
      <c r="F65" s="94"/>
      <c r="G65" s="95"/>
      <c r="H65" s="963"/>
      <c r="I65" s="963"/>
      <c r="J65" s="95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201"/>
      <c r="Y65" s="585"/>
      <c r="Z65" s="201"/>
      <c r="AA65" s="201"/>
      <c r="AB65" s="201"/>
      <c r="AC65" s="201"/>
      <c r="AD65" s="201"/>
      <c r="AE65" s="201"/>
      <c r="AF65" s="201"/>
      <c r="AG65" s="201"/>
      <c r="AH65" s="201"/>
      <c r="AI65" s="201"/>
      <c r="AJ65" s="201"/>
      <c r="AK65" s="201"/>
    </row>
    <row r="66" spans="4:37" ht="19.5" customHeight="1" x14ac:dyDescent="0.35">
      <c r="D66" s="97" t="s">
        <v>101</v>
      </c>
      <c r="E66" s="2692" t="s">
        <v>58</v>
      </c>
      <c r="F66" s="2695" t="s">
        <v>36</v>
      </c>
      <c r="G66" s="98">
        <v>1.74</v>
      </c>
      <c r="H66" s="964"/>
      <c r="I66" s="964"/>
      <c r="J66" s="3">
        <f>'HPS DAILY'!K66-'HPS DAILY (repro-)'!$G$66</f>
        <v>-1.6240000000000001</v>
      </c>
      <c r="K66" s="3">
        <f>'HPS DAILY'!L66-'HPS DAILY (repro-)'!$G$66</f>
        <v>-1.5939999999999999</v>
      </c>
      <c r="L66" s="3">
        <f>'HPS DAILY'!M66-'HPS DAILY (repro-)'!$G$66</f>
        <v>-1.6663333333333332</v>
      </c>
      <c r="M66" s="3">
        <f>'HPS DAILY'!N66-'HPS DAILY (repro-)'!$G$66</f>
        <v>-1.6890000000000001</v>
      </c>
      <c r="N66" s="3">
        <f>'HPS DAILY'!O66-'HPS DAILY (repro-)'!$G$66</f>
        <v>-1.706</v>
      </c>
      <c r="O66" s="3">
        <f>'HPS DAILY'!P66-'HPS DAILY (repro-)'!$G$66</f>
        <v>-1.696</v>
      </c>
      <c r="P66" s="3">
        <f>'HPS DAILY'!Q66-'HPS DAILY (repro-)'!$G$66</f>
        <v>-1.6919999999999999</v>
      </c>
      <c r="Q66" s="3">
        <f>'HPS DAILY'!R66-'HPS DAILY (repro-)'!$G$66</f>
        <v>-1.7090000000000001</v>
      </c>
      <c r="R66" s="3">
        <f>'HPS DAILY'!S66-'HPS DAILY (repro-)'!$G$66</f>
        <v>-1.718</v>
      </c>
      <c r="S66" s="3">
        <f>'HPS DAILY'!T66-'HPS DAILY (repro-)'!$G$66</f>
        <v>-1.7090000000000001</v>
      </c>
      <c r="T66" s="3">
        <f>'HPS DAILY'!U66-'HPS DAILY (repro-)'!$G$66</f>
        <v>-1.6879999999999999</v>
      </c>
      <c r="U66" s="3">
        <f>'HPS DAILY'!V66-'HPS DAILY (repro-)'!$G$66</f>
        <v>-1.71</v>
      </c>
      <c r="V66" s="3">
        <f>'HPS DAILY'!W66-'HPS DAILY (repro-)'!$G$66</f>
        <v>-1.6619999999999999</v>
      </c>
      <c r="W66" s="3">
        <f>'HPS DAILY'!X66-'HPS DAILY (repro-)'!$G$66</f>
        <v>-1.74</v>
      </c>
      <c r="X66" s="3">
        <f>'HPS DAILY'!Y66-'HPS DAILY (repro-)'!$G$66</f>
        <v>-1.74</v>
      </c>
      <c r="Y66" s="601">
        <v>0.19600000000000001</v>
      </c>
      <c r="Z66" s="3">
        <v>0.192</v>
      </c>
      <c r="AA66" s="3">
        <v>0.192</v>
      </c>
      <c r="AB66" s="3">
        <v>0.192</v>
      </c>
      <c r="AC66" s="3">
        <v>0.192</v>
      </c>
      <c r="AD66" s="3">
        <v>0.192</v>
      </c>
      <c r="AE66" s="3">
        <v>0.192</v>
      </c>
      <c r="AF66" s="3">
        <v>0.192</v>
      </c>
      <c r="AG66" s="3">
        <v>0.192</v>
      </c>
      <c r="AH66" s="3">
        <v>0.192</v>
      </c>
      <c r="AI66" s="3">
        <v>0.192</v>
      </c>
      <c r="AJ66" s="3">
        <v>0.192</v>
      </c>
      <c r="AK66" s="3">
        <v>0.192</v>
      </c>
    </row>
    <row r="67" spans="4:37" ht="19.5" customHeight="1" x14ac:dyDescent="0.35">
      <c r="D67" s="97" t="s">
        <v>102</v>
      </c>
      <c r="E67" s="2693"/>
      <c r="F67" s="2696"/>
      <c r="G67" s="98">
        <v>1.74</v>
      </c>
      <c r="H67" s="964"/>
      <c r="I67" s="964"/>
      <c r="J67" s="3">
        <f>'HPS DAILY'!K67-'HPS DAILY (repro-)'!$G67</f>
        <v>-1.232</v>
      </c>
      <c r="K67" s="3">
        <f>'HPS DAILY'!L67-'HPS DAILY (repro-)'!$G67</f>
        <v>-1.25</v>
      </c>
      <c r="L67" s="3">
        <f>'HPS DAILY'!M67-'HPS DAILY (repro-)'!$G67</f>
        <v>-1.278</v>
      </c>
      <c r="M67" s="3">
        <f>'HPS DAILY'!N67-'HPS DAILY (repro-)'!$G67</f>
        <v>-1.244</v>
      </c>
      <c r="N67" s="3">
        <f>'HPS DAILY'!O67-'HPS DAILY (repro-)'!$G67</f>
        <v>-0.32000000000000006</v>
      </c>
      <c r="O67" s="3">
        <f>'HPS DAILY'!P67-'HPS DAILY (repro-)'!$G67</f>
        <v>-0.29400000000000004</v>
      </c>
      <c r="P67" s="3">
        <f>'HPS DAILY'!Q67-'HPS DAILY (repro-)'!$G67</f>
        <v>-0.28600000000000003</v>
      </c>
      <c r="Q67" s="3">
        <f>'HPS DAILY'!R67-'HPS DAILY (repro-)'!$G67</f>
        <v>-0.32899999999999996</v>
      </c>
      <c r="R67" s="3">
        <f>'HPS DAILY'!S67-'HPS DAILY (repro-)'!$G67</f>
        <v>-0.73750000000000004</v>
      </c>
      <c r="S67" s="3">
        <f>'HPS DAILY'!T67-'HPS DAILY (repro-)'!$G67</f>
        <v>-0.52800000000000002</v>
      </c>
      <c r="T67" s="3">
        <f>'HPS DAILY'!U67-'HPS DAILY (repro-)'!$G67</f>
        <v>-0.62799999999999989</v>
      </c>
      <c r="U67" s="3">
        <f>'HPS DAILY'!V67-'HPS DAILY (repro-)'!$G67</f>
        <v>-0.65100000000000002</v>
      </c>
      <c r="V67" s="3">
        <f>'HPS DAILY'!W67-'HPS DAILY (repro-)'!$G67</f>
        <v>-0.64500000000000002</v>
      </c>
      <c r="W67" s="3">
        <f>'HPS DAILY'!X67-'HPS DAILY (repro-)'!$G67</f>
        <v>-1.74</v>
      </c>
      <c r="X67" s="3">
        <f>'HPS DAILY'!Y67-'HPS DAILY (repro-)'!$G67</f>
        <v>-1.74</v>
      </c>
      <c r="Y67" s="601">
        <v>1.3480000000000001</v>
      </c>
      <c r="Z67" s="3">
        <v>1.4990000000000001</v>
      </c>
      <c r="AA67" s="3">
        <v>1.4990000000000001</v>
      </c>
      <c r="AB67" s="3">
        <v>1.4990000000000001</v>
      </c>
      <c r="AC67" s="3">
        <v>1.4990000000000001</v>
      </c>
      <c r="AD67" s="3">
        <v>1.4990000000000001</v>
      </c>
      <c r="AE67" s="3">
        <v>1.4990000000000001</v>
      </c>
      <c r="AF67" s="3">
        <v>1.4990000000000001</v>
      </c>
      <c r="AG67" s="3">
        <v>1.4990000000000001</v>
      </c>
      <c r="AH67" s="3">
        <v>1.4990000000000001</v>
      </c>
      <c r="AI67" s="3">
        <v>1.4990000000000001</v>
      </c>
      <c r="AJ67" s="3">
        <v>1.4990000000000001</v>
      </c>
      <c r="AK67" s="3">
        <v>1.4990000000000001</v>
      </c>
    </row>
    <row r="68" spans="4:37" ht="19.5" customHeight="1" x14ac:dyDescent="0.35">
      <c r="D68" s="97" t="s">
        <v>103</v>
      </c>
      <c r="E68" s="2693"/>
      <c r="F68" s="2696"/>
      <c r="G68" s="98">
        <v>2.0499999999999998</v>
      </c>
      <c r="H68" s="964"/>
      <c r="I68" s="964"/>
      <c r="J68" s="3">
        <f>'HPS DAILY'!K68-'HPS DAILY (repro-)'!$G68</f>
        <v>0.35050000000000026</v>
      </c>
      <c r="K68" s="3">
        <f>'HPS DAILY'!L68-'HPS DAILY (repro-)'!$G68</f>
        <v>0.25200000000000022</v>
      </c>
      <c r="L68" s="3">
        <f>'HPS DAILY'!M68-'HPS DAILY (repro-)'!$G68</f>
        <v>0.29400000000000004</v>
      </c>
      <c r="M68" s="3">
        <f>'HPS DAILY'!N68-'HPS DAILY (repro-)'!$G68</f>
        <v>0.68300000000000027</v>
      </c>
      <c r="N68" s="3">
        <f>'HPS DAILY'!O68-'HPS DAILY (repro-)'!$G68</f>
        <v>6.2679999999999998</v>
      </c>
      <c r="O68" s="3">
        <f>'HPS DAILY'!P68-'HPS DAILY (repro-)'!$G68</f>
        <v>6.5320000000000009</v>
      </c>
      <c r="P68" s="3">
        <f>'HPS DAILY'!Q68-'HPS DAILY (repro-)'!$G68</f>
        <v>6.2820000000000009</v>
      </c>
      <c r="Q68" s="3">
        <f>'HPS DAILY'!R68-'HPS DAILY (repro-)'!$G68</f>
        <v>5.9669999999999996</v>
      </c>
      <c r="R68" s="3">
        <f>'HPS DAILY'!S68-'HPS DAILY (repro-)'!$G68</f>
        <v>5.3914999999999997</v>
      </c>
      <c r="S68" s="3">
        <f>'HPS DAILY'!T68-'HPS DAILY (repro-)'!$G68</f>
        <v>5.5789999999999997</v>
      </c>
      <c r="T68" s="3">
        <f>'HPS DAILY'!U68-'HPS DAILY (repro-)'!$G68</f>
        <v>5.5949999999999998</v>
      </c>
      <c r="U68" s="3">
        <f>'HPS DAILY'!V68-'HPS DAILY (repro-)'!$G68</f>
        <v>5.4870000000000001</v>
      </c>
      <c r="V68" s="3">
        <f>'HPS DAILY'!W68-'HPS DAILY (repro-)'!$G68</f>
        <v>5.55</v>
      </c>
      <c r="W68" s="3">
        <f>'HPS DAILY'!X68-'HPS DAILY (repro-)'!$G68</f>
        <v>-2.0499999999999998</v>
      </c>
      <c r="X68" s="3">
        <f>'HPS DAILY'!Y68-'HPS DAILY (repro-)'!$G68</f>
        <v>-2.0499999999999998</v>
      </c>
      <c r="Y68" s="601">
        <v>6.4180000000000001</v>
      </c>
      <c r="Z68" s="3">
        <v>6.6379999999999999</v>
      </c>
      <c r="AA68" s="3">
        <v>6.6379999999999999</v>
      </c>
      <c r="AB68" s="3">
        <v>6.6379999999999999</v>
      </c>
      <c r="AC68" s="3">
        <v>6.6379999999999999</v>
      </c>
      <c r="AD68" s="3">
        <v>6.6379999999999999</v>
      </c>
      <c r="AE68" s="3">
        <v>6.6379999999999999</v>
      </c>
      <c r="AF68" s="3">
        <v>6.6379999999999999</v>
      </c>
      <c r="AG68" s="3">
        <v>6.6379999999999999</v>
      </c>
      <c r="AH68" s="3">
        <v>6.6379999999999999</v>
      </c>
      <c r="AI68" s="3">
        <v>6.6379999999999999</v>
      </c>
      <c r="AJ68" s="3">
        <v>6.6379999999999999</v>
      </c>
      <c r="AK68" s="3">
        <v>6.6379999999999999</v>
      </c>
    </row>
    <row r="69" spans="4:37" ht="19.5" customHeight="1" x14ac:dyDescent="0.35">
      <c r="D69" s="97" t="s">
        <v>104</v>
      </c>
      <c r="E69" s="2693"/>
      <c r="F69" s="2696"/>
      <c r="G69" s="98">
        <v>2.2799999999999998</v>
      </c>
      <c r="H69" s="964"/>
      <c r="I69" s="964"/>
      <c r="J69" s="3">
        <f>'HPS DAILY'!K69-'HPS DAILY (repro-)'!$G69</f>
        <v>4.9375</v>
      </c>
      <c r="K69" s="3">
        <f>'HPS DAILY'!L69-'HPS DAILY (repro-)'!$G69</f>
        <v>4.4415000000000013</v>
      </c>
      <c r="L69" s="3">
        <f>'HPS DAILY'!M69-'HPS DAILY (repro-)'!$G69</f>
        <v>4.6143333333333327</v>
      </c>
      <c r="M69" s="3">
        <f>'HPS DAILY'!N69-'HPS DAILY (repro-)'!$G69</f>
        <v>5.1609999999999996</v>
      </c>
      <c r="N69" s="3">
        <f>'HPS DAILY'!O69-'HPS DAILY (repro-)'!$G69</f>
        <v>15.9</v>
      </c>
      <c r="O69" s="3">
        <f>'HPS DAILY'!P69-'HPS DAILY (repro-)'!$G69</f>
        <v>16.858999999999998</v>
      </c>
      <c r="P69" s="3">
        <f>'HPS DAILY'!Q69-'HPS DAILY (repro-)'!$G69</f>
        <v>16.259999999999998</v>
      </c>
      <c r="Q69" s="3">
        <f>'HPS DAILY'!R69-'HPS DAILY (repro-)'!$G69</f>
        <v>15.715000000000002</v>
      </c>
      <c r="R69" s="3">
        <f>'HPS DAILY'!S69-'HPS DAILY (repro-)'!$G69</f>
        <v>15.455500000000002</v>
      </c>
      <c r="S69" s="3">
        <f>'HPS DAILY'!T69-'HPS DAILY (repro-)'!$G69</f>
        <v>15.619000000000002</v>
      </c>
      <c r="T69" s="3">
        <f>'HPS DAILY'!U69-'HPS DAILY (repro-)'!$G69</f>
        <v>15.468000000000002</v>
      </c>
      <c r="U69" s="3">
        <f>'HPS DAILY'!V69-'HPS DAILY (repro-)'!$G69</f>
        <v>15.610999999999999</v>
      </c>
      <c r="V69" s="3">
        <f>'HPS DAILY'!W69-'HPS DAILY (repro-)'!$G69</f>
        <v>15.843000000000002</v>
      </c>
      <c r="W69" s="3">
        <f>'HPS DAILY'!X69-'HPS DAILY (repro-)'!$G69</f>
        <v>-2.2799999999999998</v>
      </c>
      <c r="X69" s="3">
        <f>'HPS DAILY'!Y69-'HPS DAILY (repro-)'!$G69</f>
        <v>-2.2799999999999998</v>
      </c>
      <c r="Y69" s="601">
        <v>14.513</v>
      </c>
      <c r="Z69" s="3">
        <v>14.006</v>
      </c>
      <c r="AA69" s="3">
        <v>14.006</v>
      </c>
      <c r="AB69" s="3">
        <v>14.006</v>
      </c>
      <c r="AC69" s="3">
        <v>14.006</v>
      </c>
      <c r="AD69" s="3">
        <v>14.006</v>
      </c>
      <c r="AE69" s="3">
        <v>14.006</v>
      </c>
      <c r="AF69" s="3">
        <v>14.006</v>
      </c>
      <c r="AG69" s="3">
        <v>14.006</v>
      </c>
      <c r="AH69" s="3">
        <v>14.006</v>
      </c>
      <c r="AI69" s="3">
        <v>14.006</v>
      </c>
      <c r="AJ69" s="3">
        <v>14.006</v>
      </c>
      <c r="AK69" s="3">
        <v>14.006</v>
      </c>
    </row>
    <row r="70" spans="4:37" ht="19.5" customHeight="1" x14ac:dyDescent="0.35">
      <c r="D70" s="97" t="s">
        <v>105</v>
      </c>
      <c r="E70" s="2693"/>
      <c r="F70" s="2696"/>
      <c r="G70" s="98">
        <v>2.58</v>
      </c>
      <c r="H70" s="964"/>
      <c r="I70" s="964"/>
      <c r="J70" s="3">
        <f>'HPS DAILY'!K70-'HPS DAILY (repro-)'!$G70</f>
        <v>20.026000000000003</v>
      </c>
      <c r="K70" s="3">
        <f>'HPS DAILY'!L70-'HPS DAILY (repro-)'!$G70</f>
        <v>17.6755</v>
      </c>
      <c r="L70" s="3">
        <f>'HPS DAILY'!M70-'HPS DAILY (repro-)'!$G70</f>
        <v>16.507666666666665</v>
      </c>
      <c r="M70" s="3">
        <f>'HPS DAILY'!N70-'HPS DAILY (repro-)'!$G70</f>
        <v>16.823999999999998</v>
      </c>
      <c r="N70" s="3">
        <f>'HPS DAILY'!O70-'HPS DAILY (repro-)'!$G70</f>
        <v>27.645000000000003</v>
      </c>
      <c r="O70" s="3">
        <f>'HPS DAILY'!P70-'HPS DAILY (repro-)'!$G70</f>
        <v>29.259</v>
      </c>
      <c r="P70" s="3">
        <f>'HPS DAILY'!Q70-'HPS DAILY (repro-)'!$G70</f>
        <v>28.838000000000001</v>
      </c>
      <c r="Q70" s="3">
        <f>'HPS DAILY'!R70-'HPS DAILY (repro-)'!$G70</f>
        <v>28.320999999999998</v>
      </c>
      <c r="R70" s="3">
        <f>'HPS DAILY'!S70-'HPS DAILY (repro-)'!$G70</f>
        <v>27.850500000000004</v>
      </c>
      <c r="S70" s="3">
        <f>'HPS DAILY'!T70-'HPS DAILY (repro-)'!$G70</f>
        <v>27.779000000000003</v>
      </c>
      <c r="T70" s="3">
        <f>'HPS DAILY'!U70-'HPS DAILY (repro-)'!$G70</f>
        <v>28.295999999999999</v>
      </c>
      <c r="U70" s="3">
        <f>'HPS DAILY'!V70-'HPS DAILY (repro-)'!$G70</f>
        <v>28.255000000000003</v>
      </c>
      <c r="V70" s="3">
        <f>'HPS DAILY'!W70-'HPS DAILY (repro-)'!$G70</f>
        <v>28.701999999999998</v>
      </c>
      <c r="W70" s="3">
        <f>'HPS DAILY'!X70-'HPS DAILY (repro-)'!$G70</f>
        <v>-2.58</v>
      </c>
      <c r="X70" s="3">
        <f>'HPS DAILY'!Y70-'HPS DAILY (repro-)'!$G70</f>
        <v>-2.58</v>
      </c>
      <c r="Y70" s="601">
        <v>22.513000000000002</v>
      </c>
      <c r="Z70" s="3">
        <v>21.085000000000001</v>
      </c>
      <c r="AA70" s="3">
        <v>21.085000000000001</v>
      </c>
      <c r="AB70" s="3">
        <v>21.085000000000001</v>
      </c>
      <c r="AC70" s="3">
        <v>21.085000000000001</v>
      </c>
      <c r="AD70" s="3">
        <v>21.085000000000001</v>
      </c>
      <c r="AE70" s="3">
        <v>21.085000000000001</v>
      </c>
      <c r="AF70" s="3">
        <v>21.085000000000001</v>
      </c>
      <c r="AG70" s="3">
        <v>21.085000000000001</v>
      </c>
      <c r="AH70" s="3">
        <v>21.085000000000001</v>
      </c>
      <c r="AI70" s="3">
        <v>21.085000000000001</v>
      </c>
      <c r="AJ70" s="3">
        <v>21.085000000000001</v>
      </c>
      <c r="AK70" s="3">
        <v>21.085000000000001</v>
      </c>
    </row>
    <row r="71" spans="4:37" ht="19.5" customHeight="1" x14ac:dyDescent="0.35">
      <c r="D71" s="97" t="s">
        <v>100</v>
      </c>
      <c r="E71" s="2693"/>
      <c r="F71" s="2696"/>
      <c r="G71" s="98">
        <v>2.58</v>
      </c>
      <c r="H71" s="964"/>
      <c r="I71" s="964"/>
      <c r="J71" s="3">
        <f>'HPS DAILY'!K71-'HPS DAILY (repro-)'!$G71</f>
        <v>11.3165</v>
      </c>
      <c r="K71" s="3">
        <f>'HPS DAILY'!L71-'HPS DAILY (repro-)'!$G71</f>
        <v>10.9885</v>
      </c>
      <c r="L71" s="3">
        <f>'HPS DAILY'!M71-'HPS DAILY (repro-)'!$G71</f>
        <v>11.498666666666669</v>
      </c>
      <c r="M71" s="3">
        <f>'HPS DAILY'!N71-'HPS DAILY (repro-)'!$G71</f>
        <v>12.371</v>
      </c>
      <c r="N71" s="3">
        <f>'HPS DAILY'!O71-'HPS DAILY (repro-)'!$G71</f>
        <v>10.884</v>
      </c>
      <c r="O71" s="3">
        <f>'HPS DAILY'!P71-'HPS DAILY (repro-)'!$G71</f>
        <v>11.4673</v>
      </c>
      <c r="P71" s="3">
        <f>'HPS DAILY'!Q71-'HPS DAILY (repro-)'!$G71</f>
        <v>11.54</v>
      </c>
      <c r="Q71" s="3">
        <f>'HPS DAILY'!R71-'HPS DAILY (repro-)'!$G71</f>
        <v>11.401</v>
      </c>
      <c r="R71" s="3">
        <f>'HPS DAILY'!S71-'HPS DAILY (repro-)'!$G71</f>
        <v>11.232999999999999</v>
      </c>
      <c r="S71" s="3">
        <f>'HPS DAILY'!T71-'HPS DAILY (repro-)'!$G71</f>
        <v>11.173999999999999</v>
      </c>
      <c r="T71" s="3">
        <f>'HPS DAILY'!U71-'HPS DAILY (repro-)'!$G71</f>
        <v>11.522</v>
      </c>
      <c r="U71" s="3">
        <f>'HPS DAILY'!V71-'HPS DAILY (repro-)'!$G71</f>
        <v>11.372999999999999</v>
      </c>
      <c r="V71" s="3">
        <f>'HPS DAILY'!W71-'HPS DAILY (repro-)'!$G71</f>
        <v>11.361000000000001</v>
      </c>
      <c r="W71" s="3">
        <f>'HPS DAILY'!X71-'HPS DAILY (repro-)'!$G71</f>
        <v>-2.58</v>
      </c>
      <c r="X71" s="3">
        <f>'HPS DAILY'!Y71-'HPS DAILY (repro-)'!$G71</f>
        <v>-2.58</v>
      </c>
      <c r="Y71" s="601">
        <v>11.971</v>
      </c>
      <c r="Z71" s="3">
        <v>11.154999999999999</v>
      </c>
      <c r="AA71" s="3">
        <v>11.154999999999999</v>
      </c>
      <c r="AB71" s="3">
        <v>11.154999999999999</v>
      </c>
      <c r="AC71" s="3">
        <v>11.154999999999999</v>
      </c>
      <c r="AD71" s="3">
        <v>11.154999999999999</v>
      </c>
      <c r="AE71" s="3">
        <v>11.154999999999999</v>
      </c>
      <c r="AF71" s="3">
        <v>11.154999999999999</v>
      </c>
      <c r="AG71" s="3">
        <v>11.154999999999999</v>
      </c>
      <c r="AH71" s="3">
        <v>11.154999999999999</v>
      </c>
      <c r="AI71" s="3">
        <v>11.154999999999999</v>
      </c>
      <c r="AJ71" s="3">
        <v>11.154999999999999</v>
      </c>
      <c r="AK71" s="3">
        <v>11.154999999999999</v>
      </c>
    </row>
    <row r="72" spans="4:37" ht="19.5" customHeight="1" x14ac:dyDescent="0.35">
      <c r="D72" s="97" t="s">
        <v>160</v>
      </c>
      <c r="E72" s="2694"/>
      <c r="F72" s="2697"/>
      <c r="G72" s="98">
        <v>3.03</v>
      </c>
      <c r="H72" s="964"/>
      <c r="I72" s="964"/>
      <c r="J72" s="3">
        <f>'HPS DAILY'!K72-'HPS DAILY (repro-)'!$G72</f>
        <v>50.225499999999997</v>
      </c>
      <c r="K72" s="3">
        <f>'HPS DAILY'!L72-'HPS DAILY (repro-)'!$G72</f>
        <v>53.486499999999999</v>
      </c>
      <c r="L72" s="3">
        <f>'HPS DAILY'!M72-'HPS DAILY (repro-)'!$G72</f>
        <v>54.029666666666664</v>
      </c>
      <c r="M72" s="3">
        <f>'HPS DAILY'!N72-'HPS DAILY (repro-)'!$G72</f>
        <v>51.893999999999998</v>
      </c>
      <c r="N72" s="3">
        <f>'HPS DAILY'!O72-'HPS DAILY (repro-)'!$G72</f>
        <v>25.328999999999994</v>
      </c>
      <c r="O72" s="3">
        <f>'HPS DAILY'!P72-'HPS DAILY (repro-)'!$G72</f>
        <v>21.872700000000009</v>
      </c>
      <c r="P72" s="3">
        <f>'HPS DAILY'!Q72-'HPS DAILY (repro-)'!$G72</f>
        <v>23.057999999999993</v>
      </c>
      <c r="Q72" s="3">
        <f>'HPS DAILY'!R72-'HPS DAILY (repro-)'!$G72</f>
        <v>24.634</v>
      </c>
      <c r="R72" s="3">
        <f>'HPS DAILY'!S72-'HPS DAILY (repro-)'!$G72</f>
        <v>26.524999999999999</v>
      </c>
      <c r="S72" s="3">
        <f>'HPS DAILY'!T72-'HPS DAILY (repro-)'!$G72</f>
        <v>26.085999999999999</v>
      </c>
      <c r="T72" s="3">
        <f>'HPS DAILY'!U72-'HPS DAILY (repro-)'!$G72</f>
        <v>25.434999999999988</v>
      </c>
      <c r="U72" s="3">
        <f>'HPS DAILY'!V72-'HPS DAILY (repro-)'!$G72</f>
        <v>25.635000000000005</v>
      </c>
      <c r="V72" s="3">
        <f>'HPS DAILY'!W72-'HPS DAILY (repro-)'!$G72</f>
        <v>24.850999999999999</v>
      </c>
      <c r="W72" s="3">
        <f>'HPS DAILY'!X72-'HPS DAILY (repro-)'!$G72</f>
        <v>96.97</v>
      </c>
      <c r="X72" s="3">
        <f>'HPS DAILY'!Y72-'HPS DAILY (repro-)'!$G72</f>
        <v>96.97</v>
      </c>
      <c r="Y72" s="601">
        <f t="shared" ref="Y72:Z72" si="24">100-SUM(Y66:Y71)</f>
        <v>43.040999999999997</v>
      </c>
      <c r="Z72" s="3">
        <f t="shared" si="24"/>
        <v>45.424999999999997</v>
      </c>
      <c r="AA72" s="3">
        <f t="shared" ref="AA72:AH72" si="25">100-SUM(AA66:AA71)</f>
        <v>45.424999999999997</v>
      </c>
      <c r="AB72" s="3">
        <f t="shared" si="25"/>
        <v>45.424999999999997</v>
      </c>
      <c r="AC72" s="3">
        <f t="shared" si="25"/>
        <v>45.424999999999997</v>
      </c>
      <c r="AD72" s="3">
        <f t="shared" si="25"/>
        <v>45.424999999999997</v>
      </c>
      <c r="AE72" s="3">
        <f t="shared" si="25"/>
        <v>45.424999999999997</v>
      </c>
      <c r="AF72" s="3">
        <f t="shared" si="25"/>
        <v>45.424999999999997</v>
      </c>
      <c r="AG72" s="3">
        <f t="shared" si="25"/>
        <v>45.424999999999997</v>
      </c>
      <c r="AH72" s="3">
        <f t="shared" si="25"/>
        <v>45.424999999999997</v>
      </c>
      <c r="AI72" s="3">
        <f t="shared" ref="AI72:AK72" si="26">100-SUM(AI66:AI71)</f>
        <v>45.424999999999997</v>
      </c>
      <c r="AJ72" s="3">
        <f t="shared" si="26"/>
        <v>45.424999999999997</v>
      </c>
      <c r="AK72" s="3">
        <f t="shared" si="26"/>
        <v>45.424999999999997</v>
      </c>
    </row>
    <row r="73" spans="4:37" ht="19.5" customHeight="1" thickBot="1" x14ac:dyDescent="0.4">
      <c r="D73" s="100" t="s">
        <v>161</v>
      </c>
      <c r="E73" s="93"/>
      <c r="F73" s="94"/>
      <c r="G73" s="101"/>
      <c r="H73" s="964"/>
      <c r="I73" s="964"/>
      <c r="J73" s="101">
        <f t="shared" ref="J73:Z73" si="27">SUM(J66:J72)</f>
        <v>84</v>
      </c>
      <c r="K73" s="101">
        <f t="shared" si="27"/>
        <v>84</v>
      </c>
      <c r="L73" s="101">
        <f t="shared" si="27"/>
        <v>84</v>
      </c>
      <c r="M73" s="101">
        <f t="shared" si="27"/>
        <v>84</v>
      </c>
      <c r="N73" s="101">
        <f t="shared" si="27"/>
        <v>84</v>
      </c>
      <c r="O73" s="101">
        <f t="shared" si="27"/>
        <v>84</v>
      </c>
      <c r="P73" s="101">
        <f t="shared" si="27"/>
        <v>84</v>
      </c>
      <c r="Q73" s="101">
        <f t="shared" si="27"/>
        <v>84</v>
      </c>
      <c r="R73" s="101">
        <f t="shared" si="27"/>
        <v>84</v>
      </c>
      <c r="S73" s="101">
        <f t="shared" si="27"/>
        <v>84</v>
      </c>
      <c r="T73" s="101">
        <f t="shared" si="27"/>
        <v>83.999999999999986</v>
      </c>
      <c r="U73" s="101">
        <f t="shared" si="27"/>
        <v>84</v>
      </c>
      <c r="V73" s="101">
        <f t="shared" si="27"/>
        <v>84</v>
      </c>
      <c r="W73" s="101">
        <f t="shared" si="27"/>
        <v>84</v>
      </c>
      <c r="X73" s="101">
        <f t="shared" si="27"/>
        <v>84</v>
      </c>
      <c r="Y73" s="586">
        <f t="shared" si="27"/>
        <v>100</v>
      </c>
      <c r="Z73" s="101">
        <f t="shared" si="27"/>
        <v>100</v>
      </c>
      <c r="AA73" s="101">
        <f t="shared" ref="AA73:AH73" si="28">SUM(AA66:AA72)</f>
        <v>100</v>
      </c>
      <c r="AB73" s="101">
        <f t="shared" si="28"/>
        <v>100</v>
      </c>
      <c r="AC73" s="101">
        <f t="shared" si="28"/>
        <v>100</v>
      </c>
      <c r="AD73" s="101">
        <f t="shared" si="28"/>
        <v>100</v>
      </c>
      <c r="AE73" s="101">
        <f t="shared" si="28"/>
        <v>100</v>
      </c>
      <c r="AF73" s="101">
        <f t="shared" si="28"/>
        <v>100</v>
      </c>
      <c r="AG73" s="101">
        <f t="shared" si="28"/>
        <v>100</v>
      </c>
      <c r="AH73" s="101">
        <f t="shared" si="28"/>
        <v>100</v>
      </c>
      <c r="AI73" s="101">
        <f t="shared" ref="AI73:AK73" si="29">SUM(AI66:AI72)</f>
        <v>100</v>
      </c>
      <c r="AJ73" s="101">
        <f t="shared" si="29"/>
        <v>100</v>
      </c>
      <c r="AK73" s="101">
        <f t="shared" si="29"/>
        <v>100</v>
      </c>
    </row>
    <row r="74" spans="4:37" ht="18.75" customHeight="1" x14ac:dyDescent="0.35">
      <c r="D74" s="75" t="s">
        <v>62</v>
      </c>
      <c r="E74" s="2684" t="s">
        <v>63</v>
      </c>
      <c r="F74" s="2698" t="s">
        <v>55</v>
      </c>
      <c r="G74" s="47"/>
      <c r="H74" s="952"/>
      <c r="I74" s="952"/>
      <c r="J74" s="47"/>
      <c r="K74" s="55"/>
      <c r="L74" s="55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195"/>
      <c r="Y74" s="590"/>
      <c r="Z74" s="172"/>
      <c r="AA74" s="172"/>
      <c r="AB74" s="172"/>
      <c r="AC74" s="172"/>
      <c r="AD74" s="172"/>
      <c r="AE74" s="172"/>
      <c r="AF74" s="172"/>
      <c r="AG74" s="172"/>
      <c r="AH74" s="172"/>
      <c r="AI74" s="172"/>
      <c r="AJ74" s="172"/>
      <c r="AK74" s="172"/>
    </row>
    <row r="75" spans="4:37" ht="18.75" customHeight="1" x14ac:dyDescent="0.35">
      <c r="D75" s="44" t="s">
        <v>64</v>
      </c>
      <c r="E75" s="2684"/>
      <c r="F75" s="2698"/>
      <c r="G75" s="952"/>
      <c r="H75" s="960"/>
      <c r="I75" s="952"/>
      <c r="J75" s="60">
        <v>13.8</v>
      </c>
      <c r="K75" s="87">
        <v>11.4</v>
      </c>
      <c r="L75" s="87">
        <v>12.4</v>
      </c>
      <c r="M75" s="88"/>
      <c r="N75" s="88">
        <v>16.7</v>
      </c>
      <c r="O75" s="88">
        <v>13.2</v>
      </c>
      <c r="P75" s="88">
        <v>14</v>
      </c>
      <c r="Q75" s="88">
        <v>17.899999999999999</v>
      </c>
      <c r="R75" s="88">
        <v>13.4</v>
      </c>
      <c r="S75" s="88">
        <v>13</v>
      </c>
      <c r="T75" s="88">
        <v>15.8</v>
      </c>
      <c r="U75" s="88">
        <v>18.3</v>
      </c>
      <c r="V75" s="88">
        <v>16.899999999999999</v>
      </c>
      <c r="W75" s="88">
        <v>19.399999999999999</v>
      </c>
      <c r="X75" s="59">
        <v>18.8</v>
      </c>
      <c r="Y75" s="577">
        <v>18.600000000000001</v>
      </c>
      <c r="Z75" s="39">
        <v>19.5</v>
      </c>
      <c r="AA75" s="39">
        <v>19.5</v>
      </c>
      <c r="AB75" s="39">
        <v>19.5</v>
      </c>
      <c r="AC75" s="39">
        <v>19.5</v>
      </c>
      <c r="AD75" s="39">
        <v>19.5</v>
      </c>
      <c r="AE75" s="39">
        <v>19.5</v>
      </c>
      <c r="AF75" s="39">
        <v>19.5</v>
      </c>
      <c r="AG75" s="39">
        <v>19.5</v>
      </c>
      <c r="AH75" s="39">
        <v>19.5</v>
      </c>
      <c r="AI75" s="39">
        <v>19.5</v>
      </c>
      <c r="AJ75" s="39">
        <v>19.5</v>
      </c>
      <c r="AK75" s="39">
        <v>19.5</v>
      </c>
    </row>
    <row r="76" spans="4:37" ht="18.75" customHeight="1" x14ac:dyDescent="0.35">
      <c r="D76" s="44" t="s">
        <v>65</v>
      </c>
      <c r="E76" s="2684"/>
      <c r="F76" s="2698"/>
      <c r="G76" s="952"/>
      <c r="H76" s="960"/>
      <c r="I76" s="952"/>
      <c r="J76" s="60">
        <v>68</v>
      </c>
      <c r="K76" s="87">
        <v>51</v>
      </c>
      <c r="L76" s="87">
        <v>53.4</v>
      </c>
      <c r="M76" s="88"/>
      <c r="N76" s="88">
        <v>66.5</v>
      </c>
      <c r="O76" s="88">
        <v>60.7</v>
      </c>
      <c r="P76" s="88">
        <v>56.6</v>
      </c>
      <c r="Q76" s="88">
        <v>56.1</v>
      </c>
      <c r="R76" s="88">
        <v>51.5</v>
      </c>
      <c r="S76" s="88">
        <v>54.1</v>
      </c>
      <c r="T76" s="88">
        <v>59.1</v>
      </c>
      <c r="U76" s="88">
        <v>52</v>
      </c>
      <c r="V76" s="88">
        <v>52.7</v>
      </c>
      <c r="W76" s="88">
        <v>53.1</v>
      </c>
      <c r="X76" s="59">
        <v>58.9</v>
      </c>
      <c r="Y76" s="577">
        <v>51.6</v>
      </c>
      <c r="Z76" s="39">
        <v>52.9</v>
      </c>
      <c r="AA76" s="39">
        <v>52.9</v>
      </c>
      <c r="AB76" s="39">
        <v>52.9</v>
      </c>
      <c r="AC76" s="39">
        <v>52.9</v>
      </c>
      <c r="AD76" s="39">
        <v>52.9</v>
      </c>
      <c r="AE76" s="39">
        <v>52.9</v>
      </c>
      <c r="AF76" s="39">
        <v>52.9</v>
      </c>
      <c r="AG76" s="39">
        <v>52.9</v>
      </c>
      <c r="AH76" s="39">
        <v>52.9</v>
      </c>
      <c r="AI76" s="39">
        <v>52.9</v>
      </c>
      <c r="AJ76" s="39">
        <v>52.9</v>
      </c>
      <c r="AK76" s="39">
        <v>52.9</v>
      </c>
    </row>
    <row r="77" spans="4:37" ht="18.75" customHeight="1" x14ac:dyDescent="0.35">
      <c r="D77" s="44" t="s">
        <v>66</v>
      </c>
      <c r="E77" s="2684"/>
      <c r="F77" s="2698"/>
      <c r="G77" s="952"/>
      <c r="H77" s="960"/>
      <c r="I77" s="952"/>
      <c r="J77" s="60">
        <v>4.9000000000000004</v>
      </c>
      <c r="K77" s="85">
        <v>6.5</v>
      </c>
      <c r="L77" s="87">
        <v>5</v>
      </c>
      <c r="M77" s="86"/>
      <c r="N77" s="86">
        <v>6.4</v>
      </c>
      <c r="O77" s="86">
        <v>9.6</v>
      </c>
      <c r="P77" s="86">
        <v>10.7</v>
      </c>
      <c r="Q77" s="86">
        <v>8.3000000000000007</v>
      </c>
      <c r="R77" s="86">
        <v>11.5</v>
      </c>
      <c r="S77" s="86">
        <v>13.9</v>
      </c>
      <c r="T77" s="86">
        <v>10.3</v>
      </c>
      <c r="U77" s="86">
        <v>13.6</v>
      </c>
      <c r="V77" s="86">
        <v>10.1</v>
      </c>
      <c r="W77" s="86">
        <v>8.6999999999999993</v>
      </c>
      <c r="X77" s="203">
        <v>6.9</v>
      </c>
      <c r="Y77" s="577">
        <v>8.9</v>
      </c>
      <c r="Z77" s="39">
        <v>7.7</v>
      </c>
      <c r="AA77" s="39">
        <v>7.7</v>
      </c>
      <c r="AB77" s="39">
        <v>7.7</v>
      </c>
      <c r="AC77" s="39">
        <v>7.7</v>
      </c>
      <c r="AD77" s="39">
        <v>7.7</v>
      </c>
      <c r="AE77" s="39">
        <v>7.7</v>
      </c>
      <c r="AF77" s="39">
        <v>7.7</v>
      </c>
      <c r="AG77" s="39">
        <v>7.7</v>
      </c>
      <c r="AH77" s="39">
        <v>7.7</v>
      </c>
      <c r="AI77" s="39">
        <v>7.7</v>
      </c>
      <c r="AJ77" s="39">
        <v>7.7</v>
      </c>
      <c r="AK77" s="39">
        <v>7.7</v>
      </c>
    </row>
    <row r="78" spans="4:37" ht="18.75" customHeight="1" x14ac:dyDescent="0.35">
      <c r="D78" s="44" t="s">
        <v>67</v>
      </c>
      <c r="E78" s="2684"/>
      <c r="F78" s="2698"/>
      <c r="G78" s="952"/>
      <c r="H78" s="960"/>
      <c r="I78" s="952"/>
      <c r="J78" s="60">
        <v>13.3</v>
      </c>
      <c r="K78" s="87">
        <v>31.1</v>
      </c>
      <c r="L78" s="87">
        <v>29.2</v>
      </c>
      <c r="M78" s="88"/>
      <c r="N78" s="88">
        <v>10.5</v>
      </c>
      <c r="O78" s="88">
        <v>16.600000000000001</v>
      </c>
      <c r="P78" s="88">
        <v>18.7</v>
      </c>
      <c r="Q78" s="88">
        <v>17.7</v>
      </c>
      <c r="R78" s="88">
        <v>23.6</v>
      </c>
      <c r="S78" s="88">
        <v>19</v>
      </c>
      <c r="T78" s="88">
        <v>14.8</v>
      </c>
      <c r="U78" s="88">
        <v>16.100000000000001</v>
      </c>
      <c r="V78" s="88">
        <v>20.3</v>
      </c>
      <c r="W78" s="88">
        <v>18.8</v>
      </c>
      <c r="X78" s="59">
        <v>15.4</v>
      </c>
      <c r="Y78" s="577">
        <v>20.9</v>
      </c>
      <c r="Z78" s="39">
        <v>19.899999999999999</v>
      </c>
      <c r="AA78" s="39">
        <v>19.899999999999999</v>
      </c>
      <c r="AB78" s="39">
        <v>19.899999999999999</v>
      </c>
      <c r="AC78" s="39">
        <v>19.899999999999999</v>
      </c>
      <c r="AD78" s="39">
        <v>19.899999999999999</v>
      </c>
      <c r="AE78" s="39">
        <v>19.899999999999999</v>
      </c>
      <c r="AF78" s="39">
        <v>19.899999999999999</v>
      </c>
      <c r="AG78" s="39">
        <v>19.899999999999999</v>
      </c>
      <c r="AH78" s="39">
        <v>19.899999999999999</v>
      </c>
      <c r="AI78" s="39">
        <v>19.899999999999999</v>
      </c>
      <c r="AJ78" s="39">
        <v>19.899999999999999</v>
      </c>
      <c r="AK78" s="39">
        <v>19.899999999999999</v>
      </c>
    </row>
    <row r="79" spans="4:37" ht="18.75" customHeight="1" x14ac:dyDescent="0.35">
      <c r="D79" s="475" t="s">
        <v>320</v>
      </c>
      <c r="E79" s="158"/>
      <c r="F79" s="159"/>
      <c r="G79" s="965"/>
      <c r="H79" s="965"/>
      <c r="I79" s="965"/>
      <c r="J79" s="77">
        <f t="shared" ref="J79:Z79" si="30">(J78+J75)/(J76+J77)</f>
        <v>0.37174211248285322</v>
      </c>
      <c r="K79" s="77">
        <f t="shared" si="30"/>
        <v>0.73913043478260865</v>
      </c>
      <c r="L79" s="77">
        <f t="shared" si="30"/>
        <v>0.71232876712328774</v>
      </c>
      <c r="M79" s="77" t="e">
        <f t="shared" si="30"/>
        <v>#DIV/0!</v>
      </c>
      <c r="N79" s="77">
        <f t="shared" si="30"/>
        <v>0.37311385459533603</v>
      </c>
      <c r="O79" s="77">
        <f t="shared" si="30"/>
        <v>0.42389758179231868</v>
      </c>
      <c r="P79" s="77">
        <f t="shared" si="30"/>
        <v>0.48588410104011892</v>
      </c>
      <c r="Q79" s="77">
        <f t="shared" si="30"/>
        <v>0.55279503105590044</v>
      </c>
      <c r="R79" s="77">
        <f t="shared" si="30"/>
        <v>0.58730158730158732</v>
      </c>
      <c r="S79" s="77">
        <f t="shared" si="30"/>
        <v>0.47058823529411764</v>
      </c>
      <c r="T79" s="77">
        <f t="shared" si="30"/>
        <v>0.44092219020172907</v>
      </c>
      <c r="U79" s="77">
        <f t="shared" si="30"/>
        <v>0.52439024390243916</v>
      </c>
      <c r="V79" s="77">
        <f t="shared" si="30"/>
        <v>0.59235668789808915</v>
      </c>
      <c r="W79" s="77">
        <f t="shared" si="30"/>
        <v>0.61812297734627841</v>
      </c>
      <c r="X79" s="77">
        <f t="shared" si="30"/>
        <v>0.51975683890577518</v>
      </c>
      <c r="Y79" s="587">
        <f t="shared" si="30"/>
        <v>0.65289256198347112</v>
      </c>
      <c r="Z79" s="77">
        <f t="shared" si="30"/>
        <v>0.65016501650165015</v>
      </c>
      <c r="AA79" s="77">
        <f t="shared" ref="AA79:AH79" si="31">(AA78+AA75)/(AA76+AA77)</f>
        <v>0.65016501650165015</v>
      </c>
      <c r="AB79" s="77">
        <f t="shared" si="31"/>
        <v>0.65016501650165015</v>
      </c>
      <c r="AC79" s="77">
        <f t="shared" si="31"/>
        <v>0.65016501650165015</v>
      </c>
      <c r="AD79" s="77">
        <f t="shared" si="31"/>
        <v>0.65016501650165015</v>
      </c>
      <c r="AE79" s="77">
        <f t="shared" si="31"/>
        <v>0.65016501650165015</v>
      </c>
      <c r="AF79" s="77">
        <f t="shared" si="31"/>
        <v>0.65016501650165015</v>
      </c>
      <c r="AG79" s="77">
        <f t="shared" si="31"/>
        <v>0.65016501650165015</v>
      </c>
      <c r="AH79" s="77">
        <f t="shared" si="31"/>
        <v>0.65016501650165015</v>
      </c>
      <c r="AI79" s="77">
        <f t="shared" ref="AI79:AK79" si="32">(AI78+AI75)/(AI76+AI77)</f>
        <v>0.65016501650165015</v>
      </c>
      <c r="AJ79" s="77">
        <f t="shared" si="32"/>
        <v>0.65016501650165015</v>
      </c>
      <c r="AK79" s="77">
        <f t="shared" si="32"/>
        <v>0.65016501650165015</v>
      </c>
    </row>
    <row r="80" spans="4:37" ht="18.75" customHeight="1" x14ac:dyDescent="0.35">
      <c r="D80" s="75" t="s">
        <v>68</v>
      </c>
      <c r="E80" s="2699" t="s">
        <v>69</v>
      </c>
      <c r="F80" s="2700" t="s">
        <v>17</v>
      </c>
      <c r="G80" s="47"/>
      <c r="H80" s="952"/>
      <c r="I80" s="952"/>
      <c r="J80" s="47"/>
      <c r="K80" s="55"/>
      <c r="L80" s="55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195"/>
      <c r="Y80" s="590"/>
      <c r="Z80" s="172"/>
      <c r="AA80" s="172"/>
      <c r="AB80" s="172"/>
      <c r="AC80" s="172"/>
      <c r="AD80" s="172"/>
      <c r="AE80" s="172"/>
      <c r="AF80" s="172"/>
      <c r="AG80" s="172"/>
      <c r="AH80" s="172"/>
      <c r="AI80" s="172"/>
      <c r="AJ80" s="172"/>
      <c r="AK80" s="172"/>
    </row>
    <row r="81" spans="4:37" ht="18.75" customHeight="1" x14ac:dyDescent="0.35">
      <c r="D81" s="44" t="s">
        <v>70</v>
      </c>
      <c r="E81" s="2678"/>
      <c r="F81" s="2701"/>
      <c r="G81" s="952"/>
      <c r="H81" s="960"/>
      <c r="I81" s="952"/>
      <c r="J81" s="47"/>
      <c r="K81" s="55"/>
      <c r="L81" s="55"/>
      <c r="M81" s="56"/>
      <c r="N81" s="88">
        <v>0.2467</v>
      </c>
      <c r="O81" s="88">
        <v>0.216</v>
      </c>
      <c r="P81" s="88">
        <v>0.31659999999999999</v>
      </c>
      <c r="Q81" s="88">
        <v>0.2442</v>
      </c>
      <c r="R81" s="88">
        <v>0.22320000000000001</v>
      </c>
      <c r="S81" s="88">
        <v>0.24149999999999999</v>
      </c>
      <c r="T81" s="88">
        <v>0.22919999999999999</v>
      </c>
      <c r="U81" s="88">
        <v>0.1784</v>
      </c>
      <c r="V81" s="56"/>
      <c r="W81" s="56"/>
      <c r="X81" s="195"/>
      <c r="Y81" s="591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</row>
    <row r="82" spans="4:37" ht="18.75" customHeight="1" x14ac:dyDescent="0.35">
      <c r="D82" s="44" t="s">
        <v>71</v>
      </c>
      <c r="E82" s="2678"/>
      <c r="F82" s="2701"/>
      <c r="G82" s="952"/>
      <c r="H82" s="960"/>
      <c r="I82" s="952"/>
      <c r="J82" s="47"/>
      <c r="K82" s="55"/>
      <c r="L82" s="55"/>
      <c r="M82" s="56"/>
      <c r="N82" s="88">
        <v>0.9375</v>
      </c>
      <c r="O82" s="88">
        <v>0.99419999999999997</v>
      </c>
      <c r="P82" s="88">
        <v>0.80189999999999995</v>
      </c>
      <c r="Q82" s="88">
        <v>0.91239999999999999</v>
      </c>
      <c r="R82" s="88">
        <v>0.98360000000000003</v>
      </c>
      <c r="S82" s="88">
        <v>0.95920000000000005</v>
      </c>
      <c r="T82" s="88">
        <v>0.8468</v>
      </c>
      <c r="U82" s="88">
        <v>0.93030000000000002</v>
      </c>
      <c r="V82" s="56"/>
      <c r="W82" s="56"/>
      <c r="X82" s="195"/>
      <c r="Y82" s="591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</row>
    <row r="83" spans="4:37" ht="18.75" customHeight="1" x14ac:dyDescent="0.35">
      <c r="D83" s="44" t="s">
        <v>72</v>
      </c>
      <c r="E83" s="2678"/>
      <c r="F83" s="2701"/>
      <c r="G83" s="952"/>
      <c r="H83" s="960"/>
      <c r="I83" s="952"/>
      <c r="J83" s="47"/>
      <c r="K83" s="55"/>
      <c r="L83" s="55"/>
      <c r="M83" s="56"/>
      <c r="N83" s="88">
        <v>1.24</v>
      </c>
      <c r="O83" s="88">
        <v>1.27</v>
      </c>
      <c r="P83" s="88">
        <v>1.17</v>
      </c>
      <c r="Q83" s="88">
        <v>1.21</v>
      </c>
      <c r="R83" s="88">
        <v>1.27</v>
      </c>
      <c r="S83" s="88">
        <v>1.26</v>
      </c>
      <c r="T83" s="88">
        <v>1.1000000000000001</v>
      </c>
      <c r="U83" s="88">
        <v>1.1299999999999999</v>
      </c>
      <c r="V83" s="56"/>
      <c r="W83" s="56"/>
      <c r="X83" s="195"/>
      <c r="Y83" s="591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</row>
    <row r="84" spans="4:37" ht="18.75" customHeight="1" x14ac:dyDescent="0.35">
      <c r="D84" s="44" t="s">
        <v>73</v>
      </c>
      <c r="E84" s="2678"/>
      <c r="F84" s="2701"/>
      <c r="G84" s="952"/>
      <c r="H84" s="960"/>
      <c r="I84" s="952"/>
      <c r="J84" s="47"/>
      <c r="K84" s="55"/>
      <c r="L84" s="55"/>
      <c r="M84" s="56"/>
      <c r="N84" s="88">
        <v>0.75329999999999997</v>
      </c>
      <c r="O84" s="88">
        <v>0.78400000000000003</v>
      </c>
      <c r="P84" s="88">
        <v>0.68340000000000001</v>
      </c>
      <c r="Q84" s="88">
        <v>0.75580000000000003</v>
      </c>
      <c r="R84" s="88">
        <v>0.77680000000000005</v>
      </c>
      <c r="S84" s="88">
        <v>0.75849999999999995</v>
      </c>
      <c r="T84" s="88">
        <v>0.77080000000000004</v>
      </c>
      <c r="U84" s="88">
        <v>0.8216</v>
      </c>
      <c r="V84" s="56"/>
      <c r="W84" s="56"/>
      <c r="X84" s="195"/>
      <c r="Y84" s="591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</row>
    <row r="85" spans="4:37" ht="18.75" customHeight="1" x14ac:dyDescent="0.35">
      <c r="D85" s="44" t="s">
        <v>74</v>
      </c>
      <c r="E85" s="2678"/>
      <c r="F85" s="2701"/>
      <c r="G85" s="965"/>
      <c r="H85" s="960"/>
      <c r="I85" s="965"/>
      <c r="J85" s="47"/>
      <c r="K85" s="55"/>
      <c r="L85" s="55"/>
      <c r="M85" s="56"/>
      <c r="N85" s="88">
        <v>92</v>
      </c>
      <c r="O85" s="88">
        <v>102</v>
      </c>
      <c r="P85" s="88">
        <v>78</v>
      </c>
      <c r="Q85" s="88">
        <v>91</v>
      </c>
      <c r="R85" s="88">
        <v>94</v>
      </c>
      <c r="S85" s="88">
        <v>94</v>
      </c>
      <c r="T85" s="88">
        <v>80</v>
      </c>
      <c r="U85" s="88">
        <v>93</v>
      </c>
      <c r="V85" s="56"/>
      <c r="W85" s="56"/>
      <c r="X85" s="195"/>
      <c r="Y85" s="591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</row>
    <row r="86" spans="4:37" ht="18.75" customHeight="1" thickBot="1" x14ac:dyDescent="0.4">
      <c r="D86" s="507" t="s">
        <v>75</v>
      </c>
      <c r="E86" s="2678"/>
      <c r="F86" s="2701"/>
      <c r="G86" s="967"/>
      <c r="H86" s="966"/>
      <c r="I86" s="967"/>
      <c r="J86" s="509"/>
      <c r="K86" s="510"/>
      <c r="L86" s="510"/>
      <c r="M86" s="511"/>
      <c r="N86" s="512">
        <v>75</v>
      </c>
      <c r="O86" s="512">
        <v>78</v>
      </c>
      <c r="P86" s="512">
        <v>68</v>
      </c>
      <c r="Q86" s="512">
        <v>76</v>
      </c>
      <c r="R86" s="512">
        <v>78</v>
      </c>
      <c r="S86" s="512">
        <v>76</v>
      </c>
      <c r="T86" s="512">
        <v>77</v>
      </c>
      <c r="U86" s="512">
        <v>82</v>
      </c>
      <c r="V86" s="511"/>
      <c r="W86" s="511"/>
      <c r="X86" s="565"/>
      <c r="Y86" s="593"/>
      <c r="Z86" s="598"/>
      <c r="AA86" s="598"/>
      <c r="AB86" s="598"/>
      <c r="AC86" s="598"/>
      <c r="AD86" s="598"/>
      <c r="AE86" s="598"/>
      <c r="AF86" s="598"/>
      <c r="AG86" s="598"/>
      <c r="AH86" s="598"/>
      <c r="AI86" s="598"/>
      <c r="AJ86" s="598"/>
      <c r="AK86" s="598"/>
    </row>
    <row r="87" spans="4:37" ht="19.5" customHeight="1" x14ac:dyDescent="0.35">
      <c r="D87" s="513" t="s">
        <v>76</v>
      </c>
      <c r="E87" s="514" t="s">
        <v>77</v>
      </c>
      <c r="F87" s="515" t="s">
        <v>36</v>
      </c>
      <c r="G87" s="983" t="s">
        <v>878</v>
      </c>
      <c r="H87" s="968"/>
      <c r="I87" s="968"/>
      <c r="J87" s="517">
        <f>'HPS DAILY'!K87-((0.759)*('HPS DAILY'!K87^(2/3)))</f>
        <v>5.8811789868414621</v>
      </c>
      <c r="K87" s="517">
        <f>'HPS DAILY'!L87-((0.759)*('HPS DAILY'!L87^(2/3)))</f>
        <v>6.0593251978638731</v>
      </c>
      <c r="L87" s="517">
        <f>'HPS DAILY'!M87-((0.759)*('HPS DAILY'!M87^(2/3)))</f>
        <v>6.8021423460261694</v>
      </c>
      <c r="M87" s="517">
        <f>'HPS DAILY'!N87-((0.759)*('HPS DAILY'!N87^(2/3)))</f>
        <v>6.9544224362786862</v>
      </c>
      <c r="N87" s="517">
        <f>'HPS DAILY'!O87-((0.759)*('HPS DAILY'!O87^(2/3)))</f>
        <v>2.0262369202247994</v>
      </c>
      <c r="O87" s="517">
        <f>'HPS DAILY'!P87-((0.759)*('HPS DAILY'!P87^(2/3)))</f>
        <v>2.2379402460190003</v>
      </c>
      <c r="P87" s="517">
        <f>'HPS DAILY'!Q87-((0.759)*('HPS DAILY'!Q87^(2/3)))</f>
        <v>2.7384608723934347</v>
      </c>
      <c r="Q87" s="517">
        <f>'HPS DAILY'!R87-((0.759)*('HPS DAILY'!R87^(2/3)))</f>
        <v>2.8653018081842569</v>
      </c>
      <c r="R87" s="517">
        <f>'HPS DAILY'!S87-((0.759)*('HPS DAILY'!S87^(2/3)))</f>
        <v>3.2637566800478264</v>
      </c>
      <c r="S87" s="517">
        <f>'HPS DAILY'!T87-((0.759)*('HPS DAILY'!T87^(2/3)))</f>
        <v>3.2852562528549809</v>
      </c>
      <c r="T87" s="517">
        <f>'HPS DAILY'!U87-((0.759)*('HPS DAILY'!U87^(2/3)))</f>
        <v>3.4649881322676248</v>
      </c>
      <c r="U87" s="517">
        <f>'HPS DAILY'!V87-((0.759)*('HPS DAILY'!V87^(2/3)))</f>
        <v>3.3714022543614504</v>
      </c>
      <c r="V87" s="517">
        <f>'HPS DAILY'!W87-((0.759)*('HPS DAILY'!W87^(2/3)))</f>
        <v>3.5443825475399624</v>
      </c>
      <c r="W87" s="517">
        <f>'HPS DAILY'!X87-((0.759)*('HPS DAILY'!X87^(2/3)))</f>
        <v>0</v>
      </c>
      <c r="X87" s="517">
        <f>'HPS DAILY'!Y87-((0.759)*('HPS DAILY'!Y87^(2/3)))</f>
        <v>0</v>
      </c>
      <c r="Y87" s="517">
        <f>'HPS DAILY'!Z87-((0.759)*('HPS DAILY'!Z87^(2/3)))</f>
        <v>0</v>
      </c>
      <c r="Z87" s="517">
        <f>'HPS DAILY'!AA87-((0.759)*('HPS DAILY'!AA87^(2/3)))</f>
        <v>0</v>
      </c>
      <c r="AA87" s="517">
        <f>'HPS DAILY'!AB87-((0.759)*('HPS DAILY'!AB87^(2/3)))</f>
        <v>0</v>
      </c>
      <c r="AB87" s="517">
        <f>'HPS DAILY'!AC87-((0.759)*('HPS DAILY'!AC87^(2/3)))</f>
        <v>0</v>
      </c>
      <c r="AC87" s="517">
        <f>'HPS DAILY'!AD87-((0.759)*('HPS DAILY'!AD87^(2/3)))</f>
        <v>0</v>
      </c>
      <c r="AD87" s="517">
        <f>'HPS DAILY'!AE87-((0.759)*('HPS DAILY'!AE87^(2/3)))</f>
        <v>0</v>
      </c>
      <c r="AE87" s="517">
        <f>'HPS DAILY'!AF87-((0.759)*('HPS DAILY'!AF87^(2/3)))</f>
        <v>0</v>
      </c>
      <c r="AF87" s="517">
        <f>'HPS DAILY'!AG87-((0.759)*('HPS DAILY'!AG87^(2/3)))</f>
        <v>0</v>
      </c>
      <c r="AG87" s="517">
        <f>'HPS DAILY'!AH87-((0.759)*('HPS DAILY'!AH87^(2/3)))</f>
        <v>0</v>
      </c>
      <c r="AH87" s="517">
        <f>'HPS DAILY'!AI87-((0.759)*('HPS DAILY'!AI87^(2/3)))</f>
        <v>0</v>
      </c>
      <c r="AI87" s="517">
        <f>'HPS DAILY'!AJ87-((0.759)*('HPS DAILY'!AJ87^(2/3)))</f>
        <v>0</v>
      </c>
      <c r="AJ87" s="517">
        <f>'HPS DAILY'!AK87-((0.759)*('HPS DAILY'!AK87^(2/3)))</f>
        <v>0</v>
      </c>
      <c r="AK87" s="517">
        <f>'HPS DAILY'!AL87-((0.759)*('HPS DAILY'!AL87^(2/3)))</f>
        <v>0</v>
      </c>
    </row>
    <row r="88" spans="4:37" ht="19.5" customHeight="1" x14ac:dyDescent="0.35">
      <c r="D88" s="44" t="s">
        <v>78</v>
      </c>
      <c r="E88" s="58" t="s">
        <v>79</v>
      </c>
      <c r="F88" s="102" t="s">
        <v>36</v>
      </c>
      <c r="G88" s="48">
        <v>2.78</v>
      </c>
      <c r="H88" s="952"/>
      <c r="I88" s="952"/>
      <c r="J88" s="84">
        <f>'HPS DAILY'!K88-$G88</f>
        <v>1.0020000000000002</v>
      </c>
      <c r="K88" s="84">
        <f>'HPS DAILY'!L88-$G88</f>
        <v>1.3839999999999999</v>
      </c>
      <c r="L88" s="84">
        <f>'HPS DAILY'!M88-$G88</f>
        <v>2.65</v>
      </c>
      <c r="M88" s="84">
        <f>'HPS DAILY'!N88-$G88</f>
        <v>2.5920000000000001</v>
      </c>
      <c r="N88" s="84">
        <f>'HPS DAILY'!O88-$G88</f>
        <v>-1.4539999999999997</v>
      </c>
      <c r="O88" s="84">
        <f>'HPS DAILY'!P88-$G88</f>
        <v>-1.3199999999999998</v>
      </c>
      <c r="P88" s="84">
        <f>'HPS DAILY'!Q88-$G88</f>
        <v>-1.3199999999999998</v>
      </c>
      <c r="Q88" s="84">
        <f>'HPS DAILY'!R88-$G88</f>
        <v>-0.43999999999999995</v>
      </c>
      <c r="R88" s="84">
        <f>'HPS DAILY'!S88-$G88</f>
        <v>0.12000000000000011</v>
      </c>
      <c r="S88" s="84">
        <f>'HPS DAILY'!T88-$G88</f>
        <v>-0.36999999999999966</v>
      </c>
      <c r="T88" s="84">
        <f>'HPS DAILY'!U88-$G88</f>
        <v>0.16000000000000014</v>
      </c>
      <c r="U88" s="84">
        <f>'HPS DAILY'!V88-$G88</f>
        <v>0.13000000000000034</v>
      </c>
      <c r="V88" s="84">
        <f>'HPS DAILY'!W88-$G88</f>
        <v>-0.25999999999999979</v>
      </c>
      <c r="W88" s="84">
        <f>'HPS DAILY'!X88-$G88</f>
        <v>-2.78</v>
      </c>
      <c r="X88" s="84">
        <f>'HPS DAILY'!Y88-$G88</f>
        <v>-2.78</v>
      </c>
      <c r="Y88" s="84">
        <f>'HPS DAILY'!Z88-$G88</f>
        <v>-2.78</v>
      </c>
      <c r="Z88" s="84">
        <f>'HPS DAILY'!AA88-$G88</f>
        <v>-2.78</v>
      </c>
      <c r="AA88" s="84">
        <f>'HPS DAILY'!AB88-$G88</f>
        <v>-2.78</v>
      </c>
      <c r="AB88" s="84">
        <f>'HPS DAILY'!AC88-$G88</f>
        <v>-2.78</v>
      </c>
      <c r="AC88" s="84">
        <f>'HPS DAILY'!AD88-$G88</f>
        <v>-2.78</v>
      </c>
      <c r="AD88" s="84">
        <f>'HPS DAILY'!AE88-$G88</f>
        <v>-2.78</v>
      </c>
      <c r="AE88" s="84">
        <f>'HPS DAILY'!AF88-$G88</f>
        <v>-2.78</v>
      </c>
      <c r="AF88" s="84">
        <f>'HPS DAILY'!AG88-$G88</f>
        <v>-2.78</v>
      </c>
      <c r="AG88" s="84">
        <f>'HPS DAILY'!AH88-$G88</f>
        <v>-2.78</v>
      </c>
      <c r="AH88" s="84">
        <f>'HPS DAILY'!AI88-$G88</f>
        <v>-2.78</v>
      </c>
      <c r="AI88" s="84">
        <f>'HPS DAILY'!AJ88-$G88</f>
        <v>-2.78</v>
      </c>
      <c r="AJ88" s="84">
        <f>'HPS DAILY'!AK88-$G88</f>
        <v>-2.78</v>
      </c>
      <c r="AK88" s="84">
        <f>'HPS DAILY'!AL88-$G88</f>
        <v>-2.78</v>
      </c>
    </row>
    <row r="89" spans="4:37" ht="19.5" customHeight="1" x14ac:dyDescent="0.35">
      <c r="D89" s="44" t="s">
        <v>80</v>
      </c>
      <c r="E89" s="161" t="s">
        <v>81</v>
      </c>
      <c r="F89" s="59" t="s">
        <v>36</v>
      </c>
      <c r="G89" s="982" t="s">
        <v>877</v>
      </c>
      <c r="H89" s="952"/>
      <c r="I89" s="952"/>
      <c r="J89" s="77">
        <f>'HPS DAILY'!K89-((4.681*10^-2)*('HPS DAILY'!K89+3))</f>
        <v>11.874529949999999</v>
      </c>
      <c r="K89" s="77">
        <f>'HPS DAILY'!L89-((4.681*10^-2)*('HPS DAILY'!L89+3))</f>
        <v>13.394867999999999</v>
      </c>
      <c r="L89" s="77">
        <f>'HPS DAILY'!M89-((4.681*10^-2)*('HPS DAILY'!M89+3))</f>
        <v>13.633165499999999</v>
      </c>
      <c r="M89" s="77">
        <f>'HPS DAILY'!N89-((4.681*10^-2)*('HPS DAILY'!N89+3))</f>
        <v>13.680825</v>
      </c>
      <c r="N89" s="77">
        <f>'HPS DAILY'!O89-((4.681*10^-2)*('HPS DAILY'!O89+3))</f>
        <v>6.5033042999999999</v>
      </c>
      <c r="O89" s="77">
        <f>'HPS DAILY'!P89-((4.681*10^-2)*('HPS DAILY'!P89+3))</f>
        <v>6.7225380000000001</v>
      </c>
      <c r="P89" s="77">
        <f>'HPS DAILY'!Q89-((4.681*10^-2)*('HPS DAILY'!Q89+3))</f>
        <v>7.3707072</v>
      </c>
      <c r="Q89" s="77">
        <f>'HPS DAILY'!R89-((4.681*10^-2)*('HPS DAILY'!R89+3))</f>
        <v>7.7710470000000003</v>
      </c>
      <c r="R89" s="77">
        <f>'HPS DAILY'!S89-((4.681*10^-2)*('HPS DAILY'!S89+3))</f>
        <v>8.1046635000000009</v>
      </c>
      <c r="S89" s="77">
        <f>'HPS DAILY'!T89-((4.681*10^-2)*('HPS DAILY'!T89+3))</f>
        <v>8.2857696000000001</v>
      </c>
      <c r="T89" s="77">
        <f>'HPS DAILY'!U89-((4.681*10^-2)*('HPS DAILY'!U89+3))</f>
        <v>8.5431308999999995</v>
      </c>
      <c r="U89" s="77">
        <f>'HPS DAILY'!V89-((4.681*10^-2)*('HPS DAILY'!V89+3))</f>
        <v>9.1817681999999987</v>
      </c>
      <c r="V89" s="77">
        <f>'HPS DAILY'!W89-((4.681*10^-2)*('HPS DAILY'!W89+3))</f>
        <v>8.9148750000000003</v>
      </c>
      <c r="W89" s="77">
        <f>'HPS DAILY'!X89-((4.681*10^-2)*('HPS DAILY'!X89+3))</f>
        <v>-0.14043</v>
      </c>
      <c r="X89" s="77">
        <f>'HPS DAILY'!Y89-((4.681*10^-2)*('HPS DAILY'!Y89+3))</f>
        <v>-0.14043</v>
      </c>
      <c r="Y89" s="77">
        <f>'HPS DAILY'!Z89-((4.681*10^-2)*('HPS DAILY'!Z89+3))</f>
        <v>-0.14043</v>
      </c>
      <c r="Z89" s="77">
        <f>'HPS DAILY'!AA89-((4.681*10^-2)*('HPS DAILY'!AA89+3))</f>
        <v>-0.14043</v>
      </c>
      <c r="AA89" s="77">
        <f>'HPS DAILY'!AB89-((4.681*10^-2)*('HPS DAILY'!AB89+3))</f>
        <v>-0.14043</v>
      </c>
      <c r="AB89" s="77">
        <f>'HPS DAILY'!AC89-((4.681*10^-2)*('HPS DAILY'!AC89+3))</f>
        <v>-0.14043</v>
      </c>
      <c r="AC89" s="77">
        <f>'HPS DAILY'!AD89-((4.681*10^-2)*('HPS DAILY'!AD89+3))</f>
        <v>-0.14043</v>
      </c>
      <c r="AD89" s="77">
        <f>'HPS DAILY'!AE89-((4.681*10^-2)*('HPS DAILY'!AE89+3))</f>
        <v>-0.14043</v>
      </c>
      <c r="AE89" s="77">
        <f>'HPS DAILY'!AF89-((4.681*10^-2)*('HPS DAILY'!AF89+3))</f>
        <v>-0.14043</v>
      </c>
      <c r="AF89" s="77">
        <f>'HPS DAILY'!AG89-((4.681*10^-2)*('HPS DAILY'!AG89+3))</f>
        <v>-0.14043</v>
      </c>
      <c r="AG89" s="77">
        <f>'HPS DAILY'!AH89-((4.681*10^-2)*('HPS DAILY'!AH89+3))</f>
        <v>-0.14043</v>
      </c>
      <c r="AH89" s="77">
        <f>'HPS DAILY'!AI89-((4.681*10^-2)*('HPS DAILY'!AI89+3))</f>
        <v>-0.14043</v>
      </c>
      <c r="AI89" s="77">
        <f>'HPS DAILY'!AJ89-((4.681*10^-2)*('HPS DAILY'!AJ89+3))</f>
        <v>-0.14043</v>
      </c>
      <c r="AJ89" s="77">
        <f>'HPS DAILY'!AK89-((4.681*10^-2)*('HPS DAILY'!AK89+3))</f>
        <v>-0.14043</v>
      </c>
      <c r="AK89" s="77">
        <f>'HPS DAILY'!AL89-((4.681*10^-2)*('HPS DAILY'!AL89+3))</f>
        <v>-0.14043</v>
      </c>
    </row>
    <row r="90" spans="4:37" ht="19.5" customHeight="1" thickBot="1" x14ac:dyDescent="0.4">
      <c r="D90" s="116" t="s">
        <v>82</v>
      </c>
      <c r="E90" s="117" t="s">
        <v>83</v>
      </c>
      <c r="F90" s="118" t="s">
        <v>36</v>
      </c>
      <c r="G90" s="984" t="s">
        <v>879</v>
      </c>
      <c r="H90" s="969"/>
      <c r="I90" s="969"/>
      <c r="J90" s="504">
        <f>'HPS DAILY'!K90-((0.174)*('HPS DAILY'!K90^(1/2)))</f>
        <v>0</v>
      </c>
      <c r="K90" s="504">
        <f>'HPS DAILY'!L90-((0.174)*('HPS DAILY'!L90^(1/2)))</f>
        <v>0</v>
      </c>
      <c r="L90" s="504">
        <f>'HPS DAILY'!M90-((0.174)*('HPS DAILY'!M90^(1/2)))</f>
        <v>45.313478192362233</v>
      </c>
      <c r="M90" s="504">
        <f>'HPS DAILY'!N90-((0.174)*('HPS DAILY'!N90^(1/2)))</f>
        <v>46.458769730651113</v>
      </c>
      <c r="N90" s="504">
        <f>'HPS DAILY'!O90-((0.174)*('HPS DAILY'!O90^(1/2)))</f>
        <v>228.6537122605431</v>
      </c>
      <c r="O90" s="504">
        <f>'HPS DAILY'!P90-((0.174)*('HPS DAILY'!P90^(1/2)))</f>
        <v>682.81807969381316</v>
      </c>
      <c r="P90" s="504">
        <f>'HPS DAILY'!Q90-((0.174)*('HPS DAILY'!Q90^(1/2)))</f>
        <v>517.04829992068881</v>
      </c>
      <c r="Q90" s="504">
        <f>'HPS DAILY'!R90-((0.174)*('HPS DAILY'!R90^(1/2)))</f>
        <v>401.41866340949633</v>
      </c>
      <c r="R90" s="504">
        <f>'HPS DAILY'!S90-((0.174)*('HPS DAILY'!S90^(1/2)))</f>
        <v>302.2895771544076</v>
      </c>
      <c r="S90" s="504">
        <f>'HPS DAILY'!T90-((0.174)*('HPS DAILY'!T90^(1/2)))</f>
        <v>99.568553649123089</v>
      </c>
      <c r="T90" s="504">
        <f>'HPS DAILY'!U90-((0.174)*('HPS DAILY'!U90^(1/2)))</f>
        <v>376.13025848773094</v>
      </c>
      <c r="U90" s="504">
        <f>'HPS DAILY'!V90-((0.174)*('HPS DAILY'!V90^(1/2)))</f>
        <v>151.3442249653547</v>
      </c>
      <c r="V90" s="504">
        <f>'HPS DAILY'!W90-((0.174)*('HPS DAILY'!W90^(1/2)))</f>
        <v>128.43289257462007</v>
      </c>
      <c r="W90" s="504">
        <f>'HPS DAILY'!X90-((0.174)*('HPS DAILY'!X90^(1/2)))</f>
        <v>0</v>
      </c>
      <c r="X90" s="504">
        <f>'HPS DAILY'!Y90-((0.174)*('HPS DAILY'!Y90^(1/2)))</f>
        <v>0</v>
      </c>
      <c r="Y90" s="595">
        <v>16439</v>
      </c>
      <c r="Z90" s="600">
        <v>19799</v>
      </c>
      <c r="AA90" s="600">
        <v>19800</v>
      </c>
      <c r="AB90" s="600">
        <v>19801</v>
      </c>
      <c r="AC90" s="600">
        <v>19802</v>
      </c>
      <c r="AD90" s="600">
        <v>19803</v>
      </c>
      <c r="AE90" s="600">
        <v>19804</v>
      </c>
      <c r="AF90" s="600">
        <v>19805</v>
      </c>
      <c r="AG90" s="600">
        <v>19806</v>
      </c>
      <c r="AH90" s="600">
        <v>19807</v>
      </c>
      <c r="AI90" s="600">
        <v>19807</v>
      </c>
      <c r="AJ90" s="600">
        <v>19807</v>
      </c>
      <c r="AK90" s="600">
        <v>19807</v>
      </c>
    </row>
    <row r="91" spans="4:37" ht="16.5" thickBot="1" x14ac:dyDescent="0.4">
      <c r="H91" s="970"/>
      <c r="I91" s="970"/>
      <c r="X91" s="18"/>
      <c r="Y91" s="596"/>
    </row>
    <row r="92" spans="4:37" ht="16.5" thickBot="1" x14ac:dyDescent="0.4">
      <c r="D92" s="19" t="s">
        <v>11</v>
      </c>
      <c r="E92" s="20" t="s">
        <v>12</v>
      </c>
      <c r="F92" s="20" t="s">
        <v>13</v>
      </c>
      <c r="G92" s="20"/>
      <c r="H92" s="971"/>
      <c r="I92" s="971"/>
      <c r="J92" s="20" t="s">
        <v>2</v>
      </c>
      <c r="K92" s="20" t="s">
        <v>2</v>
      </c>
      <c r="L92" s="20" t="s">
        <v>2</v>
      </c>
      <c r="M92" s="20" t="s">
        <v>2</v>
      </c>
      <c r="N92" s="20" t="s">
        <v>2</v>
      </c>
      <c r="O92" s="20" t="s">
        <v>2</v>
      </c>
      <c r="P92" s="20" t="s">
        <v>2</v>
      </c>
      <c r="Q92" s="20" t="s">
        <v>2</v>
      </c>
      <c r="R92" s="20" t="s">
        <v>2</v>
      </c>
      <c r="S92" s="20" t="s">
        <v>2</v>
      </c>
      <c r="T92" s="20" t="s">
        <v>2</v>
      </c>
      <c r="U92" s="20" t="s">
        <v>2</v>
      </c>
      <c r="V92" s="20" t="s">
        <v>2</v>
      </c>
      <c r="W92" s="20" t="s">
        <v>2</v>
      </c>
      <c r="X92" s="20" t="s">
        <v>2</v>
      </c>
      <c r="Y92" s="20" t="s">
        <v>2</v>
      </c>
      <c r="Z92" s="20" t="s">
        <v>2</v>
      </c>
      <c r="AA92" s="20" t="s">
        <v>2</v>
      </c>
      <c r="AB92" s="20" t="s">
        <v>2</v>
      </c>
      <c r="AC92" s="20" t="s">
        <v>2</v>
      </c>
      <c r="AD92" s="20" t="s">
        <v>2</v>
      </c>
      <c r="AE92" s="20" t="s">
        <v>2</v>
      </c>
      <c r="AF92" s="20" t="s">
        <v>2</v>
      </c>
      <c r="AG92" s="20" t="s">
        <v>2</v>
      </c>
      <c r="AH92" s="20" t="s">
        <v>2</v>
      </c>
      <c r="AI92" s="20" t="s">
        <v>2</v>
      </c>
      <c r="AJ92" s="20" t="s">
        <v>2</v>
      </c>
      <c r="AK92" s="20" t="s">
        <v>2</v>
      </c>
    </row>
    <row r="93" spans="4:37" s="18" customFormat="1" x14ac:dyDescent="0.35">
      <c r="D93" s="23" t="s">
        <v>45</v>
      </c>
      <c r="E93" s="2707" t="s">
        <v>84</v>
      </c>
      <c r="F93" s="2710" t="s">
        <v>164</v>
      </c>
      <c r="G93" s="120">
        <v>0.09</v>
      </c>
      <c r="H93" s="972"/>
      <c r="I93" s="972"/>
      <c r="J93" s="487">
        <v>37.869999999999997</v>
      </c>
      <c r="K93" s="487">
        <v>5.4</v>
      </c>
      <c r="L93" s="487">
        <v>13.51</v>
      </c>
      <c r="M93" s="487">
        <v>5.58</v>
      </c>
      <c r="N93" s="487">
        <v>2</v>
      </c>
      <c r="O93" s="487">
        <v>2.11</v>
      </c>
      <c r="P93" s="487">
        <v>1.78</v>
      </c>
      <c r="Q93" s="487">
        <v>1.99</v>
      </c>
      <c r="R93" s="487">
        <v>2</v>
      </c>
      <c r="S93" s="487">
        <v>2.1</v>
      </c>
      <c r="T93" s="487">
        <v>1.9</v>
      </c>
      <c r="U93" s="487">
        <v>2.93</v>
      </c>
      <c r="V93" s="487">
        <v>3.02</v>
      </c>
      <c r="W93" s="120">
        <v>0.99</v>
      </c>
      <c r="X93" s="204">
        <v>1.2</v>
      </c>
      <c r="Y93" s="204">
        <v>1.2</v>
      </c>
      <c r="Z93" s="204">
        <v>1.2</v>
      </c>
      <c r="AA93" s="204"/>
      <c r="AB93" s="204"/>
      <c r="AC93" s="204"/>
      <c r="AD93" s="204"/>
      <c r="AE93" s="204"/>
      <c r="AF93" s="204"/>
      <c r="AG93" s="204"/>
      <c r="AH93" s="204"/>
      <c r="AI93" s="204"/>
      <c r="AJ93" s="204"/>
      <c r="AK93" s="204"/>
    </row>
    <row r="94" spans="4:37" ht="18" x14ac:dyDescent="0.45">
      <c r="D94" s="30" t="s">
        <v>86</v>
      </c>
      <c r="E94" s="2708"/>
      <c r="F94" s="2711"/>
      <c r="G94" s="121">
        <v>0.04</v>
      </c>
      <c r="H94" s="973"/>
      <c r="I94" s="973"/>
      <c r="J94" s="488">
        <v>5.78</v>
      </c>
      <c r="K94" s="488">
        <v>0.2</v>
      </c>
      <c r="L94" s="488">
        <v>0.21</v>
      </c>
      <c r="M94" s="488">
        <v>0.1</v>
      </c>
      <c r="N94" s="488">
        <v>0.15</v>
      </c>
      <c r="O94" s="488">
        <v>0.19</v>
      </c>
      <c r="P94" s="488">
        <v>0.12</v>
      </c>
      <c r="Q94" s="488">
        <v>0.14000000000000001</v>
      </c>
      <c r="R94" s="488">
        <v>0.16</v>
      </c>
      <c r="S94" s="488">
        <v>0.17</v>
      </c>
      <c r="T94" s="488">
        <v>0.2</v>
      </c>
      <c r="U94" s="488">
        <v>0.33</v>
      </c>
      <c r="V94" s="488">
        <v>0.35</v>
      </c>
      <c r="W94" s="121">
        <v>0.15</v>
      </c>
      <c r="X94" s="32">
        <v>0.19</v>
      </c>
      <c r="Y94" s="32">
        <v>0.19</v>
      </c>
      <c r="Z94" s="32">
        <v>0.19</v>
      </c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</row>
    <row r="95" spans="4:37" ht="18" x14ac:dyDescent="0.35">
      <c r="D95" s="37" t="s">
        <v>87</v>
      </c>
      <c r="E95" s="2708"/>
      <c r="F95" s="2711"/>
      <c r="G95" s="121">
        <v>0.04</v>
      </c>
      <c r="H95" s="973"/>
      <c r="I95" s="973"/>
      <c r="J95" s="488">
        <v>9.36</v>
      </c>
      <c r="K95" s="488">
        <v>0.25</v>
      </c>
      <c r="L95" s="488">
        <v>0.08</v>
      </c>
      <c r="M95" s="488">
        <v>0.06</v>
      </c>
      <c r="N95" s="488">
        <v>0.22</v>
      </c>
      <c r="O95" s="488">
        <v>0.27</v>
      </c>
      <c r="P95" s="488">
        <v>0.18</v>
      </c>
      <c r="Q95" s="488">
        <v>0.2</v>
      </c>
      <c r="R95" s="488">
        <v>0.22</v>
      </c>
      <c r="S95" s="488">
        <v>0.23</v>
      </c>
      <c r="T95" s="488">
        <v>0.36</v>
      </c>
      <c r="U95" s="488">
        <v>0.53</v>
      </c>
      <c r="V95" s="488">
        <v>0.53</v>
      </c>
      <c r="W95" s="121">
        <v>0.28999999999999998</v>
      </c>
      <c r="X95" s="32">
        <v>0.34</v>
      </c>
      <c r="Y95" s="32">
        <v>0.34</v>
      </c>
      <c r="Z95" s="32">
        <v>0.34</v>
      </c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</row>
    <row r="96" spans="4:37" ht="18" x14ac:dyDescent="0.35">
      <c r="D96" s="37" t="s">
        <v>88</v>
      </c>
      <c r="E96" s="2708"/>
      <c r="F96" s="2711"/>
      <c r="G96" s="121">
        <v>0.04</v>
      </c>
      <c r="H96" s="973"/>
      <c r="I96" s="973"/>
      <c r="J96" s="488">
        <v>13.81</v>
      </c>
      <c r="K96" s="488">
        <v>0.39</v>
      </c>
      <c r="L96" s="488">
        <v>0.19</v>
      </c>
      <c r="M96" s="488">
        <v>0.08</v>
      </c>
      <c r="N96" s="488">
        <v>0.3</v>
      </c>
      <c r="O96" s="488">
        <v>0.4</v>
      </c>
      <c r="P96" s="488">
        <v>0.28999999999999998</v>
      </c>
      <c r="Q96" s="488">
        <v>0.3</v>
      </c>
      <c r="R96" s="488">
        <v>0.33</v>
      </c>
      <c r="S96" s="488">
        <v>0.32</v>
      </c>
      <c r="T96" s="488">
        <v>0.6</v>
      </c>
      <c r="U96" s="488">
        <v>0.8</v>
      </c>
      <c r="V96" s="488">
        <v>0.79</v>
      </c>
      <c r="W96" s="121">
        <v>0.46</v>
      </c>
      <c r="X96" s="32">
        <v>0.53</v>
      </c>
      <c r="Y96" s="32">
        <v>0.53</v>
      </c>
      <c r="Z96" s="32">
        <v>0.53</v>
      </c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</row>
    <row r="97" spans="4:37" ht="18" x14ac:dyDescent="0.35">
      <c r="D97" s="37" t="s">
        <v>377</v>
      </c>
      <c r="E97" s="2708"/>
      <c r="F97" s="2711"/>
      <c r="G97" s="121">
        <v>0.04</v>
      </c>
      <c r="H97" s="973"/>
      <c r="I97" s="973"/>
      <c r="J97" s="488">
        <v>12.58</v>
      </c>
      <c r="K97" s="488">
        <v>0.6</v>
      </c>
      <c r="L97" s="488">
        <v>0.7</v>
      </c>
      <c r="M97" s="488">
        <v>0.23</v>
      </c>
      <c r="N97" s="488">
        <v>0.45</v>
      </c>
      <c r="O97" s="488">
        <v>0.52</v>
      </c>
      <c r="P97" s="488">
        <v>0.41</v>
      </c>
      <c r="Q97" s="488">
        <v>0.42</v>
      </c>
      <c r="R97" s="488">
        <v>0.42</v>
      </c>
      <c r="S97" s="488">
        <v>0.4</v>
      </c>
      <c r="T97" s="488">
        <v>0.78</v>
      </c>
      <c r="U97" s="488">
        <v>0.93</v>
      </c>
      <c r="V97" s="488">
        <v>0.91</v>
      </c>
      <c r="W97" s="121">
        <v>0.56999999999999995</v>
      </c>
      <c r="X97" s="32">
        <v>0.61</v>
      </c>
      <c r="Y97" s="32">
        <v>0.61</v>
      </c>
      <c r="Z97" s="32">
        <v>0.61</v>
      </c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</row>
    <row r="98" spans="4:37" ht="18" x14ac:dyDescent="0.45">
      <c r="D98" s="23" t="s">
        <v>89</v>
      </c>
      <c r="E98" s="2708"/>
      <c r="F98" s="2711"/>
      <c r="G98" s="122">
        <v>0.09</v>
      </c>
      <c r="H98" s="972"/>
      <c r="I98" s="972"/>
      <c r="J98" s="489">
        <v>11.15</v>
      </c>
      <c r="K98" s="489">
        <v>2.58</v>
      </c>
      <c r="L98" s="489">
        <v>0.35</v>
      </c>
      <c r="M98" s="489">
        <v>0.23</v>
      </c>
      <c r="N98" s="489">
        <v>1.59</v>
      </c>
      <c r="O98" s="489">
        <v>1.48</v>
      </c>
      <c r="P98" s="489">
        <v>1.52</v>
      </c>
      <c r="Q98" s="489">
        <v>1.43</v>
      </c>
      <c r="R98" s="489">
        <v>1.31</v>
      </c>
      <c r="S98" s="489">
        <v>1.04</v>
      </c>
      <c r="T98" s="489">
        <v>1.72</v>
      </c>
      <c r="U98" s="489">
        <v>2.2000000000000002</v>
      </c>
      <c r="V98" s="489">
        <v>2.0099999999999998</v>
      </c>
      <c r="W98" s="122">
        <v>1.72</v>
      </c>
      <c r="X98" s="25">
        <v>1.44</v>
      </c>
      <c r="Y98" s="25">
        <v>1.44</v>
      </c>
      <c r="Z98" s="25">
        <v>1.44</v>
      </c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</row>
    <row r="99" spans="4:37" ht="18.5" thickBot="1" x14ac:dyDescent="0.5">
      <c r="D99" s="233" t="s">
        <v>381</v>
      </c>
      <c r="E99" s="2708"/>
      <c r="F99" s="2711"/>
      <c r="G99" s="123">
        <v>0.04</v>
      </c>
      <c r="H99" s="974"/>
      <c r="I99" s="974"/>
      <c r="J99" s="490">
        <v>2.57</v>
      </c>
      <c r="K99" s="490">
        <v>1.01</v>
      </c>
      <c r="L99" s="490">
        <v>0.55000000000000004</v>
      </c>
      <c r="M99" s="490">
        <v>0.34</v>
      </c>
      <c r="N99" s="490">
        <v>0.42</v>
      </c>
      <c r="O99" s="490">
        <v>0.36</v>
      </c>
      <c r="P99" s="490">
        <v>0.37</v>
      </c>
      <c r="Q99" s="490">
        <v>0.28000000000000003</v>
      </c>
      <c r="R99" s="490">
        <v>0.25</v>
      </c>
      <c r="S99" s="490">
        <v>0.18</v>
      </c>
      <c r="T99" s="490">
        <v>0.24</v>
      </c>
      <c r="U99" s="490">
        <v>0.4</v>
      </c>
      <c r="V99" s="490">
        <v>0.3</v>
      </c>
      <c r="W99" s="123">
        <v>0.4</v>
      </c>
      <c r="X99" s="205">
        <v>0.26</v>
      </c>
      <c r="Y99" s="205">
        <v>0.26</v>
      </c>
      <c r="Z99" s="205">
        <v>0.26</v>
      </c>
      <c r="AA99" s="205"/>
      <c r="AB99" s="205"/>
      <c r="AC99" s="205"/>
      <c r="AD99" s="205"/>
      <c r="AE99" s="205"/>
      <c r="AF99" s="205"/>
      <c r="AG99" s="205"/>
      <c r="AH99" s="205"/>
      <c r="AI99" s="205"/>
      <c r="AJ99" s="205"/>
      <c r="AK99" s="205"/>
    </row>
    <row r="100" spans="4:37" s="237" customFormat="1" ht="16.5" thickTop="1" x14ac:dyDescent="0.35">
      <c r="D100" s="234" t="s">
        <v>378</v>
      </c>
      <c r="E100" s="2708"/>
      <c r="F100" s="2711"/>
      <c r="G100" s="235">
        <v>0</v>
      </c>
      <c r="H100" s="975"/>
      <c r="I100" s="975"/>
      <c r="J100" s="447">
        <f>2.63/12.58</f>
        <v>0.20906200317965024</v>
      </c>
      <c r="K100" s="447">
        <f>0.1/K97</f>
        <v>0.16666666666666669</v>
      </c>
      <c r="L100" s="447">
        <f>0.21/L97</f>
        <v>0.3</v>
      </c>
      <c r="M100" s="447">
        <f>0.05/M97</f>
        <v>0.21739130434782608</v>
      </c>
      <c r="N100" s="447">
        <f>0.07/N97</f>
        <v>0.15555555555555556</v>
      </c>
      <c r="O100" s="447">
        <v>0.17</v>
      </c>
      <c r="P100" s="447">
        <v>0.17</v>
      </c>
      <c r="Q100" s="447">
        <v>0.17</v>
      </c>
      <c r="R100" s="447">
        <v>0.17</v>
      </c>
      <c r="S100" s="447">
        <v>0.18</v>
      </c>
      <c r="T100" s="447">
        <v>0.17</v>
      </c>
      <c r="U100" s="447">
        <v>0.19</v>
      </c>
      <c r="V100" s="447">
        <v>0.2</v>
      </c>
      <c r="W100" s="235">
        <v>0.19</v>
      </c>
      <c r="X100" s="236">
        <v>0.2</v>
      </c>
      <c r="Y100" s="236">
        <v>0.2</v>
      </c>
      <c r="Z100" s="236">
        <v>0.2</v>
      </c>
      <c r="AA100" s="236"/>
      <c r="AB100" s="236"/>
      <c r="AC100" s="236"/>
      <c r="AD100" s="236"/>
      <c r="AE100" s="236"/>
      <c r="AF100" s="236"/>
      <c r="AG100" s="236"/>
      <c r="AH100" s="236"/>
      <c r="AI100" s="236"/>
      <c r="AJ100" s="236"/>
      <c r="AK100" s="236"/>
    </row>
    <row r="101" spans="4:37" x14ac:dyDescent="0.35">
      <c r="D101" s="37" t="s">
        <v>90</v>
      </c>
      <c r="E101" s="2708"/>
      <c r="F101" s="2711"/>
      <c r="G101" s="121">
        <v>0</v>
      </c>
      <c r="H101" s="973"/>
      <c r="I101" s="973"/>
      <c r="J101" s="488">
        <v>0</v>
      </c>
      <c r="K101" s="488">
        <v>0</v>
      </c>
      <c r="L101" s="488">
        <v>0</v>
      </c>
      <c r="M101" s="488">
        <v>0</v>
      </c>
      <c r="N101" s="488">
        <v>0</v>
      </c>
      <c r="O101" s="488">
        <v>0</v>
      </c>
      <c r="P101" s="488">
        <v>0</v>
      </c>
      <c r="Q101" s="488">
        <v>0</v>
      </c>
      <c r="R101" s="488">
        <v>0</v>
      </c>
      <c r="S101" s="488">
        <v>0</v>
      </c>
      <c r="T101" s="488">
        <v>0</v>
      </c>
      <c r="U101" s="488">
        <v>0</v>
      </c>
      <c r="V101" s="488">
        <v>0</v>
      </c>
      <c r="W101" s="121">
        <v>0</v>
      </c>
      <c r="X101" s="32">
        <v>0</v>
      </c>
      <c r="Y101" s="32">
        <v>0</v>
      </c>
      <c r="Z101" s="32">
        <v>0</v>
      </c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</row>
    <row r="102" spans="4:37" ht="18" x14ac:dyDescent="0.35">
      <c r="D102" s="37" t="s">
        <v>91</v>
      </c>
      <c r="E102" s="2708"/>
      <c r="F102" s="2711"/>
      <c r="G102" s="121">
        <v>0</v>
      </c>
      <c r="H102" s="973"/>
      <c r="I102" s="973"/>
      <c r="J102" s="488">
        <v>0.4</v>
      </c>
      <c r="K102" s="488">
        <v>0.01</v>
      </c>
      <c r="L102" s="488">
        <v>0.01</v>
      </c>
      <c r="M102" s="488">
        <v>0</v>
      </c>
      <c r="N102" s="488">
        <v>0</v>
      </c>
      <c r="O102" s="488">
        <v>0</v>
      </c>
      <c r="P102" s="488">
        <v>0</v>
      </c>
      <c r="Q102" s="488">
        <v>0</v>
      </c>
      <c r="R102" s="488">
        <v>0</v>
      </c>
      <c r="S102" s="488">
        <v>0</v>
      </c>
      <c r="T102" s="488">
        <v>0</v>
      </c>
      <c r="U102" s="488">
        <v>0</v>
      </c>
      <c r="V102" s="488">
        <v>0</v>
      </c>
      <c r="W102" s="121">
        <v>0</v>
      </c>
      <c r="X102" s="32">
        <v>0</v>
      </c>
      <c r="Y102" s="32">
        <v>0</v>
      </c>
      <c r="Z102" s="32">
        <v>0</v>
      </c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</row>
    <row r="103" spans="4:37" ht="18" x14ac:dyDescent="0.45">
      <c r="D103" s="30" t="s">
        <v>85</v>
      </c>
      <c r="E103" s="2708"/>
      <c r="F103" s="2711"/>
      <c r="G103" s="123">
        <v>0</v>
      </c>
      <c r="H103" s="974"/>
      <c r="I103" s="974"/>
      <c r="J103" s="490">
        <v>0</v>
      </c>
      <c r="K103" s="490">
        <v>0</v>
      </c>
      <c r="L103" s="490">
        <v>0</v>
      </c>
      <c r="M103" s="490">
        <v>0</v>
      </c>
      <c r="N103" s="490">
        <v>0</v>
      </c>
      <c r="O103" s="490">
        <v>0</v>
      </c>
      <c r="P103" s="490">
        <v>0</v>
      </c>
      <c r="Q103" s="490">
        <v>0</v>
      </c>
      <c r="R103" s="490">
        <v>0</v>
      </c>
      <c r="S103" s="490">
        <v>0</v>
      </c>
      <c r="T103" s="490">
        <v>0</v>
      </c>
      <c r="U103" s="490">
        <v>0</v>
      </c>
      <c r="V103" s="490">
        <v>0</v>
      </c>
      <c r="W103" s="123">
        <v>0</v>
      </c>
      <c r="X103" s="205">
        <v>0</v>
      </c>
      <c r="Y103" s="205">
        <v>0</v>
      </c>
      <c r="Z103" s="205">
        <v>0</v>
      </c>
      <c r="AA103" s="205"/>
      <c r="AB103" s="205"/>
      <c r="AC103" s="205"/>
      <c r="AD103" s="205"/>
      <c r="AE103" s="205"/>
      <c r="AF103" s="205"/>
      <c r="AG103" s="205"/>
      <c r="AH103" s="205"/>
      <c r="AI103" s="205"/>
      <c r="AJ103" s="205"/>
      <c r="AK103" s="205"/>
    </row>
    <row r="104" spans="4:37" ht="18.5" thickBot="1" x14ac:dyDescent="0.4">
      <c r="D104" s="124" t="s">
        <v>165</v>
      </c>
      <c r="E104" s="2709"/>
      <c r="F104" s="2712"/>
      <c r="G104" s="125">
        <v>0.5</v>
      </c>
      <c r="H104" s="976"/>
      <c r="I104" s="976"/>
      <c r="J104" s="491">
        <v>6.47</v>
      </c>
      <c r="K104" s="491">
        <v>89.55</v>
      </c>
      <c r="L104" s="491">
        <v>84.4</v>
      </c>
      <c r="M104" s="491">
        <v>93.38</v>
      </c>
      <c r="N104" s="491">
        <v>94.87</v>
      </c>
      <c r="O104" s="491">
        <v>94.69</v>
      </c>
      <c r="P104" s="491">
        <v>95.33</v>
      </c>
      <c r="Q104" s="491">
        <v>95.25</v>
      </c>
      <c r="R104" s="491">
        <v>95.3</v>
      </c>
      <c r="S104" s="491">
        <v>95.56</v>
      </c>
      <c r="T104" s="491">
        <v>94.2</v>
      </c>
      <c r="U104" s="491">
        <v>91.87</v>
      </c>
      <c r="V104" s="491">
        <v>92.08</v>
      </c>
      <c r="W104" s="125">
        <v>95.43</v>
      </c>
      <c r="X104" s="206">
        <v>95.42</v>
      </c>
      <c r="Y104" s="206">
        <v>95.42</v>
      </c>
      <c r="Z104" s="206">
        <v>95.42</v>
      </c>
      <c r="AA104" s="206"/>
      <c r="AB104" s="206"/>
      <c r="AC104" s="206"/>
      <c r="AD104" s="206"/>
      <c r="AE104" s="206"/>
      <c r="AF104" s="206"/>
      <c r="AG104" s="206"/>
      <c r="AH104" s="206"/>
      <c r="AI104" s="206"/>
      <c r="AJ104" s="206"/>
      <c r="AK104" s="206"/>
    </row>
    <row r="105" spans="4:37" ht="16.5" thickBot="1" x14ac:dyDescent="0.4">
      <c r="D105" s="19" t="s">
        <v>11</v>
      </c>
      <c r="E105" s="20" t="s">
        <v>12</v>
      </c>
      <c r="F105" s="20" t="s">
        <v>13</v>
      </c>
      <c r="G105" s="20"/>
      <c r="H105" s="971"/>
      <c r="I105" s="971"/>
      <c r="J105" s="20" t="s">
        <v>1</v>
      </c>
      <c r="K105" s="20" t="s">
        <v>1</v>
      </c>
      <c r="L105" s="20" t="s">
        <v>1</v>
      </c>
      <c r="M105" s="20" t="s">
        <v>1</v>
      </c>
      <c r="N105" s="20" t="s">
        <v>1</v>
      </c>
      <c r="O105" s="20" t="s">
        <v>1</v>
      </c>
      <c r="P105" s="20" t="s">
        <v>1</v>
      </c>
      <c r="Q105" s="20" t="s">
        <v>1</v>
      </c>
      <c r="R105" s="20" t="s">
        <v>1</v>
      </c>
      <c r="S105" s="20" t="s">
        <v>1</v>
      </c>
      <c r="T105" s="20" t="s">
        <v>1</v>
      </c>
      <c r="U105" s="20" t="s">
        <v>1</v>
      </c>
      <c r="V105" s="20" t="s">
        <v>1</v>
      </c>
      <c r="W105" s="20" t="s">
        <v>1</v>
      </c>
      <c r="X105" s="20" t="s">
        <v>1</v>
      </c>
      <c r="Y105" s="20" t="s">
        <v>1</v>
      </c>
      <c r="Z105" s="20" t="s">
        <v>1</v>
      </c>
      <c r="AA105" s="20" t="s">
        <v>1</v>
      </c>
      <c r="AB105" s="20" t="s">
        <v>1</v>
      </c>
      <c r="AC105" s="20" t="s">
        <v>1</v>
      </c>
      <c r="AD105" s="20" t="s">
        <v>1</v>
      </c>
      <c r="AE105" s="20" t="s">
        <v>1</v>
      </c>
      <c r="AF105" s="20" t="s">
        <v>1</v>
      </c>
      <c r="AG105" s="20" t="s">
        <v>1</v>
      </c>
      <c r="AH105" s="20" t="s">
        <v>1</v>
      </c>
      <c r="AI105" s="20" t="s">
        <v>1</v>
      </c>
      <c r="AJ105" s="20" t="s">
        <v>1</v>
      </c>
      <c r="AK105" s="20" t="s">
        <v>1</v>
      </c>
    </row>
    <row r="106" spans="4:37" x14ac:dyDescent="0.35">
      <c r="D106" s="23" t="s">
        <v>45</v>
      </c>
      <c r="E106" s="2707" t="s">
        <v>84</v>
      </c>
      <c r="F106" s="2710" t="s">
        <v>18</v>
      </c>
      <c r="G106" s="120">
        <v>0.5</v>
      </c>
      <c r="H106" s="972"/>
      <c r="I106" s="972"/>
      <c r="J106" s="120">
        <v>54.35</v>
      </c>
      <c r="K106" s="120">
        <v>46.17</v>
      </c>
      <c r="L106" s="120">
        <v>59.72</v>
      </c>
      <c r="M106" s="487">
        <v>71.92</v>
      </c>
      <c r="N106" s="487">
        <v>51.89</v>
      </c>
      <c r="O106" s="487">
        <v>51.32</v>
      </c>
      <c r="P106" s="487">
        <v>50.92</v>
      </c>
      <c r="Q106" s="487">
        <v>49.96</v>
      </c>
      <c r="R106" s="487">
        <v>51.37</v>
      </c>
      <c r="S106" s="487">
        <v>49.83</v>
      </c>
      <c r="T106" s="487">
        <v>47.22</v>
      </c>
      <c r="U106" s="487">
        <v>50.25</v>
      </c>
      <c r="V106" s="487">
        <v>49.67</v>
      </c>
      <c r="W106" s="487">
        <v>50.83</v>
      </c>
      <c r="X106" s="567">
        <v>48.73</v>
      </c>
      <c r="Y106" s="567">
        <v>48.73</v>
      </c>
      <c r="Z106" s="567">
        <v>48.73</v>
      </c>
      <c r="AA106" s="567"/>
      <c r="AB106" s="567"/>
      <c r="AC106" s="567"/>
      <c r="AD106" s="567"/>
      <c r="AE106" s="567"/>
      <c r="AF106" s="567"/>
      <c r="AG106" s="567"/>
      <c r="AH106" s="567"/>
      <c r="AI106" s="567"/>
      <c r="AJ106" s="567"/>
      <c r="AK106" s="567"/>
    </row>
    <row r="107" spans="4:37" ht="18" x14ac:dyDescent="0.45">
      <c r="D107" s="30" t="s">
        <v>86</v>
      </c>
      <c r="E107" s="2708"/>
      <c r="F107" s="2711"/>
      <c r="G107" s="121">
        <v>0.4</v>
      </c>
      <c r="H107" s="973"/>
      <c r="I107" s="973"/>
      <c r="J107" s="121">
        <v>5.83</v>
      </c>
      <c r="K107" s="121">
        <v>4.34</v>
      </c>
      <c r="L107" s="121">
        <v>5.88</v>
      </c>
      <c r="M107" s="488">
        <v>7.1</v>
      </c>
      <c r="N107" s="488">
        <v>15.37</v>
      </c>
      <c r="O107" s="488">
        <v>14.29</v>
      </c>
      <c r="P107" s="488">
        <v>14.36</v>
      </c>
      <c r="Q107" s="488">
        <v>12.7</v>
      </c>
      <c r="R107" s="488">
        <v>12.78</v>
      </c>
      <c r="S107" s="488">
        <v>13.91</v>
      </c>
      <c r="T107" s="488">
        <v>14.9</v>
      </c>
      <c r="U107" s="488">
        <v>15.42</v>
      </c>
      <c r="V107" s="488">
        <v>15.02</v>
      </c>
      <c r="W107" s="488">
        <v>14.69</v>
      </c>
      <c r="X107" s="568">
        <v>13.62</v>
      </c>
      <c r="Y107" s="568">
        <v>13.62</v>
      </c>
      <c r="Z107" s="568">
        <v>13.62</v>
      </c>
      <c r="AA107" s="568"/>
      <c r="AB107" s="568"/>
      <c r="AC107" s="568"/>
      <c r="AD107" s="568"/>
      <c r="AE107" s="568"/>
      <c r="AF107" s="568"/>
      <c r="AG107" s="568"/>
      <c r="AH107" s="568"/>
      <c r="AI107" s="568"/>
      <c r="AJ107" s="568"/>
      <c r="AK107" s="568"/>
    </row>
    <row r="108" spans="4:37" ht="18" x14ac:dyDescent="0.35">
      <c r="D108" s="37" t="s">
        <v>87</v>
      </c>
      <c r="E108" s="2708"/>
      <c r="F108" s="2711"/>
      <c r="G108" s="121">
        <v>0.4</v>
      </c>
      <c r="H108" s="973"/>
      <c r="I108" s="973"/>
      <c r="J108" s="121">
        <v>5.2</v>
      </c>
      <c r="K108" s="121">
        <v>3.69</v>
      </c>
      <c r="L108" s="121">
        <v>4.78</v>
      </c>
      <c r="M108" s="488">
        <v>5.68</v>
      </c>
      <c r="N108" s="488">
        <v>11.69</v>
      </c>
      <c r="O108" s="488">
        <v>11.12</v>
      </c>
      <c r="P108" s="488">
        <v>11</v>
      </c>
      <c r="Q108" s="488">
        <v>10.130000000000001</v>
      </c>
      <c r="R108" s="488">
        <v>10.07</v>
      </c>
      <c r="S108" s="488">
        <v>10.56</v>
      </c>
      <c r="T108" s="488">
        <v>11.18</v>
      </c>
      <c r="U108" s="488">
        <v>11.4</v>
      </c>
      <c r="V108" s="488">
        <v>11.16</v>
      </c>
      <c r="W108" s="488">
        <v>11.13</v>
      </c>
      <c r="X108" s="568">
        <v>10.27</v>
      </c>
      <c r="Y108" s="568">
        <v>10.27</v>
      </c>
      <c r="Z108" s="568">
        <v>10.27</v>
      </c>
      <c r="AA108" s="568"/>
      <c r="AB108" s="568"/>
      <c r="AC108" s="568"/>
      <c r="AD108" s="568"/>
      <c r="AE108" s="568"/>
      <c r="AF108" s="568"/>
      <c r="AG108" s="568"/>
      <c r="AH108" s="568"/>
      <c r="AI108" s="568"/>
      <c r="AJ108" s="568"/>
      <c r="AK108" s="568"/>
    </row>
    <row r="109" spans="4:37" ht="18" x14ac:dyDescent="0.35">
      <c r="D109" s="37" t="s">
        <v>88</v>
      </c>
      <c r="E109" s="2708"/>
      <c r="F109" s="2711"/>
      <c r="G109" s="121">
        <v>0.1</v>
      </c>
      <c r="H109" s="973"/>
      <c r="I109" s="973"/>
      <c r="J109" s="121">
        <v>6.23</v>
      </c>
      <c r="K109" s="121">
        <v>3.97</v>
      </c>
      <c r="L109" s="121">
        <v>5.1100000000000003</v>
      </c>
      <c r="M109" s="488">
        <v>5.36</v>
      </c>
      <c r="N109" s="488">
        <v>9.9600000000000009</v>
      </c>
      <c r="O109" s="488">
        <v>10.14</v>
      </c>
      <c r="P109" s="488">
        <v>9.98</v>
      </c>
      <c r="Q109" s="488">
        <v>10.06</v>
      </c>
      <c r="R109" s="488">
        <v>9.68</v>
      </c>
      <c r="S109" s="488">
        <v>9.5299999999999994</v>
      </c>
      <c r="T109" s="488">
        <v>10.44</v>
      </c>
      <c r="U109" s="488">
        <v>10.119999999999999</v>
      </c>
      <c r="V109" s="488">
        <v>10.18</v>
      </c>
      <c r="W109" s="488">
        <v>10.24</v>
      </c>
      <c r="X109" s="568">
        <v>9.8699999999999992</v>
      </c>
      <c r="Y109" s="568">
        <v>9.8699999999999992</v>
      </c>
      <c r="Z109" s="568">
        <v>9.8699999999999992</v>
      </c>
      <c r="AA109" s="568"/>
      <c r="AB109" s="568"/>
      <c r="AC109" s="568"/>
      <c r="AD109" s="568"/>
      <c r="AE109" s="568"/>
      <c r="AF109" s="568"/>
      <c r="AG109" s="568"/>
      <c r="AH109" s="568"/>
      <c r="AI109" s="568"/>
      <c r="AJ109" s="568"/>
      <c r="AK109" s="568"/>
    </row>
    <row r="110" spans="4:37" x14ac:dyDescent="0.35">
      <c r="D110" s="37" t="s">
        <v>379</v>
      </c>
      <c r="E110" s="2708"/>
      <c r="F110" s="2711"/>
      <c r="G110" s="121">
        <v>0.1</v>
      </c>
      <c r="H110" s="973"/>
      <c r="I110" s="973"/>
      <c r="J110" s="121">
        <v>7.1</v>
      </c>
      <c r="K110" s="121">
        <v>3.76</v>
      </c>
      <c r="L110" s="121">
        <v>8.26</v>
      </c>
      <c r="M110" s="488">
        <v>3.85</v>
      </c>
      <c r="N110" s="488">
        <v>5.97</v>
      </c>
      <c r="O110" s="488">
        <v>6.61</v>
      </c>
      <c r="P110" s="488">
        <v>6.63</v>
      </c>
      <c r="Q110" s="488">
        <v>7.15</v>
      </c>
      <c r="R110" s="488">
        <v>6.65</v>
      </c>
      <c r="S110" s="488">
        <v>6.43</v>
      </c>
      <c r="T110" s="488">
        <v>6.95</v>
      </c>
      <c r="U110" s="488">
        <v>6.46</v>
      </c>
      <c r="V110" s="488">
        <v>6.82</v>
      </c>
      <c r="W110" s="488">
        <v>6.76</v>
      </c>
      <c r="X110" s="568">
        <v>7.04</v>
      </c>
      <c r="Y110" s="568">
        <v>7.04</v>
      </c>
      <c r="Z110" s="568">
        <v>7.04</v>
      </c>
      <c r="AA110" s="568"/>
      <c r="AB110" s="568"/>
      <c r="AC110" s="568"/>
      <c r="AD110" s="568"/>
      <c r="AE110" s="568"/>
      <c r="AF110" s="568"/>
      <c r="AG110" s="568"/>
      <c r="AH110" s="568"/>
      <c r="AI110" s="568"/>
      <c r="AJ110" s="568"/>
      <c r="AK110" s="568"/>
    </row>
    <row r="111" spans="4:37" ht="18" x14ac:dyDescent="0.45">
      <c r="D111" s="23" t="s">
        <v>89</v>
      </c>
      <c r="E111" s="2708"/>
      <c r="F111" s="2711"/>
      <c r="G111" s="122">
        <v>0.1</v>
      </c>
      <c r="H111" s="972"/>
      <c r="I111" s="972"/>
      <c r="J111" s="122">
        <v>8.67</v>
      </c>
      <c r="K111" s="122">
        <v>6.83</v>
      </c>
      <c r="L111" s="122">
        <v>6.02</v>
      </c>
      <c r="M111" s="489">
        <v>3.91</v>
      </c>
      <c r="N111" s="489">
        <v>3.82</v>
      </c>
      <c r="O111" s="489">
        <v>5.28</v>
      </c>
      <c r="P111" s="489">
        <v>5.93</v>
      </c>
      <c r="Q111" s="489">
        <v>7.85</v>
      </c>
      <c r="R111" s="489">
        <v>7.04</v>
      </c>
      <c r="S111" s="489">
        <v>7.2</v>
      </c>
      <c r="T111" s="489">
        <v>7.24</v>
      </c>
      <c r="U111" s="489">
        <v>5.23</v>
      </c>
      <c r="V111" s="489">
        <v>6.38</v>
      </c>
      <c r="W111" s="489">
        <v>5.68</v>
      </c>
      <c r="X111" s="569">
        <v>8.67</v>
      </c>
      <c r="Y111" s="569">
        <v>8.67</v>
      </c>
      <c r="Z111" s="569">
        <v>8.67</v>
      </c>
      <c r="AA111" s="569"/>
      <c r="AB111" s="569"/>
      <c r="AC111" s="569"/>
      <c r="AD111" s="569"/>
      <c r="AE111" s="569"/>
      <c r="AF111" s="569"/>
      <c r="AG111" s="569"/>
      <c r="AH111" s="569"/>
      <c r="AI111" s="569"/>
      <c r="AJ111" s="569"/>
      <c r="AK111" s="569"/>
    </row>
    <row r="112" spans="4:37" ht="18.5" thickBot="1" x14ac:dyDescent="0.5">
      <c r="D112" s="233" t="s">
        <v>380</v>
      </c>
      <c r="E112" s="2708"/>
      <c r="F112" s="2711"/>
      <c r="G112" s="123">
        <v>0.04</v>
      </c>
      <c r="H112" s="974"/>
      <c r="I112" s="974"/>
      <c r="J112" s="123">
        <v>12.33</v>
      </c>
      <c r="K112" s="123">
        <v>30.83</v>
      </c>
      <c r="L112" s="123">
        <v>10.039999999999999</v>
      </c>
      <c r="M112" s="490">
        <v>1.85</v>
      </c>
      <c r="N112" s="490">
        <v>0.92</v>
      </c>
      <c r="O112" s="490">
        <v>1.03</v>
      </c>
      <c r="P112" s="490">
        <v>0.99</v>
      </c>
      <c r="Q112" s="490">
        <v>1.94</v>
      </c>
      <c r="R112" s="490">
        <v>1.68</v>
      </c>
      <c r="S112" s="490">
        <v>1.7</v>
      </c>
      <c r="T112" s="490">
        <v>1.45</v>
      </c>
      <c r="U112" s="490">
        <v>0.7</v>
      </c>
      <c r="V112" s="490">
        <v>0.62</v>
      </c>
      <c r="W112" s="490">
        <v>0.51</v>
      </c>
      <c r="X112" s="570">
        <v>1.63</v>
      </c>
      <c r="Y112" s="570">
        <v>1.63</v>
      </c>
      <c r="Z112" s="570">
        <v>1.63</v>
      </c>
      <c r="AA112" s="570"/>
      <c r="AB112" s="570"/>
      <c r="AC112" s="570"/>
      <c r="AD112" s="570"/>
      <c r="AE112" s="570"/>
      <c r="AF112" s="570"/>
      <c r="AG112" s="570"/>
      <c r="AH112" s="570"/>
      <c r="AI112" s="570"/>
      <c r="AJ112" s="570"/>
      <c r="AK112" s="570"/>
    </row>
    <row r="113" spans="4:37" s="237" customFormat="1" ht="16.5" thickTop="1" x14ac:dyDescent="0.35">
      <c r="D113" s="234" t="s">
        <v>378</v>
      </c>
      <c r="E113" s="2708"/>
      <c r="F113" s="2711"/>
      <c r="G113" s="235">
        <v>0</v>
      </c>
      <c r="H113" s="975"/>
      <c r="I113" s="975"/>
      <c r="J113" s="447">
        <f>1.73/J110</f>
        <v>0.24366197183098592</v>
      </c>
      <c r="K113" s="447">
        <f>0.75/K110</f>
        <v>0.199468085106383</v>
      </c>
      <c r="L113" s="447">
        <f>2.42/L110</f>
        <v>0.29297820823244553</v>
      </c>
      <c r="M113" s="447">
        <f>0.81/M110</f>
        <v>0.2103896103896104</v>
      </c>
      <c r="N113" s="447">
        <f>1.36/N110</f>
        <v>0.22780569514237858</v>
      </c>
      <c r="O113" s="447">
        <v>0.22</v>
      </c>
      <c r="P113" s="447">
        <v>0.22</v>
      </c>
      <c r="Q113" s="447">
        <v>0.21</v>
      </c>
      <c r="R113" s="447">
        <v>0.22</v>
      </c>
      <c r="S113" s="447">
        <v>0.22</v>
      </c>
      <c r="T113" s="447">
        <v>0.23</v>
      </c>
      <c r="U113" s="447">
        <v>0.24</v>
      </c>
      <c r="V113" s="447">
        <v>0.24</v>
      </c>
      <c r="W113" s="447">
        <v>0.24</v>
      </c>
      <c r="X113" s="571">
        <v>0.23</v>
      </c>
      <c r="Y113" s="571">
        <v>0.23</v>
      </c>
      <c r="Z113" s="571">
        <v>0.23</v>
      </c>
      <c r="AA113" s="571"/>
      <c r="AB113" s="571"/>
      <c r="AC113" s="571"/>
      <c r="AD113" s="571"/>
      <c r="AE113" s="571"/>
      <c r="AF113" s="571"/>
      <c r="AG113" s="571"/>
      <c r="AH113" s="571"/>
      <c r="AI113" s="571"/>
      <c r="AJ113" s="571"/>
      <c r="AK113" s="571"/>
    </row>
    <row r="114" spans="4:37" x14ac:dyDescent="0.35">
      <c r="D114" s="37" t="s">
        <v>90</v>
      </c>
      <c r="E114" s="2708"/>
      <c r="F114" s="2711"/>
      <c r="G114" s="121">
        <v>0</v>
      </c>
      <c r="H114" s="973"/>
      <c r="I114" s="973"/>
      <c r="J114" s="488">
        <v>0</v>
      </c>
      <c r="K114" s="488">
        <v>0</v>
      </c>
      <c r="L114" s="488">
        <v>0</v>
      </c>
      <c r="M114" s="488">
        <v>0</v>
      </c>
      <c r="N114" s="488">
        <v>0</v>
      </c>
      <c r="O114" s="488">
        <v>0</v>
      </c>
      <c r="P114" s="488">
        <v>0</v>
      </c>
      <c r="Q114" s="488">
        <v>0</v>
      </c>
      <c r="R114" s="488">
        <v>0</v>
      </c>
      <c r="S114" s="488">
        <v>0</v>
      </c>
      <c r="T114" s="488">
        <v>0</v>
      </c>
      <c r="U114" s="488">
        <v>0</v>
      </c>
      <c r="V114" s="488">
        <v>0</v>
      </c>
      <c r="W114" s="488">
        <v>0</v>
      </c>
      <c r="X114" s="568">
        <v>0</v>
      </c>
      <c r="Y114" s="568">
        <v>0</v>
      </c>
      <c r="Z114" s="568">
        <v>0</v>
      </c>
      <c r="AA114" s="568"/>
      <c r="AB114" s="568"/>
      <c r="AC114" s="568"/>
      <c r="AD114" s="568"/>
      <c r="AE114" s="568"/>
      <c r="AF114" s="568"/>
      <c r="AG114" s="568"/>
      <c r="AH114" s="568"/>
      <c r="AI114" s="568"/>
      <c r="AJ114" s="568"/>
      <c r="AK114" s="568"/>
    </row>
    <row r="115" spans="4:37" ht="18" x14ac:dyDescent="0.35">
      <c r="D115" s="37" t="s">
        <v>91</v>
      </c>
      <c r="E115" s="2708"/>
      <c r="F115" s="2711"/>
      <c r="G115" s="121">
        <v>0</v>
      </c>
      <c r="H115" s="973"/>
      <c r="I115" s="973"/>
      <c r="J115" s="488">
        <v>0</v>
      </c>
      <c r="K115" s="488">
        <v>0.05</v>
      </c>
      <c r="L115" s="488">
        <v>0</v>
      </c>
      <c r="M115" s="488">
        <v>0</v>
      </c>
      <c r="N115" s="488">
        <v>0</v>
      </c>
      <c r="O115" s="488">
        <v>0</v>
      </c>
      <c r="P115" s="488">
        <v>0</v>
      </c>
      <c r="Q115" s="488">
        <v>0</v>
      </c>
      <c r="R115" s="488">
        <v>0</v>
      </c>
      <c r="S115" s="488">
        <v>0</v>
      </c>
      <c r="T115" s="488">
        <v>0</v>
      </c>
      <c r="U115" s="488">
        <v>0</v>
      </c>
      <c r="V115" s="488">
        <v>0</v>
      </c>
      <c r="W115" s="488">
        <v>0</v>
      </c>
      <c r="X115" s="568">
        <v>0</v>
      </c>
      <c r="Y115" s="568">
        <v>0</v>
      </c>
      <c r="Z115" s="568">
        <v>0</v>
      </c>
      <c r="AA115" s="568"/>
      <c r="AB115" s="568"/>
      <c r="AC115" s="568"/>
      <c r="AD115" s="568"/>
      <c r="AE115" s="568"/>
      <c r="AF115" s="568"/>
      <c r="AG115" s="568"/>
      <c r="AH115" s="568"/>
      <c r="AI115" s="568"/>
      <c r="AJ115" s="568"/>
      <c r="AK115" s="568"/>
    </row>
    <row r="116" spans="4:37" ht="18" x14ac:dyDescent="0.45">
      <c r="D116" s="30" t="s">
        <v>85</v>
      </c>
      <c r="E116" s="2708"/>
      <c r="F116" s="2711"/>
      <c r="G116" s="123">
        <v>0</v>
      </c>
      <c r="H116" s="974"/>
      <c r="I116" s="974"/>
      <c r="J116" s="490">
        <v>0</v>
      </c>
      <c r="K116" s="490">
        <v>0</v>
      </c>
      <c r="L116" s="490">
        <v>0</v>
      </c>
      <c r="M116" s="490">
        <v>0</v>
      </c>
      <c r="N116" s="490">
        <v>0</v>
      </c>
      <c r="O116" s="490">
        <v>0</v>
      </c>
      <c r="P116" s="490">
        <v>0</v>
      </c>
      <c r="Q116" s="490">
        <v>0</v>
      </c>
      <c r="R116" s="490">
        <v>0</v>
      </c>
      <c r="S116" s="490">
        <v>0</v>
      </c>
      <c r="T116" s="490">
        <v>0</v>
      </c>
      <c r="U116" s="490">
        <v>0</v>
      </c>
      <c r="V116" s="490">
        <v>0</v>
      </c>
      <c r="W116" s="490">
        <v>0</v>
      </c>
      <c r="X116" s="570">
        <v>0</v>
      </c>
      <c r="Y116" s="570">
        <v>0</v>
      </c>
      <c r="Z116" s="570">
        <v>0</v>
      </c>
      <c r="AA116" s="570"/>
      <c r="AB116" s="570"/>
      <c r="AC116" s="570"/>
      <c r="AD116" s="570"/>
      <c r="AE116" s="570"/>
      <c r="AF116" s="570"/>
      <c r="AG116" s="570"/>
      <c r="AH116" s="570"/>
      <c r="AI116" s="570"/>
      <c r="AJ116" s="570"/>
      <c r="AK116" s="570"/>
    </row>
    <row r="117" spans="4:37" ht="18.5" thickBot="1" x14ac:dyDescent="0.4">
      <c r="D117" s="124" t="s">
        <v>165</v>
      </c>
      <c r="E117" s="2709"/>
      <c r="F117" s="2712"/>
      <c r="G117" s="125">
        <v>0.04</v>
      </c>
      <c r="H117" s="976"/>
      <c r="I117" s="976"/>
      <c r="J117" s="491">
        <v>0.3</v>
      </c>
      <c r="K117" s="491">
        <v>0.36</v>
      </c>
      <c r="L117" s="491">
        <v>0.2</v>
      </c>
      <c r="M117" s="491">
        <v>0.32</v>
      </c>
      <c r="N117" s="491">
        <v>0.38</v>
      </c>
      <c r="O117" s="491">
        <v>0</v>
      </c>
      <c r="P117" s="491">
        <v>0.19</v>
      </c>
      <c r="Q117" s="491">
        <v>0</v>
      </c>
      <c r="R117" s="491">
        <v>0.72</v>
      </c>
      <c r="S117" s="491">
        <v>0.85</v>
      </c>
      <c r="T117" s="491">
        <v>0.6</v>
      </c>
      <c r="U117" s="491">
        <v>0.42</v>
      </c>
      <c r="V117" s="491">
        <v>0.15</v>
      </c>
      <c r="W117" s="491">
        <v>0.15</v>
      </c>
      <c r="X117" s="572">
        <v>0.17</v>
      </c>
      <c r="Y117" s="572">
        <v>0.17</v>
      </c>
      <c r="Z117" s="572">
        <v>0.17</v>
      </c>
      <c r="AA117" s="572"/>
      <c r="AB117" s="572"/>
      <c r="AC117" s="572"/>
      <c r="AD117" s="572"/>
      <c r="AE117" s="572"/>
      <c r="AF117" s="572"/>
      <c r="AG117" s="572"/>
      <c r="AH117" s="572"/>
      <c r="AI117" s="572"/>
      <c r="AJ117" s="572"/>
      <c r="AK117" s="572"/>
    </row>
    <row r="118" spans="4:37" x14ac:dyDescent="0.35">
      <c r="T118" s="147"/>
    </row>
    <row r="119" spans="4:37" x14ac:dyDescent="0.35">
      <c r="M119" s="18" t="s">
        <v>644</v>
      </c>
    </row>
    <row r="120" spans="4:37" x14ac:dyDescent="0.35">
      <c r="L120" s="2706"/>
      <c r="N120" s="44" t="s">
        <v>64</v>
      </c>
      <c r="O120" s="88">
        <v>18.8</v>
      </c>
      <c r="P120" s="88">
        <v>18.399999999999999</v>
      </c>
      <c r="Q120" s="88">
        <v>19.399999999999999</v>
      </c>
      <c r="R120" s="88">
        <v>17.399999999999999</v>
      </c>
      <c r="S120" s="88">
        <v>15.7</v>
      </c>
      <c r="T120" s="88">
        <v>13.8</v>
      </c>
      <c r="U120" s="88">
        <v>13.5</v>
      </c>
      <c r="X120" s="18"/>
    </row>
    <row r="121" spans="4:37" x14ac:dyDescent="0.35">
      <c r="L121" s="2706"/>
      <c r="N121" s="44" t="s">
        <v>65</v>
      </c>
      <c r="O121" s="88">
        <v>76.599999999999994</v>
      </c>
      <c r="P121" s="88">
        <v>72.3</v>
      </c>
      <c r="Q121" s="88">
        <v>68.400000000000006</v>
      </c>
      <c r="R121" s="88">
        <v>68.2</v>
      </c>
      <c r="S121" s="88">
        <v>66.599999999999994</v>
      </c>
      <c r="T121" s="88">
        <v>68.7</v>
      </c>
      <c r="U121" s="88">
        <v>69.7</v>
      </c>
      <c r="X121" s="18"/>
    </row>
    <row r="122" spans="4:37" x14ac:dyDescent="0.35">
      <c r="L122" s="2706"/>
      <c r="N122" s="44" t="s">
        <v>66</v>
      </c>
      <c r="O122" s="86">
        <v>0</v>
      </c>
      <c r="P122" s="86">
        <v>4.7</v>
      </c>
      <c r="Q122" s="86">
        <v>5.6</v>
      </c>
      <c r="R122" s="86">
        <v>7.5</v>
      </c>
      <c r="S122" s="86">
        <v>7.4</v>
      </c>
      <c r="T122" s="86">
        <v>9.1999999999999993</v>
      </c>
      <c r="U122" s="86">
        <v>8.6999999999999993</v>
      </c>
      <c r="X122" s="18"/>
    </row>
    <row r="123" spans="4:37" x14ac:dyDescent="0.35">
      <c r="L123" s="2706"/>
      <c r="N123" s="44" t="s">
        <v>67</v>
      </c>
      <c r="O123" s="88">
        <v>4.7</v>
      </c>
      <c r="P123" s="88">
        <v>4.5999999999999996</v>
      </c>
      <c r="Q123" s="88">
        <v>6.7</v>
      </c>
      <c r="R123" s="88">
        <v>7</v>
      </c>
      <c r="S123" s="88">
        <v>10.3</v>
      </c>
      <c r="T123" s="88">
        <v>8.3000000000000007</v>
      </c>
      <c r="U123" s="88">
        <v>8.1</v>
      </c>
      <c r="X123" s="18"/>
    </row>
    <row r="124" spans="4:37" x14ac:dyDescent="0.35">
      <c r="L124" s="2706"/>
      <c r="N124" s="44" t="s">
        <v>320</v>
      </c>
      <c r="O124" s="63">
        <f>(O$75+O$72)/(O$74+O$73)</f>
        <v>0.41753214285714302</v>
      </c>
      <c r="P124" s="63">
        <f t="shared" ref="P124:U124" si="33">(P$75+P$72)/(P$74+P$73)</f>
        <v>0.4411666666666666</v>
      </c>
      <c r="Q124" s="63">
        <f t="shared" si="33"/>
        <v>0.50635714285714284</v>
      </c>
      <c r="R124" s="63">
        <f t="shared" si="33"/>
        <v>0.47529761904761902</v>
      </c>
      <c r="S124" s="63">
        <f t="shared" si="33"/>
        <v>0.46530952380952378</v>
      </c>
      <c r="T124" s="63">
        <f t="shared" si="33"/>
        <v>0.49089285714285708</v>
      </c>
      <c r="U124" s="63">
        <f t="shared" si="33"/>
        <v>0.52303571428571427</v>
      </c>
      <c r="X124" s="18"/>
    </row>
    <row r="127" spans="4:37" x14ac:dyDescent="0.35">
      <c r="O127" s="713"/>
      <c r="P127" s="713"/>
      <c r="Q127" s="713"/>
      <c r="R127" s="713"/>
      <c r="S127" s="713"/>
      <c r="T127" s="713"/>
    </row>
    <row r="128" spans="4:37" x14ac:dyDescent="0.35">
      <c r="O128" s="713"/>
      <c r="P128" s="713"/>
      <c r="Q128" s="713"/>
      <c r="R128" s="713"/>
      <c r="S128" s="713"/>
      <c r="T128" s="713"/>
    </row>
  </sheetData>
  <mergeCells count="27">
    <mergeCell ref="E106:E117"/>
    <mergeCell ref="F106:F117"/>
    <mergeCell ref="L120:L124"/>
    <mergeCell ref="E74:E78"/>
    <mergeCell ref="F74:F78"/>
    <mergeCell ref="E80:E86"/>
    <mergeCell ref="F80:F86"/>
    <mergeCell ref="E93:E104"/>
    <mergeCell ref="F93:F104"/>
    <mergeCell ref="E41:E46"/>
    <mergeCell ref="F41:F46"/>
    <mergeCell ref="E50:E63"/>
    <mergeCell ref="F50:F64"/>
    <mergeCell ref="E66:E72"/>
    <mergeCell ref="F66:F72"/>
    <mergeCell ref="F26:F29"/>
    <mergeCell ref="D1:J1"/>
    <mergeCell ref="N3:X3"/>
    <mergeCell ref="J4:M4"/>
    <mergeCell ref="N4:X4"/>
    <mergeCell ref="E13:E19"/>
    <mergeCell ref="F13:F19"/>
    <mergeCell ref="D20:D22"/>
    <mergeCell ref="E21:E22"/>
    <mergeCell ref="D23:D25"/>
    <mergeCell ref="E24:E25"/>
    <mergeCell ref="E26:E29"/>
  </mergeCells>
  <printOptions horizontalCentered="1"/>
  <pageMargins left="0.24" right="0.17" top="0.52" bottom="0.38" header="0.31496062992126" footer="0.16"/>
  <pageSetup paperSize="9" scale="47" orientation="portrait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0E40F-208C-4F52-8074-72B7B337AF70}">
  <sheetPr codeName="Sheet31">
    <tabColor rgb="FFFF0000"/>
    <pageSetUpPr fitToPage="1"/>
  </sheetPr>
  <dimension ref="B1:AK128"/>
  <sheetViews>
    <sheetView showGridLines="0" zoomScale="54" zoomScaleNormal="10" zoomScaleSheetLayoutView="100" workbookViewId="0">
      <pane xSplit="4" ySplit="8" topLeftCell="G80" activePane="bottomRight" state="frozen"/>
      <selection activeCell="F9" sqref="F9"/>
      <selection pane="topRight" activeCell="F9" sqref="F9"/>
      <selection pane="bottomLeft" activeCell="F9" sqref="F9"/>
      <selection pane="bottomRight" activeCell="F9" sqref="F9"/>
    </sheetView>
  </sheetViews>
  <sheetFormatPr defaultColWidth="9.26953125" defaultRowHeight="16" x14ac:dyDescent="0.35"/>
  <cols>
    <col min="1" max="2" width="9.26953125" style="7"/>
    <col min="3" max="3" width="1" style="7" customWidth="1"/>
    <col min="4" max="4" width="31.26953125" style="18" customWidth="1"/>
    <col min="5" max="5" width="31.7265625" style="18" bestFit="1" customWidth="1"/>
    <col min="6" max="6" width="14.453125" style="18" customWidth="1"/>
    <col min="7" max="23" width="22.7265625" style="18" customWidth="1"/>
    <col min="24" max="24" width="22.7265625" style="7" customWidth="1"/>
    <col min="25" max="25" width="21.7265625" style="576" customWidth="1"/>
    <col min="26" max="26" width="21.7265625" style="18" customWidth="1"/>
    <col min="27" max="16384" width="9.26953125" style="7"/>
  </cols>
  <sheetData>
    <row r="1" spans="4:37" ht="26.25" customHeight="1" x14ac:dyDescent="0.55000000000000004">
      <c r="D1" s="2676" t="s">
        <v>5</v>
      </c>
      <c r="E1" s="2676"/>
      <c r="F1" s="2676"/>
      <c r="G1" s="2676"/>
      <c r="H1" s="2676"/>
      <c r="I1" s="2676"/>
      <c r="J1" s="2676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4:37" ht="30.75" customHeight="1" x14ac:dyDescent="0.35">
      <c r="D2" s="8" t="s">
        <v>6</v>
      </c>
      <c r="E2" s="9" t="s">
        <v>353</v>
      </c>
      <c r="F2" s="10"/>
      <c r="G2" s="10"/>
      <c r="H2" s="12"/>
      <c r="I2" s="12"/>
      <c r="J2" s="11"/>
      <c r="K2" s="11"/>
      <c r="L2" s="7"/>
      <c r="M2" s="7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4:37" ht="26.25" customHeight="1" x14ac:dyDescent="0.35">
      <c r="D3" s="8" t="s">
        <v>8</v>
      </c>
      <c r="E3" s="14" t="s">
        <v>432</v>
      </c>
      <c r="F3" s="15"/>
      <c r="G3" s="15"/>
      <c r="H3" s="12"/>
      <c r="I3" s="12"/>
      <c r="J3" s="11"/>
      <c r="K3" s="11"/>
      <c r="L3" s="7"/>
      <c r="M3" s="7"/>
      <c r="N3" s="2705"/>
      <c r="O3" s="2705"/>
      <c r="P3" s="2705"/>
      <c r="Q3" s="2705"/>
      <c r="R3" s="2705"/>
      <c r="S3" s="2705"/>
      <c r="T3" s="2705"/>
      <c r="U3" s="2705"/>
      <c r="V3" s="2705"/>
      <c r="W3" s="2705"/>
      <c r="X3" s="2705"/>
      <c r="Y3" s="588"/>
    </row>
    <row r="4" spans="4:37" ht="28.5" customHeight="1" x14ac:dyDescent="0.45">
      <c r="D4" s="8" t="s">
        <v>9</v>
      </c>
      <c r="E4" s="16" t="s">
        <v>10</v>
      </c>
      <c r="F4" s="15"/>
      <c r="G4" s="15"/>
      <c r="H4" s="12"/>
      <c r="I4" s="12"/>
      <c r="J4" s="2685" t="s">
        <v>162</v>
      </c>
      <c r="K4" s="2685"/>
      <c r="L4" s="2685"/>
      <c r="M4" s="2685"/>
      <c r="N4" s="2772" t="s">
        <v>149</v>
      </c>
      <c r="O4" s="2772"/>
      <c r="P4" s="2772"/>
      <c r="Q4" s="2772"/>
      <c r="R4" s="2772"/>
      <c r="S4" s="2772"/>
      <c r="T4" s="2772"/>
      <c r="U4" s="2772"/>
      <c r="V4" s="2772"/>
      <c r="W4" s="2772"/>
      <c r="X4" s="2772"/>
      <c r="Y4" s="589"/>
    </row>
    <row r="5" spans="4:37" ht="28.5" customHeight="1" x14ac:dyDescent="0.45">
      <c r="D5" s="8" t="s">
        <v>427</v>
      </c>
      <c r="E5" s="11"/>
      <c r="F5" s="12"/>
      <c r="G5" s="12"/>
      <c r="H5" s="12"/>
      <c r="I5" s="12"/>
      <c r="J5" s="187" t="s">
        <v>94</v>
      </c>
      <c r="K5" s="185"/>
      <c r="L5" s="185"/>
      <c r="M5" s="185"/>
      <c r="N5" s="188" t="s">
        <v>356</v>
      </c>
      <c r="O5" s="186"/>
      <c r="P5" s="186"/>
      <c r="Q5" s="186"/>
      <c r="R5" s="186"/>
      <c r="S5" s="186"/>
      <c r="T5" s="188" t="s">
        <v>357</v>
      </c>
      <c r="U5" s="186"/>
      <c r="V5" s="186"/>
      <c r="W5" s="186"/>
      <c r="X5" s="186"/>
    </row>
    <row r="6" spans="4:37" ht="21.4" customHeight="1" x14ac:dyDescent="0.35">
      <c r="D6" s="17"/>
      <c r="G6" s="18">
        <v>9.782</v>
      </c>
      <c r="I6" s="18" t="s">
        <v>355</v>
      </c>
      <c r="J6" s="712">
        <v>1</v>
      </c>
      <c r="K6" s="212">
        <v>2</v>
      </c>
      <c r="L6" s="212">
        <v>3</v>
      </c>
      <c r="M6" s="212">
        <v>4</v>
      </c>
      <c r="N6" s="190">
        <v>5</v>
      </c>
      <c r="O6" s="191">
        <v>6</v>
      </c>
      <c r="P6" s="191">
        <v>7</v>
      </c>
      <c r="Q6" s="212">
        <v>8</v>
      </c>
      <c r="R6" s="212">
        <v>9</v>
      </c>
      <c r="S6" s="191">
        <v>10</v>
      </c>
      <c r="T6" s="190">
        <v>11</v>
      </c>
      <c r="U6" s="191">
        <v>12</v>
      </c>
      <c r="V6" s="191">
        <v>13</v>
      </c>
      <c r="W6" s="191">
        <v>14</v>
      </c>
      <c r="X6" s="191">
        <v>15</v>
      </c>
      <c r="Y6" s="212">
        <v>16</v>
      </c>
      <c r="Z6" s="212">
        <v>17</v>
      </c>
      <c r="AA6" s="212">
        <v>18</v>
      </c>
      <c r="AB6" s="212">
        <v>19</v>
      </c>
      <c r="AC6" s="212">
        <v>20</v>
      </c>
      <c r="AD6" s="212">
        <v>21</v>
      </c>
      <c r="AE6" s="212">
        <v>22</v>
      </c>
      <c r="AF6" s="212">
        <v>23</v>
      </c>
      <c r="AG6" s="212">
        <v>24</v>
      </c>
      <c r="AH6" s="212">
        <v>25</v>
      </c>
      <c r="AI6" s="212">
        <v>26</v>
      </c>
      <c r="AJ6" s="212">
        <v>27</v>
      </c>
      <c r="AK6" s="212">
        <v>28</v>
      </c>
    </row>
    <row r="7" spans="4:37" ht="16.899999999999999" customHeight="1" thickBot="1" x14ac:dyDescent="0.4">
      <c r="D7" s="17"/>
      <c r="I7" s="18" t="s">
        <v>354</v>
      </c>
      <c r="J7" s="428">
        <v>45856</v>
      </c>
      <c r="K7" s="12"/>
      <c r="L7" s="12"/>
      <c r="M7" s="12"/>
      <c r="N7" s="184"/>
      <c r="O7" s="12"/>
      <c r="P7" s="12"/>
      <c r="Q7" s="12"/>
      <c r="R7" s="12"/>
      <c r="S7" s="12"/>
      <c r="T7" s="184"/>
      <c r="U7" s="12"/>
      <c r="V7" s="12"/>
      <c r="W7" s="12"/>
      <c r="X7" s="12"/>
      <c r="Y7" s="576" t="s">
        <v>585</v>
      </c>
      <c r="Z7" s="18" t="s">
        <v>584</v>
      </c>
    </row>
    <row r="8" spans="4:37" ht="16.5" thickBot="1" x14ac:dyDescent="0.4">
      <c r="D8" s="19" t="s">
        <v>11</v>
      </c>
      <c r="E8" s="20" t="s">
        <v>12</v>
      </c>
      <c r="F8" s="21" t="s">
        <v>13</v>
      </c>
      <c r="G8" s="22" t="s">
        <v>873</v>
      </c>
      <c r="H8" s="22"/>
      <c r="I8" s="22"/>
      <c r="J8" s="22" t="s">
        <v>15</v>
      </c>
      <c r="K8" s="110" t="s">
        <v>15</v>
      </c>
      <c r="L8" s="110" t="s">
        <v>15</v>
      </c>
      <c r="M8" s="111" t="s">
        <v>15</v>
      </c>
      <c r="N8" s="111" t="s">
        <v>15</v>
      </c>
      <c r="O8" s="111" t="s">
        <v>15</v>
      </c>
      <c r="P8" s="111" t="s">
        <v>15</v>
      </c>
      <c r="Q8" s="111" t="s">
        <v>15</v>
      </c>
      <c r="R8" s="111" t="s">
        <v>15</v>
      </c>
      <c r="S8" s="111" t="s">
        <v>15</v>
      </c>
      <c r="T8" s="111" t="s">
        <v>15</v>
      </c>
      <c r="U8" s="111" t="s">
        <v>15</v>
      </c>
      <c r="V8" s="111" t="s">
        <v>15</v>
      </c>
      <c r="W8" s="111" t="s">
        <v>15</v>
      </c>
      <c r="X8" s="111" t="s">
        <v>15</v>
      </c>
      <c r="Y8" s="111" t="s">
        <v>15</v>
      </c>
      <c r="Z8" s="111" t="s">
        <v>15</v>
      </c>
      <c r="AA8" s="111" t="s">
        <v>15</v>
      </c>
      <c r="AB8" s="111" t="s">
        <v>15</v>
      </c>
      <c r="AC8" s="111" t="s">
        <v>15</v>
      </c>
      <c r="AD8" s="111" t="s">
        <v>15</v>
      </c>
      <c r="AE8" s="111" t="s">
        <v>15</v>
      </c>
      <c r="AF8" s="111" t="s">
        <v>15</v>
      </c>
      <c r="AG8" s="111" t="s">
        <v>15</v>
      </c>
      <c r="AH8" s="111" t="s">
        <v>15</v>
      </c>
      <c r="AI8" s="111" t="s">
        <v>15</v>
      </c>
      <c r="AJ8" s="111" t="s">
        <v>15</v>
      </c>
      <c r="AK8" s="111" t="s">
        <v>15</v>
      </c>
    </row>
    <row r="9" spans="4:37" ht="19.5" customHeight="1" x14ac:dyDescent="0.35">
      <c r="D9" s="23" t="s">
        <v>16</v>
      </c>
      <c r="E9" s="24" t="s">
        <v>17</v>
      </c>
      <c r="F9" s="25" t="s">
        <v>18</v>
      </c>
      <c r="G9" s="26"/>
      <c r="H9" s="948"/>
      <c r="I9" s="948"/>
      <c r="J9" s="27"/>
      <c r="K9" s="28"/>
      <c r="L9" s="28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192"/>
      <c r="Y9" s="590"/>
      <c r="Z9" s="172"/>
      <c r="AA9" s="172"/>
      <c r="AB9" s="172"/>
      <c r="AC9" s="172"/>
      <c r="AD9" s="172"/>
      <c r="AE9" s="172"/>
      <c r="AF9" s="172"/>
      <c r="AG9" s="172"/>
      <c r="AH9" s="172"/>
      <c r="AI9" s="172"/>
      <c r="AJ9" s="172"/>
      <c r="AK9" s="172"/>
    </row>
    <row r="10" spans="4:37" ht="19.5" customHeight="1" x14ac:dyDescent="0.35">
      <c r="D10" s="30" t="s">
        <v>835</v>
      </c>
      <c r="E10" s="31" t="s">
        <v>17</v>
      </c>
      <c r="F10" s="32"/>
      <c r="G10" s="889">
        <v>0.61</v>
      </c>
      <c r="H10" s="949"/>
      <c r="I10" s="949"/>
      <c r="J10" s="34">
        <f>'HPS DAILY'!K10+'HPS DAILY (repro+)'!$G10</f>
        <v>13.87</v>
      </c>
      <c r="K10" s="34">
        <f>'HPS DAILY'!L10+'HPS DAILY (repro+)'!$G10</f>
        <v>13.24</v>
      </c>
      <c r="L10" s="34">
        <f>'HPS DAILY'!M10+'HPS DAILY (repro+)'!$G10</f>
        <v>12.54</v>
      </c>
      <c r="M10" s="34">
        <f>'HPS DAILY'!N10+'HPS DAILY (repro+)'!$G10</f>
        <v>12.549999999999999</v>
      </c>
      <c r="N10" s="34">
        <f>'HPS DAILY'!O10+'HPS DAILY (repro+)'!$G10</f>
        <v>19.05</v>
      </c>
      <c r="O10" s="34">
        <f>'HPS DAILY'!P10+'HPS DAILY (repro+)'!$G10</f>
        <v>18.3</v>
      </c>
      <c r="P10" s="34">
        <f>'HPS DAILY'!Q10+'HPS DAILY (repro+)'!$G10</f>
        <v>17.809999999999999</v>
      </c>
      <c r="Q10" s="34">
        <f>'HPS DAILY'!R10+'HPS DAILY (repro+)'!$G10</f>
        <v>17.57</v>
      </c>
      <c r="R10" s="34">
        <f>'HPS DAILY'!S10+'HPS DAILY (repro+)'!$G10</f>
        <v>16.84</v>
      </c>
      <c r="S10" s="34">
        <f>'HPS DAILY'!T10+'HPS DAILY (repro+)'!$G10</f>
        <v>17.079999999999998</v>
      </c>
      <c r="T10" s="34">
        <f>'HPS DAILY'!U10+'HPS DAILY (repro+)'!$G10</f>
        <v>16.79</v>
      </c>
      <c r="U10" s="34">
        <f>'HPS DAILY'!V10+'HPS DAILY (repro+)'!$G10</f>
        <v>16.66</v>
      </c>
      <c r="V10" s="34">
        <f>'HPS DAILY'!W10+'HPS DAILY (repro+)'!$G10</f>
        <v>16.61</v>
      </c>
      <c r="W10" s="34">
        <f>'HPS DAILY'!X10+'HPS DAILY (repro+)'!$G10</f>
        <v>0.61</v>
      </c>
      <c r="X10" s="34">
        <f>'HPS DAILY'!Y10+'HPS DAILY (repro+)'!$G10</f>
        <v>0.61</v>
      </c>
      <c r="Y10" s="34">
        <f>'HPS DAILY'!Z10+'HPS DAILY (repro+)'!$G10</f>
        <v>0.61</v>
      </c>
      <c r="Z10" s="34">
        <f>'HPS DAILY'!AA10+'HPS DAILY (repro+)'!$G10</f>
        <v>0.61</v>
      </c>
      <c r="AA10" s="34">
        <f>'HPS DAILY'!AB10+'HPS DAILY (repro+)'!$G10</f>
        <v>0.61</v>
      </c>
      <c r="AB10" s="34">
        <f>'HPS DAILY'!AC10+'HPS DAILY (repro+)'!$G10</f>
        <v>0.61</v>
      </c>
      <c r="AC10" s="34">
        <f>'HPS DAILY'!AD10+'HPS DAILY (repro+)'!$G10</f>
        <v>0.61</v>
      </c>
      <c r="AD10" s="34">
        <f>'HPS DAILY'!AE10+'HPS DAILY (repro+)'!$G10</f>
        <v>0.61</v>
      </c>
      <c r="AE10" s="34">
        <f>'HPS DAILY'!AF10+'HPS DAILY (repro+)'!$G10</f>
        <v>0.61</v>
      </c>
      <c r="AF10" s="34">
        <f>'HPS DAILY'!AG10+'HPS DAILY (repro+)'!$G10</f>
        <v>0.61</v>
      </c>
      <c r="AG10" s="34">
        <f>'HPS DAILY'!AH10+'HPS DAILY (repro+)'!$G10</f>
        <v>0.61</v>
      </c>
      <c r="AH10" s="34">
        <f>'HPS DAILY'!AI10+'HPS DAILY (repro+)'!$G10</f>
        <v>0.61</v>
      </c>
      <c r="AI10" s="34">
        <f>'HPS DAILY'!AJ10+'HPS DAILY (repro+)'!$G10</f>
        <v>0.61</v>
      </c>
      <c r="AJ10" s="34">
        <f>'HPS DAILY'!AK10+'HPS DAILY (repro+)'!$G10</f>
        <v>0.61</v>
      </c>
      <c r="AK10" s="34">
        <f>'HPS DAILY'!AL10+'HPS DAILY (repro+)'!$G10</f>
        <v>0.61</v>
      </c>
    </row>
    <row r="11" spans="4:37" ht="19.5" customHeight="1" x14ac:dyDescent="0.35">
      <c r="D11" s="37" t="s">
        <v>836</v>
      </c>
      <c r="E11" s="31" t="s">
        <v>22</v>
      </c>
      <c r="F11" s="32" t="s">
        <v>23</v>
      </c>
      <c r="G11" s="39">
        <v>3.8999999999999998E-3</v>
      </c>
      <c r="H11" s="950"/>
      <c r="I11" s="951"/>
      <c r="J11" s="39">
        <f>'HPS DAILY'!K11+'HPS DAILY (repro+)'!$G11</f>
        <v>0.98040000000000005</v>
      </c>
      <c r="K11" s="39">
        <f>'HPS DAILY'!L11+'HPS DAILY (repro+)'!$G11</f>
        <v>0.98470000000000002</v>
      </c>
      <c r="L11" s="39">
        <f>'HPS DAILY'!M11+'HPS DAILY (repro+)'!$G11</f>
        <v>0.98950000000000005</v>
      </c>
      <c r="M11" s="39">
        <f>'HPS DAILY'!N11+'HPS DAILY (repro+)'!$G11</f>
        <v>0.98940000000000006</v>
      </c>
      <c r="N11" s="39">
        <f>'HPS DAILY'!O11+'HPS DAILY (repro+)'!$G11</f>
        <v>0.94669999999999999</v>
      </c>
      <c r="O11" s="39">
        <f>'HPS DAILY'!P11+'HPS DAILY (repro+)'!$G11</f>
        <v>0.95150000000000001</v>
      </c>
      <c r="P11" s="39">
        <f>'HPS DAILY'!Q11+'HPS DAILY (repro+)'!$G11</f>
        <v>0.95399999999999996</v>
      </c>
      <c r="Q11" s="39">
        <f>'HPS DAILY'!R11+'HPS DAILY (repro+)'!$G11</f>
        <v>0.95610000000000006</v>
      </c>
      <c r="R11" s="39">
        <f>'HPS DAILY'!S11+'HPS DAILY (repro+)'!$G11</f>
        <v>0.96079999999999999</v>
      </c>
      <c r="S11" s="39">
        <f>'HPS DAILY'!T11+'HPS DAILY (repro+)'!$G11</f>
        <v>0.96020000000000005</v>
      </c>
      <c r="T11" s="39">
        <f>'HPS DAILY'!U11+'HPS DAILY (repro+)'!$G11</f>
        <v>0.96110000000000007</v>
      </c>
      <c r="U11" s="39">
        <f>'HPS DAILY'!V11+'HPS DAILY (repro+)'!$G11</f>
        <v>0.96189999999999998</v>
      </c>
      <c r="V11" s="39">
        <f>'HPS DAILY'!W11+'HPS DAILY (repro+)'!$G11</f>
        <v>0.96230000000000004</v>
      </c>
      <c r="W11" s="39">
        <f>'HPS DAILY'!X11+'HPS DAILY (repro+)'!$G11</f>
        <v>3.8999999999999998E-3</v>
      </c>
      <c r="X11" s="39">
        <f>'HPS DAILY'!Y11+'HPS DAILY (repro+)'!$G11</f>
        <v>3.8999999999999998E-3</v>
      </c>
      <c r="Y11" s="39">
        <f>'HPS DAILY'!Z11+'HPS DAILY (repro+)'!$G11</f>
        <v>3.8999999999999998E-3</v>
      </c>
      <c r="Z11" s="39">
        <f>'HPS DAILY'!AA11+'HPS DAILY (repro+)'!$G11</f>
        <v>3.8999999999999998E-3</v>
      </c>
      <c r="AA11" s="39">
        <f>'HPS DAILY'!AB11+'HPS DAILY (repro+)'!$G11</f>
        <v>3.8999999999999998E-3</v>
      </c>
      <c r="AB11" s="39">
        <f>'HPS DAILY'!AC11+'HPS DAILY (repro+)'!$G11</f>
        <v>3.8999999999999998E-3</v>
      </c>
      <c r="AC11" s="39">
        <f>'HPS DAILY'!AD11+'HPS DAILY (repro+)'!$G11</f>
        <v>3.8999999999999998E-3</v>
      </c>
      <c r="AD11" s="39">
        <f>'HPS DAILY'!AE11+'HPS DAILY (repro+)'!$G11</f>
        <v>3.8999999999999998E-3</v>
      </c>
      <c r="AE11" s="39">
        <f>'HPS DAILY'!AF11+'HPS DAILY (repro+)'!$G11</f>
        <v>3.8999999999999998E-3</v>
      </c>
      <c r="AF11" s="39">
        <f>'HPS DAILY'!AG11+'HPS DAILY (repro+)'!$G11</f>
        <v>3.8999999999999998E-3</v>
      </c>
      <c r="AG11" s="39">
        <f>'HPS DAILY'!AH11+'HPS DAILY (repro+)'!$G11</f>
        <v>3.8999999999999998E-3</v>
      </c>
      <c r="AH11" s="39">
        <f>'HPS DAILY'!AI11+'HPS DAILY (repro+)'!$G11</f>
        <v>3.8999999999999998E-3</v>
      </c>
      <c r="AI11" s="39">
        <f>'HPS DAILY'!AJ11+'HPS DAILY (repro+)'!$G11</f>
        <v>3.8999999999999998E-3</v>
      </c>
      <c r="AJ11" s="39">
        <f>'HPS DAILY'!AK11+'HPS DAILY (repro+)'!$G11</f>
        <v>3.8999999999999998E-3</v>
      </c>
      <c r="AK11" s="39">
        <f>'HPS DAILY'!AL11+'HPS DAILY (repro+)'!$G11</f>
        <v>3.8999999999999998E-3</v>
      </c>
    </row>
    <row r="12" spans="4:37" ht="19.5" customHeight="1" x14ac:dyDescent="0.35">
      <c r="D12" s="37" t="s">
        <v>24</v>
      </c>
      <c r="E12" s="31" t="s">
        <v>25</v>
      </c>
      <c r="F12" s="32" t="s">
        <v>17</v>
      </c>
      <c r="G12" s="39">
        <v>5.4000000000000003E-3</v>
      </c>
      <c r="H12" s="950"/>
      <c r="I12" s="951"/>
      <c r="J12" s="38"/>
      <c r="K12" s="42"/>
      <c r="L12" s="42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194"/>
      <c r="Y12" s="591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</row>
    <row r="13" spans="4:37" ht="19.5" customHeight="1" x14ac:dyDescent="0.35">
      <c r="D13" s="44" t="s">
        <v>26</v>
      </c>
      <c r="E13" s="2677" t="s">
        <v>27</v>
      </c>
      <c r="F13" s="2680" t="s">
        <v>28</v>
      </c>
      <c r="G13" s="38"/>
      <c r="H13" s="951"/>
      <c r="I13" s="951"/>
      <c r="J13" s="38"/>
      <c r="K13" s="42"/>
      <c r="L13" s="42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194"/>
      <c r="Y13" s="590"/>
      <c r="Z13" s="172"/>
      <c r="AA13" s="172"/>
      <c r="AB13" s="172"/>
      <c r="AC13" s="172"/>
      <c r="AD13" s="172"/>
      <c r="AE13" s="172"/>
      <c r="AF13" s="172"/>
      <c r="AG13" s="172"/>
      <c r="AH13" s="172"/>
      <c r="AI13" s="172"/>
      <c r="AJ13" s="172"/>
      <c r="AK13" s="172"/>
    </row>
    <row r="14" spans="4:37" ht="19.5" customHeight="1" x14ac:dyDescent="0.35">
      <c r="D14" s="44" t="s">
        <v>29</v>
      </c>
      <c r="E14" s="2678"/>
      <c r="F14" s="2681"/>
      <c r="G14" s="47"/>
      <c r="H14" s="952"/>
      <c r="I14" s="952"/>
      <c r="J14" s="47"/>
      <c r="K14" s="55"/>
      <c r="L14" s="55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195"/>
      <c r="Y14" s="590"/>
      <c r="Z14" s="172"/>
      <c r="AA14" s="172"/>
      <c r="AB14" s="172"/>
      <c r="AC14" s="172"/>
      <c r="AD14" s="172"/>
      <c r="AE14" s="172"/>
      <c r="AF14" s="172"/>
      <c r="AG14" s="172"/>
      <c r="AH14" s="172"/>
      <c r="AI14" s="172"/>
      <c r="AJ14" s="172"/>
      <c r="AK14" s="172"/>
    </row>
    <row r="15" spans="4:37" ht="19.5" customHeight="1" x14ac:dyDescent="0.35">
      <c r="D15" s="44" t="s">
        <v>30</v>
      </c>
      <c r="E15" s="2678"/>
      <c r="F15" s="2681"/>
      <c r="G15" s="47"/>
      <c r="H15" s="952"/>
      <c r="I15" s="952"/>
      <c r="J15" s="47"/>
      <c r="K15" s="286"/>
      <c r="L15" s="286"/>
      <c r="M15" s="287"/>
      <c r="N15" s="287"/>
      <c r="O15" s="287"/>
      <c r="P15" s="287"/>
      <c r="Q15" s="287"/>
      <c r="R15" s="287"/>
      <c r="S15" s="287"/>
      <c r="T15" s="287"/>
      <c r="U15" s="287"/>
      <c r="V15" s="287"/>
      <c r="W15" s="287"/>
      <c r="X15" s="288"/>
      <c r="Y15" s="591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</row>
    <row r="16" spans="4:37" ht="19.5" customHeight="1" x14ac:dyDescent="0.35">
      <c r="D16" s="44" t="s">
        <v>31</v>
      </c>
      <c r="E16" s="2678"/>
      <c r="F16" s="2681"/>
      <c r="G16" s="47"/>
      <c r="H16" s="952"/>
      <c r="I16" s="952"/>
      <c r="J16" s="47"/>
      <c r="K16" s="55"/>
      <c r="L16" s="55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195"/>
      <c r="Y16" s="591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</row>
    <row r="17" spans="2:37" ht="19.5" customHeight="1" x14ac:dyDescent="0.35">
      <c r="D17" s="44" t="s">
        <v>428</v>
      </c>
      <c r="E17" s="2678"/>
      <c r="F17" s="2681"/>
      <c r="G17" s="952"/>
      <c r="H17" s="952"/>
      <c r="I17" s="952"/>
      <c r="J17" s="47"/>
      <c r="K17" s="55"/>
      <c r="L17" s="55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195"/>
      <c r="Y17" s="591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</row>
    <row r="18" spans="2:37" ht="19.5" customHeight="1" x14ac:dyDescent="0.35">
      <c r="D18" s="44" t="s">
        <v>32</v>
      </c>
      <c r="E18" s="2678"/>
      <c r="F18" s="2681"/>
      <c r="G18" s="952"/>
      <c r="H18" s="952"/>
      <c r="I18" s="952"/>
      <c r="J18" s="47"/>
      <c r="K18" s="55"/>
      <c r="L18" s="55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195"/>
      <c r="Y18" s="590"/>
      <c r="Z18" s="172"/>
      <c r="AA18" s="172"/>
      <c r="AB18" s="172"/>
      <c r="AC18" s="172"/>
      <c r="AD18" s="172"/>
      <c r="AE18" s="172"/>
      <c r="AF18" s="172"/>
      <c r="AG18" s="172"/>
      <c r="AH18" s="172"/>
      <c r="AI18" s="172"/>
      <c r="AJ18" s="172"/>
      <c r="AK18" s="172"/>
    </row>
    <row r="19" spans="2:37" ht="19.5" customHeight="1" x14ac:dyDescent="0.35">
      <c r="D19" s="44" t="s">
        <v>33</v>
      </c>
      <c r="E19" s="2679"/>
      <c r="F19" s="2682"/>
      <c r="G19" s="57"/>
      <c r="H19" s="953"/>
      <c r="I19" s="949"/>
      <c r="J19" s="47"/>
      <c r="K19" s="55"/>
      <c r="L19" s="55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195"/>
      <c r="Y19" s="590"/>
      <c r="Z19" s="172"/>
      <c r="AA19" s="172"/>
      <c r="AB19" s="172"/>
      <c r="AC19" s="172"/>
      <c r="AD19" s="172"/>
      <c r="AE19" s="172"/>
      <c r="AF19" s="172"/>
      <c r="AG19" s="172"/>
      <c r="AH19" s="172"/>
      <c r="AI19" s="172"/>
      <c r="AJ19" s="172"/>
      <c r="AK19" s="172"/>
    </row>
    <row r="20" spans="2:37" ht="19.5" customHeight="1" x14ac:dyDescent="0.35">
      <c r="D20" s="2683" t="s">
        <v>34</v>
      </c>
      <c r="E20" s="58" t="s">
        <v>35</v>
      </c>
      <c r="F20" s="59" t="s">
        <v>36</v>
      </c>
      <c r="G20" s="982" t="s">
        <v>880</v>
      </c>
      <c r="H20" s="954"/>
      <c r="I20" s="952"/>
      <c r="J20" s="60">
        <f>'HPS DAILY'!K20+(1.9182*(('HPS DAILY'!K20*10000)^0.6446)/10000)</f>
        <v>2.0705644395932277</v>
      </c>
      <c r="K20" s="60">
        <f>'HPS DAILY'!L20+(1.9182*(('HPS DAILY'!L20*10000)^0.6446)/10000)</f>
        <v>2.2053043971301283</v>
      </c>
      <c r="L20" s="60">
        <f>'HPS DAILY'!M20+(1.9182*(('HPS DAILY'!M20*10000)^0.6446)/10000)</f>
        <v>2.4036000621221212</v>
      </c>
      <c r="M20" s="60">
        <f>'HPS DAILY'!N20+(1.9182*(('HPS DAILY'!N20*10000)^0.6446)/10000)</f>
        <v>2.3673736581905236</v>
      </c>
      <c r="N20" s="60">
        <f>'HPS DAILY'!O20+(1.9182*(('HPS DAILY'!O20*10000)^0.6446)/10000)</f>
        <v>0.93327366632973419</v>
      </c>
      <c r="O20" s="60">
        <f>'HPS DAILY'!P20+(1.9182*(('HPS DAILY'!P20*10000)^0.6446)/10000)</f>
        <v>1.0108666239264164</v>
      </c>
      <c r="P20" s="60">
        <f>'HPS DAILY'!Q20+(1.9182*(('HPS DAILY'!Q20*10000)^0.6446)/10000)</f>
        <v>1.1113814898604129</v>
      </c>
      <c r="Q20" s="60">
        <f>'HPS DAILY'!R20+(1.9182*(('HPS DAILY'!R20*10000)^0.6446)/10000)</f>
        <v>1.1992113287960928</v>
      </c>
      <c r="R20" s="60">
        <f>'HPS DAILY'!S20+(1.9182*(('HPS DAILY'!S20*10000)^0.6446)/10000)</f>
        <v>1.2503982310097221</v>
      </c>
      <c r="S20" s="60">
        <f>'HPS DAILY'!T20+(1.9182*(('HPS DAILY'!T20*10000)^0.6446)/10000)</f>
        <v>1.2963343861864287</v>
      </c>
      <c r="T20" s="60">
        <f>'HPS DAILY'!U20+(1.9182*(('HPS DAILY'!U20*10000)^0.6446)/10000)</f>
        <v>1.3516337711134252</v>
      </c>
      <c r="U20" s="60">
        <f>'HPS DAILY'!V20+(1.9182*(('HPS DAILY'!V20*10000)^0.6446)/10000)</f>
        <v>1.3766637224545235</v>
      </c>
      <c r="V20" s="60">
        <f>'HPS DAILY'!W20+(1.9182*(('HPS DAILY'!W20*10000)^0.6446)/10000)</f>
        <v>1.4016868909083184</v>
      </c>
      <c r="W20" s="60">
        <f>'HPS DAILY'!X20+(1.9182*(('HPS DAILY'!X20*10000)^0.6446)/10000)</f>
        <v>0</v>
      </c>
      <c r="X20" s="60">
        <f>'HPS DAILY'!Y20+(1.9182*(('HPS DAILY'!Y20*10000)^0.6446)/10000)</f>
        <v>0</v>
      </c>
      <c r="Y20" s="60">
        <f>'HPS DAILY'!Z20+(1.9182*(('HPS DAILY'!Z20*10000)^0.6446)/10000)</f>
        <v>0</v>
      </c>
      <c r="Z20" s="60">
        <f>'HPS DAILY'!AA20+(1.9182*(('HPS DAILY'!AA20*10000)^0.6446)/10000)</f>
        <v>0</v>
      </c>
      <c r="AA20" s="60">
        <f>'HPS DAILY'!AB20+(1.9182*(('HPS DAILY'!AB20*10000)^0.6446)/10000)</f>
        <v>0</v>
      </c>
      <c r="AB20" s="60">
        <f>'HPS DAILY'!AC20+(1.9182*(('HPS DAILY'!AC20*10000)^0.6446)/10000)</f>
        <v>0</v>
      </c>
      <c r="AC20" s="60">
        <f>'HPS DAILY'!AD20+(1.9182*(('HPS DAILY'!AD20*10000)^0.6446)/10000)</f>
        <v>0</v>
      </c>
      <c r="AD20" s="60">
        <f>'HPS DAILY'!AE20+(1.9182*(('HPS DAILY'!AE20*10000)^0.6446)/10000)</f>
        <v>0</v>
      </c>
      <c r="AE20" s="60">
        <f>'HPS DAILY'!AF20+(1.9182*(('HPS DAILY'!AF20*10000)^0.6446)/10000)</f>
        <v>0</v>
      </c>
      <c r="AF20" s="60">
        <f>'HPS DAILY'!AG20+(1.9182*(('HPS DAILY'!AG20*10000)^0.6446)/10000)</f>
        <v>0</v>
      </c>
      <c r="AG20" s="60">
        <f>'HPS DAILY'!AH20+(1.9182*(('HPS DAILY'!AH20*10000)^0.6446)/10000)</f>
        <v>0</v>
      </c>
      <c r="AH20" s="60">
        <f>'HPS DAILY'!AI20+(1.9182*(('HPS DAILY'!AI20*10000)^0.6446)/10000)</f>
        <v>0</v>
      </c>
      <c r="AI20" s="60">
        <f>'HPS DAILY'!AJ20+(1.9182*(('HPS DAILY'!AJ20*10000)^0.6446)/10000)</f>
        <v>0</v>
      </c>
      <c r="AJ20" s="60">
        <f>'HPS DAILY'!AK20+(1.9182*(('HPS DAILY'!AK20*10000)^0.6446)/10000)</f>
        <v>0</v>
      </c>
      <c r="AK20" s="60">
        <f>'HPS DAILY'!AL20+(1.9182*(('HPS DAILY'!AL20*10000)^0.6446)/10000)</f>
        <v>0</v>
      </c>
    </row>
    <row r="21" spans="2:37" ht="19.5" customHeight="1" x14ac:dyDescent="0.35">
      <c r="D21" s="2683"/>
      <c r="E21" s="2684" t="s">
        <v>37</v>
      </c>
      <c r="F21" s="59" t="s">
        <v>36</v>
      </c>
      <c r="G21" s="47"/>
      <c r="H21" s="952"/>
      <c r="I21" s="952"/>
      <c r="J21" s="47"/>
      <c r="K21" s="55"/>
      <c r="L21" s="55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195"/>
      <c r="Y21" s="590"/>
      <c r="Z21" s="172"/>
      <c r="AA21" s="172"/>
      <c r="AB21" s="172"/>
      <c r="AC21" s="172"/>
      <c r="AD21" s="172"/>
      <c r="AE21" s="172"/>
      <c r="AF21" s="172"/>
      <c r="AG21" s="172"/>
      <c r="AH21" s="172"/>
      <c r="AI21" s="172"/>
      <c r="AJ21" s="172"/>
      <c r="AK21" s="172"/>
    </row>
    <row r="22" spans="2:37" ht="19.5" customHeight="1" x14ac:dyDescent="0.35">
      <c r="D22" s="2683"/>
      <c r="E22" s="2684"/>
      <c r="F22" s="59" t="s">
        <v>38</v>
      </c>
      <c r="G22" s="47"/>
      <c r="H22" s="952"/>
      <c r="I22" s="952"/>
      <c r="J22" s="47"/>
      <c r="K22" s="55"/>
      <c r="L22" s="55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195"/>
      <c r="Y22" s="590"/>
      <c r="Z22" s="172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</row>
    <row r="23" spans="2:37" ht="19.5" customHeight="1" x14ac:dyDescent="0.35">
      <c r="D23" s="2686" t="s">
        <v>39</v>
      </c>
      <c r="E23" s="64" t="s">
        <v>40</v>
      </c>
      <c r="F23" s="59" t="s">
        <v>38</v>
      </c>
      <c r="G23" s="65"/>
      <c r="H23" s="955"/>
      <c r="I23" s="955"/>
      <c r="J23" s="47"/>
      <c r="K23" s="55"/>
      <c r="L23" s="55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195"/>
      <c r="Y23" s="590"/>
      <c r="Z23" s="172"/>
      <c r="AA23" s="172"/>
      <c r="AB23" s="172"/>
      <c r="AC23" s="172"/>
      <c r="AD23" s="172"/>
      <c r="AE23" s="172"/>
      <c r="AF23" s="172"/>
      <c r="AG23" s="172"/>
      <c r="AH23" s="172"/>
      <c r="AI23" s="172"/>
      <c r="AJ23" s="172"/>
      <c r="AK23" s="172"/>
    </row>
    <row r="24" spans="2:37" ht="19.5" customHeight="1" x14ac:dyDescent="0.35">
      <c r="D24" s="2687"/>
      <c r="E24" s="2677" t="s">
        <v>41</v>
      </c>
      <c r="F24" s="66" t="s">
        <v>38</v>
      </c>
      <c r="G24" s="979" t="s">
        <v>876</v>
      </c>
      <c r="H24" s="955"/>
      <c r="I24" s="955"/>
      <c r="J24" s="68">
        <f>'HPS DAILY'!K24+('HPS DAILY'!K24*0.087)</f>
        <v>3062.0790000000002</v>
      </c>
      <c r="K24" s="68">
        <f>'HPS DAILY'!L24+('HPS DAILY'!L24*0.087)</f>
        <v>3201.2095650000001</v>
      </c>
      <c r="L24" s="68">
        <f>'HPS DAILY'!M24+('HPS DAILY'!M24*0.087)</f>
        <v>3367.0694599999997</v>
      </c>
      <c r="M24" s="68">
        <f>'HPS DAILY'!N24+('HPS DAILY'!N24*0.087)</f>
        <v>3280.7290499999999</v>
      </c>
      <c r="N24" s="68">
        <f>'HPS DAILY'!O24+('HPS DAILY'!O24*0.087)</f>
        <v>2627.279</v>
      </c>
      <c r="O24" s="68">
        <f>'HPS DAILY'!P24+('HPS DAILY'!P24*0.087)</f>
        <v>2780.2416399999997</v>
      </c>
      <c r="P24" s="68">
        <f>'HPS DAILY'!Q24+('HPS DAILY'!Q24*0.087)</f>
        <v>2896.3658500000001</v>
      </c>
      <c r="Q24" s="68">
        <f>'HPS DAILY'!R24+('HPS DAILY'!R24*0.087)</f>
        <v>2784.8939999999998</v>
      </c>
      <c r="R24" s="68">
        <f>'HPS DAILY'!S24+('HPS DAILY'!S24*0.087)</f>
        <v>2837.6243700000005</v>
      </c>
      <c r="S24" s="68">
        <f>'HPS DAILY'!T24+('HPS DAILY'!T24*0.087)</f>
        <v>2764.241</v>
      </c>
      <c r="T24" s="68">
        <f>'HPS DAILY'!U24+('HPS DAILY'!U24*0.087)</f>
        <v>3017.3869950000003</v>
      </c>
      <c r="U24" s="68">
        <f>'HPS DAILY'!V24+('HPS DAILY'!V24*0.087)</f>
        <v>2818.7649199999996</v>
      </c>
      <c r="V24" s="68">
        <f>'HPS DAILY'!W24+('HPS DAILY'!W24*0.087)</f>
        <v>2901.8008500000001</v>
      </c>
      <c r="W24" s="68">
        <f>'HPS DAILY'!X24+('HPS DAILY'!X24*0.087)</f>
        <v>0</v>
      </c>
      <c r="X24" s="68">
        <f>'HPS DAILY'!Y24+('HPS DAILY'!Y24*0.087)</f>
        <v>0</v>
      </c>
      <c r="Y24" s="68">
        <f>'HPS DAILY'!Z24+('HPS DAILY'!Z24*0.087)</f>
        <v>0</v>
      </c>
      <c r="Z24" s="68">
        <f>'HPS DAILY'!AA24+('HPS DAILY'!AA24*0.087)</f>
        <v>0</v>
      </c>
      <c r="AA24" s="68">
        <f>'HPS DAILY'!AB24+('HPS DAILY'!AB24*0.087)</f>
        <v>0</v>
      </c>
      <c r="AB24" s="68">
        <f>'HPS DAILY'!AC24+('HPS DAILY'!AC24*0.087)</f>
        <v>0</v>
      </c>
      <c r="AC24" s="68">
        <f>'HPS DAILY'!AD24+('HPS DAILY'!AD24*0.087)</f>
        <v>0</v>
      </c>
      <c r="AD24" s="68">
        <f>'HPS DAILY'!AE24+('HPS DAILY'!AE24*0.087)</f>
        <v>0</v>
      </c>
      <c r="AE24" s="68">
        <f>'HPS DAILY'!AF24+('HPS DAILY'!AF24*0.087)</f>
        <v>0</v>
      </c>
      <c r="AF24" s="68">
        <f>'HPS DAILY'!AG24+('HPS DAILY'!AG24*0.087)</f>
        <v>0</v>
      </c>
      <c r="AG24" s="68">
        <f>'HPS DAILY'!AH24+('HPS DAILY'!AH24*0.087)</f>
        <v>0</v>
      </c>
      <c r="AH24" s="68">
        <f>'HPS DAILY'!AI24+('HPS DAILY'!AI24*0.087)</f>
        <v>0</v>
      </c>
      <c r="AI24" s="68">
        <f>'HPS DAILY'!AJ24+('HPS DAILY'!AJ24*0.087)</f>
        <v>0</v>
      </c>
      <c r="AJ24" s="68">
        <f>'HPS DAILY'!AK24+('HPS DAILY'!AK24*0.087)</f>
        <v>0</v>
      </c>
      <c r="AK24" s="68">
        <f>'HPS DAILY'!AL24+('HPS DAILY'!AL24*0.087)</f>
        <v>0</v>
      </c>
    </row>
    <row r="25" spans="2:37" ht="19.5" customHeight="1" x14ac:dyDescent="0.35">
      <c r="B25" s="72">
        <v>0.45190000000000002</v>
      </c>
      <c r="D25" s="2688"/>
      <c r="E25" s="2679"/>
      <c r="F25" s="66" t="s">
        <v>36</v>
      </c>
      <c r="G25" s="956"/>
      <c r="H25" s="956"/>
      <c r="I25" s="956"/>
      <c r="J25" s="74">
        <f t="shared" ref="J25:Z25" si="0">J24/10000</f>
        <v>0.30620790000000003</v>
      </c>
      <c r="K25" s="74">
        <f t="shared" si="0"/>
        <v>0.3201209565</v>
      </c>
      <c r="L25" s="74">
        <f t="shared" si="0"/>
        <v>0.33670694599999995</v>
      </c>
      <c r="M25" s="74">
        <f t="shared" si="0"/>
        <v>0.32807290499999997</v>
      </c>
      <c r="N25" s="74">
        <f t="shared" si="0"/>
        <v>0.26272790000000001</v>
      </c>
      <c r="O25" s="74">
        <f t="shared" si="0"/>
        <v>0.27802416399999996</v>
      </c>
      <c r="P25" s="74">
        <f t="shared" si="0"/>
        <v>0.289636585</v>
      </c>
      <c r="Q25" s="74">
        <f t="shared" si="0"/>
        <v>0.2784894</v>
      </c>
      <c r="R25" s="74">
        <f t="shared" si="0"/>
        <v>0.28376243700000003</v>
      </c>
      <c r="S25" s="74">
        <f t="shared" si="0"/>
        <v>0.27642410000000001</v>
      </c>
      <c r="T25" s="74">
        <f t="shared" si="0"/>
        <v>0.30173869950000004</v>
      </c>
      <c r="U25" s="74">
        <f t="shared" si="0"/>
        <v>0.28187649199999998</v>
      </c>
      <c r="V25" s="74">
        <f t="shared" si="0"/>
        <v>0.29018008500000003</v>
      </c>
      <c r="W25" s="74">
        <f t="shared" si="0"/>
        <v>0</v>
      </c>
      <c r="X25" s="74">
        <f t="shared" si="0"/>
        <v>0</v>
      </c>
      <c r="Y25" s="578">
        <f t="shared" si="0"/>
        <v>0</v>
      </c>
      <c r="Z25" s="74">
        <f t="shared" si="0"/>
        <v>0</v>
      </c>
      <c r="AA25" s="74">
        <f t="shared" ref="AA25:AH25" si="1">AA24/10000</f>
        <v>0</v>
      </c>
      <c r="AB25" s="74">
        <f t="shared" si="1"/>
        <v>0</v>
      </c>
      <c r="AC25" s="74">
        <f t="shared" si="1"/>
        <v>0</v>
      </c>
      <c r="AD25" s="74">
        <f t="shared" si="1"/>
        <v>0</v>
      </c>
      <c r="AE25" s="74">
        <f t="shared" si="1"/>
        <v>0</v>
      </c>
      <c r="AF25" s="74">
        <f t="shared" si="1"/>
        <v>0</v>
      </c>
      <c r="AG25" s="74">
        <f t="shared" si="1"/>
        <v>0</v>
      </c>
      <c r="AH25" s="74">
        <f t="shared" si="1"/>
        <v>0</v>
      </c>
      <c r="AI25" s="74">
        <f t="shared" ref="AI25:AK25" si="2">AI24/10000</f>
        <v>0</v>
      </c>
      <c r="AJ25" s="74">
        <f t="shared" si="2"/>
        <v>0</v>
      </c>
      <c r="AK25" s="74">
        <f t="shared" si="2"/>
        <v>0</v>
      </c>
    </row>
    <row r="26" spans="2:37" ht="19.5" customHeight="1" x14ac:dyDescent="0.35">
      <c r="D26" s="75" t="s">
        <v>42</v>
      </c>
      <c r="E26" s="2677" t="s">
        <v>43</v>
      </c>
      <c r="F26" s="2680" t="s">
        <v>36</v>
      </c>
      <c r="G26" s="47"/>
      <c r="H26" s="952"/>
      <c r="I26" s="952"/>
      <c r="J26" s="47"/>
      <c r="K26" s="55"/>
      <c r="L26" s="55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195"/>
      <c r="Y26" s="590"/>
      <c r="Z26" s="172"/>
      <c r="AA26" s="172"/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</row>
    <row r="27" spans="2:37" ht="19.5" customHeight="1" x14ac:dyDescent="0.35">
      <c r="B27" s="76"/>
      <c r="D27" s="44" t="s">
        <v>44</v>
      </c>
      <c r="E27" s="2678"/>
      <c r="F27" s="2681"/>
      <c r="G27" s="978" t="s">
        <v>874</v>
      </c>
      <c r="H27" s="952"/>
      <c r="I27" s="952"/>
      <c r="J27" s="77">
        <f>'HPS DAILY'!K27+(('HPS DAILY'!K27+48.48)*0.0018)</f>
        <v>87.925088000000002</v>
      </c>
      <c r="K27" s="77">
        <f>'HPS DAILY'!L27+(('HPS DAILY'!L27+48.48)*0.0018)</f>
        <v>87.133666000000005</v>
      </c>
      <c r="L27" s="77">
        <f>'HPS DAILY'!M27+(('HPS DAILY'!M27+48.48)*0.0018)</f>
        <v>88.686455999999993</v>
      </c>
      <c r="M27" s="77">
        <f>'HPS DAILY'!N27+(('HPS DAILY'!N27+48.48)*0.0018)</f>
        <v>88.335825999999997</v>
      </c>
      <c r="N27" s="77">
        <f>'HPS DAILY'!O27+(('HPS DAILY'!O27+48.48)*0.0018)</f>
        <v>88.786636000000001</v>
      </c>
      <c r="O27" s="77">
        <f>'HPS DAILY'!P27+(('HPS DAILY'!P27+48.48)*0.0018)</f>
        <v>88.616330000000005</v>
      </c>
      <c r="P27" s="77">
        <f>'HPS DAILY'!Q27+(('HPS DAILY'!Q27+48.48)*0.0018)</f>
        <v>89.407752000000002</v>
      </c>
      <c r="Q27" s="77">
        <f>'HPS DAILY'!R27+(('HPS DAILY'!R27+48.48)*0.0018)</f>
        <v>89.838526000000002</v>
      </c>
      <c r="R27" s="77">
        <f>'HPS DAILY'!S27+(('HPS DAILY'!S27+48.48)*0.0018)</f>
        <v>89.658202000000003</v>
      </c>
      <c r="S27" s="77">
        <f>'HPS DAILY'!T27+(('HPS DAILY'!T27+48.48)*0.0018)</f>
        <v>89.808472000000009</v>
      </c>
      <c r="T27" s="77">
        <f>'HPS DAILY'!U27+(('HPS DAILY'!U27+48.48)*0.0018)</f>
        <v>89.367680000000007</v>
      </c>
      <c r="U27" s="77">
        <f>'HPS DAILY'!V27+(('HPS DAILY'!V27+48.48)*0.0018)</f>
        <v>89.908652000000004</v>
      </c>
      <c r="V27" s="77">
        <f>'HPS DAILY'!W27+(('HPS DAILY'!W27+48.48)*0.0018)</f>
        <v>89.027068</v>
      </c>
      <c r="W27" s="77">
        <f>'HPS DAILY'!X27+(('HPS DAILY'!X27+48.48)*0.0018)</f>
        <v>8.7263999999999994E-2</v>
      </c>
      <c r="X27" s="77">
        <f>'HPS DAILY'!Y27+(('HPS DAILY'!Y27+48.48)*0.0018)</f>
        <v>8.7263999999999994E-2</v>
      </c>
      <c r="Y27" s="77">
        <f>'HPS DAILY'!Z27+(('HPS DAILY'!Z27+48.48)*0.0018)</f>
        <v>8.7263999999999994E-2</v>
      </c>
      <c r="Z27" s="77">
        <f>'HPS DAILY'!AA27+(('HPS DAILY'!AA27+48.48)*0.0018)</f>
        <v>8.7263999999999994E-2</v>
      </c>
      <c r="AA27" s="77">
        <f>'HPS DAILY'!AB27+(('HPS DAILY'!AB27+48.48)*0.0018)</f>
        <v>8.7263999999999994E-2</v>
      </c>
      <c r="AB27" s="77">
        <f>'HPS DAILY'!AC27+(('HPS DAILY'!AC27+48.48)*0.0018)</f>
        <v>8.7263999999999994E-2</v>
      </c>
      <c r="AC27" s="77">
        <f>'HPS DAILY'!AD27+(('HPS DAILY'!AD27+48.48)*0.0018)</f>
        <v>8.7263999999999994E-2</v>
      </c>
      <c r="AD27" s="77">
        <f>'HPS DAILY'!AE27+(('HPS DAILY'!AE27+48.48)*0.0018)</f>
        <v>8.7263999999999994E-2</v>
      </c>
      <c r="AE27" s="77">
        <f>'HPS DAILY'!AF27+(('HPS DAILY'!AF27+48.48)*0.0018)</f>
        <v>8.7263999999999994E-2</v>
      </c>
      <c r="AF27" s="77">
        <f>'HPS DAILY'!AG27+(('HPS DAILY'!AG27+48.48)*0.0018)</f>
        <v>8.7263999999999994E-2</v>
      </c>
      <c r="AG27" s="77">
        <f>'HPS DAILY'!AH27+(('HPS DAILY'!AH27+48.48)*0.0018)</f>
        <v>8.7263999999999994E-2</v>
      </c>
      <c r="AH27" s="77">
        <f>'HPS DAILY'!AI27+(('HPS DAILY'!AI27+48.48)*0.0018)</f>
        <v>8.7263999999999994E-2</v>
      </c>
      <c r="AI27" s="77">
        <f>'HPS DAILY'!AJ27+(('HPS DAILY'!AJ27+48.48)*0.0018)</f>
        <v>8.7263999999999994E-2</v>
      </c>
      <c r="AJ27" s="77">
        <f>'HPS DAILY'!AK27+(('HPS DAILY'!AK27+48.48)*0.0018)</f>
        <v>8.7263999999999994E-2</v>
      </c>
      <c r="AK27" s="77">
        <f>'HPS DAILY'!AL27+(('HPS DAILY'!AL27+48.48)*0.0018)</f>
        <v>8.7263999999999994E-2</v>
      </c>
    </row>
    <row r="28" spans="2:37" ht="19.5" customHeight="1" x14ac:dyDescent="0.35">
      <c r="B28" s="76"/>
      <c r="D28" s="44" t="s">
        <v>45</v>
      </c>
      <c r="E28" s="2678"/>
      <c r="F28" s="2681"/>
      <c r="G28" s="978" t="s">
        <v>875</v>
      </c>
      <c r="H28" s="952"/>
      <c r="I28" s="952"/>
      <c r="J28" s="77">
        <f>'HPS DAILY'!K28+('HPS DAILY'!K28*0.5)*0.2314</f>
        <v>12.373113</v>
      </c>
      <c r="K28" s="77">
        <f>'HPS DAILY'!L28+('HPS DAILY'!L28*0.5)*0.2314</f>
        <v>11.982618</v>
      </c>
      <c r="L28" s="77">
        <f>'HPS DAILY'!M28+('HPS DAILY'!M28*0.5)*0.2314</f>
        <v>12.239229</v>
      </c>
      <c r="M28" s="77">
        <f>'HPS DAILY'!N28+('HPS DAILY'!N28*0.5)*0.2314</f>
        <v>12.183444</v>
      </c>
      <c r="N28" s="77">
        <f>'HPS DAILY'!O28+('HPS DAILY'!O28*0.5)*0.2314</f>
        <v>12.785922000000001</v>
      </c>
      <c r="O28" s="77">
        <f>'HPS DAILY'!P28+('HPS DAILY'!P28*0.5)*0.2314</f>
        <v>12.71898</v>
      </c>
      <c r="P28" s="77">
        <f>'HPS DAILY'!Q28+('HPS DAILY'!Q28*0.5)*0.2314</f>
        <v>12.551625</v>
      </c>
      <c r="Q28" s="77">
        <f>'HPS DAILY'!R28+('HPS DAILY'!R28*0.5)*0.2314</f>
        <v>12.451212</v>
      </c>
      <c r="R28" s="77">
        <f>'HPS DAILY'!S28+('HPS DAILY'!S28*0.5)*0.2314</f>
        <v>12.462368999999999</v>
      </c>
      <c r="S28" s="77">
        <f>'HPS DAILY'!T28+('HPS DAILY'!T28*0.5)*0.2314</f>
        <v>12.395427</v>
      </c>
      <c r="T28" s="77">
        <f>'HPS DAILY'!U28+('HPS DAILY'!U28*0.5)*0.2314</f>
        <v>12.395427</v>
      </c>
      <c r="U28" s="77">
        <f>'HPS DAILY'!V28+('HPS DAILY'!V28*0.5)*0.2314</f>
        <v>12.350799</v>
      </c>
      <c r="V28" s="77">
        <f>'HPS DAILY'!W28+('HPS DAILY'!W28*0.5)*0.2314</f>
        <v>12.484682999999999</v>
      </c>
      <c r="W28" s="77">
        <f>'HPS DAILY'!X28+('HPS DAILY'!X28*0.5)*0.2314</f>
        <v>0</v>
      </c>
      <c r="X28" s="77">
        <f>'HPS DAILY'!Y28+('HPS DAILY'!Y28*0.5)*0.2314</f>
        <v>0</v>
      </c>
      <c r="Y28" s="77">
        <f>'HPS DAILY'!Z28+('HPS DAILY'!Z28*0.5)*0.2314</f>
        <v>0</v>
      </c>
      <c r="Z28" s="77">
        <f>'HPS DAILY'!AA28+('HPS DAILY'!AA28*0.5)*0.2314</f>
        <v>0</v>
      </c>
      <c r="AA28" s="77">
        <f>'HPS DAILY'!AB28+('HPS DAILY'!AB28*0.5)*0.2314</f>
        <v>0</v>
      </c>
      <c r="AB28" s="77">
        <f>'HPS DAILY'!AC28+('HPS DAILY'!AC28*0.5)*0.2314</f>
        <v>0</v>
      </c>
      <c r="AC28" s="77">
        <f>'HPS DAILY'!AD28+('HPS DAILY'!AD28*0.5)*0.2314</f>
        <v>0</v>
      </c>
      <c r="AD28" s="77">
        <f>'HPS DAILY'!AE28+('HPS DAILY'!AE28*0.5)*0.2314</f>
        <v>0</v>
      </c>
      <c r="AE28" s="77">
        <f>'HPS DAILY'!AF28+('HPS DAILY'!AF28*0.5)*0.2314</f>
        <v>0</v>
      </c>
      <c r="AF28" s="77">
        <f>'HPS DAILY'!AG28+('HPS DAILY'!AG28*0.5)*0.2314</f>
        <v>0</v>
      </c>
      <c r="AG28" s="77">
        <f>'HPS DAILY'!AH28+('HPS DAILY'!AH28*0.5)*0.2314</f>
        <v>0</v>
      </c>
      <c r="AH28" s="77">
        <f>'HPS DAILY'!AI28+('HPS DAILY'!AI28*0.5)*0.2314</f>
        <v>0</v>
      </c>
      <c r="AI28" s="77">
        <f>'HPS DAILY'!AJ28+('HPS DAILY'!AJ28*0.5)*0.2314</f>
        <v>0</v>
      </c>
      <c r="AJ28" s="77">
        <f>'HPS DAILY'!AK28+('HPS DAILY'!AK28*0.5)*0.2314</f>
        <v>0</v>
      </c>
      <c r="AK28" s="77">
        <f>'HPS DAILY'!AL28+('HPS DAILY'!AL28*0.5)*0.2314</f>
        <v>0</v>
      </c>
    </row>
    <row r="29" spans="2:37" ht="19.5" customHeight="1" x14ac:dyDescent="0.35">
      <c r="B29" s="76"/>
      <c r="D29" s="44" t="s">
        <v>46</v>
      </c>
      <c r="E29" s="2679"/>
      <c r="F29" s="2682"/>
      <c r="G29" s="60">
        <v>0.44600000000000001</v>
      </c>
      <c r="H29" s="952"/>
      <c r="I29" s="952"/>
      <c r="J29" s="77">
        <v>0.44</v>
      </c>
      <c r="K29" s="62">
        <v>0.44419999999999998</v>
      </c>
      <c r="L29" s="62">
        <v>0.44556000000000001</v>
      </c>
      <c r="M29" s="63">
        <v>0.44</v>
      </c>
      <c r="N29" s="63">
        <v>0.48570000000000002</v>
      </c>
      <c r="O29" s="525">
        <v>1.0069999999999999</v>
      </c>
      <c r="P29" s="525">
        <v>0.52500000000000002</v>
      </c>
      <c r="Q29" s="525">
        <v>1.0449999999999999</v>
      </c>
      <c r="R29" s="525">
        <v>0.64729999999999999</v>
      </c>
      <c r="S29" s="525">
        <v>2.14</v>
      </c>
      <c r="T29" s="525">
        <v>2.1949999999999998</v>
      </c>
      <c r="U29" s="525">
        <v>2.31</v>
      </c>
      <c r="V29" s="525">
        <v>3.16</v>
      </c>
      <c r="W29" s="525">
        <v>3.266</v>
      </c>
      <c r="X29" s="529">
        <v>5.1470000000000002</v>
      </c>
      <c r="Y29" s="592">
        <v>4.8899999999999997</v>
      </c>
      <c r="Z29" s="597">
        <v>9.0299999999999994</v>
      </c>
      <c r="AA29" s="597">
        <v>10.029999999999999</v>
      </c>
      <c r="AB29" s="597">
        <v>11.03</v>
      </c>
      <c r="AC29" s="597">
        <v>12.03</v>
      </c>
      <c r="AD29" s="597">
        <v>13.03</v>
      </c>
      <c r="AE29" s="597">
        <v>14.03</v>
      </c>
      <c r="AF29" s="597">
        <v>15.03</v>
      </c>
      <c r="AG29" s="597">
        <v>16.03</v>
      </c>
      <c r="AH29" s="597">
        <v>17.03</v>
      </c>
      <c r="AI29" s="597">
        <v>17.03</v>
      </c>
      <c r="AJ29" s="597">
        <v>17.03</v>
      </c>
      <c r="AK29" s="597">
        <v>17.03</v>
      </c>
    </row>
    <row r="30" spans="2:37" ht="19.5" customHeight="1" x14ac:dyDescent="0.35">
      <c r="B30" s="76"/>
      <c r="D30" s="78" t="s">
        <v>150</v>
      </c>
      <c r="E30" s="79"/>
      <c r="F30" s="80"/>
      <c r="G30" s="2"/>
      <c r="H30" s="957"/>
      <c r="I30" s="957"/>
      <c r="J30" s="2">
        <f t="shared" ref="J30:AK30" si="3">(J$27+J$28+J$25+J$20)</f>
        <v>102.67497333959324</v>
      </c>
      <c r="K30" s="2">
        <f t="shared" si="3"/>
        <v>101.64170935363015</v>
      </c>
      <c r="L30" s="2">
        <f t="shared" si="3"/>
        <v>103.66599200812212</v>
      </c>
      <c r="M30" s="2">
        <f t="shared" si="3"/>
        <v>103.21471656319052</v>
      </c>
      <c r="N30" s="2">
        <f t="shared" si="3"/>
        <v>102.76855956632974</v>
      </c>
      <c r="O30" s="2">
        <f t="shared" si="3"/>
        <v>102.62420078792643</v>
      </c>
      <c r="P30" s="2">
        <f t="shared" si="3"/>
        <v>103.36039507486041</v>
      </c>
      <c r="Q30" s="2">
        <f t="shared" si="3"/>
        <v>103.76743872879609</v>
      </c>
      <c r="R30" s="2">
        <f t="shared" si="3"/>
        <v>103.65473166800972</v>
      </c>
      <c r="S30" s="2">
        <f t="shared" si="3"/>
        <v>103.77665748618644</v>
      </c>
      <c r="T30" s="2">
        <f t="shared" si="3"/>
        <v>103.41647947061344</v>
      </c>
      <c r="U30" s="2">
        <f t="shared" si="3"/>
        <v>103.91799121445452</v>
      </c>
      <c r="V30" s="2">
        <f t="shared" si="3"/>
        <v>103.20361797590833</v>
      </c>
      <c r="W30" s="2">
        <f t="shared" si="3"/>
        <v>8.7263999999999994E-2</v>
      </c>
      <c r="X30" s="2">
        <f t="shared" si="3"/>
        <v>8.7263999999999994E-2</v>
      </c>
      <c r="Y30" s="2">
        <f t="shared" si="3"/>
        <v>8.7263999999999994E-2</v>
      </c>
      <c r="Z30" s="2">
        <f t="shared" si="3"/>
        <v>8.7263999999999994E-2</v>
      </c>
      <c r="AA30" s="2">
        <f t="shared" si="3"/>
        <v>8.7263999999999994E-2</v>
      </c>
      <c r="AB30" s="2">
        <f t="shared" si="3"/>
        <v>8.7263999999999994E-2</v>
      </c>
      <c r="AC30" s="2">
        <f t="shared" si="3"/>
        <v>8.7263999999999994E-2</v>
      </c>
      <c r="AD30" s="2">
        <f t="shared" si="3"/>
        <v>8.7263999999999994E-2</v>
      </c>
      <c r="AE30" s="2">
        <f t="shared" si="3"/>
        <v>8.7263999999999994E-2</v>
      </c>
      <c r="AF30" s="2">
        <f t="shared" si="3"/>
        <v>8.7263999999999994E-2</v>
      </c>
      <c r="AG30" s="2">
        <f t="shared" si="3"/>
        <v>8.7263999999999994E-2</v>
      </c>
      <c r="AH30" s="2">
        <f t="shared" si="3"/>
        <v>8.7263999999999994E-2</v>
      </c>
      <c r="AI30" s="2">
        <f t="shared" si="3"/>
        <v>8.7263999999999994E-2</v>
      </c>
      <c r="AJ30" s="2">
        <f t="shared" si="3"/>
        <v>8.7263999999999994E-2</v>
      </c>
      <c r="AK30" s="2">
        <f t="shared" si="3"/>
        <v>8.7263999999999994E-2</v>
      </c>
    </row>
    <row r="31" spans="2:37" ht="19.5" customHeight="1" x14ac:dyDescent="0.35">
      <c r="D31" s="78" t="s">
        <v>151</v>
      </c>
      <c r="E31" s="79"/>
      <c r="F31" s="80"/>
      <c r="G31" s="2"/>
      <c r="H31" s="957"/>
      <c r="I31" s="957"/>
      <c r="J31" s="2">
        <f t="shared" ref="J31:AK31" si="4">(100-J$33-J$34)/(1+(J$28/J$27))</f>
        <v>85.634390874581882</v>
      </c>
      <c r="K31" s="2">
        <f t="shared" si="4"/>
        <v>85.726289486972348</v>
      </c>
      <c r="L31" s="2">
        <f t="shared" si="4"/>
        <v>85.550192770114535</v>
      </c>
      <c r="M31" s="2">
        <f t="shared" si="4"/>
        <v>85.584526065058441</v>
      </c>
      <c r="N31" s="2">
        <f t="shared" si="4"/>
        <v>86.394745994950526</v>
      </c>
      <c r="O31" s="2">
        <f t="shared" si="4"/>
        <v>86.350324114217685</v>
      </c>
      <c r="P31" s="2">
        <f t="shared" si="4"/>
        <v>86.500977415232413</v>
      </c>
      <c r="Q31" s="2">
        <f>(100-Q$33-Q$34)/(1+(Q$28/Q$27))</f>
        <v>86.576798175388774</v>
      </c>
      <c r="R31" s="2">
        <f t="shared" si="4"/>
        <v>86.496969850987156</v>
      </c>
      <c r="S31" s="2">
        <f t="shared" si="4"/>
        <v>86.540147057592691</v>
      </c>
      <c r="T31" s="2">
        <f t="shared" si="4"/>
        <v>86.415318387815077</v>
      </c>
      <c r="U31" s="2">
        <f t="shared" si="4"/>
        <v>86.518851018257664</v>
      </c>
      <c r="V31" s="2">
        <f t="shared" si="4"/>
        <v>86.263514541498267</v>
      </c>
      <c r="W31" s="2">
        <f t="shared" si="4"/>
        <v>100</v>
      </c>
      <c r="X31" s="2">
        <f t="shared" si="4"/>
        <v>100</v>
      </c>
      <c r="Y31" s="579">
        <f t="shared" si="4"/>
        <v>100</v>
      </c>
      <c r="Z31" s="2">
        <f t="shared" si="4"/>
        <v>100</v>
      </c>
      <c r="AA31" s="2">
        <f t="shared" si="4"/>
        <v>100</v>
      </c>
      <c r="AB31" s="2">
        <f t="shared" si="4"/>
        <v>100</v>
      </c>
      <c r="AC31" s="2">
        <f t="shared" si="4"/>
        <v>100</v>
      </c>
      <c r="AD31" s="2">
        <f t="shared" si="4"/>
        <v>100</v>
      </c>
      <c r="AE31" s="2">
        <f t="shared" si="4"/>
        <v>100</v>
      </c>
      <c r="AF31" s="2">
        <f t="shared" si="4"/>
        <v>100</v>
      </c>
      <c r="AG31" s="2">
        <f t="shared" si="4"/>
        <v>100</v>
      </c>
      <c r="AH31" s="2">
        <f t="shared" si="4"/>
        <v>100</v>
      </c>
      <c r="AI31" s="2">
        <f t="shared" si="4"/>
        <v>100</v>
      </c>
      <c r="AJ31" s="2">
        <f t="shared" si="4"/>
        <v>100</v>
      </c>
      <c r="AK31" s="2">
        <f t="shared" si="4"/>
        <v>100</v>
      </c>
    </row>
    <row r="32" spans="2:37" ht="19.5" customHeight="1" x14ac:dyDescent="0.35">
      <c r="D32" s="78" t="s">
        <v>152</v>
      </c>
      <c r="E32" s="79"/>
      <c r="F32" s="80" t="s">
        <v>36</v>
      </c>
      <c r="G32" s="2"/>
      <c r="H32" s="957"/>
      <c r="I32" s="957"/>
      <c r="J32" s="2">
        <f t="shared" ref="J32:AK32" si="5">J$31*(J$28/J$27)</f>
        <v>12.050758424914745</v>
      </c>
      <c r="K32" s="2">
        <f t="shared" si="5"/>
        <v>11.789075642471024</v>
      </c>
      <c r="L32" s="2">
        <f t="shared" si="5"/>
        <v>11.806407060708077</v>
      </c>
      <c r="M32" s="2">
        <f t="shared" si="5"/>
        <v>11.80397951540273</v>
      </c>
      <c r="N32" s="2">
        <f t="shared" si="5"/>
        <v>12.441472424985781</v>
      </c>
      <c r="O32" s="2">
        <f t="shared" si="5"/>
        <v>12.393743290906455</v>
      </c>
      <c r="P32" s="2">
        <f t="shared" si="5"/>
        <v>12.143553622167644</v>
      </c>
      <c r="Q32" s="2">
        <f t="shared" si="5"/>
        <v>11.999151325824055</v>
      </c>
      <c r="R32" s="2">
        <f t="shared" si="5"/>
        <v>12.022962000340769</v>
      </c>
      <c r="S32" s="2">
        <f t="shared" si="5"/>
        <v>11.944330546250191</v>
      </c>
      <c r="T32" s="2">
        <f t="shared" si="5"/>
        <v>11.985930156829843</v>
      </c>
      <c r="U32" s="2">
        <f t="shared" si="5"/>
        <v>11.885140249210339</v>
      </c>
      <c r="V32" s="2">
        <f t="shared" si="5"/>
        <v>12.097136946220628</v>
      </c>
      <c r="W32" s="2">
        <f t="shared" si="5"/>
        <v>0</v>
      </c>
      <c r="X32" s="2">
        <f t="shared" si="5"/>
        <v>0</v>
      </c>
      <c r="Y32" s="579">
        <f t="shared" si="5"/>
        <v>0</v>
      </c>
      <c r="Z32" s="2">
        <f t="shared" si="5"/>
        <v>0</v>
      </c>
      <c r="AA32" s="2">
        <f t="shared" si="5"/>
        <v>0</v>
      </c>
      <c r="AB32" s="2">
        <f t="shared" si="5"/>
        <v>0</v>
      </c>
      <c r="AC32" s="2">
        <f t="shared" si="5"/>
        <v>0</v>
      </c>
      <c r="AD32" s="2">
        <f t="shared" si="5"/>
        <v>0</v>
      </c>
      <c r="AE32" s="2">
        <f t="shared" si="5"/>
        <v>0</v>
      </c>
      <c r="AF32" s="2">
        <f t="shared" si="5"/>
        <v>0</v>
      </c>
      <c r="AG32" s="2">
        <f t="shared" si="5"/>
        <v>0</v>
      </c>
      <c r="AH32" s="2">
        <f t="shared" si="5"/>
        <v>0</v>
      </c>
      <c r="AI32" s="2">
        <f t="shared" si="5"/>
        <v>0</v>
      </c>
      <c r="AJ32" s="2">
        <f t="shared" si="5"/>
        <v>0</v>
      </c>
      <c r="AK32" s="2">
        <f t="shared" si="5"/>
        <v>0</v>
      </c>
    </row>
    <row r="33" spans="4:37" ht="19.5" customHeight="1" x14ac:dyDescent="0.35">
      <c r="D33" s="78" t="s">
        <v>153</v>
      </c>
      <c r="E33" s="79"/>
      <c r="F33" s="80"/>
      <c r="G33" s="2"/>
      <c r="H33" s="957"/>
      <c r="I33" s="957"/>
      <c r="J33" s="2">
        <f t="shared" ref="J33:AK33" si="6">J$25*100/J$30</f>
        <v>0.29823031848981352</v>
      </c>
      <c r="K33" s="2">
        <f t="shared" si="6"/>
        <v>0.31495038654479973</v>
      </c>
      <c r="L33" s="2">
        <f t="shared" si="6"/>
        <v>0.32479981089036347</v>
      </c>
      <c r="M33" s="2">
        <f t="shared" si="6"/>
        <v>0.31785477490426073</v>
      </c>
      <c r="N33" s="2">
        <f t="shared" si="6"/>
        <v>0.25565007538169099</v>
      </c>
      <c r="O33" s="2">
        <f t="shared" si="6"/>
        <v>0.27091481528274086</v>
      </c>
      <c r="P33" s="2">
        <f t="shared" si="6"/>
        <v>0.28022008312780355</v>
      </c>
      <c r="Q33" s="2">
        <f>Q$25*100/Q$30</f>
        <v>0.26837840792028483</v>
      </c>
      <c r="R33" s="2">
        <f t="shared" si="6"/>
        <v>0.27375734077325847</v>
      </c>
      <c r="S33" s="2">
        <f t="shared" si="6"/>
        <v>0.26636442789342529</v>
      </c>
      <c r="T33" s="2">
        <f t="shared" si="6"/>
        <v>0.29177042290028965</v>
      </c>
      <c r="U33" s="2">
        <f t="shared" si="6"/>
        <v>0.27124898076435511</v>
      </c>
      <c r="V33" s="2">
        <f t="shared" si="6"/>
        <v>0.28117239559153745</v>
      </c>
      <c r="W33" s="2">
        <f t="shared" si="6"/>
        <v>0</v>
      </c>
      <c r="X33" s="2">
        <f t="shared" si="6"/>
        <v>0</v>
      </c>
      <c r="Y33" s="579">
        <f t="shared" si="6"/>
        <v>0</v>
      </c>
      <c r="Z33" s="2">
        <f t="shared" si="6"/>
        <v>0</v>
      </c>
      <c r="AA33" s="2">
        <f t="shared" si="6"/>
        <v>0</v>
      </c>
      <c r="AB33" s="2">
        <f t="shared" si="6"/>
        <v>0</v>
      </c>
      <c r="AC33" s="2">
        <f t="shared" si="6"/>
        <v>0</v>
      </c>
      <c r="AD33" s="2">
        <f t="shared" si="6"/>
        <v>0</v>
      </c>
      <c r="AE33" s="2">
        <f t="shared" si="6"/>
        <v>0</v>
      </c>
      <c r="AF33" s="2">
        <f t="shared" si="6"/>
        <v>0</v>
      </c>
      <c r="AG33" s="2">
        <f t="shared" si="6"/>
        <v>0</v>
      </c>
      <c r="AH33" s="2">
        <f t="shared" si="6"/>
        <v>0</v>
      </c>
      <c r="AI33" s="2">
        <f t="shared" si="6"/>
        <v>0</v>
      </c>
      <c r="AJ33" s="2">
        <f t="shared" si="6"/>
        <v>0</v>
      </c>
      <c r="AK33" s="2">
        <f t="shared" si="6"/>
        <v>0</v>
      </c>
    </row>
    <row r="34" spans="4:37" ht="19.5" customHeight="1" x14ac:dyDescent="0.35">
      <c r="D34" s="78" t="s">
        <v>154</v>
      </c>
      <c r="E34" s="79"/>
      <c r="F34" s="80"/>
      <c r="G34" s="2"/>
      <c r="H34" s="957"/>
      <c r="I34" s="957"/>
      <c r="J34" s="2">
        <f t="shared" ref="J34:AK34" si="7">J$20*100/J$30</f>
        <v>2.0166203820135618</v>
      </c>
      <c r="K34" s="2">
        <f t="shared" si="7"/>
        <v>2.1696844840118441</v>
      </c>
      <c r="L34" s="2">
        <f t="shared" si="7"/>
        <v>2.318600358287028</v>
      </c>
      <c r="M34" s="2">
        <f t="shared" si="7"/>
        <v>2.2936396446345526</v>
      </c>
      <c r="N34" s="2">
        <f t="shared" si="7"/>
        <v>0.90813150468200632</v>
      </c>
      <c r="O34" s="2">
        <f t="shared" si="7"/>
        <v>0.98501777959311843</v>
      </c>
      <c r="P34" s="2">
        <f t="shared" si="7"/>
        <v>1.0752488794721393</v>
      </c>
      <c r="Q34" s="2">
        <f t="shared" si="7"/>
        <v>1.1556720908668863</v>
      </c>
      <c r="R34" s="2">
        <f t="shared" si="7"/>
        <v>1.2063108078988201</v>
      </c>
      <c r="S34" s="2">
        <f t="shared" si="7"/>
        <v>1.2491579682637033</v>
      </c>
      <c r="T34" s="2">
        <f t="shared" si="7"/>
        <v>1.3069810324547957</v>
      </c>
      <c r="U34" s="2">
        <f t="shared" si="7"/>
        <v>1.3247597517676379</v>
      </c>
      <c r="V34" s="2">
        <f t="shared" si="7"/>
        <v>1.3581761166895581</v>
      </c>
      <c r="W34" s="2">
        <f t="shared" si="7"/>
        <v>0</v>
      </c>
      <c r="X34" s="2">
        <f t="shared" si="7"/>
        <v>0</v>
      </c>
      <c r="Y34" s="579">
        <f t="shared" si="7"/>
        <v>0</v>
      </c>
      <c r="Z34" s="2">
        <f t="shared" si="7"/>
        <v>0</v>
      </c>
      <c r="AA34" s="2">
        <f t="shared" si="7"/>
        <v>0</v>
      </c>
      <c r="AB34" s="2">
        <f t="shared" si="7"/>
        <v>0</v>
      </c>
      <c r="AC34" s="2">
        <f t="shared" si="7"/>
        <v>0</v>
      </c>
      <c r="AD34" s="2">
        <f t="shared" si="7"/>
        <v>0</v>
      </c>
      <c r="AE34" s="2">
        <f t="shared" si="7"/>
        <v>0</v>
      </c>
      <c r="AF34" s="2">
        <f t="shared" si="7"/>
        <v>0</v>
      </c>
      <c r="AG34" s="2">
        <f t="shared" si="7"/>
        <v>0</v>
      </c>
      <c r="AH34" s="2">
        <f t="shared" si="7"/>
        <v>0</v>
      </c>
      <c r="AI34" s="2">
        <f t="shared" si="7"/>
        <v>0</v>
      </c>
      <c r="AJ34" s="2">
        <f t="shared" si="7"/>
        <v>0</v>
      </c>
      <c r="AK34" s="2">
        <f t="shared" si="7"/>
        <v>0</v>
      </c>
    </row>
    <row r="35" spans="4:37" ht="19.5" customHeight="1" x14ac:dyDescent="0.35">
      <c r="D35" s="78" t="s">
        <v>155</v>
      </c>
      <c r="E35" s="79"/>
      <c r="F35" s="80"/>
      <c r="G35" s="149"/>
      <c r="H35" s="958"/>
      <c r="I35" s="958"/>
      <c r="J35" s="149">
        <f t="shared" ref="J35:AK35" si="8">J$32/J$31</f>
        <v>0.1407233507687817</v>
      </c>
      <c r="K35" s="149">
        <f t="shared" si="8"/>
        <v>0.1375199569819546</v>
      </c>
      <c r="L35" s="149">
        <f t="shared" si="8"/>
        <v>0.13800561609993753</v>
      </c>
      <c r="M35" s="149">
        <f t="shared" si="8"/>
        <v>0.13792188913250214</v>
      </c>
      <c r="N35" s="149">
        <f t="shared" si="8"/>
        <v>0.14400728055515022</v>
      </c>
      <c r="O35" s="149">
        <f t="shared" si="8"/>
        <v>0.14352862502881805</v>
      </c>
      <c r="P35" s="149">
        <f t="shared" si="8"/>
        <v>0.140386316837493</v>
      </c>
      <c r="Q35" s="149">
        <f t="shared" si="8"/>
        <v>0.1385954618177952</v>
      </c>
      <c r="R35" s="149">
        <f t="shared" si="8"/>
        <v>0.13899864956024879</v>
      </c>
      <c r="S35" s="149">
        <f t="shared" si="8"/>
        <v>0.13802068695701669</v>
      </c>
      <c r="T35" s="149">
        <f t="shared" si="8"/>
        <v>0.13870145224761343</v>
      </c>
      <c r="U35" s="149">
        <f t="shared" si="8"/>
        <v>0.13737052803327537</v>
      </c>
      <c r="V35" s="149">
        <f t="shared" si="8"/>
        <v>0.14023468682580897</v>
      </c>
      <c r="W35" s="149">
        <f t="shared" si="8"/>
        <v>0</v>
      </c>
      <c r="X35" s="149">
        <f t="shared" si="8"/>
        <v>0</v>
      </c>
      <c r="Y35" s="580">
        <f t="shared" si="8"/>
        <v>0</v>
      </c>
      <c r="Z35" s="149">
        <f t="shared" si="8"/>
        <v>0</v>
      </c>
      <c r="AA35" s="149">
        <f t="shared" si="8"/>
        <v>0</v>
      </c>
      <c r="AB35" s="149">
        <f t="shared" si="8"/>
        <v>0</v>
      </c>
      <c r="AC35" s="149">
        <f t="shared" si="8"/>
        <v>0</v>
      </c>
      <c r="AD35" s="149">
        <f t="shared" si="8"/>
        <v>0</v>
      </c>
      <c r="AE35" s="149">
        <f t="shared" si="8"/>
        <v>0</v>
      </c>
      <c r="AF35" s="149">
        <f t="shared" si="8"/>
        <v>0</v>
      </c>
      <c r="AG35" s="149">
        <f t="shared" si="8"/>
        <v>0</v>
      </c>
      <c r="AH35" s="149">
        <f t="shared" si="8"/>
        <v>0</v>
      </c>
      <c r="AI35" s="149">
        <f t="shared" si="8"/>
        <v>0</v>
      </c>
      <c r="AJ35" s="149">
        <f t="shared" si="8"/>
        <v>0</v>
      </c>
      <c r="AK35" s="149">
        <f t="shared" si="8"/>
        <v>0</v>
      </c>
    </row>
    <row r="36" spans="4:37" ht="19.5" hidden="1" customHeight="1" x14ac:dyDescent="0.35">
      <c r="D36" s="81" t="s">
        <v>106</v>
      </c>
      <c r="E36" s="45"/>
      <c r="F36" s="46"/>
      <c r="G36" s="82"/>
      <c r="H36" s="959"/>
      <c r="I36" s="959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199"/>
      <c r="Y36" s="577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</row>
    <row r="37" spans="4:37" ht="19.5" hidden="1" customHeight="1" x14ac:dyDescent="0.35">
      <c r="D37" s="81" t="s">
        <v>107</v>
      </c>
      <c r="E37" s="45"/>
      <c r="F37" s="46"/>
      <c r="G37" s="82"/>
      <c r="H37" s="959"/>
      <c r="I37" s="959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199"/>
      <c r="Y37" s="577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</row>
    <row r="38" spans="4:37" ht="19.5" hidden="1" customHeight="1" x14ac:dyDescent="0.35">
      <c r="D38" s="81" t="s">
        <v>156</v>
      </c>
      <c r="E38" s="45"/>
      <c r="F38" s="46"/>
      <c r="G38" s="82"/>
      <c r="H38" s="959"/>
      <c r="I38" s="959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199"/>
      <c r="Y38" s="577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</row>
    <row r="39" spans="4:37" ht="19.5" hidden="1" customHeight="1" x14ac:dyDescent="0.35">
      <c r="D39" s="81" t="s">
        <v>157</v>
      </c>
      <c r="E39" s="45"/>
      <c r="F39" s="46"/>
      <c r="G39" s="82"/>
      <c r="H39" s="959"/>
      <c r="I39" s="959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199"/>
      <c r="Y39" s="577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</row>
    <row r="40" spans="4:37" ht="19.5" hidden="1" customHeight="1" x14ac:dyDescent="0.35">
      <c r="D40" s="81" t="s">
        <v>108</v>
      </c>
      <c r="E40" s="45"/>
      <c r="F40" s="46"/>
      <c r="G40" s="82"/>
      <c r="H40" s="959"/>
      <c r="I40" s="959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199"/>
      <c r="Y40" s="577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</row>
    <row r="41" spans="4:37" ht="19.5" customHeight="1" x14ac:dyDescent="0.35">
      <c r="D41" s="75" t="s">
        <v>47</v>
      </c>
      <c r="E41" s="2689" t="s">
        <v>48</v>
      </c>
      <c r="F41" s="2680" t="s">
        <v>38</v>
      </c>
      <c r="G41" s="47"/>
      <c r="H41" s="952"/>
      <c r="I41" s="952"/>
      <c r="J41" s="47"/>
      <c r="K41" s="55"/>
      <c r="L41" s="55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195"/>
      <c r="Y41" s="590"/>
      <c r="Z41" s="172"/>
      <c r="AA41" s="172"/>
      <c r="AB41" s="172"/>
      <c r="AC41" s="172"/>
      <c r="AD41" s="172"/>
      <c r="AE41" s="172"/>
      <c r="AF41" s="172"/>
      <c r="AG41" s="172"/>
      <c r="AH41" s="172"/>
      <c r="AI41" s="172"/>
      <c r="AJ41" s="172"/>
      <c r="AK41" s="172"/>
    </row>
    <row r="42" spans="4:37" ht="19.5" customHeight="1" x14ac:dyDescent="0.35">
      <c r="D42" s="44" t="s">
        <v>49</v>
      </c>
      <c r="E42" s="2703"/>
      <c r="F42" s="2681"/>
      <c r="G42" s="977">
        <f>0.07/9.83</f>
        <v>7.1210579857578843E-3</v>
      </c>
      <c r="H42" s="952"/>
      <c r="I42" s="952"/>
      <c r="J42" s="77">
        <f>'HPS DAILY'!K42+('HPS DAILY'!K42*'HPS DAILY (repro+)'!$G$42)</f>
        <v>20.006459816887084</v>
      </c>
      <c r="K42" s="77">
        <f>'HPS DAILY'!L42+('HPS DAILY'!L42*'HPS DAILY (repro+)'!$G$42)</f>
        <v>21.139471007121056</v>
      </c>
      <c r="L42" s="77">
        <f>'HPS DAILY'!M42+('HPS DAILY'!M42*'HPS DAILY (repro+)'!$G$42)</f>
        <v>22.767650050864699</v>
      </c>
      <c r="M42" s="77">
        <f>'HPS DAILY'!N42+('HPS DAILY'!N42*'HPS DAILY (repro+)'!$G$42)</f>
        <v>21.794099694811802</v>
      </c>
      <c r="N42" s="77" t="e">
        <f>'HPS DAILY'!#REF!+('HPS DAILY'!#REF!*'HPS DAILY (repro+)'!$G$42)</f>
        <v>#REF!</v>
      </c>
      <c r="O42" s="77">
        <f>'HPS DAILY'!P42+('HPS DAILY'!P42*'HPS DAILY (repro+)'!$G$42)</f>
        <v>4.7838250254323498</v>
      </c>
      <c r="P42" s="77">
        <f>'HPS DAILY'!Q42+('HPS DAILY'!Q42*'HPS DAILY (repro+)'!$G$42)</f>
        <v>6.042726347914547</v>
      </c>
      <c r="Q42" s="77">
        <f>'HPS DAILY'!R42+('HPS DAILY'!R42*'HPS DAILY (repro+)'!$G$42)</f>
        <v>6.858494404883011</v>
      </c>
      <c r="R42" s="77">
        <f>'HPS DAILY'!S42+('HPS DAILY'!S42*'HPS DAILY (repro+)'!$G$42)</f>
        <v>7.7095116988809771</v>
      </c>
      <c r="S42" s="77">
        <f>'HPS DAILY'!T42+('HPS DAILY'!T42*'HPS DAILY (repro+)'!$G$42)</f>
        <v>8.3691759918616491</v>
      </c>
      <c r="T42" s="77">
        <f>'HPS DAILY'!U42+('HPS DAILY'!U42*'HPS DAILY (repro+)'!$G$42)</f>
        <v>9.3762970498474072</v>
      </c>
      <c r="U42" s="77">
        <f>'HPS DAILY'!V42+('HPS DAILY'!V42*'HPS DAILY (repro+)'!$G$42)</f>
        <v>9.2755849440488305</v>
      </c>
      <c r="V42" s="77">
        <f>'HPS DAILY'!W42+('HPS DAILY'!W42*'HPS DAILY (repro+)'!$G$42)</f>
        <v>9.6683621566632745</v>
      </c>
      <c r="W42" s="77">
        <f>'HPS DAILY'!X42+('HPS DAILY'!X42*'HPS DAILY (repro+)'!$G$42)</f>
        <v>0</v>
      </c>
      <c r="X42" s="77">
        <f>'HPS DAILY'!Y42+('HPS DAILY'!Y42*'HPS DAILY (repro+)'!$G$42)</f>
        <v>0</v>
      </c>
      <c r="Y42" s="577">
        <v>42.98</v>
      </c>
      <c r="Z42" s="577">
        <v>48.83</v>
      </c>
      <c r="AA42" s="577">
        <v>48.83</v>
      </c>
      <c r="AB42" s="577">
        <v>48.83</v>
      </c>
      <c r="AC42" s="577">
        <v>48.83</v>
      </c>
      <c r="AD42" s="577">
        <v>48.83</v>
      </c>
      <c r="AE42" s="577">
        <v>48.83</v>
      </c>
      <c r="AF42" s="577">
        <v>48.83</v>
      </c>
      <c r="AG42" s="577">
        <v>48.83</v>
      </c>
      <c r="AH42" s="577">
        <v>48.83</v>
      </c>
      <c r="AI42" s="577">
        <v>48.83</v>
      </c>
      <c r="AJ42" s="577">
        <v>48.83</v>
      </c>
      <c r="AK42" s="577">
        <v>48.83</v>
      </c>
    </row>
    <row r="43" spans="4:37" ht="19.5" customHeight="1" x14ac:dyDescent="0.35">
      <c r="D43" s="44" t="s">
        <v>50</v>
      </c>
      <c r="E43" s="2703"/>
      <c r="F43" s="2681"/>
      <c r="G43" s="48">
        <f>0.15/9.93</f>
        <v>1.5105740181268881E-2</v>
      </c>
      <c r="H43" s="952"/>
      <c r="I43" s="952"/>
      <c r="J43" s="77">
        <f>'HPS DAILY'!K43+('HPS DAILY'!K43*'HPS DAILY (repro+)'!$G$43)</f>
        <v>25.570513595166162</v>
      </c>
      <c r="K43" s="77">
        <f>'HPS DAILY'!L43+('HPS DAILY'!L43*'HPS DAILY (repro+)'!$G$43)</f>
        <v>30.250151057401812</v>
      </c>
      <c r="L43" s="77">
        <f>'HPS DAILY'!M43+('HPS DAILY'!M43*'HPS DAILY (repro+)'!$G$43)</f>
        <v>36.51335347432024</v>
      </c>
      <c r="M43" s="77">
        <f>'HPS DAILY'!N43+('HPS DAILY'!N43*'HPS DAILY (repro+)'!$G$43)</f>
        <v>36.27987915407855</v>
      </c>
      <c r="N43" s="77" t="e">
        <f>'HPS DAILY'!#REF!+('HPS DAILY'!#REF!*'HPS DAILY (repro+)'!$G$43)</f>
        <v>#REF!</v>
      </c>
      <c r="O43" s="77">
        <f>'HPS DAILY'!P43+('HPS DAILY'!P43*'HPS DAILY (repro+)'!$G$43)</f>
        <v>0.83238670694864048</v>
      </c>
      <c r="P43" s="77">
        <f>'HPS DAILY'!Q43+('HPS DAILY'!Q43*'HPS DAILY (repro+)'!$G$43)</f>
        <v>1.2282779456193353</v>
      </c>
      <c r="Q43" s="77">
        <f>'HPS DAILY'!R43+('HPS DAILY'!R43*'HPS DAILY (repro+)'!$G$43)</f>
        <v>1.7256797583081571</v>
      </c>
      <c r="R43" s="77">
        <f>'HPS DAILY'!S43+('HPS DAILY'!S43*'HPS DAILY (repro+)'!$G$43)</f>
        <v>2.6951057401812686</v>
      </c>
      <c r="S43" s="77">
        <f>'HPS DAILY'!T43+('HPS DAILY'!T43*'HPS DAILY (repro+)'!$G$43)</f>
        <v>2.8016918429003019</v>
      </c>
      <c r="T43" s="77">
        <f>'HPS DAILY'!U43+('HPS DAILY'!U43*'HPS DAILY (repro+)'!$G$43)</f>
        <v>3.4513595166163142</v>
      </c>
      <c r="U43" s="77">
        <f>'HPS DAILY'!V43+('HPS DAILY'!V43*'HPS DAILY (repro+)'!$G$43)</f>
        <v>3.4107552870090632</v>
      </c>
      <c r="V43" s="77">
        <f>'HPS DAILY'!W43+('HPS DAILY'!W43*'HPS DAILY (repro+)'!$G$43)</f>
        <v>3.7964954682779459</v>
      </c>
      <c r="W43" s="77">
        <f>'HPS DAILY'!X43+('HPS DAILY'!X43*'HPS DAILY (repro+)'!$G$43)</f>
        <v>0</v>
      </c>
      <c r="X43" s="77">
        <f>'HPS DAILY'!Y43+('HPS DAILY'!Y43*'HPS DAILY (repro+)'!$G$43)</f>
        <v>0</v>
      </c>
      <c r="Y43" s="577">
        <v>55.81</v>
      </c>
      <c r="Z43" s="577">
        <v>73.86</v>
      </c>
      <c r="AA43" s="577">
        <v>73.86</v>
      </c>
      <c r="AB43" s="577">
        <v>73.86</v>
      </c>
      <c r="AC43" s="577">
        <v>73.86</v>
      </c>
      <c r="AD43" s="577">
        <v>73.86</v>
      </c>
      <c r="AE43" s="577">
        <v>73.86</v>
      </c>
      <c r="AF43" s="577">
        <v>73.86</v>
      </c>
      <c r="AG43" s="577">
        <v>73.86</v>
      </c>
      <c r="AH43" s="577">
        <v>73.86</v>
      </c>
      <c r="AI43" s="577">
        <v>73.86</v>
      </c>
      <c r="AJ43" s="577">
        <v>73.86</v>
      </c>
      <c r="AK43" s="577">
        <v>73.86</v>
      </c>
    </row>
    <row r="44" spans="4:37" ht="19.5" customHeight="1" x14ac:dyDescent="0.35">
      <c r="D44" s="44" t="s">
        <v>51</v>
      </c>
      <c r="E44" s="2703"/>
      <c r="F44" s="2681"/>
      <c r="G44" s="60"/>
      <c r="H44" s="952"/>
      <c r="I44" s="952"/>
      <c r="J44" s="77">
        <f>'HPS DAILY'!K44</f>
        <v>56.54</v>
      </c>
      <c r="K44" s="62">
        <v>16.399999999999999</v>
      </c>
      <c r="L44" s="62">
        <v>20.23</v>
      </c>
      <c r="M44" s="63">
        <v>22.15</v>
      </c>
      <c r="N44" s="63">
        <v>22.65</v>
      </c>
      <c r="O44" s="63">
        <v>5.87</v>
      </c>
      <c r="P44" s="63">
        <v>12.06</v>
      </c>
      <c r="Q44" s="63">
        <v>11.15</v>
      </c>
      <c r="R44" s="63">
        <v>15.22</v>
      </c>
      <c r="S44" s="63">
        <v>16.100000000000001</v>
      </c>
      <c r="T44" s="63">
        <v>21.25</v>
      </c>
      <c r="U44" s="63">
        <v>16.920000000000002</v>
      </c>
      <c r="V44" s="63">
        <v>17.38</v>
      </c>
      <c r="W44" s="63">
        <v>22.14</v>
      </c>
      <c r="X44" s="198">
        <v>14.15</v>
      </c>
      <c r="Y44" s="577">
        <v>35.68</v>
      </c>
      <c r="Z44" s="577">
        <v>25.16</v>
      </c>
      <c r="AA44" s="577">
        <v>25.16</v>
      </c>
      <c r="AB44" s="577">
        <v>25.16</v>
      </c>
      <c r="AC44" s="577">
        <v>25.16</v>
      </c>
      <c r="AD44" s="577">
        <v>25.16</v>
      </c>
      <c r="AE44" s="577">
        <v>25.16</v>
      </c>
      <c r="AF44" s="577">
        <v>25.16</v>
      </c>
      <c r="AG44" s="577">
        <v>25.16</v>
      </c>
      <c r="AH44" s="577">
        <v>25.16</v>
      </c>
      <c r="AI44" s="577">
        <v>25.16</v>
      </c>
      <c r="AJ44" s="577">
        <v>25.16</v>
      </c>
      <c r="AK44" s="577">
        <v>25.16</v>
      </c>
    </row>
    <row r="45" spans="4:37" ht="19.5" customHeight="1" x14ac:dyDescent="0.35">
      <c r="D45" s="44" t="s">
        <v>52</v>
      </c>
      <c r="E45" s="2703"/>
      <c r="F45" s="2681"/>
      <c r="G45" s="60">
        <f>0.31/10.06</f>
        <v>3.081510934393638E-2</v>
      </c>
      <c r="H45" s="952"/>
      <c r="I45" s="952"/>
      <c r="J45" s="77">
        <f>'HPS DAILY'!K45+('HPS DAILY'!K45*$G$45)</f>
        <v>28.378339960238566</v>
      </c>
      <c r="K45" s="77">
        <f>'HPS DAILY'!L45+('HPS DAILY'!L45*$G$45)</f>
        <v>10.710168986083499</v>
      </c>
      <c r="L45" s="77">
        <f>'HPS DAILY'!M45+('HPS DAILY'!M45*$G$45)</f>
        <v>5.1918721007289603</v>
      </c>
      <c r="M45" s="77">
        <f>'HPS DAILY'!N45+('HPS DAILY'!N45*$G$45)</f>
        <v>4.0356411530815111</v>
      </c>
      <c r="N45" s="77" t="e">
        <f>'HPS DAILY'!#REF!+('HPS DAILY'!#REF!*$G$45)</f>
        <v>#REF!</v>
      </c>
      <c r="O45" s="77">
        <f>'HPS DAILY'!P45+('HPS DAILY'!P45*$G$45)</f>
        <v>10.287534791252485</v>
      </c>
      <c r="P45" s="77">
        <f>'HPS DAILY'!Q45+('HPS DAILY'!Q45*$G$45)</f>
        <v>1.6183797216699802</v>
      </c>
      <c r="Q45" s="77">
        <f>'HPS DAILY'!R45+('HPS DAILY'!R45*$G$45)</f>
        <v>1.6596123260437377</v>
      </c>
      <c r="R45" s="77">
        <f>'HPS DAILY'!S45+('HPS DAILY'!S45*$G$45)</f>
        <v>1.7884642147117298</v>
      </c>
      <c r="S45" s="77">
        <f>'HPS DAILY'!T45+('HPS DAILY'!T45*$G$45)</f>
        <v>0</v>
      </c>
      <c r="T45" s="77">
        <f>'HPS DAILY'!U45+('HPS DAILY'!U45*$G$45)</f>
        <v>2.5254970178926444</v>
      </c>
      <c r="U45" s="77">
        <f>'HPS DAILY'!V45+('HPS DAILY'!V45*$G$45)</f>
        <v>5.164383697813121</v>
      </c>
      <c r="V45" s="77">
        <f>'HPS DAILY'!W45+('HPS DAILY'!W45*$G$45)</f>
        <v>4.5768190854870783</v>
      </c>
      <c r="W45" s="77">
        <f>'HPS DAILY'!X45+('HPS DAILY'!X45*$G$45)</f>
        <v>0</v>
      </c>
      <c r="X45" s="77">
        <f>'HPS DAILY'!Y45+('HPS DAILY'!Y45*$G$45)</f>
        <v>0</v>
      </c>
      <c r="Y45" s="577">
        <v>18.75</v>
      </c>
      <c r="Z45" s="577">
        <v>24.09</v>
      </c>
      <c r="AA45" s="577">
        <v>24.09</v>
      </c>
      <c r="AB45" s="577">
        <v>24.09</v>
      </c>
      <c r="AC45" s="577">
        <v>24.09</v>
      </c>
      <c r="AD45" s="577">
        <v>24.09</v>
      </c>
      <c r="AE45" s="577">
        <v>24.09</v>
      </c>
      <c r="AF45" s="577">
        <v>24.09</v>
      </c>
      <c r="AG45" s="577">
        <v>24.09</v>
      </c>
      <c r="AH45" s="577">
        <v>24.09</v>
      </c>
      <c r="AI45" s="577">
        <v>24.09</v>
      </c>
      <c r="AJ45" s="577">
        <v>24.09</v>
      </c>
      <c r="AK45" s="577">
        <v>24.09</v>
      </c>
    </row>
    <row r="46" spans="4:37" ht="19.5" customHeight="1" x14ac:dyDescent="0.35">
      <c r="D46" s="44" t="s">
        <v>53</v>
      </c>
      <c r="E46" s="2704"/>
      <c r="F46" s="2682"/>
      <c r="G46" s="60">
        <f>0.21/9.94</f>
        <v>2.1126760563380281E-2</v>
      </c>
      <c r="H46" s="952"/>
      <c r="I46" s="952"/>
      <c r="J46" s="77">
        <f>'HPS DAILY'!K46+('HPS DAILY'!K46*$G$46)</f>
        <v>22.219718309859154</v>
      </c>
      <c r="K46" s="77">
        <f>'HPS DAILY'!L46+('HPS DAILY'!L46*$G$46)</f>
        <v>14.642957746478872</v>
      </c>
      <c r="L46" s="77">
        <f>'HPS DAILY'!M46+('HPS DAILY'!M46*$G$46)</f>
        <v>14.530633802816901</v>
      </c>
      <c r="M46" s="77">
        <f>'HPS DAILY'!N46+('HPS DAILY'!N46*$G$46)</f>
        <v>6.5147887323943658</v>
      </c>
      <c r="N46" s="77" t="e">
        <f>'HPS DAILY'!#REF!+('HPS DAILY'!#REF!*$G$46)</f>
        <v>#REF!</v>
      </c>
      <c r="O46" s="77">
        <f>'HPS DAILY'!P46+('HPS DAILY'!P46*$G$46)</f>
        <v>1.45</v>
      </c>
      <c r="P46" s="77">
        <f>'HPS DAILY'!Q46+('HPS DAILY'!Q46*$G$46)</f>
        <v>1.2355633802816901</v>
      </c>
      <c r="Q46" s="77">
        <f>'HPS DAILY'!R46+('HPS DAILY'!R46*$G$46)</f>
        <v>1.9197183098591548</v>
      </c>
      <c r="R46" s="77">
        <f>'HPS DAILY'!S46+('HPS DAILY'!S46*$G$46)</f>
        <v>1.6133802816901408</v>
      </c>
      <c r="S46" s="77">
        <f>'HPS DAILY'!T46+('HPS DAILY'!T46*$G$46)</f>
        <v>1.3274647887323945</v>
      </c>
      <c r="T46" s="77">
        <f>'HPS DAILY'!U46+('HPS DAILY'!U46*$G$46)</f>
        <v>1.2151408450704224</v>
      </c>
      <c r="U46" s="77">
        <f>'HPS DAILY'!V46+('HPS DAILY'!V46*$G$46)</f>
        <v>1.347887323943662</v>
      </c>
      <c r="V46" s="77">
        <f>'HPS DAILY'!W46+('HPS DAILY'!W46*$G$46)</f>
        <v>1.6542253521126762</v>
      </c>
      <c r="W46" s="77">
        <f>'HPS DAILY'!X46+('HPS DAILY'!X46*$G$46)</f>
        <v>0</v>
      </c>
      <c r="X46" s="77">
        <f>'HPS DAILY'!Y46+('HPS DAILY'!Y46*$G$46)</f>
        <v>0</v>
      </c>
      <c r="Y46" s="577">
        <v>10.45</v>
      </c>
      <c r="Z46" s="577">
        <v>28.42</v>
      </c>
      <c r="AA46" s="577">
        <v>28.42</v>
      </c>
      <c r="AB46" s="577">
        <v>28.42</v>
      </c>
      <c r="AC46" s="577">
        <v>28.42</v>
      </c>
      <c r="AD46" s="577">
        <v>28.42</v>
      </c>
      <c r="AE46" s="577">
        <v>28.42</v>
      </c>
      <c r="AF46" s="577">
        <v>28.42</v>
      </c>
      <c r="AG46" s="577">
        <v>28.42</v>
      </c>
      <c r="AH46" s="577">
        <v>28.42</v>
      </c>
      <c r="AI46" s="577">
        <v>28.42</v>
      </c>
      <c r="AJ46" s="577">
        <v>28.42</v>
      </c>
      <c r="AK46" s="577">
        <v>28.42</v>
      </c>
    </row>
    <row r="47" spans="4:37" ht="19.5" customHeight="1" x14ac:dyDescent="0.35">
      <c r="D47" s="113" t="s">
        <v>3</v>
      </c>
      <c r="E47" s="79"/>
      <c r="F47" s="80"/>
      <c r="G47" s="114"/>
      <c r="H47" s="952"/>
      <c r="I47" s="952"/>
      <c r="J47" s="115">
        <f>100-(J42*100/$G$42)</f>
        <v>-280847.85714285716</v>
      </c>
      <c r="K47" s="115">
        <f t="shared" ref="K47:M47" si="9">100-(K42*100/$G$42)</f>
        <v>-296758.57142857136</v>
      </c>
      <c r="L47" s="115">
        <f t="shared" si="9"/>
        <v>-319622.8571428571</v>
      </c>
      <c r="M47" s="115">
        <f t="shared" si="9"/>
        <v>-305951.42857142858</v>
      </c>
      <c r="N47" s="115" t="e">
        <f>100-(N42*100/$H$42)</f>
        <v>#REF!</v>
      </c>
      <c r="O47" s="115" t="e">
        <f t="shared" ref="O47:S47" si="10">100-(O42*100/$H$42)</f>
        <v>#DIV/0!</v>
      </c>
      <c r="P47" s="115" t="e">
        <f t="shared" si="10"/>
        <v>#DIV/0!</v>
      </c>
      <c r="Q47" s="115" t="e">
        <f t="shared" si="10"/>
        <v>#DIV/0!</v>
      </c>
      <c r="R47" s="115" t="e">
        <f t="shared" si="10"/>
        <v>#DIV/0!</v>
      </c>
      <c r="S47" s="115" t="e">
        <f t="shared" si="10"/>
        <v>#DIV/0!</v>
      </c>
      <c r="T47" s="115" t="e">
        <f>100-(T42*100/$I$42)</f>
        <v>#DIV/0!</v>
      </c>
      <c r="U47" s="115" t="e">
        <f t="shared" ref="U47:Z47" si="11">100-(U42*100/$I$42)</f>
        <v>#DIV/0!</v>
      </c>
      <c r="V47" s="115" t="e">
        <f t="shared" si="11"/>
        <v>#DIV/0!</v>
      </c>
      <c r="W47" s="115" t="e">
        <f t="shared" si="11"/>
        <v>#DIV/0!</v>
      </c>
      <c r="X47" s="115" t="e">
        <f t="shared" si="11"/>
        <v>#DIV/0!</v>
      </c>
      <c r="Y47" s="581" t="e">
        <f t="shared" si="11"/>
        <v>#DIV/0!</v>
      </c>
      <c r="Z47" s="115" t="e">
        <f t="shared" si="11"/>
        <v>#DIV/0!</v>
      </c>
      <c r="AA47" s="115" t="e">
        <f t="shared" ref="AA47:AH47" si="12">100-(AA42*100/$I$42)</f>
        <v>#DIV/0!</v>
      </c>
      <c r="AB47" s="115" t="e">
        <f t="shared" si="12"/>
        <v>#DIV/0!</v>
      </c>
      <c r="AC47" s="115" t="e">
        <f t="shared" si="12"/>
        <v>#DIV/0!</v>
      </c>
      <c r="AD47" s="115" t="e">
        <f t="shared" si="12"/>
        <v>#DIV/0!</v>
      </c>
      <c r="AE47" s="115" t="e">
        <f t="shared" si="12"/>
        <v>#DIV/0!</v>
      </c>
      <c r="AF47" s="115" t="e">
        <f t="shared" si="12"/>
        <v>#DIV/0!</v>
      </c>
      <c r="AG47" s="115" t="e">
        <f t="shared" si="12"/>
        <v>#DIV/0!</v>
      </c>
      <c r="AH47" s="115" t="e">
        <f t="shared" si="12"/>
        <v>#DIV/0!</v>
      </c>
      <c r="AI47" s="115" t="e">
        <f t="shared" ref="AI47:AK47" si="13">100-(AI42*100/$I$42)</f>
        <v>#DIV/0!</v>
      </c>
      <c r="AJ47" s="115" t="e">
        <f t="shared" si="13"/>
        <v>#DIV/0!</v>
      </c>
      <c r="AK47" s="115" t="e">
        <f t="shared" si="13"/>
        <v>#DIV/0!</v>
      </c>
    </row>
    <row r="48" spans="4:37" ht="19.5" customHeight="1" x14ac:dyDescent="0.35">
      <c r="D48" s="113" t="s">
        <v>4</v>
      </c>
      <c r="E48" s="79" t="s">
        <v>163</v>
      </c>
      <c r="F48" s="80" t="s">
        <v>55</v>
      </c>
      <c r="G48" s="114"/>
      <c r="H48" s="952"/>
      <c r="I48" s="952"/>
      <c r="J48" s="115">
        <f>100-(J43*100/$G$43)</f>
        <v>-169176.80000000002</v>
      </c>
      <c r="K48" s="115">
        <f t="shared" ref="K48:M48" si="14">100-(K43*100/$G$43)</f>
        <v>-200156</v>
      </c>
      <c r="L48" s="115">
        <f t="shared" si="14"/>
        <v>-241618.4</v>
      </c>
      <c r="M48" s="115">
        <f t="shared" si="14"/>
        <v>-240072.80000000002</v>
      </c>
      <c r="N48" s="115" t="e">
        <f>100-(N43*100/$H$43)</f>
        <v>#REF!</v>
      </c>
      <c r="O48" s="115" t="e">
        <f t="shared" ref="O48:S48" si="15">100-(O43*100/$H$43)</f>
        <v>#DIV/0!</v>
      </c>
      <c r="P48" s="115" t="e">
        <f t="shared" si="15"/>
        <v>#DIV/0!</v>
      </c>
      <c r="Q48" s="115" t="e">
        <f t="shared" si="15"/>
        <v>#DIV/0!</v>
      </c>
      <c r="R48" s="115" t="e">
        <f t="shared" si="15"/>
        <v>#DIV/0!</v>
      </c>
      <c r="S48" s="115" t="e">
        <f t="shared" si="15"/>
        <v>#DIV/0!</v>
      </c>
      <c r="T48" s="115" t="e">
        <f>100-(T43*100/$I$43)</f>
        <v>#DIV/0!</v>
      </c>
      <c r="U48" s="115" t="e">
        <f>100-(U44*100/$I$43)</f>
        <v>#DIV/0!</v>
      </c>
      <c r="V48" s="115" t="e">
        <f t="shared" ref="V48:Z48" si="16">100-(V43*100/$I$43)</f>
        <v>#DIV/0!</v>
      </c>
      <c r="W48" s="115" t="e">
        <f t="shared" si="16"/>
        <v>#DIV/0!</v>
      </c>
      <c r="X48" s="115" t="e">
        <f t="shared" si="16"/>
        <v>#DIV/0!</v>
      </c>
      <c r="Y48" s="581" t="e">
        <f t="shared" si="16"/>
        <v>#DIV/0!</v>
      </c>
      <c r="Z48" s="115" t="e">
        <f t="shared" si="16"/>
        <v>#DIV/0!</v>
      </c>
      <c r="AA48" s="115" t="e">
        <f t="shared" ref="AA48:AH48" si="17">100-(AA43*100/$I$43)</f>
        <v>#DIV/0!</v>
      </c>
      <c r="AB48" s="115" t="e">
        <f t="shared" si="17"/>
        <v>#DIV/0!</v>
      </c>
      <c r="AC48" s="115" t="e">
        <f t="shared" si="17"/>
        <v>#DIV/0!</v>
      </c>
      <c r="AD48" s="115" t="e">
        <f t="shared" si="17"/>
        <v>#DIV/0!</v>
      </c>
      <c r="AE48" s="115" t="e">
        <f t="shared" si="17"/>
        <v>#DIV/0!</v>
      </c>
      <c r="AF48" s="115" t="e">
        <f t="shared" si="17"/>
        <v>#DIV/0!</v>
      </c>
      <c r="AG48" s="115" t="e">
        <f t="shared" si="17"/>
        <v>#DIV/0!</v>
      </c>
      <c r="AH48" s="115" t="e">
        <f t="shared" si="17"/>
        <v>#DIV/0!</v>
      </c>
      <c r="AI48" s="115" t="e">
        <f t="shared" ref="AI48:AK48" si="18">100-(AI43*100/$I$43)</f>
        <v>#DIV/0!</v>
      </c>
      <c r="AJ48" s="115" t="e">
        <f t="shared" si="18"/>
        <v>#DIV/0!</v>
      </c>
      <c r="AK48" s="115" t="e">
        <f t="shared" si="18"/>
        <v>#DIV/0!</v>
      </c>
    </row>
    <row r="49" spans="4:37" ht="19.5" customHeight="1" x14ac:dyDescent="0.35">
      <c r="D49" s="113" t="s">
        <v>56</v>
      </c>
      <c r="E49" s="79"/>
      <c r="F49" s="80"/>
      <c r="G49" s="114"/>
      <c r="H49" s="952"/>
      <c r="I49" s="952"/>
      <c r="J49" s="115">
        <f>100-((J42+J43)*100/($G$42+$G$43))</f>
        <v>-204954.15611172569</v>
      </c>
      <c r="K49" s="115">
        <f t="shared" ref="K49:L49" si="19">100-((K42+K43)*100/($G$42+$G$43))</f>
        <v>-231105.68998893801</v>
      </c>
      <c r="L49" s="115">
        <f t="shared" si="19"/>
        <v>-266609.5956858407</v>
      </c>
      <c r="M49" s="115">
        <f>100-((M42+M43)*100/($G$42+$G$43))</f>
        <v>-261179.10287610619</v>
      </c>
      <c r="N49" s="115" t="e">
        <f>100-((N42+N43)*100/($H$42+$H$43))</f>
        <v>#REF!</v>
      </c>
      <c r="O49" s="115" t="e">
        <f t="shared" ref="O49:R49" si="20">100-((O42+O43)*100/($H$42+$H$43))</f>
        <v>#DIV/0!</v>
      </c>
      <c r="P49" s="115" t="e">
        <f t="shared" si="20"/>
        <v>#DIV/0!</v>
      </c>
      <c r="Q49" s="115" t="e">
        <f t="shared" si="20"/>
        <v>#DIV/0!</v>
      </c>
      <c r="R49" s="115" t="e">
        <f t="shared" si="20"/>
        <v>#DIV/0!</v>
      </c>
      <c r="S49" s="115" t="e">
        <f>100-((S42+S43)*100/($H$42+$H$43))</f>
        <v>#DIV/0!</v>
      </c>
      <c r="T49" s="115" t="e">
        <f>100-((T42+T43)*100/($I$42+$I$43))</f>
        <v>#DIV/0!</v>
      </c>
      <c r="U49" s="115" t="e">
        <f>100-((U42+U44)*100/($I$42+$I$43))</f>
        <v>#DIV/0!</v>
      </c>
      <c r="V49" s="115" t="e">
        <f t="shared" ref="V49:Z49" si="21">100-((V42+V43)*100/($I$42+$I$43))</f>
        <v>#DIV/0!</v>
      </c>
      <c r="W49" s="115" t="e">
        <f t="shared" si="21"/>
        <v>#DIV/0!</v>
      </c>
      <c r="X49" s="115" t="e">
        <f t="shared" si="21"/>
        <v>#DIV/0!</v>
      </c>
      <c r="Y49" s="581" t="e">
        <f t="shared" si="21"/>
        <v>#DIV/0!</v>
      </c>
      <c r="Z49" s="115" t="e">
        <f t="shared" si="21"/>
        <v>#DIV/0!</v>
      </c>
      <c r="AA49" s="115" t="e">
        <f t="shared" ref="AA49:AH49" si="22">100-((AA42+AA43)*100/($I$42+$I$43))</f>
        <v>#DIV/0!</v>
      </c>
      <c r="AB49" s="115" t="e">
        <f t="shared" si="22"/>
        <v>#DIV/0!</v>
      </c>
      <c r="AC49" s="115" t="e">
        <f t="shared" si="22"/>
        <v>#DIV/0!</v>
      </c>
      <c r="AD49" s="115" t="e">
        <f t="shared" si="22"/>
        <v>#DIV/0!</v>
      </c>
      <c r="AE49" s="115" t="e">
        <f t="shared" si="22"/>
        <v>#DIV/0!</v>
      </c>
      <c r="AF49" s="115" t="e">
        <f t="shared" si="22"/>
        <v>#DIV/0!</v>
      </c>
      <c r="AG49" s="115" t="e">
        <f t="shared" si="22"/>
        <v>#DIV/0!</v>
      </c>
      <c r="AH49" s="115" t="e">
        <f t="shared" si="22"/>
        <v>#DIV/0!</v>
      </c>
      <c r="AI49" s="115" t="e">
        <f t="shared" ref="AI49:AK49" si="23">100-((AI42+AI43)*100/($I$42+$I$43))</f>
        <v>#DIV/0!</v>
      </c>
      <c r="AJ49" s="115" t="e">
        <f t="shared" si="23"/>
        <v>#DIV/0!</v>
      </c>
      <c r="AK49" s="115" t="e">
        <f t="shared" si="23"/>
        <v>#DIV/0!</v>
      </c>
    </row>
    <row r="50" spans="4:37" ht="19.5" customHeight="1" x14ac:dyDescent="0.35">
      <c r="D50" s="75" t="s">
        <v>57</v>
      </c>
      <c r="E50" s="2689" t="s">
        <v>58</v>
      </c>
      <c r="F50" s="2680" t="s">
        <v>59</v>
      </c>
      <c r="G50" s="47"/>
      <c r="H50" s="952"/>
      <c r="I50" s="952"/>
      <c r="J50" s="47"/>
      <c r="K50" s="55"/>
      <c r="L50" s="55"/>
      <c r="M50" s="56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200"/>
      <c r="Y50" s="590"/>
      <c r="Z50" s="172"/>
      <c r="AA50" s="172"/>
      <c r="AB50" s="172"/>
      <c r="AC50" s="172"/>
      <c r="AD50" s="172"/>
      <c r="AE50" s="172"/>
      <c r="AF50" s="172"/>
      <c r="AG50" s="172"/>
      <c r="AH50" s="172"/>
      <c r="AI50" s="172"/>
      <c r="AJ50" s="172"/>
      <c r="AK50" s="172"/>
    </row>
    <row r="51" spans="4:37" ht="19.5" customHeight="1" x14ac:dyDescent="0.35">
      <c r="D51" s="83" t="s">
        <v>60</v>
      </c>
      <c r="E51" s="2690"/>
      <c r="F51" s="2681"/>
      <c r="G51" s="961"/>
      <c r="H51" s="960"/>
      <c r="I51" s="961"/>
      <c r="J51" s="84">
        <f>'HPS LTO DAILY '!H10</f>
        <v>153.4</v>
      </c>
      <c r="K51" s="84">
        <f>'HPS LTO DAILY '!I10</f>
        <v>140.19999999999999</v>
      </c>
      <c r="L51" s="84">
        <f>'HPS LTO DAILY '!J10</f>
        <v>158.69999999999999</v>
      </c>
      <c r="M51" s="84">
        <f>'HPS LTO DAILY '!K10</f>
        <v>156</v>
      </c>
      <c r="N51" s="84">
        <f>'HPS LTO DAILY '!L10</f>
        <v>114.8</v>
      </c>
      <c r="O51" s="84">
        <f>'HPS LTO DAILY '!M10</f>
        <v>130.69999999999999</v>
      </c>
      <c r="P51" s="84">
        <v>106</v>
      </c>
      <c r="Q51" s="84">
        <f>'HPS LTO DAILY '!O10</f>
        <v>131.80000000000001</v>
      </c>
      <c r="R51" s="84">
        <f>'HPS LTO DAILY '!P10</f>
        <v>149.30000000000001</v>
      </c>
      <c r="S51" s="84">
        <f>'HPS LTO DAILY '!Q10</f>
        <v>135</v>
      </c>
      <c r="T51" s="84" t="e">
        <f>'HPS LTO DAILY '!#REF!</f>
        <v>#REF!</v>
      </c>
      <c r="U51" s="84">
        <f>'HPS LTO DAILY '!R10</f>
        <v>133.1</v>
      </c>
      <c r="V51" s="84">
        <f>'HPS LTO DAILY '!S10</f>
        <v>136.19999999999999</v>
      </c>
      <c r="W51" s="84">
        <f>'HPS LTO DAILY '!T10</f>
        <v>132.6</v>
      </c>
      <c r="X51" s="84">
        <f>'HPS LTO DAILY '!V10</f>
        <v>0</v>
      </c>
      <c r="Y51" s="582">
        <f>'HPS LTO DAILY '!W10</f>
        <v>0</v>
      </c>
      <c r="Z51" s="84">
        <f>'HPS LTO DAILY '!X10</f>
        <v>0</v>
      </c>
      <c r="AA51" s="84">
        <f>'HPS LTO DAILY '!AG10</f>
        <v>0</v>
      </c>
      <c r="AB51" s="84">
        <f>'HPS LTO DAILY '!AH10</f>
        <v>0</v>
      </c>
      <c r="AC51" s="84">
        <f>'HPS LTO DAILY '!AI10</f>
        <v>0</v>
      </c>
      <c r="AD51" s="84">
        <f>'HPS LTO DAILY '!AJ10</f>
        <v>0</v>
      </c>
      <c r="AE51" s="84">
        <f>'HPS LTO DAILY '!AK10</f>
        <v>4.5</v>
      </c>
      <c r="AF51" s="84">
        <f>'HPS LTO DAILY '!AL10</f>
        <v>105</v>
      </c>
      <c r="AG51" s="84">
        <f>'HPS LTO DAILY '!AM10</f>
        <v>0</v>
      </c>
      <c r="AH51" s="84">
        <f>'HPS LTO DAILY '!AN10</f>
        <v>0</v>
      </c>
      <c r="AI51" s="84">
        <f>'HPS LTO DAILY '!AO10</f>
        <v>0</v>
      </c>
      <c r="AJ51" s="84">
        <f>'HPS LTO DAILY '!AP10</f>
        <v>0</v>
      </c>
      <c r="AK51" s="84">
        <f>'HPS LTO DAILY '!AQ10</f>
        <v>0</v>
      </c>
    </row>
    <row r="52" spans="4:37" ht="19.5" customHeight="1" x14ac:dyDescent="0.35">
      <c r="D52" s="83">
        <v>5</v>
      </c>
      <c r="E52" s="2690"/>
      <c r="F52" s="2681"/>
      <c r="G52" s="961"/>
      <c r="H52" s="960"/>
      <c r="I52" s="961"/>
      <c r="J52" s="84">
        <f>'HPS LTO DAILY '!H15</f>
        <v>301.5</v>
      </c>
      <c r="K52" s="84">
        <f>'HPS LTO DAILY '!I15</f>
        <v>290.8</v>
      </c>
      <c r="L52" s="84">
        <f>'HPS LTO DAILY '!J15</f>
        <v>295.8</v>
      </c>
      <c r="M52" s="84">
        <f>'HPS LTO DAILY '!K15</f>
        <v>283.3</v>
      </c>
      <c r="N52" s="84">
        <f>'HPS LTO DAILY '!L15</f>
        <v>209.6</v>
      </c>
      <c r="O52" s="84">
        <f>'HPS LTO DAILY '!M15</f>
        <v>208.3</v>
      </c>
      <c r="P52" s="84">
        <v>211.5</v>
      </c>
      <c r="Q52" s="84">
        <f>'HPS LTO DAILY '!O15</f>
        <v>212.7</v>
      </c>
      <c r="R52" s="84">
        <f>'HPS LTO DAILY '!P15</f>
        <v>223.4</v>
      </c>
      <c r="S52" s="84">
        <f>'HPS LTO DAILY '!Q15</f>
        <v>217.4</v>
      </c>
      <c r="T52" s="84" t="e">
        <f>'HPS LTO DAILY '!#REF!</f>
        <v>#REF!</v>
      </c>
      <c r="U52" s="84">
        <f>'HPS LTO DAILY '!R15</f>
        <v>216.9</v>
      </c>
      <c r="V52" s="84">
        <f>'HPS LTO DAILY '!S15</f>
        <v>218.6</v>
      </c>
      <c r="W52" s="84">
        <f>'HPS LTO DAILY '!T15</f>
        <v>218.2</v>
      </c>
      <c r="X52" s="84">
        <f>'HPS LTO DAILY '!V15</f>
        <v>0</v>
      </c>
      <c r="Y52" s="582">
        <f>'HPS LTO DAILY '!W15</f>
        <v>0</v>
      </c>
      <c r="Z52" s="84">
        <f>'HPS LTO DAILY '!X15</f>
        <v>0</v>
      </c>
      <c r="AA52" s="84">
        <f>'HPS LTO DAILY '!AG15</f>
        <v>0</v>
      </c>
      <c r="AB52" s="84">
        <f>'HPS LTO DAILY '!AH15</f>
        <v>0</v>
      </c>
      <c r="AC52" s="84">
        <f>'HPS LTO DAILY '!AI15</f>
        <v>0</v>
      </c>
      <c r="AD52" s="84">
        <f>'HPS LTO DAILY '!AJ15</f>
        <v>16</v>
      </c>
      <c r="AE52" s="84">
        <f>'HPS LTO DAILY '!AK15</f>
        <v>0</v>
      </c>
      <c r="AF52" s="84">
        <f>'HPS LTO DAILY '!AL15</f>
        <v>0</v>
      </c>
      <c r="AG52" s="84">
        <f>'HPS LTO DAILY '!AM15</f>
        <v>0</v>
      </c>
      <c r="AH52" s="84">
        <f>'HPS LTO DAILY '!AN15</f>
        <v>0</v>
      </c>
      <c r="AI52" s="84">
        <f>'HPS LTO DAILY '!AO15</f>
        <v>0</v>
      </c>
      <c r="AJ52" s="84">
        <f>'HPS LTO DAILY '!AP15</f>
        <v>0</v>
      </c>
      <c r="AK52" s="84">
        <f>'HPS LTO DAILY '!AQ15</f>
        <v>0</v>
      </c>
    </row>
    <row r="53" spans="4:37" ht="19.5" customHeight="1" x14ac:dyDescent="0.35">
      <c r="D53" s="83">
        <v>10</v>
      </c>
      <c r="E53" s="2690"/>
      <c r="F53" s="2681"/>
      <c r="G53" s="961"/>
      <c r="H53" s="960"/>
      <c r="I53" s="961"/>
      <c r="J53" s="84">
        <f>'HPS LTO DAILY '!H20</f>
        <v>367.4</v>
      </c>
      <c r="K53" s="84">
        <f>'HPS LTO DAILY '!I20</f>
        <v>359.3</v>
      </c>
      <c r="L53" s="84">
        <f>'HPS LTO DAILY '!J20</f>
        <v>365.9</v>
      </c>
      <c r="M53" s="84">
        <f>'HPS LTO DAILY '!K20</f>
        <v>352.6</v>
      </c>
      <c r="N53" s="84">
        <f>'HPS LTO DAILY '!L20</f>
        <v>252.5</v>
      </c>
      <c r="O53" s="84">
        <f>'HPS LTO DAILY '!M20</f>
        <v>249.7</v>
      </c>
      <c r="P53" s="84">
        <v>262.60000000000002</v>
      </c>
      <c r="Q53" s="84">
        <f>'HPS LTO DAILY '!O20</f>
        <v>255.4</v>
      </c>
      <c r="R53" s="84">
        <f>'HPS LTO DAILY '!P20</f>
        <v>266.3</v>
      </c>
      <c r="S53" s="84">
        <f>'HPS LTO DAILY '!Q20</f>
        <v>260.10000000000002</v>
      </c>
      <c r="T53" s="84" t="e">
        <f>'HPS LTO DAILY '!#REF!</f>
        <v>#REF!</v>
      </c>
      <c r="U53" s="84">
        <f>'HPS LTO DAILY '!R20</f>
        <v>259.2</v>
      </c>
      <c r="V53" s="84">
        <f>'HPS LTO DAILY '!S20</f>
        <v>261.2</v>
      </c>
      <c r="W53" s="84">
        <f>'HPS LTO DAILY '!T20</f>
        <v>258.8</v>
      </c>
      <c r="X53" s="84">
        <f>'HPS LTO DAILY '!V20</f>
        <v>0</v>
      </c>
      <c r="Y53" s="582">
        <f>'HPS LTO DAILY '!W20</f>
        <v>0</v>
      </c>
      <c r="Z53" s="84">
        <f>'HPS LTO DAILY '!X20</f>
        <v>0</v>
      </c>
      <c r="AA53" s="84">
        <f>'HPS LTO DAILY '!AG20</f>
        <v>0</v>
      </c>
      <c r="AB53" s="84">
        <f>'HPS LTO DAILY '!AH20</f>
        <v>0</v>
      </c>
      <c r="AC53" s="84">
        <f>'HPS LTO DAILY '!AI20</f>
        <v>0</v>
      </c>
      <c r="AD53" s="84">
        <f>'HPS LTO DAILY '!AJ20</f>
        <v>15.7</v>
      </c>
      <c r="AE53" s="84">
        <f>'HPS LTO DAILY '!AK20</f>
        <v>0</v>
      </c>
      <c r="AF53" s="84">
        <f>'HPS LTO DAILY '!AL20</f>
        <v>0</v>
      </c>
      <c r="AG53" s="84">
        <f>'HPS LTO DAILY '!AM20</f>
        <v>0</v>
      </c>
      <c r="AH53" s="84">
        <f>'HPS LTO DAILY '!AN20</f>
        <v>0</v>
      </c>
      <c r="AI53" s="84">
        <f>'HPS LTO DAILY '!AO20</f>
        <v>0</v>
      </c>
      <c r="AJ53" s="84">
        <f>'HPS LTO DAILY '!AP20</f>
        <v>0</v>
      </c>
      <c r="AK53" s="84">
        <f>'HPS LTO DAILY '!AQ20</f>
        <v>0</v>
      </c>
    </row>
    <row r="54" spans="4:37" ht="19.5" customHeight="1" x14ac:dyDescent="0.35">
      <c r="D54" s="83">
        <v>15</v>
      </c>
      <c r="E54" s="2690"/>
      <c r="F54" s="2681"/>
      <c r="G54" s="961"/>
      <c r="H54" s="960"/>
      <c r="I54" s="961"/>
      <c r="J54" s="84">
        <f>'HPS LTO DAILY '!H25</f>
        <v>407.7</v>
      </c>
      <c r="K54" s="84">
        <f>'HPS LTO DAILY '!I25</f>
        <v>403</v>
      </c>
      <c r="L54" s="84">
        <f>'HPS LTO DAILY '!J25</f>
        <v>411.9</v>
      </c>
      <c r="M54" s="84">
        <f>'HPS LTO DAILY '!K25</f>
        <v>398.3</v>
      </c>
      <c r="N54" s="84">
        <f>'HPS LTO DAILY '!L25</f>
        <v>289.89999999999998</v>
      </c>
      <c r="O54" s="84">
        <f>'HPS LTO DAILY '!M25</f>
        <v>284.8</v>
      </c>
      <c r="P54" s="84">
        <v>305</v>
      </c>
      <c r="Q54" s="84">
        <f>'HPS LTO DAILY '!O25</f>
        <v>291.60000000000002</v>
      </c>
      <c r="R54" s="84">
        <f>'HPS LTO DAILY '!P25</f>
        <v>301.60000000000002</v>
      </c>
      <c r="S54" s="84">
        <f>'HPS LTO DAILY '!Q25</f>
        <v>297.60000000000002</v>
      </c>
      <c r="T54" s="84" t="e">
        <f>'HPS LTO DAILY '!#REF!</f>
        <v>#REF!</v>
      </c>
      <c r="U54" s="84">
        <f>'HPS LTO DAILY '!R25</f>
        <v>294.8</v>
      </c>
      <c r="V54" s="84">
        <f>'HPS LTO DAILY '!S25</f>
        <v>297.3</v>
      </c>
      <c r="W54" s="84">
        <f>'HPS LTO DAILY '!T25</f>
        <v>291.5</v>
      </c>
      <c r="X54" s="84">
        <f>'HPS LTO DAILY '!V25</f>
        <v>0</v>
      </c>
      <c r="Y54" s="582">
        <f>'HPS LTO DAILY '!W25</f>
        <v>0</v>
      </c>
      <c r="Z54" s="84">
        <f>'HPS LTO DAILY '!X25</f>
        <v>0</v>
      </c>
      <c r="AA54" s="84">
        <f>'HPS LTO DAILY '!AG25</f>
        <v>0</v>
      </c>
      <c r="AB54" s="84">
        <f>'HPS LTO DAILY '!AH25</f>
        <v>0</v>
      </c>
      <c r="AC54" s="84">
        <f>'HPS LTO DAILY '!AI25</f>
        <v>0</v>
      </c>
      <c r="AD54" s="84">
        <f>'HPS LTO DAILY '!AJ25</f>
        <v>15</v>
      </c>
      <c r="AE54" s="84">
        <f>'HPS LTO DAILY '!AK25</f>
        <v>0</v>
      </c>
      <c r="AF54" s="84">
        <f>'HPS LTO DAILY '!AL25</f>
        <v>0</v>
      </c>
      <c r="AG54" s="84">
        <f>'HPS LTO DAILY '!AM25</f>
        <v>0</v>
      </c>
      <c r="AH54" s="84">
        <f>'HPS LTO DAILY '!AN25</f>
        <v>0</v>
      </c>
      <c r="AI54" s="84">
        <f>'HPS LTO DAILY '!AO25</f>
        <v>0</v>
      </c>
      <c r="AJ54" s="84">
        <f>'HPS LTO DAILY '!AP25</f>
        <v>0</v>
      </c>
      <c r="AK54" s="84">
        <f>'HPS LTO DAILY '!AQ25</f>
        <v>0</v>
      </c>
    </row>
    <row r="55" spans="4:37" ht="19.5" customHeight="1" x14ac:dyDescent="0.35">
      <c r="D55" s="83">
        <v>20</v>
      </c>
      <c r="E55" s="2690"/>
      <c r="F55" s="2681"/>
      <c r="G55" s="961"/>
      <c r="H55" s="960"/>
      <c r="I55" s="961"/>
      <c r="J55" s="84">
        <f>'HPS LTO DAILY '!H30</f>
        <v>440.4</v>
      </c>
      <c r="K55" s="84">
        <f>'HPS LTO DAILY '!I30</f>
        <v>438.9</v>
      </c>
      <c r="L55" s="84">
        <f>'HPS LTO DAILY '!J30</f>
        <v>449.8</v>
      </c>
      <c r="M55" s="84">
        <f>'HPS LTO DAILY '!K30</f>
        <v>436.5</v>
      </c>
      <c r="N55" s="84">
        <f>'HPS LTO DAILY '!L30</f>
        <v>322.3</v>
      </c>
      <c r="O55" s="84">
        <f>'HPS LTO DAILY '!M30</f>
        <v>314.39999999999998</v>
      </c>
      <c r="P55" s="84">
        <v>341</v>
      </c>
      <c r="Q55" s="84">
        <f>'HPS LTO DAILY '!O30</f>
        <v>322.39999999999998</v>
      </c>
      <c r="R55" s="84">
        <f>'HPS LTO DAILY '!P30</f>
        <v>332</v>
      </c>
      <c r="S55" s="84">
        <f>'HPS LTO DAILY '!Q30</f>
        <v>328.4</v>
      </c>
      <c r="T55" s="84" t="e">
        <f>'HPS LTO DAILY '!#REF!</f>
        <v>#REF!</v>
      </c>
      <c r="U55" s="84">
        <f>'HPS LTO DAILY '!R30</f>
        <v>325.8</v>
      </c>
      <c r="V55" s="84">
        <f>'HPS LTO DAILY '!S30</f>
        <v>327.3</v>
      </c>
      <c r="W55" s="84">
        <f>'HPS LTO DAILY '!T30</f>
        <v>322.10000000000002</v>
      </c>
      <c r="X55" s="84">
        <f>'HPS LTO DAILY '!V30</f>
        <v>0</v>
      </c>
      <c r="Y55" s="582">
        <f>'HPS LTO DAILY '!W30</f>
        <v>0</v>
      </c>
      <c r="Z55" s="84">
        <f>'HPS LTO DAILY '!X30</f>
        <v>0</v>
      </c>
      <c r="AA55" s="84">
        <f>'HPS LTO DAILY '!AG30</f>
        <v>0</v>
      </c>
      <c r="AB55" s="84">
        <f>'HPS LTO DAILY '!AH30</f>
        <v>0</v>
      </c>
      <c r="AC55" s="84">
        <f>'HPS LTO DAILY '!AI30</f>
        <v>0</v>
      </c>
      <c r="AD55" s="84">
        <f>'HPS LTO DAILY '!AJ30</f>
        <v>0</v>
      </c>
      <c r="AE55" s="84">
        <f>'HPS LTO DAILY '!AK30</f>
        <v>0</v>
      </c>
      <c r="AF55" s="84">
        <f>'HPS LTO DAILY '!AL30</f>
        <v>0</v>
      </c>
      <c r="AG55" s="84">
        <f>'HPS LTO DAILY '!AM30</f>
        <v>0</v>
      </c>
      <c r="AH55" s="84">
        <f>'HPS LTO DAILY '!AN30</f>
        <v>0</v>
      </c>
      <c r="AI55" s="84">
        <f>'HPS LTO DAILY '!AO30</f>
        <v>0</v>
      </c>
      <c r="AJ55" s="84">
        <f>'HPS LTO DAILY '!AP30</f>
        <v>0</v>
      </c>
      <c r="AK55" s="84">
        <f>'HPS LTO DAILY '!AQ30</f>
        <v>0</v>
      </c>
    </row>
    <row r="56" spans="4:37" ht="19.5" customHeight="1" x14ac:dyDescent="0.35">
      <c r="D56" s="83">
        <v>30</v>
      </c>
      <c r="E56" s="2690"/>
      <c r="F56" s="2681"/>
      <c r="G56" s="961"/>
      <c r="H56" s="960"/>
      <c r="I56" s="961"/>
      <c r="J56" s="84">
        <f>'HPS LTO DAILY '!H40</f>
        <v>499.9</v>
      </c>
      <c r="K56" s="84">
        <f>'HPS LTO DAILY '!I40</f>
        <v>500.9</v>
      </c>
      <c r="L56" s="84">
        <f>'HPS LTO DAILY '!J40</f>
        <v>512.29999999999995</v>
      </c>
      <c r="M56" s="84">
        <f>'HPS LTO DAILY '!K40</f>
        <v>499.3</v>
      </c>
      <c r="N56" s="84">
        <f>'HPS LTO DAILY '!L40</f>
        <v>377.2</v>
      </c>
      <c r="O56" s="84">
        <f>'HPS LTO DAILY '!M40</f>
        <v>363.5</v>
      </c>
      <c r="P56" s="84">
        <v>402.8</v>
      </c>
      <c r="Q56" s="84">
        <f>'HPS LTO DAILY '!O40</f>
        <v>371.7</v>
      </c>
      <c r="R56" s="84">
        <f>'HPS LTO DAILY '!P40</f>
        <v>381.4</v>
      </c>
      <c r="S56" s="84">
        <f>'HPS LTO DAILY '!Q40</f>
        <v>379.5</v>
      </c>
      <c r="T56" s="84">
        <f>'HPS LTO DAILY '!R40</f>
        <v>375.6</v>
      </c>
      <c r="U56" s="84">
        <f>'HPS LTO DAILY '!S40</f>
        <v>376.2</v>
      </c>
      <c r="V56" s="84">
        <f>'HPS LTO DAILY '!T40</f>
        <v>374.9</v>
      </c>
      <c r="W56" s="84">
        <f>'HPS LTO DAILY '!U40</f>
        <v>0</v>
      </c>
      <c r="X56" s="84">
        <f>'HPS LTO DAILY '!V40</f>
        <v>0</v>
      </c>
      <c r="Y56" s="582">
        <f>'HPS LTO DAILY '!W40</f>
        <v>0</v>
      </c>
      <c r="Z56" s="84">
        <f>'HPS LTO DAILY '!X40</f>
        <v>0</v>
      </c>
      <c r="AA56" s="84">
        <f>'HPS LTO DAILY '!AG40</f>
        <v>0</v>
      </c>
      <c r="AB56" s="84">
        <f>'HPS LTO DAILY '!AH40</f>
        <v>0</v>
      </c>
      <c r="AC56" s="84">
        <f>'HPS LTO DAILY '!AI40</f>
        <v>0</v>
      </c>
      <c r="AD56" s="84">
        <f>'HPS LTO DAILY '!AJ40</f>
        <v>0</v>
      </c>
      <c r="AE56" s="84">
        <f>'HPS LTO DAILY '!AK40</f>
        <v>0</v>
      </c>
      <c r="AF56" s="84">
        <f>'HPS LTO DAILY '!AL40</f>
        <v>0</v>
      </c>
      <c r="AG56" s="84">
        <f>'HPS LTO DAILY '!AM40</f>
        <v>0</v>
      </c>
      <c r="AH56" s="84">
        <f>'HPS LTO DAILY '!AN40</f>
        <v>0</v>
      </c>
      <c r="AI56" s="84">
        <f>'HPS LTO DAILY '!AO40</f>
        <v>0</v>
      </c>
      <c r="AJ56" s="84">
        <f>'HPS LTO DAILY '!AP40</f>
        <v>0</v>
      </c>
      <c r="AK56" s="84">
        <f>'HPS LTO DAILY '!AQ40</f>
        <v>0</v>
      </c>
    </row>
    <row r="57" spans="4:37" ht="19.5" customHeight="1" x14ac:dyDescent="0.35">
      <c r="D57" s="83">
        <v>40</v>
      </c>
      <c r="E57" s="2690"/>
      <c r="F57" s="2681"/>
      <c r="G57" s="961"/>
      <c r="H57" s="960"/>
      <c r="I57" s="961"/>
      <c r="J57" s="84">
        <f>'HPS LTO DAILY '!H50</f>
        <v>545.79999999999995</v>
      </c>
      <c r="K57" s="84">
        <f>'HPS LTO DAILY '!I50</f>
        <v>546.20000000000005</v>
      </c>
      <c r="L57" s="84">
        <f>'HPS LTO DAILY '!J50</f>
        <v>555.4</v>
      </c>
      <c r="M57" s="84">
        <f>'HPS LTO DAILY '!K50</f>
        <v>542.29999999999995</v>
      </c>
      <c r="N57" s="84">
        <f>'HPS LTO DAILY '!L50</f>
        <v>425.8</v>
      </c>
      <c r="O57" s="84">
        <f>'HPS LTO DAILY '!M50</f>
        <v>408.4</v>
      </c>
      <c r="P57" s="84">
        <v>457.1</v>
      </c>
      <c r="Q57" s="84">
        <f>'HPS LTO DAILY '!O50</f>
        <v>418.4</v>
      </c>
      <c r="R57" s="84">
        <f>'HPS LTO DAILY '!P50</f>
        <v>427.9</v>
      </c>
      <c r="S57" s="84">
        <f>'HPS LTO DAILY '!Q50</f>
        <v>427.3</v>
      </c>
      <c r="T57" s="84">
        <f>'HPS LTO DAILY '!R50</f>
        <v>422.4</v>
      </c>
      <c r="U57" s="84">
        <f>'HPS LTO DAILY '!S50</f>
        <v>422.4</v>
      </c>
      <c r="V57" s="84">
        <f>'HPS LTO DAILY '!T50</f>
        <v>418.9</v>
      </c>
      <c r="W57" s="84">
        <f>'HPS LTO DAILY '!U50</f>
        <v>0</v>
      </c>
      <c r="X57" s="84">
        <f>'HPS LTO DAILY '!V50</f>
        <v>0</v>
      </c>
      <c r="Y57" s="582">
        <f>'HPS LTO DAILY '!W50</f>
        <v>0</v>
      </c>
      <c r="Z57" s="84">
        <f>'HPS LTO DAILY '!X50</f>
        <v>0</v>
      </c>
      <c r="AA57" s="84">
        <f>'HPS LTO DAILY '!AG50</f>
        <v>0</v>
      </c>
      <c r="AB57" s="84">
        <f>'HPS LTO DAILY '!AH50</f>
        <v>0</v>
      </c>
      <c r="AC57" s="84">
        <f>'HPS LTO DAILY '!AI50</f>
        <v>0</v>
      </c>
      <c r="AD57" s="84">
        <f>'HPS LTO DAILY '!AJ50</f>
        <v>0</v>
      </c>
      <c r="AE57" s="84">
        <f>'HPS LTO DAILY '!AK50</f>
        <v>0</v>
      </c>
      <c r="AF57" s="84">
        <f>'HPS LTO DAILY '!AL50</f>
        <v>0</v>
      </c>
      <c r="AG57" s="84">
        <f>'HPS LTO DAILY '!AM50</f>
        <v>0</v>
      </c>
      <c r="AH57" s="84">
        <f>'HPS LTO DAILY '!AN50</f>
        <v>0</v>
      </c>
      <c r="AI57" s="84">
        <f>'HPS LTO DAILY '!AO50</f>
        <v>0</v>
      </c>
      <c r="AJ57" s="84">
        <f>'HPS LTO DAILY '!AP50</f>
        <v>0</v>
      </c>
      <c r="AK57" s="84">
        <f>'HPS LTO DAILY '!AQ50</f>
        <v>0</v>
      </c>
    </row>
    <row r="58" spans="4:37" ht="19.5" customHeight="1" x14ac:dyDescent="0.35">
      <c r="D58" s="83">
        <v>50</v>
      </c>
      <c r="E58" s="2690"/>
      <c r="F58" s="2681"/>
      <c r="G58" s="961"/>
      <c r="H58" s="960"/>
      <c r="I58" s="961"/>
      <c r="J58" s="84">
        <f>'HPS LTO DAILY '!H60</f>
        <v>581.4</v>
      </c>
      <c r="K58" s="84">
        <f>'HPS LTO DAILY '!I60</f>
        <v>581</v>
      </c>
      <c r="L58" s="84">
        <f>'HPS LTO DAILY '!J60</f>
        <v>587.4</v>
      </c>
      <c r="M58" s="84">
        <f>'HPS LTO DAILY '!K60</f>
        <v>574.1</v>
      </c>
      <c r="N58" s="84">
        <f>'HPS LTO DAILY '!L60</f>
        <v>474.3</v>
      </c>
      <c r="O58" s="84">
        <f>'HPS LTO DAILY '!M60</f>
        <v>451.5</v>
      </c>
      <c r="P58" s="84">
        <v>507.9</v>
      </c>
      <c r="Q58" s="84">
        <f>'HPS LTO DAILY '!O60</f>
        <v>462.9</v>
      </c>
      <c r="R58" s="84">
        <f>'HPS LTO DAILY '!P60</f>
        <v>472.7</v>
      </c>
      <c r="S58" s="84">
        <f>'HPS LTO DAILY '!Q60</f>
        <v>472.8</v>
      </c>
      <c r="T58" s="84">
        <f>'HPS LTO DAILY '!R60</f>
        <v>467.6</v>
      </c>
      <c r="U58" s="84">
        <f>'HPS LTO DAILY '!S60</f>
        <v>467</v>
      </c>
      <c r="V58" s="84">
        <f>'HPS LTO DAILY '!T60</f>
        <v>463.2</v>
      </c>
      <c r="W58" s="84">
        <f>'HPS LTO DAILY '!U60</f>
        <v>0</v>
      </c>
      <c r="X58" s="84">
        <f>'HPS LTO DAILY '!V60</f>
        <v>0</v>
      </c>
      <c r="Y58" s="582">
        <f>'HPS LTO DAILY '!W60</f>
        <v>0</v>
      </c>
      <c r="Z58" s="84">
        <f>'HPS LTO DAILY '!X60</f>
        <v>0</v>
      </c>
      <c r="AA58" s="84">
        <f>'HPS LTO DAILY '!AG60</f>
        <v>0</v>
      </c>
      <c r="AB58" s="84">
        <f>'HPS LTO DAILY '!AH60</f>
        <v>0</v>
      </c>
      <c r="AC58" s="84">
        <f>'HPS LTO DAILY '!AI60</f>
        <v>0</v>
      </c>
      <c r="AD58" s="84">
        <f>'HPS LTO DAILY '!AJ60</f>
        <v>0</v>
      </c>
      <c r="AE58" s="84">
        <f>'HPS LTO DAILY '!AK60</f>
        <v>0</v>
      </c>
      <c r="AF58" s="84">
        <f>'HPS LTO DAILY '!AL60</f>
        <v>0</v>
      </c>
      <c r="AG58" s="84">
        <f>'HPS LTO DAILY '!AM60</f>
        <v>0</v>
      </c>
      <c r="AH58" s="84">
        <f>'HPS LTO DAILY '!AN60</f>
        <v>0</v>
      </c>
      <c r="AI58" s="84">
        <f>'HPS LTO DAILY '!AO60</f>
        <v>0</v>
      </c>
      <c r="AJ58" s="84">
        <f>'HPS LTO DAILY '!AP60</f>
        <v>0</v>
      </c>
      <c r="AK58" s="84">
        <f>'HPS LTO DAILY '!AQ60</f>
        <v>0</v>
      </c>
    </row>
    <row r="59" spans="4:37" ht="19.5" customHeight="1" x14ac:dyDescent="0.35">
      <c r="D59" s="83">
        <v>60</v>
      </c>
      <c r="E59" s="2690"/>
      <c r="F59" s="2681"/>
      <c r="G59" s="961"/>
      <c r="H59" s="960"/>
      <c r="I59" s="961"/>
      <c r="J59" s="84">
        <f>'HPS LTO DAILY '!H70</f>
        <v>615.9</v>
      </c>
      <c r="K59" s="84">
        <f>'HPS LTO DAILY '!I70</f>
        <v>613.70000000000005</v>
      </c>
      <c r="L59" s="84">
        <f>'HPS LTO DAILY '!J70</f>
        <v>620.79999999999995</v>
      </c>
      <c r="M59" s="84">
        <f>'HPS LTO DAILY '!K70</f>
        <v>602.70000000000005</v>
      </c>
      <c r="N59" s="84">
        <f>'HPS LTO DAILY '!L70</f>
        <v>522.9</v>
      </c>
      <c r="O59" s="84">
        <f>'HPS LTO DAILY '!M70</f>
        <v>495.5</v>
      </c>
      <c r="P59" s="84">
        <v>551.70000000000005</v>
      </c>
      <c r="Q59" s="84">
        <f>'HPS LTO DAILY '!O70</f>
        <v>507.4</v>
      </c>
      <c r="R59" s="84">
        <f>'HPS LTO DAILY '!P70</f>
        <v>517</v>
      </c>
      <c r="S59" s="84">
        <f>'HPS LTO DAILY '!Q70</f>
        <v>517.9</v>
      </c>
      <c r="T59" s="84">
        <f>'HPS LTO DAILY '!R70</f>
        <v>512.6</v>
      </c>
      <c r="U59" s="84">
        <f>'HPS LTO DAILY '!S70</f>
        <v>511.3</v>
      </c>
      <c r="V59" s="84">
        <f>'HPS LTO DAILY '!T70</f>
        <v>508</v>
      </c>
      <c r="W59" s="84">
        <f>'HPS LTO DAILY '!U70</f>
        <v>0</v>
      </c>
      <c r="X59" s="84">
        <f>'HPS LTO DAILY '!V70</f>
        <v>0</v>
      </c>
      <c r="Y59" s="582">
        <f>'HPS LTO DAILY '!W70</f>
        <v>0</v>
      </c>
      <c r="Z59" s="84">
        <f>'HPS LTO DAILY '!X70</f>
        <v>0</v>
      </c>
      <c r="AA59" s="84">
        <f>'HPS LTO DAILY '!AG70</f>
        <v>0</v>
      </c>
      <c r="AB59" s="84">
        <f>'HPS LTO DAILY '!AH70</f>
        <v>0</v>
      </c>
      <c r="AC59" s="84">
        <f>'HPS LTO DAILY '!AI70</f>
        <v>0</v>
      </c>
      <c r="AD59" s="84">
        <f>'HPS LTO DAILY '!AJ70</f>
        <v>0</v>
      </c>
      <c r="AE59" s="84">
        <f>'HPS LTO DAILY '!AK70</f>
        <v>0</v>
      </c>
      <c r="AF59" s="84">
        <f>'HPS LTO DAILY '!AL70</f>
        <v>0</v>
      </c>
      <c r="AG59" s="84">
        <f>'HPS LTO DAILY '!AM70</f>
        <v>0</v>
      </c>
      <c r="AH59" s="84">
        <f>'HPS LTO DAILY '!AN70</f>
        <v>0</v>
      </c>
      <c r="AI59" s="84">
        <f>'HPS LTO DAILY '!AO70</f>
        <v>0</v>
      </c>
      <c r="AJ59" s="84">
        <f>'HPS LTO DAILY '!AP70</f>
        <v>0</v>
      </c>
      <c r="AK59" s="84">
        <f>'HPS LTO DAILY '!AQ70</f>
        <v>0</v>
      </c>
    </row>
    <row r="60" spans="4:37" ht="19.5" customHeight="1" x14ac:dyDescent="0.35">
      <c r="D60" s="83">
        <v>70</v>
      </c>
      <c r="E60" s="2690"/>
      <c r="F60" s="2681"/>
      <c r="G60" s="952"/>
      <c r="H60" s="960"/>
      <c r="I60" s="952"/>
      <c r="J60" s="60">
        <f>'HPS LTO DAILY '!H80</f>
        <v>658.9</v>
      </c>
      <c r="K60" s="60">
        <f>'HPS LTO DAILY '!I80</f>
        <v>653.29999999999995</v>
      </c>
      <c r="L60" s="60">
        <f>'HPS LTO DAILY '!J80</f>
        <v>663.1</v>
      </c>
      <c r="M60" s="60">
        <f>'HPS LTO DAILY '!K80</f>
        <v>635.79999999999995</v>
      </c>
      <c r="N60" s="60">
        <f>'HPS LTO DAILY '!L80</f>
        <v>570.6</v>
      </c>
      <c r="O60" s="60">
        <f>'HPS LTO DAILY '!M80</f>
        <v>538.1</v>
      </c>
      <c r="P60" s="60">
        <v>586.9</v>
      </c>
      <c r="Q60" s="60">
        <f>'HPS LTO DAILY '!O80</f>
        <v>549.9</v>
      </c>
      <c r="R60" s="60">
        <f>'HPS LTO DAILY '!P80</f>
        <v>560.29999999999995</v>
      </c>
      <c r="S60" s="60">
        <f>'HPS LTO DAILY '!Q80</f>
        <v>561.6</v>
      </c>
      <c r="T60" s="60">
        <f>'HPS LTO DAILY '!R80</f>
        <v>556.29999999999995</v>
      </c>
      <c r="U60" s="60">
        <f>'HPS LTO DAILY '!S80</f>
        <v>554.20000000000005</v>
      </c>
      <c r="V60" s="60">
        <f>'HPS LTO DAILY '!T80</f>
        <v>550.20000000000005</v>
      </c>
      <c r="W60" s="60">
        <f>'HPS LTO DAILY '!U80</f>
        <v>0</v>
      </c>
      <c r="X60" s="60">
        <f>'HPS LTO DAILY '!V80</f>
        <v>0</v>
      </c>
      <c r="Y60" s="583">
        <f>'HPS LTO DAILY '!W80</f>
        <v>0</v>
      </c>
      <c r="Z60" s="60">
        <f>'HPS LTO DAILY '!X80</f>
        <v>0</v>
      </c>
      <c r="AA60" s="60">
        <f>'HPS LTO DAILY '!AG80</f>
        <v>0</v>
      </c>
      <c r="AB60" s="60">
        <f>'HPS LTO DAILY '!AH80</f>
        <v>0</v>
      </c>
      <c r="AC60" s="60">
        <f>'HPS LTO DAILY '!AI80</f>
        <v>0</v>
      </c>
      <c r="AD60" s="60">
        <f>'HPS LTO DAILY '!AJ80</f>
        <v>0</v>
      </c>
      <c r="AE60" s="60">
        <f>'HPS LTO DAILY '!AK80</f>
        <v>0</v>
      </c>
      <c r="AF60" s="60">
        <f>'HPS LTO DAILY '!AL80</f>
        <v>0</v>
      </c>
      <c r="AG60" s="60">
        <f>'HPS LTO DAILY '!AM80</f>
        <v>0</v>
      </c>
      <c r="AH60" s="60">
        <f>'HPS LTO DAILY '!AN80</f>
        <v>0</v>
      </c>
      <c r="AI60" s="60">
        <f>'HPS LTO DAILY '!AO80</f>
        <v>0</v>
      </c>
      <c r="AJ60" s="60">
        <f>'HPS LTO DAILY '!AP80</f>
        <v>0</v>
      </c>
      <c r="AK60" s="60">
        <f>'HPS LTO DAILY '!AQ80</f>
        <v>0</v>
      </c>
    </row>
    <row r="61" spans="4:37" ht="19.5" customHeight="1" x14ac:dyDescent="0.35">
      <c r="D61" s="83">
        <v>80</v>
      </c>
      <c r="E61" s="2690"/>
      <c r="F61" s="2681"/>
      <c r="G61" s="952"/>
      <c r="H61" s="960"/>
      <c r="I61" s="952"/>
      <c r="J61" s="60" t="str">
        <f>'HPS LTO DAILY '!H90</f>
        <v>-</v>
      </c>
      <c r="K61" s="60" t="str">
        <f>'HPS LTO DAILY '!I90</f>
        <v>-</v>
      </c>
      <c r="L61" s="60" t="str">
        <f>'HPS LTO DAILY '!J90</f>
        <v>-</v>
      </c>
      <c r="M61" s="60">
        <f>'HPS LTO DAILY '!K90</f>
        <v>693.6</v>
      </c>
      <c r="N61" s="60">
        <f>'HPS LTO DAILY '!L90</f>
        <v>627.20000000000005</v>
      </c>
      <c r="O61" s="60">
        <f>'HPS LTO DAILY '!M90</f>
        <v>580</v>
      </c>
      <c r="P61" s="60">
        <v>626.1</v>
      </c>
      <c r="Q61" s="60">
        <f>'HPS LTO DAILY '!O90</f>
        <v>592.9</v>
      </c>
      <c r="R61" s="60">
        <f>'HPS LTO DAILY '!P90</f>
        <v>603.9</v>
      </c>
      <c r="S61" s="60">
        <f>'HPS LTO DAILY '!Q90</f>
        <v>606.29999999999995</v>
      </c>
      <c r="T61" s="60">
        <f>'HPS LTO DAILY '!R90</f>
        <v>599.9</v>
      </c>
      <c r="U61" s="60">
        <f>'HPS LTO DAILY '!S90</f>
        <v>597.6</v>
      </c>
      <c r="V61" s="60">
        <f>'HPS LTO DAILY '!T90</f>
        <v>593.4</v>
      </c>
      <c r="W61" s="60">
        <f>'HPS LTO DAILY '!U90</f>
        <v>0</v>
      </c>
      <c r="X61" s="60">
        <f>'HPS LTO DAILY '!V90</f>
        <v>0</v>
      </c>
      <c r="Y61" s="583">
        <f>'HPS LTO DAILY '!W90</f>
        <v>0</v>
      </c>
      <c r="Z61" s="60">
        <f>'HPS LTO DAILY '!X90</f>
        <v>0</v>
      </c>
      <c r="AA61" s="60">
        <f>'HPS LTO DAILY '!AG90</f>
        <v>0</v>
      </c>
      <c r="AB61" s="60">
        <f>'HPS LTO DAILY '!AH90</f>
        <v>0</v>
      </c>
      <c r="AC61" s="60">
        <f>'HPS LTO DAILY '!AI90</f>
        <v>0</v>
      </c>
      <c r="AD61" s="60">
        <f>'HPS LTO DAILY '!AJ90</f>
        <v>0</v>
      </c>
      <c r="AE61" s="60">
        <f>'HPS LTO DAILY '!AK90</f>
        <v>0</v>
      </c>
      <c r="AF61" s="60">
        <f>'HPS LTO DAILY '!AL90</f>
        <v>0</v>
      </c>
      <c r="AG61" s="60">
        <f>'HPS LTO DAILY '!AM90</f>
        <v>0</v>
      </c>
      <c r="AH61" s="60">
        <f>'HPS LTO DAILY '!AN90</f>
        <v>0</v>
      </c>
      <c r="AI61" s="60">
        <f>'HPS LTO DAILY '!AO90</f>
        <v>0</v>
      </c>
      <c r="AJ61" s="60">
        <f>'HPS LTO DAILY '!AP90</f>
        <v>0</v>
      </c>
      <c r="AK61" s="60">
        <f>'HPS LTO DAILY '!AQ90</f>
        <v>0</v>
      </c>
    </row>
    <row r="62" spans="4:37" ht="19.5" customHeight="1" x14ac:dyDescent="0.35">
      <c r="D62" s="83">
        <v>90</v>
      </c>
      <c r="E62" s="2690"/>
      <c r="F62" s="2681"/>
      <c r="G62" s="952"/>
      <c r="H62" s="960"/>
      <c r="I62" s="952"/>
      <c r="J62" s="60" t="str">
        <f>'HPS LTO DAILY '!H100</f>
        <v>-</v>
      </c>
      <c r="K62" s="60" t="str">
        <f>'HPS LTO DAILY '!I100</f>
        <v>-</v>
      </c>
      <c r="L62" s="60" t="str">
        <f>'HPS LTO DAILY '!J100</f>
        <v>-</v>
      </c>
      <c r="M62" s="60" t="str">
        <f>'HPS LTO DAILY '!K100</f>
        <v>-</v>
      </c>
      <c r="N62" s="60" t="str">
        <f>'HPS LTO DAILY '!L100</f>
        <v>-</v>
      </c>
      <c r="O62" s="60">
        <f>'HPS LTO DAILY '!M100</f>
        <v>632.4</v>
      </c>
      <c r="P62" s="60">
        <v>693.3</v>
      </c>
      <c r="Q62" s="60">
        <f>'HPS LTO DAILY '!O100</f>
        <v>653.5</v>
      </c>
      <c r="R62" s="60">
        <f>'HPS LTO DAILY '!P100</f>
        <v>674.2</v>
      </c>
      <c r="S62" s="60">
        <f>'HPS LTO DAILY '!Q100</f>
        <v>682.2</v>
      </c>
      <c r="T62" s="60">
        <f>'HPS LTO DAILY '!R100</f>
        <v>669.6</v>
      </c>
      <c r="U62" s="60">
        <f>'HPS LTO DAILY '!S100</f>
        <v>665.6</v>
      </c>
      <c r="V62" s="60">
        <f>'HPS LTO DAILY '!T100</f>
        <v>655.29999999999995</v>
      </c>
      <c r="W62" s="60">
        <f>'HPS LTO DAILY '!U100</f>
        <v>0</v>
      </c>
      <c r="X62" s="60">
        <f>'HPS LTO DAILY '!V100</f>
        <v>0</v>
      </c>
      <c r="Y62" s="583">
        <f>'HPS LTO DAILY '!W100</f>
        <v>0</v>
      </c>
      <c r="Z62" s="60">
        <f>'HPS LTO DAILY '!X100</f>
        <v>0</v>
      </c>
      <c r="AA62" s="60">
        <f>'HPS LTO DAILY '!AG100</f>
        <v>0</v>
      </c>
      <c r="AB62" s="60">
        <f>'HPS LTO DAILY '!AH100</f>
        <v>0</v>
      </c>
      <c r="AC62" s="60">
        <f>'HPS LTO DAILY '!AI100</f>
        <v>0</v>
      </c>
      <c r="AD62" s="60">
        <f>'HPS LTO DAILY '!AJ100</f>
        <v>0</v>
      </c>
      <c r="AE62" s="60">
        <f>'HPS LTO DAILY '!AK100</f>
        <v>0</v>
      </c>
      <c r="AF62" s="60">
        <f>'HPS LTO DAILY '!AL100</f>
        <v>0</v>
      </c>
      <c r="AG62" s="60">
        <f>'HPS LTO DAILY '!AM100</f>
        <v>0</v>
      </c>
      <c r="AH62" s="60">
        <f>'HPS LTO DAILY '!AN100</f>
        <v>0</v>
      </c>
      <c r="AI62" s="60">
        <f>'HPS LTO DAILY '!AO100</f>
        <v>0</v>
      </c>
      <c r="AJ62" s="60">
        <f>'HPS LTO DAILY '!AP100</f>
        <v>0</v>
      </c>
      <c r="AK62" s="60">
        <f>'HPS LTO DAILY '!AQ100</f>
        <v>0</v>
      </c>
    </row>
    <row r="63" spans="4:37" ht="19.5" customHeight="1" x14ac:dyDescent="0.35">
      <c r="D63" s="83">
        <v>95</v>
      </c>
      <c r="E63" s="2690"/>
      <c r="F63" s="2681"/>
      <c r="G63" s="952"/>
      <c r="H63" s="960"/>
      <c r="I63" s="952"/>
      <c r="J63" s="60" t="str">
        <f>'HPS LTO DAILY '!H105</f>
        <v>-</v>
      </c>
      <c r="K63" s="60" t="str">
        <f>'HPS LTO DAILY '!I105</f>
        <v>-</v>
      </c>
      <c r="L63" s="60" t="str">
        <f>'HPS LTO DAILY '!J105</f>
        <v>-</v>
      </c>
      <c r="M63" s="60" t="str">
        <f>'HPS LTO DAILY '!K105</f>
        <v>-</v>
      </c>
      <c r="N63" s="60" t="str">
        <f>'HPS LTO DAILY '!L105</f>
        <v>-</v>
      </c>
      <c r="O63" s="60">
        <f>'HPS LTO DAILY '!M105</f>
        <v>675.6</v>
      </c>
      <c r="P63" s="60" t="s">
        <v>17</v>
      </c>
      <c r="Q63" s="60">
        <f>'HPS LTO DAILY '!O105</f>
        <v>715.6</v>
      </c>
      <c r="R63" s="60" t="str">
        <f>'HPS LTO DAILY '!P105</f>
        <v>-</v>
      </c>
      <c r="S63" s="60" t="str">
        <f>'HPS LTO DAILY '!Q105</f>
        <v>-</v>
      </c>
      <c r="T63" s="60" t="str">
        <f>'HPS LTO DAILY '!R105</f>
        <v>-</v>
      </c>
      <c r="U63" s="60">
        <f>'HPS LTO DAILY '!S105</f>
        <v>0</v>
      </c>
      <c r="V63" s="60" t="str">
        <f>'HPS LTO DAILY '!T105</f>
        <v>-</v>
      </c>
      <c r="W63" s="60">
        <f>'HPS LTO DAILY '!U105</f>
        <v>0</v>
      </c>
      <c r="X63" s="60">
        <f>'HPS LTO DAILY '!V105</f>
        <v>0</v>
      </c>
      <c r="Y63" s="583">
        <f>'HPS LTO DAILY '!W105</f>
        <v>0</v>
      </c>
      <c r="Z63" s="60">
        <f>'HPS LTO DAILY '!X105</f>
        <v>0</v>
      </c>
      <c r="AA63" s="60">
        <f>'HPS LTO DAILY '!AG105</f>
        <v>0</v>
      </c>
      <c r="AB63" s="60">
        <f>'HPS LTO DAILY '!AH105</f>
        <v>0</v>
      </c>
      <c r="AC63" s="60">
        <f>'HPS LTO DAILY '!AI105</f>
        <v>0</v>
      </c>
      <c r="AD63" s="60">
        <f>'HPS LTO DAILY '!AJ105</f>
        <v>0</v>
      </c>
      <c r="AE63" s="60">
        <f>'HPS LTO DAILY '!AK105</f>
        <v>0</v>
      </c>
      <c r="AF63" s="60">
        <f>'HPS LTO DAILY '!AL105</f>
        <v>0</v>
      </c>
      <c r="AG63" s="60">
        <f>'HPS LTO DAILY '!AM105</f>
        <v>0</v>
      </c>
      <c r="AH63" s="60">
        <f>'HPS LTO DAILY '!AN105</f>
        <v>0</v>
      </c>
      <c r="AI63" s="60">
        <f>'HPS LTO DAILY '!AO105</f>
        <v>0</v>
      </c>
      <c r="AJ63" s="60">
        <f>'HPS LTO DAILY '!AP105</f>
        <v>0</v>
      </c>
      <c r="AK63" s="60">
        <f>'HPS LTO DAILY '!AQ105</f>
        <v>0</v>
      </c>
    </row>
    <row r="64" spans="4:37" ht="19.5" customHeight="1" thickBot="1" x14ac:dyDescent="0.4">
      <c r="D64" s="83" t="s">
        <v>61</v>
      </c>
      <c r="E64" s="89" t="s">
        <v>54</v>
      </c>
      <c r="F64" s="2682"/>
      <c r="G64" s="963"/>
      <c r="H64" s="962"/>
      <c r="I64" s="963"/>
      <c r="J64" s="91" t="str">
        <f>'HPS LTO DAILY '!H110</f>
        <v>-</v>
      </c>
      <c r="K64" s="91" t="str">
        <f>'HPS LTO DAILY '!I110</f>
        <v>-</v>
      </c>
      <c r="L64" s="91" t="str">
        <f>'HPS LTO DAILY '!J110</f>
        <v>-</v>
      </c>
      <c r="M64" s="91" t="str">
        <f>'HPS LTO DAILY '!K110</f>
        <v>-</v>
      </c>
      <c r="N64" s="91" t="str">
        <f>'HPS LTO DAILY '!L110</f>
        <v>-</v>
      </c>
      <c r="O64" s="91" t="str">
        <f>'HPS LTO DAILY '!M110</f>
        <v>-</v>
      </c>
      <c r="P64" s="91" t="s">
        <v>17</v>
      </c>
      <c r="Q64" s="91" t="str">
        <f>'HPS LTO DAILY '!O110</f>
        <v>-</v>
      </c>
      <c r="R64" s="91" t="str">
        <f>'HPS LTO DAILY '!P110</f>
        <v>-</v>
      </c>
      <c r="S64" s="91" t="str">
        <f>'HPS LTO DAILY '!Q110</f>
        <v>-</v>
      </c>
      <c r="T64" s="91" t="str">
        <f>'HPS LTO DAILY '!R110</f>
        <v>-</v>
      </c>
      <c r="U64" s="91">
        <f>'HPS LTO DAILY '!S110</f>
        <v>0</v>
      </c>
      <c r="V64" s="91" t="str">
        <f>'HPS LTO DAILY '!T110</f>
        <v>-</v>
      </c>
      <c r="W64" s="91">
        <f>'HPS LTO DAILY '!U110</f>
        <v>0</v>
      </c>
      <c r="X64" s="91">
        <f>'HPS LTO DAILY '!V110</f>
        <v>0</v>
      </c>
      <c r="Y64" s="584">
        <f>'HPS LTO DAILY '!W110</f>
        <v>0</v>
      </c>
      <c r="Z64" s="91">
        <f>'HPS LTO DAILY '!X110</f>
        <v>0</v>
      </c>
      <c r="AA64" s="91">
        <f>'HPS LTO DAILY '!AG110</f>
        <v>0</v>
      </c>
      <c r="AB64" s="91">
        <f>'HPS LTO DAILY '!AH110</f>
        <v>0</v>
      </c>
      <c r="AC64" s="91">
        <f>'HPS LTO DAILY '!AI110</f>
        <v>0</v>
      </c>
      <c r="AD64" s="91">
        <f>'HPS LTO DAILY '!AJ110</f>
        <v>0</v>
      </c>
      <c r="AE64" s="91">
        <f>'HPS LTO DAILY '!AK110</f>
        <v>0</v>
      </c>
      <c r="AF64" s="91">
        <f>'HPS LTO DAILY '!AL110</f>
        <v>0</v>
      </c>
      <c r="AG64" s="91">
        <f>'HPS LTO DAILY '!AM110</f>
        <v>0</v>
      </c>
      <c r="AH64" s="91">
        <f>'HPS LTO DAILY '!AN110</f>
        <v>0</v>
      </c>
      <c r="AI64" s="91">
        <f>'HPS LTO DAILY '!AO110</f>
        <v>0</v>
      </c>
      <c r="AJ64" s="91">
        <f>'HPS LTO DAILY '!AP110</f>
        <v>0</v>
      </c>
      <c r="AK64" s="91">
        <f>'HPS LTO DAILY '!AQ110</f>
        <v>0</v>
      </c>
    </row>
    <row r="65" spans="4:37" ht="19.5" customHeight="1" x14ac:dyDescent="0.35">
      <c r="D65" s="92" t="s">
        <v>159</v>
      </c>
      <c r="E65" s="93"/>
      <c r="F65" s="94"/>
      <c r="G65" s="95"/>
      <c r="H65" s="963"/>
      <c r="I65" s="963"/>
      <c r="J65" s="95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201"/>
      <c r="Y65" s="585"/>
      <c r="Z65" s="201"/>
      <c r="AA65" s="201"/>
      <c r="AB65" s="201"/>
      <c r="AC65" s="201"/>
      <c r="AD65" s="201"/>
      <c r="AE65" s="201"/>
      <c r="AF65" s="201"/>
      <c r="AG65" s="201"/>
      <c r="AH65" s="201"/>
      <c r="AI65" s="201"/>
      <c r="AJ65" s="201"/>
      <c r="AK65" s="201"/>
    </row>
    <row r="66" spans="4:37" ht="19.5" customHeight="1" x14ac:dyDescent="0.35">
      <c r="D66" s="97" t="s">
        <v>101</v>
      </c>
      <c r="E66" s="2692" t="s">
        <v>58</v>
      </c>
      <c r="F66" s="2695" t="s">
        <v>36</v>
      </c>
      <c r="G66" s="98">
        <v>1.74</v>
      </c>
      <c r="H66" s="964"/>
      <c r="I66" s="964"/>
      <c r="J66" s="3">
        <f>'HPS DAILY'!K66+'HPS DAILY (repro+)'!$G$66</f>
        <v>1.8559999999999999</v>
      </c>
      <c r="K66" s="3">
        <f>'HPS DAILY'!L66+'HPS DAILY (repro+)'!$G$66</f>
        <v>1.8860000000000001</v>
      </c>
      <c r="L66" s="3">
        <f>'HPS DAILY'!M66+'HPS DAILY (repro+)'!$G$66</f>
        <v>1.8136666666666668</v>
      </c>
      <c r="M66" s="3">
        <f>'HPS DAILY'!N66+'HPS DAILY (repro+)'!$G$66</f>
        <v>1.7909999999999999</v>
      </c>
      <c r="N66" s="3">
        <f>'HPS DAILY'!O66+'HPS DAILY (repro+)'!$G$66</f>
        <v>1.774</v>
      </c>
      <c r="O66" s="3">
        <f>'HPS DAILY'!P66+'HPS DAILY (repro+)'!$G$66</f>
        <v>1.784</v>
      </c>
      <c r="P66" s="3">
        <f>'HPS DAILY'!Q66+'HPS DAILY (repro+)'!$G$66</f>
        <v>1.788</v>
      </c>
      <c r="Q66" s="3">
        <f>'HPS DAILY'!R66+'HPS DAILY (repro+)'!$G$66</f>
        <v>1.7709999999999999</v>
      </c>
      <c r="R66" s="3">
        <f>'HPS DAILY'!S66+'HPS DAILY (repro+)'!$G$66</f>
        <v>1.762</v>
      </c>
      <c r="S66" s="3">
        <f>'HPS DAILY'!T66+'HPS DAILY (repro+)'!$G$66</f>
        <v>1.7709999999999999</v>
      </c>
      <c r="T66" s="3">
        <f>'HPS DAILY'!U66+'HPS DAILY (repro+)'!$G$66</f>
        <v>1.792</v>
      </c>
      <c r="U66" s="3">
        <f>'HPS DAILY'!V66+'HPS DAILY (repro+)'!$G$66</f>
        <v>1.77</v>
      </c>
      <c r="V66" s="3">
        <f>'HPS DAILY'!W66+'HPS DAILY (repro+)'!$G$66</f>
        <v>1.8180000000000001</v>
      </c>
      <c r="W66" s="3">
        <f>'HPS DAILY'!X66+'HPS DAILY (repro+)'!$G$66</f>
        <v>1.74</v>
      </c>
      <c r="X66" s="3">
        <f>'HPS DAILY'!Y66+'HPS DAILY (repro+)'!$G$66</f>
        <v>1.74</v>
      </c>
      <c r="Y66" s="3">
        <f>'HPS DAILY'!Z66+'HPS DAILY (repro+)'!$G$66</f>
        <v>1.74</v>
      </c>
      <c r="Z66" s="3">
        <f>'HPS DAILY'!AA66+'HPS DAILY (repro+)'!$G$66</f>
        <v>1.74</v>
      </c>
      <c r="AA66" s="3">
        <f>'HPS DAILY'!AB66+'HPS DAILY (repro+)'!$G$66</f>
        <v>1.74</v>
      </c>
      <c r="AB66" s="3">
        <f>'HPS DAILY'!AC66+'HPS DAILY (repro+)'!$G$66</f>
        <v>1.74</v>
      </c>
      <c r="AC66" s="3">
        <f>'HPS DAILY'!AD66+'HPS DAILY (repro+)'!$G$66</f>
        <v>1.74</v>
      </c>
      <c r="AD66" s="3">
        <f>'HPS DAILY'!AE66+'HPS DAILY (repro+)'!$G$66</f>
        <v>1.74</v>
      </c>
      <c r="AE66" s="3">
        <f>'HPS DAILY'!AF66+'HPS DAILY (repro+)'!$G$66</f>
        <v>1.74</v>
      </c>
      <c r="AF66" s="3">
        <f>'HPS DAILY'!AG66+'HPS DAILY (repro+)'!$G$66</f>
        <v>1.74</v>
      </c>
      <c r="AG66" s="3">
        <f>'HPS DAILY'!AH66+'HPS DAILY (repro+)'!$G$66</f>
        <v>1.74</v>
      </c>
      <c r="AH66" s="3">
        <f>'HPS DAILY'!AI66+'HPS DAILY (repro+)'!$G$66</f>
        <v>1.74</v>
      </c>
      <c r="AI66" s="3">
        <f>'HPS DAILY'!AJ66+'HPS DAILY (repro+)'!$G$66</f>
        <v>1.74</v>
      </c>
      <c r="AJ66" s="3">
        <f>'HPS DAILY'!AK66+'HPS DAILY (repro+)'!$G$66</f>
        <v>1.74</v>
      </c>
      <c r="AK66" s="3">
        <f>'HPS DAILY'!AL66+'HPS DAILY (repro+)'!$G$66</f>
        <v>1.74</v>
      </c>
    </row>
    <row r="67" spans="4:37" ht="19.5" customHeight="1" x14ac:dyDescent="0.35">
      <c r="D67" s="97" t="s">
        <v>102</v>
      </c>
      <c r="E67" s="2693"/>
      <c r="F67" s="2696"/>
      <c r="G67" s="98">
        <v>1.74</v>
      </c>
      <c r="H67" s="964"/>
      <c r="I67" s="964"/>
      <c r="J67" s="3">
        <f>'HPS DAILY'!K67+'HPS DAILY (repro+)'!$G$67</f>
        <v>2.2480000000000002</v>
      </c>
      <c r="K67" s="3">
        <f>'HPS DAILY'!L67+'HPS DAILY (repro+)'!$G$67</f>
        <v>2.23</v>
      </c>
      <c r="L67" s="3">
        <f>'HPS DAILY'!M67+'HPS DAILY (repro+)'!$G$67</f>
        <v>2.202</v>
      </c>
      <c r="M67" s="3">
        <f>'HPS DAILY'!N67+'HPS DAILY (repro+)'!$G$67</f>
        <v>2.2359999999999998</v>
      </c>
      <c r="N67" s="3">
        <f>'HPS DAILY'!O67+'HPS DAILY (repro+)'!$G$67</f>
        <v>3.16</v>
      </c>
      <c r="O67" s="3">
        <f>'HPS DAILY'!P67+'HPS DAILY (repro+)'!$G$67</f>
        <v>3.1859999999999999</v>
      </c>
      <c r="P67" s="3">
        <f>'HPS DAILY'!Q67+'HPS DAILY (repro+)'!$G$67</f>
        <v>3.194</v>
      </c>
      <c r="Q67" s="3">
        <f>'HPS DAILY'!R67+'HPS DAILY (repro+)'!$G$67</f>
        <v>3.1509999999999998</v>
      </c>
      <c r="R67" s="3">
        <f>'HPS DAILY'!S67+'HPS DAILY (repro+)'!$G$67</f>
        <v>2.7424999999999997</v>
      </c>
      <c r="S67" s="3">
        <f>'HPS DAILY'!T67+'HPS DAILY (repro+)'!$G$67</f>
        <v>2.952</v>
      </c>
      <c r="T67" s="3">
        <f>'HPS DAILY'!U67+'HPS DAILY (repro+)'!$G$67</f>
        <v>2.8520000000000003</v>
      </c>
      <c r="U67" s="3">
        <f>'HPS DAILY'!V67+'HPS DAILY (repro+)'!$G$67</f>
        <v>2.8289999999999997</v>
      </c>
      <c r="V67" s="3">
        <f>'HPS DAILY'!W67+'HPS DAILY (repro+)'!$G$67</f>
        <v>2.835</v>
      </c>
      <c r="W67" s="3">
        <f>'HPS DAILY'!X67+'HPS DAILY (repro+)'!$G$67</f>
        <v>1.74</v>
      </c>
      <c r="X67" s="3">
        <f>'HPS DAILY'!Y67+'HPS DAILY (repro+)'!$G$67</f>
        <v>1.74</v>
      </c>
      <c r="Y67" s="3">
        <f>'HPS DAILY'!Z67+'HPS DAILY (repro+)'!$G$67</f>
        <v>1.74</v>
      </c>
      <c r="Z67" s="3">
        <f>'HPS DAILY'!AA67+'HPS DAILY (repro+)'!$G$67</f>
        <v>1.74</v>
      </c>
      <c r="AA67" s="3">
        <f>'HPS DAILY'!AB67+'HPS DAILY (repro+)'!$G$67</f>
        <v>1.74</v>
      </c>
      <c r="AB67" s="3">
        <f>'HPS DAILY'!AC67+'HPS DAILY (repro+)'!$G$67</f>
        <v>1.74</v>
      </c>
      <c r="AC67" s="3">
        <f>'HPS DAILY'!AD67+'HPS DAILY (repro+)'!$G$67</f>
        <v>1.74</v>
      </c>
      <c r="AD67" s="3">
        <f>'HPS DAILY'!AE67+'HPS DAILY (repro+)'!$G$67</f>
        <v>1.74</v>
      </c>
      <c r="AE67" s="3">
        <f>'HPS DAILY'!AF67+'HPS DAILY (repro+)'!$G$67</f>
        <v>1.74</v>
      </c>
      <c r="AF67" s="3">
        <f>'HPS DAILY'!AG67+'HPS DAILY (repro+)'!$G$67</f>
        <v>1.74</v>
      </c>
      <c r="AG67" s="3">
        <f>'HPS DAILY'!AH67+'HPS DAILY (repro+)'!$G$67</f>
        <v>1.74</v>
      </c>
      <c r="AH67" s="3">
        <f>'HPS DAILY'!AI67+'HPS DAILY (repro+)'!$G$67</f>
        <v>1.74</v>
      </c>
      <c r="AI67" s="3">
        <f>'HPS DAILY'!AJ67+'HPS DAILY (repro+)'!$G$67</f>
        <v>1.74</v>
      </c>
      <c r="AJ67" s="3">
        <f>'HPS DAILY'!AK67+'HPS DAILY (repro+)'!$G$67</f>
        <v>1.74</v>
      </c>
      <c r="AK67" s="3">
        <f>'HPS DAILY'!AL67+'HPS DAILY (repro+)'!$G$67</f>
        <v>1.74</v>
      </c>
    </row>
    <row r="68" spans="4:37" ht="19.5" customHeight="1" x14ac:dyDescent="0.35">
      <c r="D68" s="97" t="s">
        <v>103</v>
      </c>
      <c r="E68" s="2693"/>
      <c r="F68" s="2696"/>
      <c r="G68" s="98">
        <v>2.0499999999999998</v>
      </c>
      <c r="H68" s="964"/>
      <c r="I68" s="964"/>
      <c r="J68" s="3">
        <f>'HPS DAILY'!K68+'HPS DAILY (repro+)'!$G$68</f>
        <v>4.4504999999999999</v>
      </c>
      <c r="K68" s="3">
        <f>'HPS DAILY'!L68+'HPS DAILY (repro+)'!$G$68</f>
        <v>4.3520000000000003</v>
      </c>
      <c r="L68" s="3">
        <f>'HPS DAILY'!M68+'HPS DAILY (repro+)'!$G$68</f>
        <v>4.3940000000000001</v>
      </c>
      <c r="M68" s="3">
        <f>'HPS DAILY'!N68+'HPS DAILY (repro+)'!$G$68</f>
        <v>4.7829999999999995</v>
      </c>
      <c r="N68" s="3">
        <f>'HPS DAILY'!O68+'HPS DAILY (repro+)'!$G$68</f>
        <v>10.367999999999999</v>
      </c>
      <c r="O68" s="3">
        <f>'HPS DAILY'!P68+'HPS DAILY (repro+)'!$G$68</f>
        <v>10.632000000000001</v>
      </c>
      <c r="P68" s="3">
        <f>'HPS DAILY'!Q68+'HPS DAILY (repro+)'!$G$68</f>
        <v>10.382000000000001</v>
      </c>
      <c r="Q68" s="3">
        <f>'HPS DAILY'!R68+'HPS DAILY (repro+)'!$G$68</f>
        <v>10.067</v>
      </c>
      <c r="R68" s="3">
        <f>'HPS DAILY'!S68+'HPS DAILY (repro+)'!$G$68</f>
        <v>9.4914999999999985</v>
      </c>
      <c r="S68" s="3">
        <f>'HPS DAILY'!T68+'HPS DAILY (repro+)'!$G$68</f>
        <v>9.6789999999999985</v>
      </c>
      <c r="T68" s="3">
        <f>'HPS DAILY'!U68+'HPS DAILY (repro+)'!$G$68</f>
        <v>9.6950000000000003</v>
      </c>
      <c r="U68" s="3">
        <f>'HPS DAILY'!V68+'HPS DAILY (repro+)'!$G$68</f>
        <v>9.5869999999999997</v>
      </c>
      <c r="V68" s="3">
        <f>'HPS DAILY'!W68+'HPS DAILY (repro+)'!$G$68</f>
        <v>9.6499999999999986</v>
      </c>
      <c r="W68" s="3">
        <f>'HPS DAILY'!X68+'HPS DAILY (repro+)'!$G$68</f>
        <v>2.0499999999999998</v>
      </c>
      <c r="X68" s="3">
        <f>'HPS DAILY'!Y68+'HPS DAILY (repro+)'!$G$68</f>
        <v>2.0499999999999998</v>
      </c>
      <c r="Y68" s="3">
        <f>'HPS DAILY'!Z68+'HPS DAILY (repro+)'!$G$68</f>
        <v>2.0499999999999998</v>
      </c>
      <c r="Z68" s="3">
        <f>'HPS DAILY'!AA68+'HPS DAILY (repro+)'!$G$68</f>
        <v>2.0499999999999998</v>
      </c>
      <c r="AA68" s="3">
        <f>'HPS DAILY'!AB68+'HPS DAILY (repro+)'!$G$68</f>
        <v>2.0499999999999998</v>
      </c>
      <c r="AB68" s="3">
        <f>'HPS DAILY'!AC68+'HPS DAILY (repro+)'!$G$68</f>
        <v>2.0499999999999998</v>
      </c>
      <c r="AC68" s="3">
        <f>'HPS DAILY'!AD68+'HPS DAILY (repro+)'!$G$68</f>
        <v>2.0499999999999998</v>
      </c>
      <c r="AD68" s="3">
        <f>'HPS DAILY'!AE68+'HPS DAILY (repro+)'!$G$68</f>
        <v>2.0499999999999998</v>
      </c>
      <c r="AE68" s="3">
        <f>'HPS DAILY'!AF68+'HPS DAILY (repro+)'!$G$68</f>
        <v>2.0499999999999998</v>
      </c>
      <c r="AF68" s="3">
        <f>'HPS DAILY'!AG68+'HPS DAILY (repro+)'!$G$68</f>
        <v>2.0499999999999998</v>
      </c>
      <c r="AG68" s="3">
        <f>'HPS DAILY'!AH68+'HPS DAILY (repro+)'!$G$68</f>
        <v>2.0499999999999998</v>
      </c>
      <c r="AH68" s="3">
        <f>'HPS DAILY'!AI68+'HPS DAILY (repro+)'!$G$68</f>
        <v>2.0499999999999998</v>
      </c>
      <c r="AI68" s="3">
        <f>'HPS DAILY'!AJ68+'HPS DAILY (repro+)'!$G$68</f>
        <v>2.0499999999999998</v>
      </c>
      <c r="AJ68" s="3">
        <f>'HPS DAILY'!AK68+'HPS DAILY (repro+)'!$G$68</f>
        <v>2.0499999999999998</v>
      </c>
      <c r="AK68" s="3">
        <f>'HPS DAILY'!AL68+'HPS DAILY (repro+)'!$G$68</f>
        <v>2.0499999999999998</v>
      </c>
    </row>
    <row r="69" spans="4:37" ht="19.5" customHeight="1" x14ac:dyDescent="0.35">
      <c r="D69" s="97" t="s">
        <v>104</v>
      </c>
      <c r="E69" s="2693"/>
      <c r="F69" s="2696"/>
      <c r="G69" s="98">
        <v>2.2799999999999998</v>
      </c>
      <c r="H69" s="964"/>
      <c r="I69" s="964"/>
      <c r="J69" s="3">
        <f>'HPS DAILY'!K69+'HPS DAILY (repro+)'!$G$69</f>
        <v>9.4974999999999987</v>
      </c>
      <c r="K69" s="3">
        <f>'HPS DAILY'!L69+'HPS DAILY (repro+)'!$G$69</f>
        <v>9.0015000000000001</v>
      </c>
      <c r="L69" s="3">
        <f>'HPS DAILY'!M69+'HPS DAILY (repro+)'!$G$69</f>
        <v>9.1743333333333332</v>
      </c>
      <c r="M69" s="3">
        <f>'HPS DAILY'!N69+'HPS DAILY (repro+)'!$G$69</f>
        <v>9.7210000000000001</v>
      </c>
      <c r="N69" s="3">
        <f>'HPS DAILY'!O69+'HPS DAILY (repro+)'!$G$69</f>
        <v>20.46</v>
      </c>
      <c r="O69" s="3">
        <f>'HPS DAILY'!P69+'HPS DAILY (repro+)'!$G$69</f>
        <v>21.419</v>
      </c>
      <c r="P69" s="3">
        <f>'HPS DAILY'!Q69+'HPS DAILY (repro+)'!$G$69</f>
        <v>20.82</v>
      </c>
      <c r="Q69" s="3">
        <f>'HPS DAILY'!R69+'HPS DAILY (repro+)'!$G$69</f>
        <v>20.275000000000002</v>
      </c>
      <c r="R69" s="3">
        <f>'HPS DAILY'!S69+'HPS DAILY (repro+)'!$G$69</f>
        <v>20.015500000000003</v>
      </c>
      <c r="S69" s="3">
        <f>'HPS DAILY'!T69+'HPS DAILY (repro+)'!$G$69</f>
        <v>20.179000000000002</v>
      </c>
      <c r="T69" s="3">
        <f>'HPS DAILY'!U69+'HPS DAILY (repro+)'!$G$69</f>
        <v>20.028000000000002</v>
      </c>
      <c r="U69" s="3">
        <f>'HPS DAILY'!V69+'HPS DAILY (repro+)'!$G$69</f>
        <v>20.170999999999999</v>
      </c>
      <c r="V69" s="3">
        <f>'HPS DAILY'!W69+'HPS DAILY (repro+)'!$G$69</f>
        <v>20.403000000000002</v>
      </c>
      <c r="W69" s="3">
        <f>'HPS DAILY'!X69+'HPS DAILY (repro+)'!$G$69</f>
        <v>2.2799999999999998</v>
      </c>
      <c r="X69" s="3">
        <f>'HPS DAILY'!Y69+'HPS DAILY (repro+)'!$G$69</f>
        <v>2.2799999999999998</v>
      </c>
      <c r="Y69" s="3">
        <f>'HPS DAILY'!Z69+'HPS DAILY (repro+)'!$G$69</f>
        <v>2.2799999999999998</v>
      </c>
      <c r="Z69" s="3">
        <f>'HPS DAILY'!AA69+'HPS DAILY (repro+)'!$G$69</f>
        <v>2.2799999999999998</v>
      </c>
      <c r="AA69" s="3">
        <f>'HPS DAILY'!AB69+'HPS DAILY (repro+)'!$G$69</f>
        <v>2.2799999999999998</v>
      </c>
      <c r="AB69" s="3">
        <f>'HPS DAILY'!AC69+'HPS DAILY (repro+)'!$G$69</f>
        <v>2.2799999999999998</v>
      </c>
      <c r="AC69" s="3">
        <f>'HPS DAILY'!AD69+'HPS DAILY (repro+)'!$G$69</f>
        <v>2.2799999999999998</v>
      </c>
      <c r="AD69" s="3">
        <f>'HPS DAILY'!AE69+'HPS DAILY (repro+)'!$G$69</f>
        <v>2.2799999999999998</v>
      </c>
      <c r="AE69" s="3">
        <f>'HPS DAILY'!AF69+'HPS DAILY (repro+)'!$G$69</f>
        <v>2.2799999999999998</v>
      </c>
      <c r="AF69" s="3">
        <f>'HPS DAILY'!AG69+'HPS DAILY (repro+)'!$G$69</f>
        <v>2.2799999999999998</v>
      </c>
      <c r="AG69" s="3">
        <f>'HPS DAILY'!AH69+'HPS DAILY (repro+)'!$G$69</f>
        <v>2.2799999999999998</v>
      </c>
      <c r="AH69" s="3">
        <f>'HPS DAILY'!AI69+'HPS DAILY (repro+)'!$G$69</f>
        <v>2.2799999999999998</v>
      </c>
      <c r="AI69" s="3">
        <f>'HPS DAILY'!AJ69+'HPS DAILY (repro+)'!$G$69</f>
        <v>2.2799999999999998</v>
      </c>
      <c r="AJ69" s="3">
        <f>'HPS DAILY'!AK69+'HPS DAILY (repro+)'!$G$69</f>
        <v>2.2799999999999998</v>
      </c>
      <c r="AK69" s="3">
        <f>'HPS DAILY'!AL69+'HPS DAILY (repro+)'!$G$69</f>
        <v>2.2799999999999998</v>
      </c>
    </row>
    <row r="70" spans="4:37" ht="19.5" customHeight="1" x14ac:dyDescent="0.35">
      <c r="D70" s="97" t="s">
        <v>105</v>
      </c>
      <c r="E70" s="2693"/>
      <c r="F70" s="2696"/>
      <c r="G70" s="98">
        <v>2.58</v>
      </c>
      <c r="H70" s="964"/>
      <c r="I70" s="964"/>
      <c r="J70" s="3">
        <f>'HPS DAILY'!K70+'HPS DAILY (repro+)'!$G$70</f>
        <v>25.186</v>
      </c>
      <c r="K70" s="3">
        <f>'HPS DAILY'!L70+'HPS DAILY (repro+)'!$G$70</f>
        <v>22.835499999999996</v>
      </c>
      <c r="L70" s="3">
        <f>'HPS DAILY'!M70+'HPS DAILY (repro+)'!$G$70</f>
        <v>21.667666666666669</v>
      </c>
      <c r="M70" s="3">
        <f>'HPS DAILY'!N70+'HPS DAILY (repro+)'!$G$70</f>
        <v>21.984000000000002</v>
      </c>
      <c r="N70" s="3">
        <f>'HPS DAILY'!O70+'HPS DAILY (repro+)'!$G$70</f>
        <v>32.805</v>
      </c>
      <c r="O70" s="3">
        <f>'HPS DAILY'!P70+'HPS DAILY (repro+)'!$G$70</f>
        <v>34.418999999999997</v>
      </c>
      <c r="P70" s="3">
        <f>'HPS DAILY'!Q70+'HPS DAILY (repro+)'!$G$70</f>
        <v>33.997999999999998</v>
      </c>
      <c r="Q70" s="3">
        <f>'HPS DAILY'!R70+'HPS DAILY (repro+)'!$G$70</f>
        <v>33.481000000000002</v>
      </c>
      <c r="R70" s="3">
        <f>'HPS DAILY'!S70+'HPS DAILY (repro+)'!$G$70</f>
        <v>33.0105</v>
      </c>
      <c r="S70" s="3">
        <f>'HPS DAILY'!T70+'HPS DAILY (repro+)'!$G$70</f>
        <v>32.939</v>
      </c>
      <c r="T70" s="3">
        <f>'HPS DAILY'!U70+'HPS DAILY (repro+)'!$G$70</f>
        <v>33.456000000000003</v>
      </c>
      <c r="U70" s="3">
        <f>'HPS DAILY'!V70+'HPS DAILY (repro+)'!$G$70</f>
        <v>33.414999999999999</v>
      </c>
      <c r="V70" s="3">
        <f>'HPS DAILY'!W70+'HPS DAILY (repro+)'!$G$70</f>
        <v>33.862000000000002</v>
      </c>
      <c r="W70" s="3">
        <f>'HPS DAILY'!X70+'HPS DAILY (repro+)'!$G$70</f>
        <v>2.58</v>
      </c>
      <c r="X70" s="3">
        <f>'HPS DAILY'!Y70+'HPS DAILY (repro+)'!$G$70</f>
        <v>2.58</v>
      </c>
      <c r="Y70" s="3">
        <f>'HPS DAILY'!Z70+'HPS DAILY (repro+)'!$G$70</f>
        <v>2.58</v>
      </c>
      <c r="Z70" s="3">
        <f>'HPS DAILY'!AA70+'HPS DAILY (repro+)'!$G$70</f>
        <v>2.58</v>
      </c>
      <c r="AA70" s="3">
        <f>'HPS DAILY'!AB70+'HPS DAILY (repro+)'!$G$70</f>
        <v>2.58</v>
      </c>
      <c r="AB70" s="3">
        <f>'HPS DAILY'!AC70+'HPS DAILY (repro+)'!$G$70</f>
        <v>2.58</v>
      </c>
      <c r="AC70" s="3">
        <f>'HPS DAILY'!AD70+'HPS DAILY (repro+)'!$G$70</f>
        <v>2.58</v>
      </c>
      <c r="AD70" s="3">
        <f>'HPS DAILY'!AE70+'HPS DAILY (repro+)'!$G$70</f>
        <v>2.58</v>
      </c>
      <c r="AE70" s="3">
        <f>'HPS DAILY'!AF70+'HPS DAILY (repro+)'!$G$70</f>
        <v>2.58</v>
      </c>
      <c r="AF70" s="3">
        <f>'HPS DAILY'!AG70+'HPS DAILY (repro+)'!$G$70</f>
        <v>2.58</v>
      </c>
      <c r="AG70" s="3">
        <f>'HPS DAILY'!AH70+'HPS DAILY (repro+)'!$G$70</f>
        <v>2.58</v>
      </c>
      <c r="AH70" s="3">
        <f>'HPS DAILY'!AI70+'HPS DAILY (repro+)'!$G$70</f>
        <v>2.58</v>
      </c>
      <c r="AI70" s="3">
        <f>'HPS DAILY'!AJ70+'HPS DAILY (repro+)'!$G$70</f>
        <v>2.58</v>
      </c>
      <c r="AJ70" s="3">
        <f>'HPS DAILY'!AK70+'HPS DAILY (repro+)'!$G$70</f>
        <v>2.58</v>
      </c>
      <c r="AK70" s="3">
        <f>'HPS DAILY'!AL70+'HPS DAILY (repro+)'!$G$70</f>
        <v>2.58</v>
      </c>
    </row>
    <row r="71" spans="4:37" ht="19.5" customHeight="1" x14ac:dyDescent="0.35">
      <c r="D71" s="97" t="s">
        <v>100</v>
      </c>
      <c r="E71" s="2693"/>
      <c r="F71" s="2696"/>
      <c r="G71" s="98">
        <v>2.58</v>
      </c>
      <c r="H71" s="964"/>
      <c r="I71" s="964"/>
      <c r="J71" s="3">
        <f>'HPS DAILY'!K71+'HPS DAILY (repro+)'!$G$71</f>
        <v>16.476500000000001</v>
      </c>
      <c r="K71" s="3">
        <f>'HPS DAILY'!L71+'HPS DAILY (repro+)'!$G$71</f>
        <v>16.148499999999999</v>
      </c>
      <c r="L71" s="3">
        <f>'HPS DAILY'!M71+'HPS DAILY (repro+)'!$G$71</f>
        <v>16.658666666666669</v>
      </c>
      <c r="M71" s="3">
        <f>'HPS DAILY'!N71+'HPS DAILY (repro+)'!$G$71</f>
        <v>17.530999999999999</v>
      </c>
      <c r="N71" s="3">
        <f>'HPS DAILY'!O71+'HPS DAILY (repro+)'!$G$71</f>
        <v>16.044</v>
      </c>
      <c r="O71" s="3">
        <f>'HPS DAILY'!P71+'HPS DAILY (repro+)'!$G$71</f>
        <v>16.627299999999998</v>
      </c>
      <c r="P71" s="3">
        <f>'HPS DAILY'!Q71+'HPS DAILY (repro+)'!$G$71</f>
        <v>16.7</v>
      </c>
      <c r="Q71" s="3">
        <f>'HPS DAILY'!R71+'HPS DAILY (repro+)'!$G$71</f>
        <v>16.561</v>
      </c>
      <c r="R71" s="3">
        <f>'HPS DAILY'!S71+'HPS DAILY (repro+)'!$G$71</f>
        <v>16.393000000000001</v>
      </c>
      <c r="S71" s="3">
        <f>'HPS DAILY'!T71+'HPS DAILY (repro+)'!$G$71</f>
        <v>16.334</v>
      </c>
      <c r="T71" s="3">
        <f>'HPS DAILY'!U71+'HPS DAILY (repro+)'!$G$71</f>
        <v>16.682000000000002</v>
      </c>
      <c r="U71" s="3">
        <f>'HPS DAILY'!V71+'HPS DAILY (repro+)'!$G$71</f>
        <v>16.533000000000001</v>
      </c>
      <c r="V71" s="3">
        <f>'HPS DAILY'!W71+'HPS DAILY (repro+)'!$G$71</f>
        <v>16.521000000000001</v>
      </c>
      <c r="W71" s="3">
        <f>'HPS DAILY'!X71+'HPS DAILY (repro+)'!$G$71</f>
        <v>2.58</v>
      </c>
      <c r="X71" s="3">
        <f>'HPS DAILY'!Y71+'HPS DAILY (repro+)'!$G$71</f>
        <v>2.58</v>
      </c>
      <c r="Y71" s="3">
        <f>'HPS DAILY'!Z71+'HPS DAILY (repro+)'!$G$71</f>
        <v>2.58</v>
      </c>
      <c r="Z71" s="3">
        <f>'HPS DAILY'!AA71+'HPS DAILY (repro+)'!$G$71</f>
        <v>2.58</v>
      </c>
      <c r="AA71" s="3">
        <f>'HPS DAILY'!AB71+'HPS DAILY (repro+)'!$G$71</f>
        <v>2.58</v>
      </c>
      <c r="AB71" s="3">
        <f>'HPS DAILY'!AC71+'HPS DAILY (repro+)'!$G$71</f>
        <v>2.58</v>
      </c>
      <c r="AC71" s="3">
        <f>'HPS DAILY'!AD71+'HPS DAILY (repro+)'!$G$71</f>
        <v>2.58</v>
      </c>
      <c r="AD71" s="3">
        <f>'HPS DAILY'!AE71+'HPS DAILY (repro+)'!$G$71</f>
        <v>2.58</v>
      </c>
      <c r="AE71" s="3">
        <f>'HPS DAILY'!AF71+'HPS DAILY (repro+)'!$G$71</f>
        <v>2.58</v>
      </c>
      <c r="AF71" s="3">
        <f>'HPS DAILY'!AG71+'HPS DAILY (repro+)'!$G$71</f>
        <v>2.58</v>
      </c>
      <c r="AG71" s="3">
        <f>'HPS DAILY'!AH71+'HPS DAILY (repro+)'!$G$71</f>
        <v>2.58</v>
      </c>
      <c r="AH71" s="3">
        <f>'HPS DAILY'!AI71+'HPS DAILY (repro+)'!$G$71</f>
        <v>2.58</v>
      </c>
      <c r="AI71" s="3">
        <f>'HPS DAILY'!AJ71+'HPS DAILY (repro+)'!$G$71</f>
        <v>2.58</v>
      </c>
      <c r="AJ71" s="3">
        <f>'HPS DAILY'!AK71+'HPS DAILY (repro+)'!$G$71</f>
        <v>2.58</v>
      </c>
      <c r="AK71" s="3">
        <f>'HPS DAILY'!AL71+'HPS DAILY (repro+)'!$G$71</f>
        <v>2.58</v>
      </c>
    </row>
    <row r="72" spans="4:37" ht="19.5" customHeight="1" x14ac:dyDescent="0.35">
      <c r="D72" s="97" t="s">
        <v>160</v>
      </c>
      <c r="E72" s="2694"/>
      <c r="F72" s="2697"/>
      <c r="G72" s="98">
        <v>3.03</v>
      </c>
      <c r="H72" s="964"/>
      <c r="I72" s="964"/>
      <c r="J72" s="3">
        <f>'HPS DAILY'!K72+'HPS DAILY (repro+)'!$G$72</f>
        <v>56.285499999999999</v>
      </c>
      <c r="K72" s="3">
        <f>'HPS DAILY'!L72+'HPS DAILY (repro+)'!$G$72</f>
        <v>59.546500000000002</v>
      </c>
      <c r="L72" s="3">
        <f>'HPS DAILY'!M72+'HPS DAILY (repro+)'!$G$72</f>
        <v>60.089666666666666</v>
      </c>
      <c r="M72" s="3">
        <f>'HPS DAILY'!N72+'HPS DAILY (repro+)'!$G$72</f>
        <v>57.954000000000001</v>
      </c>
      <c r="N72" s="3">
        <f>'HPS DAILY'!O72+'HPS DAILY (repro+)'!$G$72</f>
        <v>31.388999999999996</v>
      </c>
      <c r="O72" s="3">
        <f>'HPS DAILY'!P72+'HPS DAILY (repro+)'!$G$72</f>
        <v>27.932700000000011</v>
      </c>
      <c r="P72" s="3">
        <f>'HPS DAILY'!Q72+'HPS DAILY (repro+)'!$G$72</f>
        <v>29.117999999999995</v>
      </c>
      <c r="Q72" s="3">
        <f>'HPS DAILY'!R72+'HPS DAILY (repro+)'!$G$72</f>
        <v>30.694000000000003</v>
      </c>
      <c r="R72" s="3">
        <f>'HPS DAILY'!S72+'HPS DAILY (repro+)'!$G$72</f>
        <v>32.585000000000001</v>
      </c>
      <c r="S72" s="3">
        <f>'HPS DAILY'!T72+'HPS DAILY (repro+)'!$G$72</f>
        <v>32.146000000000001</v>
      </c>
      <c r="T72" s="3">
        <f>'HPS DAILY'!U72+'HPS DAILY (repro+)'!$G$72</f>
        <v>31.49499999999999</v>
      </c>
      <c r="U72" s="3">
        <f>'HPS DAILY'!V72+'HPS DAILY (repro+)'!$G$72</f>
        <v>31.695000000000007</v>
      </c>
      <c r="V72" s="3">
        <f>'HPS DAILY'!W72+'HPS DAILY (repro+)'!$G$72</f>
        <v>30.911000000000001</v>
      </c>
      <c r="W72" s="3">
        <f>'HPS DAILY'!X72+'HPS DAILY (repro+)'!$G$72</f>
        <v>103.03</v>
      </c>
      <c r="X72" s="3">
        <f>'HPS DAILY'!Y72+'HPS DAILY (repro+)'!$G$72</f>
        <v>103.03</v>
      </c>
      <c r="Y72" s="3">
        <f>'HPS DAILY'!Z72+'HPS DAILY (repro+)'!$G$72</f>
        <v>103.03</v>
      </c>
      <c r="Z72" s="3">
        <f>'HPS DAILY'!AA72+'HPS DAILY (repro+)'!$G$72</f>
        <v>103.03</v>
      </c>
      <c r="AA72" s="3">
        <f>'HPS DAILY'!AB72+'HPS DAILY (repro+)'!$G$72</f>
        <v>103.03</v>
      </c>
      <c r="AB72" s="3">
        <f>'HPS DAILY'!AC72+'HPS DAILY (repro+)'!$G$72</f>
        <v>103.03</v>
      </c>
      <c r="AC72" s="3">
        <f>'HPS DAILY'!AD72+'HPS DAILY (repro+)'!$G$72</f>
        <v>103.03</v>
      </c>
      <c r="AD72" s="3">
        <f>'HPS DAILY'!AE72+'HPS DAILY (repro+)'!$G$72</f>
        <v>103.03</v>
      </c>
      <c r="AE72" s="3">
        <f>'HPS DAILY'!AF72+'HPS DAILY (repro+)'!$G$72</f>
        <v>103.03</v>
      </c>
      <c r="AF72" s="3">
        <f>'HPS DAILY'!AG72+'HPS DAILY (repro+)'!$G$72</f>
        <v>103.03</v>
      </c>
      <c r="AG72" s="3">
        <f>'HPS DAILY'!AH72+'HPS DAILY (repro+)'!$G$72</f>
        <v>103.03</v>
      </c>
      <c r="AH72" s="3">
        <f>'HPS DAILY'!AI72+'HPS DAILY (repro+)'!$G$72</f>
        <v>103.03</v>
      </c>
      <c r="AI72" s="3">
        <f>'HPS DAILY'!AJ72+'HPS DAILY (repro+)'!$G$72</f>
        <v>103.03</v>
      </c>
      <c r="AJ72" s="3">
        <f>'HPS DAILY'!AK72+'HPS DAILY (repro+)'!$G$72</f>
        <v>103.03</v>
      </c>
      <c r="AK72" s="3">
        <f>'HPS DAILY'!AL72+'HPS DAILY (repro+)'!$G$72</f>
        <v>103.03</v>
      </c>
    </row>
    <row r="73" spans="4:37" ht="19.5" customHeight="1" thickBot="1" x14ac:dyDescent="0.4">
      <c r="D73" s="100" t="s">
        <v>161</v>
      </c>
      <c r="E73" s="93"/>
      <c r="F73" s="94"/>
      <c r="G73" s="101"/>
      <c r="H73" s="964"/>
      <c r="I73" s="964"/>
      <c r="J73" s="101">
        <f t="shared" ref="J73:Z73" si="24">SUM(J66:J72)</f>
        <v>116</v>
      </c>
      <c r="K73" s="101">
        <f t="shared" si="24"/>
        <v>116</v>
      </c>
      <c r="L73" s="101">
        <f t="shared" si="24"/>
        <v>116</v>
      </c>
      <c r="M73" s="101">
        <f t="shared" si="24"/>
        <v>116</v>
      </c>
      <c r="N73" s="101">
        <f t="shared" si="24"/>
        <v>116</v>
      </c>
      <c r="O73" s="101">
        <f t="shared" si="24"/>
        <v>116</v>
      </c>
      <c r="P73" s="101">
        <f t="shared" si="24"/>
        <v>115.99999999999999</v>
      </c>
      <c r="Q73" s="101">
        <f t="shared" si="24"/>
        <v>116.00000000000001</v>
      </c>
      <c r="R73" s="101">
        <f t="shared" si="24"/>
        <v>116</v>
      </c>
      <c r="S73" s="101">
        <f t="shared" si="24"/>
        <v>116.00000000000001</v>
      </c>
      <c r="T73" s="101">
        <f t="shared" si="24"/>
        <v>116</v>
      </c>
      <c r="U73" s="101">
        <f t="shared" si="24"/>
        <v>116</v>
      </c>
      <c r="V73" s="101">
        <f t="shared" si="24"/>
        <v>116.00000000000001</v>
      </c>
      <c r="W73" s="101">
        <f t="shared" si="24"/>
        <v>116</v>
      </c>
      <c r="X73" s="101">
        <f t="shared" si="24"/>
        <v>116</v>
      </c>
      <c r="Y73" s="586">
        <f t="shared" si="24"/>
        <v>116</v>
      </c>
      <c r="Z73" s="101">
        <f t="shared" si="24"/>
        <v>116</v>
      </c>
      <c r="AA73" s="101">
        <f t="shared" ref="AA73:AH73" si="25">SUM(AA66:AA72)</f>
        <v>116</v>
      </c>
      <c r="AB73" s="101">
        <f t="shared" si="25"/>
        <v>116</v>
      </c>
      <c r="AC73" s="101">
        <f t="shared" si="25"/>
        <v>116</v>
      </c>
      <c r="AD73" s="101">
        <f t="shared" si="25"/>
        <v>116</v>
      </c>
      <c r="AE73" s="101">
        <f t="shared" si="25"/>
        <v>116</v>
      </c>
      <c r="AF73" s="101">
        <f t="shared" si="25"/>
        <v>116</v>
      </c>
      <c r="AG73" s="101">
        <f t="shared" si="25"/>
        <v>116</v>
      </c>
      <c r="AH73" s="101">
        <f t="shared" si="25"/>
        <v>116</v>
      </c>
      <c r="AI73" s="101">
        <f t="shared" ref="AI73:AK73" si="26">SUM(AI66:AI72)</f>
        <v>116</v>
      </c>
      <c r="AJ73" s="101">
        <f t="shared" si="26"/>
        <v>116</v>
      </c>
      <c r="AK73" s="101">
        <f t="shared" si="26"/>
        <v>116</v>
      </c>
    </row>
    <row r="74" spans="4:37" ht="18.75" customHeight="1" x14ac:dyDescent="0.35">
      <c r="D74" s="75" t="s">
        <v>62</v>
      </c>
      <c r="E74" s="2684" t="s">
        <v>63</v>
      </c>
      <c r="F74" s="2698" t="s">
        <v>55</v>
      </c>
      <c r="G74" s="47"/>
      <c r="H74" s="952"/>
      <c r="I74" s="952"/>
      <c r="J74" s="47"/>
      <c r="K74" s="55"/>
      <c r="L74" s="55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195"/>
      <c r="Y74" s="590"/>
      <c r="Z74" s="172"/>
      <c r="AA74" s="172"/>
      <c r="AB74" s="172"/>
      <c r="AC74" s="172"/>
      <c r="AD74" s="172"/>
      <c r="AE74" s="172"/>
      <c r="AF74" s="172"/>
      <c r="AG74" s="172"/>
      <c r="AH74" s="172"/>
      <c r="AI74" s="172"/>
      <c r="AJ74" s="172"/>
      <c r="AK74" s="172"/>
    </row>
    <row r="75" spans="4:37" ht="18.75" customHeight="1" x14ac:dyDescent="0.35">
      <c r="D75" s="44" t="s">
        <v>64</v>
      </c>
      <c r="E75" s="2684"/>
      <c r="F75" s="2698"/>
      <c r="G75" s="952"/>
      <c r="H75" s="960"/>
      <c r="I75" s="952"/>
      <c r="J75" s="60">
        <v>13.8</v>
      </c>
      <c r="K75" s="87">
        <v>11.4</v>
      </c>
      <c r="L75" s="87">
        <v>12.4</v>
      </c>
      <c r="M75" s="88"/>
      <c r="N75" s="88">
        <v>16.7</v>
      </c>
      <c r="O75" s="88">
        <v>13.2</v>
      </c>
      <c r="P75" s="88">
        <v>14</v>
      </c>
      <c r="Q75" s="88">
        <v>17.899999999999999</v>
      </c>
      <c r="R75" s="88">
        <v>13.4</v>
      </c>
      <c r="S75" s="88">
        <v>13</v>
      </c>
      <c r="T75" s="88">
        <v>15.8</v>
      </c>
      <c r="U75" s="88">
        <v>18.3</v>
      </c>
      <c r="V75" s="88">
        <v>16.899999999999999</v>
      </c>
      <c r="W75" s="88">
        <v>19.399999999999999</v>
      </c>
      <c r="X75" s="59">
        <v>18.8</v>
      </c>
      <c r="Y75" s="577">
        <v>18.600000000000001</v>
      </c>
      <c r="Z75" s="39">
        <v>19.5</v>
      </c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</row>
    <row r="76" spans="4:37" ht="18.75" customHeight="1" x14ac:dyDescent="0.35">
      <c r="D76" s="44" t="s">
        <v>65</v>
      </c>
      <c r="E76" s="2684"/>
      <c r="F76" s="2698"/>
      <c r="G76" s="952"/>
      <c r="H76" s="960"/>
      <c r="I76" s="952"/>
      <c r="J76" s="60">
        <v>68</v>
      </c>
      <c r="K76" s="87">
        <v>51</v>
      </c>
      <c r="L76" s="87">
        <v>53.4</v>
      </c>
      <c r="M76" s="88"/>
      <c r="N76" s="88">
        <v>66.5</v>
      </c>
      <c r="O76" s="88">
        <v>60.7</v>
      </c>
      <c r="P76" s="88">
        <v>56.6</v>
      </c>
      <c r="Q76" s="88">
        <v>56.1</v>
      </c>
      <c r="R76" s="88">
        <v>51.5</v>
      </c>
      <c r="S76" s="88">
        <v>54.1</v>
      </c>
      <c r="T76" s="88">
        <v>59.1</v>
      </c>
      <c r="U76" s="88">
        <v>52</v>
      </c>
      <c r="V76" s="88">
        <v>52.7</v>
      </c>
      <c r="W76" s="88">
        <v>53.1</v>
      </c>
      <c r="X76" s="59">
        <v>58.9</v>
      </c>
      <c r="Y76" s="577">
        <v>51.6</v>
      </c>
      <c r="Z76" s="39">
        <v>52.9</v>
      </c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</row>
    <row r="77" spans="4:37" ht="18.75" customHeight="1" x14ac:dyDescent="0.35">
      <c r="D77" s="44" t="s">
        <v>66</v>
      </c>
      <c r="E77" s="2684"/>
      <c r="F77" s="2698"/>
      <c r="G77" s="952"/>
      <c r="H77" s="960"/>
      <c r="I77" s="952"/>
      <c r="J77" s="60">
        <v>4.9000000000000004</v>
      </c>
      <c r="K77" s="85">
        <v>6.5</v>
      </c>
      <c r="L77" s="87">
        <v>5</v>
      </c>
      <c r="M77" s="86"/>
      <c r="N77" s="86">
        <v>6.4</v>
      </c>
      <c r="O77" s="86">
        <v>9.6</v>
      </c>
      <c r="P77" s="86">
        <v>10.7</v>
      </c>
      <c r="Q77" s="86">
        <v>8.3000000000000007</v>
      </c>
      <c r="R77" s="86">
        <v>11.5</v>
      </c>
      <c r="S77" s="86">
        <v>13.9</v>
      </c>
      <c r="T77" s="86">
        <v>10.3</v>
      </c>
      <c r="U77" s="86">
        <v>13.6</v>
      </c>
      <c r="V77" s="86">
        <v>10.1</v>
      </c>
      <c r="W77" s="86">
        <v>8.6999999999999993</v>
      </c>
      <c r="X77" s="203">
        <v>6.9</v>
      </c>
      <c r="Y77" s="577">
        <v>8.9</v>
      </c>
      <c r="Z77" s="39">
        <v>7.7</v>
      </c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</row>
    <row r="78" spans="4:37" ht="18.75" customHeight="1" x14ac:dyDescent="0.35">
      <c r="D78" s="44" t="s">
        <v>67</v>
      </c>
      <c r="E78" s="2684"/>
      <c r="F78" s="2698"/>
      <c r="G78" s="952"/>
      <c r="H78" s="960"/>
      <c r="I78" s="952"/>
      <c r="J78" s="60">
        <v>13.3</v>
      </c>
      <c r="K78" s="87">
        <v>31.1</v>
      </c>
      <c r="L78" s="87">
        <v>29.2</v>
      </c>
      <c r="M78" s="88"/>
      <c r="N78" s="88">
        <v>10.5</v>
      </c>
      <c r="O78" s="88">
        <v>16.600000000000001</v>
      </c>
      <c r="P78" s="88">
        <v>18.7</v>
      </c>
      <c r="Q78" s="88">
        <v>17.7</v>
      </c>
      <c r="R78" s="88">
        <v>23.6</v>
      </c>
      <c r="S78" s="88">
        <v>19</v>
      </c>
      <c r="T78" s="88">
        <v>14.8</v>
      </c>
      <c r="U78" s="88">
        <v>16.100000000000001</v>
      </c>
      <c r="V78" s="88">
        <v>20.3</v>
      </c>
      <c r="W78" s="88">
        <v>18.8</v>
      </c>
      <c r="X78" s="59">
        <v>15.4</v>
      </c>
      <c r="Y78" s="577">
        <v>20.9</v>
      </c>
      <c r="Z78" s="39">
        <v>19.899999999999999</v>
      </c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</row>
    <row r="79" spans="4:37" ht="18.75" customHeight="1" x14ac:dyDescent="0.35">
      <c r="D79" s="475" t="s">
        <v>320</v>
      </c>
      <c r="E79" s="158"/>
      <c r="F79" s="159"/>
      <c r="G79" s="965"/>
      <c r="H79" s="965"/>
      <c r="I79" s="965"/>
      <c r="J79" s="77">
        <f t="shared" ref="J79:Z79" si="27">(J78+J75)/(J76+J77)</f>
        <v>0.37174211248285322</v>
      </c>
      <c r="K79" s="77">
        <f t="shared" si="27"/>
        <v>0.73913043478260865</v>
      </c>
      <c r="L79" s="77">
        <f t="shared" si="27"/>
        <v>0.71232876712328774</v>
      </c>
      <c r="M79" s="77" t="e">
        <f t="shared" si="27"/>
        <v>#DIV/0!</v>
      </c>
      <c r="N79" s="77">
        <f t="shared" si="27"/>
        <v>0.37311385459533603</v>
      </c>
      <c r="O79" s="77">
        <f t="shared" si="27"/>
        <v>0.42389758179231868</v>
      </c>
      <c r="P79" s="77">
        <f t="shared" si="27"/>
        <v>0.48588410104011892</v>
      </c>
      <c r="Q79" s="77">
        <f t="shared" si="27"/>
        <v>0.55279503105590044</v>
      </c>
      <c r="R79" s="77">
        <f t="shared" si="27"/>
        <v>0.58730158730158732</v>
      </c>
      <c r="S79" s="77">
        <f t="shared" si="27"/>
        <v>0.47058823529411764</v>
      </c>
      <c r="T79" s="77">
        <f t="shared" si="27"/>
        <v>0.44092219020172907</v>
      </c>
      <c r="U79" s="77">
        <f t="shared" si="27"/>
        <v>0.52439024390243916</v>
      </c>
      <c r="V79" s="77">
        <f t="shared" si="27"/>
        <v>0.59235668789808915</v>
      </c>
      <c r="W79" s="77">
        <f t="shared" si="27"/>
        <v>0.61812297734627841</v>
      </c>
      <c r="X79" s="77">
        <f t="shared" si="27"/>
        <v>0.51975683890577518</v>
      </c>
      <c r="Y79" s="587">
        <f t="shared" si="27"/>
        <v>0.65289256198347112</v>
      </c>
      <c r="Z79" s="77">
        <f t="shared" si="27"/>
        <v>0.65016501650165015</v>
      </c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</row>
    <row r="80" spans="4:37" ht="18.75" customHeight="1" x14ac:dyDescent="0.35">
      <c r="D80" s="75" t="s">
        <v>68</v>
      </c>
      <c r="E80" s="2699" t="s">
        <v>69</v>
      </c>
      <c r="F80" s="2700" t="s">
        <v>17</v>
      </c>
      <c r="G80" s="47"/>
      <c r="H80" s="952"/>
      <c r="I80" s="952"/>
      <c r="J80" s="47"/>
      <c r="K80" s="55"/>
      <c r="L80" s="55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195"/>
      <c r="Y80" s="590"/>
      <c r="Z80" s="172"/>
      <c r="AA80" s="172"/>
      <c r="AB80" s="172"/>
      <c r="AC80" s="172"/>
      <c r="AD80" s="172"/>
      <c r="AE80" s="172"/>
      <c r="AF80" s="172"/>
      <c r="AG80" s="172"/>
      <c r="AH80" s="172"/>
      <c r="AI80" s="172"/>
      <c r="AJ80" s="172"/>
      <c r="AK80" s="172"/>
    </row>
    <row r="81" spans="4:37" ht="18.75" customHeight="1" x14ac:dyDescent="0.35">
      <c r="D81" s="44" t="s">
        <v>70</v>
      </c>
      <c r="E81" s="2678"/>
      <c r="F81" s="2701"/>
      <c r="G81" s="952"/>
      <c r="H81" s="960"/>
      <c r="I81" s="952"/>
      <c r="J81" s="47"/>
      <c r="K81" s="55"/>
      <c r="L81" s="55"/>
      <c r="M81" s="56"/>
      <c r="N81" s="88">
        <v>0.2467</v>
      </c>
      <c r="O81" s="88">
        <v>0.216</v>
      </c>
      <c r="P81" s="88">
        <v>0.31659999999999999</v>
      </c>
      <c r="Q81" s="88">
        <v>0.2442</v>
      </c>
      <c r="R81" s="88">
        <v>0.22320000000000001</v>
      </c>
      <c r="S81" s="88">
        <v>0.24149999999999999</v>
      </c>
      <c r="T81" s="88">
        <v>0.22919999999999999</v>
      </c>
      <c r="U81" s="88">
        <v>0.1784</v>
      </c>
      <c r="V81" s="56"/>
      <c r="W81" s="56"/>
      <c r="X81" s="195"/>
      <c r="Y81" s="591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</row>
    <row r="82" spans="4:37" ht="18.75" customHeight="1" x14ac:dyDescent="0.35">
      <c r="D82" s="44" t="s">
        <v>71</v>
      </c>
      <c r="E82" s="2678"/>
      <c r="F82" s="2701"/>
      <c r="G82" s="952"/>
      <c r="H82" s="960"/>
      <c r="I82" s="952"/>
      <c r="J82" s="47"/>
      <c r="K82" s="55"/>
      <c r="L82" s="55"/>
      <c r="M82" s="56"/>
      <c r="N82" s="88">
        <v>0.9375</v>
      </c>
      <c r="O82" s="88">
        <v>0.99419999999999997</v>
      </c>
      <c r="P82" s="88">
        <v>0.80189999999999995</v>
      </c>
      <c r="Q82" s="88">
        <v>0.91239999999999999</v>
      </c>
      <c r="R82" s="88">
        <v>0.98360000000000003</v>
      </c>
      <c r="S82" s="88">
        <v>0.95920000000000005</v>
      </c>
      <c r="T82" s="88">
        <v>0.8468</v>
      </c>
      <c r="U82" s="88">
        <v>0.93030000000000002</v>
      </c>
      <c r="V82" s="56"/>
      <c r="W82" s="56"/>
      <c r="X82" s="195"/>
      <c r="Y82" s="591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</row>
    <row r="83" spans="4:37" ht="18.75" customHeight="1" x14ac:dyDescent="0.35">
      <c r="D83" s="44" t="s">
        <v>72</v>
      </c>
      <c r="E83" s="2678"/>
      <c r="F83" s="2701"/>
      <c r="G83" s="952"/>
      <c r="H83" s="960"/>
      <c r="I83" s="952"/>
      <c r="J83" s="47"/>
      <c r="K83" s="55"/>
      <c r="L83" s="55"/>
      <c r="M83" s="56"/>
      <c r="N83" s="88">
        <v>1.24</v>
      </c>
      <c r="O83" s="88">
        <v>1.27</v>
      </c>
      <c r="P83" s="88">
        <v>1.17</v>
      </c>
      <c r="Q83" s="88">
        <v>1.21</v>
      </c>
      <c r="R83" s="88">
        <v>1.27</v>
      </c>
      <c r="S83" s="88">
        <v>1.26</v>
      </c>
      <c r="T83" s="88">
        <v>1.1000000000000001</v>
      </c>
      <c r="U83" s="88">
        <v>1.1299999999999999</v>
      </c>
      <c r="V83" s="56"/>
      <c r="W83" s="56"/>
      <c r="X83" s="195"/>
      <c r="Y83" s="591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</row>
    <row r="84" spans="4:37" ht="18.75" customHeight="1" x14ac:dyDescent="0.35">
      <c r="D84" s="44" t="s">
        <v>73</v>
      </c>
      <c r="E84" s="2678"/>
      <c r="F84" s="2701"/>
      <c r="G84" s="952"/>
      <c r="H84" s="960"/>
      <c r="I84" s="952"/>
      <c r="J84" s="47"/>
      <c r="K84" s="55"/>
      <c r="L84" s="55"/>
      <c r="M84" s="56"/>
      <c r="N84" s="88">
        <v>0.75329999999999997</v>
      </c>
      <c r="O84" s="88">
        <v>0.78400000000000003</v>
      </c>
      <c r="P84" s="88">
        <v>0.68340000000000001</v>
      </c>
      <c r="Q84" s="88">
        <v>0.75580000000000003</v>
      </c>
      <c r="R84" s="88">
        <v>0.77680000000000005</v>
      </c>
      <c r="S84" s="88">
        <v>0.75849999999999995</v>
      </c>
      <c r="T84" s="88">
        <v>0.77080000000000004</v>
      </c>
      <c r="U84" s="88">
        <v>0.8216</v>
      </c>
      <c r="V84" s="56"/>
      <c r="W84" s="56"/>
      <c r="X84" s="195"/>
      <c r="Y84" s="591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</row>
    <row r="85" spans="4:37" ht="18.75" customHeight="1" x14ac:dyDescent="0.35">
      <c r="D85" s="44" t="s">
        <v>74</v>
      </c>
      <c r="E85" s="2678"/>
      <c r="F85" s="2701"/>
      <c r="G85" s="965"/>
      <c r="H85" s="960"/>
      <c r="I85" s="965"/>
      <c r="J85" s="47"/>
      <c r="K85" s="55"/>
      <c r="L85" s="55"/>
      <c r="M85" s="56"/>
      <c r="N85" s="88">
        <v>92</v>
      </c>
      <c r="O85" s="88">
        <v>102</v>
      </c>
      <c r="P85" s="88">
        <v>78</v>
      </c>
      <c r="Q85" s="88">
        <v>91</v>
      </c>
      <c r="R85" s="88">
        <v>94</v>
      </c>
      <c r="S85" s="88">
        <v>94</v>
      </c>
      <c r="T85" s="88">
        <v>80</v>
      </c>
      <c r="U85" s="88">
        <v>93</v>
      </c>
      <c r="V85" s="56"/>
      <c r="W85" s="56"/>
      <c r="X85" s="195"/>
      <c r="Y85" s="591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</row>
    <row r="86" spans="4:37" ht="18.75" customHeight="1" thickBot="1" x14ac:dyDescent="0.4">
      <c r="D86" s="507" t="s">
        <v>75</v>
      </c>
      <c r="E86" s="2678"/>
      <c r="F86" s="2701"/>
      <c r="G86" s="967"/>
      <c r="H86" s="966"/>
      <c r="I86" s="967"/>
      <c r="J86" s="509"/>
      <c r="K86" s="510"/>
      <c r="L86" s="510"/>
      <c r="M86" s="511"/>
      <c r="N86" s="512">
        <v>75</v>
      </c>
      <c r="O86" s="512">
        <v>78</v>
      </c>
      <c r="P86" s="512">
        <v>68</v>
      </c>
      <c r="Q86" s="512">
        <v>76</v>
      </c>
      <c r="R86" s="512">
        <v>78</v>
      </c>
      <c r="S86" s="512">
        <v>76</v>
      </c>
      <c r="T86" s="512">
        <v>77</v>
      </c>
      <c r="U86" s="512">
        <v>82</v>
      </c>
      <c r="V86" s="511"/>
      <c r="W86" s="511"/>
      <c r="X86" s="565"/>
      <c r="Y86" s="593"/>
      <c r="Z86" s="598"/>
      <c r="AA86" s="598"/>
      <c r="AB86" s="598"/>
      <c r="AC86" s="598"/>
      <c r="AD86" s="598"/>
      <c r="AE86" s="598"/>
      <c r="AF86" s="598"/>
      <c r="AG86" s="598"/>
      <c r="AH86" s="598"/>
      <c r="AI86" s="598"/>
      <c r="AJ86" s="598"/>
      <c r="AK86" s="598"/>
    </row>
    <row r="87" spans="4:37" ht="19.5" customHeight="1" x14ac:dyDescent="0.35">
      <c r="D87" s="513" t="s">
        <v>76</v>
      </c>
      <c r="E87" s="514" t="s">
        <v>77</v>
      </c>
      <c r="F87" s="515" t="s">
        <v>36</v>
      </c>
      <c r="G87" s="983" t="s">
        <v>878</v>
      </c>
      <c r="H87" s="968"/>
      <c r="I87" s="968"/>
      <c r="J87" s="517">
        <f>'HPS DAILY'!K87+((0.759)*('HPS DAILY'!K87^(2/3)))</f>
        <v>12.554821013158538</v>
      </c>
      <c r="K87" s="517">
        <f>'HPS DAILY'!L87+((0.759)*('HPS DAILY'!L87^(2/3)))</f>
        <v>12.845674802136127</v>
      </c>
      <c r="L87" s="517">
        <f>'HPS DAILY'!M87+((0.759)*('HPS DAILY'!M87^(2/3)))</f>
        <v>14.04585765397383</v>
      </c>
      <c r="M87" s="517">
        <f>'HPS DAILY'!N87+((0.759)*('HPS DAILY'!N87^(2/3)))</f>
        <v>14.289577563721313</v>
      </c>
      <c r="N87" s="517">
        <f>'HPS DAILY'!O87+((0.759)*('HPS DAILY'!O87^(2/3)))</f>
        <v>5.7937630797752009</v>
      </c>
      <c r="O87" s="517">
        <f>'HPS DAILY'!P87+((0.759)*('HPS DAILY'!P87^(2/3)))</f>
        <v>6.2020597539809987</v>
      </c>
      <c r="P87" s="517">
        <f>'HPS DAILY'!Q87+((0.759)*('HPS DAILY'!Q87^(2/3)))</f>
        <v>7.1415391276065661</v>
      </c>
      <c r="Q87" s="517">
        <f>'HPS DAILY'!R87+((0.759)*('HPS DAILY'!R87^(2/3)))</f>
        <v>7.3746981918157433</v>
      </c>
      <c r="R87" s="517">
        <f>'HPS DAILY'!S87+((0.759)*('HPS DAILY'!S87^(2/3)))</f>
        <v>8.0962433199521726</v>
      </c>
      <c r="S87" s="517">
        <f>'HPS DAILY'!T87+((0.759)*('HPS DAILY'!T87^(2/3)))</f>
        <v>8.1347437471450199</v>
      </c>
      <c r="T87" s="517">
        <f>'HPS DAILY'!U87+((0.759)*('HPS DAILY'!U87^(2/3)))</f>
        <v>8.4550118677323756</v>
      </c>
      <c r="U87" s="517">
        <f>'HPS DAILY'!V87+((0.759)*('HPS DAILY'!V87^(2/3)))</f>
        <v>8.2885977456385493</v>
      </c>
      <c r="V87" s="517">
        <f>'HPS DAILY'!W87+((0.759)*('HPS DAILY'!W87^(2/3)))</f>
        <v>8.5956174524600382</v>
      </c>
      <c r="W87" s="517">
        <f>'HPS DAILY'!X87+((0.759)*('HPS DAILY'!X87^(2/3)))</f>
        <v>0</v>
      </c>
      <c r="X87" s="517">
        <f>'HPS DAILY'!Y87+((0.759)*('HPS DAILY'!Y87^(2/3)))</f>
        <v>0</v>
      </c>
      <c r="Y87" s="517">
        <f>'HPS DAILY'!Z87+((0.759)*('HPS DAILY'!Z87^(2/3)))</f>
        <v>0</v>
      </c>
      <c r="Z87" s="517">
        <f>'HPS DAILY'!AA87+((0.759)*('HPS DAILY'!AA87^(2/3)))</f>
        <v>0</v>
      </c>
      <c r="AA87" s="517">
        <f>'HPS DAILY'!AB87+((0.759)*('HPS DAILY'!AB87^(2/3)))</f>
        <v>0</v>
      </c>
      <c r="AB87" s="517">
        <f>'HPS DAILY'!AC87+((0.759)*('HPS DAILY'!AC87^(2/3)))</f>
        <v>0</v>
      </c>
      <c r="AC87" s="517">
        <f>'HPS DAILY'!AD87+((0.759)*('HPS DAILY'!AD87^(2/3)))</f>
        <v>0</v>
      </c>
      <c r="AD87" s="517">
        <f>'HPS DAILY'!AE87+((0.759)*('HPS DAILY'!AE87^(2/3)))</f>
        <v>0</v>
      </c>
      <c r="AE87" s="517">
        <f>'HPS DAILY'!AF87+((0.759)*('HPS DAILY'!AF87^(2/3)))</f>
        <v>0</v>
      </c>
      <c r="AF87" s="517">
        <f>'HPS DAILY'!AG87+((0.759)*('HPS DAILY'!AG87^(2/3)))</f>
        <v>0</v>
      </c>
      <c r="AG87" s="517">
        <f>'HPS DAILY'!AH87+((0.759)*('HPS DAILY'!AH87^(2/3)))</f>
        <v>0</v>
      </c>
      <c r="AH87" s="517">
        <f>'HPS DAILY'!AI87+((0.759)*('HPS DAILY'!AI87^(2/3)))</f>
        <v>0</v>
      </c>
      <c r="AI87" s="517">
        <f>'HPS DAILY'!AJ87+((0.759)*('HPS DAILY'!AJ87^(2/3)))</f>
        <v>0</v>
      </c>
      <c r="AJ87" s="517">
        <f>'HPS DAILY'!AK87+((0.759)*('HPS DAILY'!AK87^(2/3)))</f>
        <v>0</v>
      </c>
      <c r="AK87" s="517">
        <f>'HPS DAILY'!AL87+((0.759)*('HPS DAILY'!AL87^(2/3)))</f>
        <v>0</v>
      </c>
    </row>
    <row r="88" spans="4:37" ht="19.5" customHeight="1" x14ac:dyDescent="0.35">
      <c r="D88" s="44" t="s">
        <v>78</v>
      </c>
      <c r="E88" s="58" t="s">
        <v>79</v>
      </c>
      <c r="F88" s="102" t="s">
        <v>36</v>
      </c>
      <c r="G88" s="48">
        <v>2.78</v>
      </c>
      <c r="H88" s="952"/>
      <c r="I88" s="952"/>
      <c r="J88" s="84">
        <f>'HPS DAILY'!K88+$G88</f>
        <v>6.5619999999999994</v>
      </c>
      <c r="K88" s="84">
        <f>'HPS DAILY'!L88+$G88</f>
        <v>6.9439999999999991</v>
      </c>
      <c r="L88" s="84">
        <f>'HPS DAILY'!M88+$G88</f>
        <v>8.2099999999999991</v>
      </c>
      <c r="M88" s="84">
        <f>'HPS DAILY'!N88+$G88</f>
        <v>8.1519999999999992</v>
      </c>
      <c r="N88" s="84">
        <f>'HPS DAILY'!O88+$G88</f>
        <v>4.1059999999999999</v>
      </c>
      <c r="O88" s="84">
        <f>'HPS DAILY'!P88+$G88</f>
        <v>4.24</v>
      </c>
      <c r="P88" s="84">
        <f>'HPS DAILY'!Q88+$G88</f>
        <v>4.24</v>
      </c>
      <c r="Q88" s="84">
        <f>'HPS DAILY'!R88+$G88</f>
        <v>5.1199999999999992</v>
      </c>
      <c r="R88" s="84">
        <f>'HPS DAILY'!S88+$G88</f>
        <v>5.68</v>
      </c>
      <c r="S88" s="84">
        <f>'HPS DAILY'!T88+$G88</f>
        <v>5.1899999999999995</v>
      </c>
      <c r="T88" s="84">
        <f>'HPS DAILY'!U88+$G88</f>
        <v>5.72</v>
      </c>
      <c r="U88" s="84">
        <f>'HPS DAILY'!V88+$G88</f>
        <v>5.6899999999999995</v>
      </c>
      <c r="V88" s="84">
        <f>'HPS DAILY'!W88+$G88</f>
        <v>5.3</v>
      </c>
      <c r="W88" s="84">
        <f>'HPS DAILY'!X88+$G88</f>
        <v>2.78</v>
      </c>
      <c r="X88" s="84">
        <f>'HPS DAILY'!Y88+$G88</f>
        <v>2.78</v>
      </c>
      <c r="Y88" s="84">
        <f>'HPS DAILY'!Z88+$G88</f>
        <v>2.78</v>
      </c>
      <c r="Z88" s="84">
        <f>'HPS DAILY'!AA88+$G88</f>
        <v>2.78</v>
      </c>
      <c r="AA88" s="84">
        <f>'HPS DAILY'!AB88+$G88</f>
        <v>2.78</v>
      </c>
      <c r="AB88" s="84">
        <f>'HPS DAILY'!AC88+$G88</f>
        <v>2.78</v>
      </c>
      <c r="AC88" s="84">
        <f>'HPS DAILY'!AD88+$G88</f>
        <v>2.78</v>
      </c>
      <c r="AD88" s="84">
        <f>'HPS DAILY'!AE88+$G88</f>
        <v>2.78</v>
      </c>
      <c r="AE88" s="84">
        <f>'HPS DAILY'!AF88+$G88</f>
        <v>2.78</v>
      </c>
      <c r="AF88" s="84">
        <f>'HPS DAILY'!AG88+$G88</f>
        <v>2.78</v>
      </c>
      <c r="AG88" s="84">
        <f>'HPS DAILY'!AH88+$G88</f>
        <v>2.78</v>
      </c>
      <c r="AH88" s="84">
        <f>'HPS DAILY'!AI88+$G88</f>
        <v>2.78</v>
      </c>
      <c r="AI88" s="84">
        <f>'HPS DAILY'!AJ88+$G88</f>
        <v>2.78</v>
      </c>
      <c r="AJ88" s="84">
        <f>'HPS DAILY'!AK88+$G88</f>
        <v>2.78</v>
      </c>
      <c r="AK88" s="84">
        <f>'HPS DAILY'!AL88+$G88</f>
        <v>2.78</v>
      </c>
    </row>
    <row r="89" spans="4:37" ht="19.5" customHeight="1" x14ac:dyDescent="0.35">
      <c r="D89" s="44" t="s">
        <v>80</v>
      </c>
      <c r="E89" s="161" t="s">
        <v>81</v>
      </c>
      <c r="F89" s="59" t="s">
        <v>36</v>
      </c>
      <c r="G89" s="982" t="s">
        <v>877</v>
      </c>
      <c r="H89" s="952"/>
      <c r="I89" s="952"/>
      <c r="J89" s="77">
        <f>'HPS DAILY'!K89+((4.681*10^-2)*('HPS DAILY'!K89+3))</f>
        <v>13.335470050000001</v>
      </c>
      <c r="K89" s="77">
        <f>'HPS DAILY'!L89+((4.681*10^-2)*('HPS DAILY'!L89+3))</f>
        <v>15.005132</v>
      </c>
      <c r="L89" s="77">
        <f>'HPS DAILY'!M89+((4.681*10^-2)*('HPS DAILY'!M89+3))</f>
        <v>15.2668345</v>
      </c>
      <c r="M89" s="77">
        <f>'HPS DAILY'!N89+((4.681*10^-2)*('HPS DAILY'!N89+3))</f>
        <v>15.319175</v>
      </c>
      <c r="N89" s="77">
        <f>'HPS DAILY'!O89+((4.681*10^-2)*('HPS DAILY'!O89+3))</f>
        <v>7.4366956999999996</v>
      </c>
      <c r="O89" s="77">
        <f>'HPS DAILY'!P89+((4.681*10^-2)*('HPS DAILY'!P89+3))</f>
        <v>7.6774620000000002</v>
      </c>
      <c r="P89" s="77">
        <f>'HPS DAILY'!Q89+((4.681*10^-2)*('HPS DAILY'!Q89+3))</f>
        <v>8.3892927999999998</v>
      </c>
      <c r="Q89" s="77">
        <f>'HPS DAILY'!R89+((4.681*10^-2)*('HPS DAILY'!R89+3))</f>
        <v>8.8289530000000003</v>
      </c>
      <c r="R89" s="77">
        <f>'HPS DAILY'!S89+((4.681*10^-2)*('HPS DAILY'!S89+3))</f>
        <v>9.1953364999999998</v>
      </c>
      <c r="S89" s="77">
        <f>'HPS DAILY'!T89+((4.681*10^-2)*('HPS DAILY'!T89+3))</f>
        <v>9.3942303999999996</v>
      </c>
      <c r="T89" s="77">
        <f>'HPS DAILY'!U89+((4.681*10^-2)*('HPS DAILY'!U89+3))</f>
        <v>9.6768690999999993</v>
      </c>
      <c r="U89" s="77">
        <f>'HPS DAILY'!V89+((4.681*10^-2)*('HPS DAILY'!V89+3))</f>
        <v>10.3782318</v>
      </c>
      <c r="V89" s="77">
        <f>'HPS DAILY'!W89+((4.681*10^-2)*('HPS DAILY'!W89+3))</f>
        <v>10.085125</v>
      </c>
      <c r="W89" s="77">
        <f>'HPS DAILY'!X89+((4.681*10^-2)*('HPS DAILY'!X89+3))</f>
        <v>0.14043</v>
      </c>
      <c r="X89" s="77">
        <f>'HPS DAILY'!Y89+((4.681*10^-2)*('HPS DAILY'!Y89+3))</f>
        <v>0.14043</v>
      </c>
      <c r="Y89" s="77">
        <f>'HPS DAILY'!Z89+((4.681*10^-2)*('HPS DAILY'!Z89+3))</f>
        <v>0.14043</v>
      </c>
      <c r="Z89" s="77">
        <f>'HPS DAILY'!AA89+((4.681*10^-2)*('HPS DAILY'!AA89+3))</f>
        <v>0.14043</v>
      </c>
      <c r="AA89" s="77">
        <f>'HPS DAILY'!AB89+((4.681*10^-2)*('HPS DAILY'!AB89+3))</f>
        <v>0.14043</v>
      </c>
      <c r="AB89" s="77">
        <f>'HPS DAILY'!AC89+((4.681*10^-2)*('HPS DAILY'!AC89+3))</f>
        <v>0.14043</v>
      </c>
      <c r="AC89" s="77">
        <f>'HPS DAILY'!AD89+((4.681*10^-2)*('HPS DAILY'!AD89+3))</f>
        <v>0.14043</v>
      </c>
      <c r="AD89" s="77">
        <f>'HPS DAILY'!AE89+((4.681*10^-2)*('HPS DAILY'!AE89+3))</f>
        <v>0.14043</v>
      </c>
      <c r="AE89" s="77">
        <f>'HPS DAILY'!AF89+((4.681*10^-2)*('HPS DAILY'!AF89+3))</f>
        <v>0.14043</v>
      </c>
      <c r="AF89" s="77">
        <f>'HPS DAILY'!AG89+((4.681*10^-2)*('HPS DAILY'!AG89+3))</f>
        <v>0.14043</v>
      </c>
      <c r="AG89" s="77">
        <f>'HPS DAILY'!AH89+((4.681*10^-2)*('HPS DAILY'!AH89+3))</f>
        <v>0.14043</v>
      </c>
      <c r="AH89" s="77">
        <f>'HPS DAILY'!AI89+((4.681*10^-2)*('HPS DAILY'!AI89+3))</f>
        <v>0.14043</v>
      </c>
      <c r="AI89" s="77">
        <f>'HPS DAILY'!AJ89+((4.681*10^-2)*('HPS DAILY'!AJ89+3))</f>
        <v>0.14043</v>
      </c>
      <c r="AJ89" s="77">
        <f>'HPS DAILY'!AK89+((4.681*10^-2)*('HPS DAILY'!AK89+3))</f>
        <v>0.14043</v>
      </c>
      <c r="AK89" s="77">
        <f>'HPS DAILY'!AL89+((4.681*10^-2)*('HPS DAILY'!AL89+3))</f>
        <v>0.14043</v>
      </c>
    </row>
    <row r="90" spans="4:37" ht="19.5" customHeight="1" thickBot="1" x14ac:dyDescent="0.4">
      <c r="D90" s="116" t="s">
        <v>82</v>
      </c>
      <c r="E90" s="117" t="s">
        <v>83</v>
      </c>
      <c r="F90" s="118" t="s">
        <v>36</v>
      </c>
      <c r="G90" s="984" t="s">
        <v>879</v>
      </c>
      <c r="H90" s="969"/>
      <c r="I90" s="969"/>
      <c r="J90" s="504">
        <f>'HPS DAILY'!K90+((0.174)*('HPS DAILY'!K90^(1/2)))</f>
        <v>0</v>
      </c>
      <c r="K90" s="504">
        <f>'HPS DAILY'!L90+((0.174)*('HPS DAILY'!L90^(1/2)))</f>
        <v>0</v>
      </c>
      <c r="L90" s="504">
        <f>'HPS DAILY'!M90+((0.174)*('HPS DAILY'!M90^(1/2)))</f>
        <v>47.686521807637767</v>
      </c>
      <c r="M90" s="504">
        <f>'HPS DAILY'!N90+((0.174)*('HPS DAILY'!N90^(1/2)))</f>
        <v>48.86123026934888</v>
      </c>
      <c r="N90" s="504">
        <f>'HPS DAILY'!O90+((0.174)*('HPS DAILY'!O90^(1/2)))</f>
        <v>233.94628773945692</v>
      </c>
      <c r="O90" s="504">
        <f>'HPS DAILY'!P90+((0.174)*('HPS DAILY'!P90^(1/2)))</f>
        <v>691.94192030618683</v>
      </c>
      <c r="P90" s="504">
        <f>'HPS DAILY'!Q90+((0.174)*('HPS DAILY'!Q90^(1/2)))</f>
        <v>524.99170007931116</v>
      </c>
      <c r="Q90" s="504">
        <f>'HPS DAILY'!R90+((0.174)*('HPS DAILY'!R90^(1/2)))</f>
        <v>408.4213365905037</v>
      </c>
      <c r="R90" s="504">
        <f>'HPS DAILY'!S90+((0.174)*('HPS DAILY'!S90^(1/2)))</f>
        <v>308.37042284559237</v>
      </c>
      <c r="S90" s="504">
        <f>'HPS DAILY'!T90+((0.174)*('HPS DAILY'!T90^(1/2)))</f>
        <v>103.0714463508769</v>
      </c>
      <c r="T90" s="504">
        <f>'HPS DAILY'!U90+((0.174)*('HPS DAILY'!U90^(1/2)))</f>
        <v>382.90974151226902</v>
      </c>
      <c r="U90" s="504">
        <f>'HPS DAILY'!V90+((0.174)*('HPS DAILY'!V90^(1/2)))</f>
        <v>155.6557750346453</v>
      </c>
      <c r="V90" s="504">
        <f>'HPS DAILY'!W90+((0.174)*('HPS DAILY'!W90^(1/2)))</f>
        <v>132.40710742537991</v>
      </c>
      <c r="W90" s="504">
        <f>'HPS DAILY'!X90+((0.174)*('HPS DAILY'!X90^(1/2)))</f>
        <v>0</v>
      </c>
      <c r="X90" s="504">
        <f>'HPS DAILY'!Y90+((0.174)*('HPS DAILY'!Y90^(1/2)))</f>
        <v>0</v>
      </c>
      <c r="Y90" s="595">
        <v>16439</v>
      </c>
      <c r="Z90" s="600">
        <v>19799</v>
      </c>
      <c r="AA90" s="600">
        <v>19800</v>
      </c>
      <c r="AB90" s="600">
        <v>19801</v>
      </c>
      <c r="AC90" s="600">
        <v>19802</v>
      </c>
      <c r="AD90" s="600">
        <v>19803</v>
      </c>
      <c r="AE90" s="600">
        <v>19804</v>
      </c>
      <c r="AF90" s="600">
        <v>19805</v>
      </c>
      <c r="AG90" s="600">
        <v>19806</v>
      </c>
      <c r="AH90" s="600">
        <v>19807</v>
      </c>
      <c r="AI90" s="600">
        <v>19807</v>
      </c>
      <c r="AJ90" s="600">
        <v>19807</v>
      </c>
      <c r="AK90" s="600">
        <v>19807</v>
      </c>
    </row>
    <row r="91" spans="4:37" ht="16.5" thickBot="1" x14ac:dyDescent="0.4">
      <c r="H91" s="970"/>
      <c r="I91" s="970"/>
      <c r="X91" s="18"/>
      <c r="Y91" s="596"/>
    </row>
    <row r="92" spans="4:37" ht="16.5" thickBot="1" x14ac:dyDescent="0.4">
      <c r="D92" s="19" t="s">
        <v>11</v>
      </c>
      <c r="E92" s="20" t="s">
        <v>12</v>
      </c>
      <c r="F92" s="20" t="s">
        <v>13</v>
      </c>
      <c r="G92" s="20"/>
      <c r="H92" s="971"/>
      <c r="I92" s="985"/>
      <c r="J92" s="19" t="s">
        <v>2</v>
      </c>
      <c r="K92" s="20" t="s">
        <v>2</v>
      </c>
      <c r="L92" s="20" t="s">
        <v>2</v>
      </c>
      <c r="M92" s="20" t="s">
        <v>2</v>
      </c>
      <c r="N92" s="20" t="s">
        <v>2</v>
      </c>
      <c r="O92" s="20" t="s">
        <v>2</v>
      </c>
      <c r="P92" s="20" t="s">
        <v>2</v>
      </c>
      <c r="Q92" s="20" t="s">
        <v>2</v>
      </c>
      <c r="R92" s="20" t="s">
        <v>2</v>
      </c>
      <c r="S92" s="20" t="s">
        <v>2</v>
      </c>
      <c r="T92" s="20" t="s">
        <v>2</v>
      </c>
      <c r="U92" s="20" t="s">
        <v>2</v>
      </c>
      <c r="V92" s="20" t="s">
        <v>2</v>
      </c>
      <c r="W92" s="20" t="s">
        <v>2</v>
      </c>
      <c r="X92" s="20" t="s">
        <v>2</v>
      </c>
      <c r="Y92" s="20" t="s">
        <v>2</v>
      </c>
      <c r="Z92" s="20" t="s">
        <v>2</v>
      </c>
      <c r="AA92" s="20" t="s">
        <v>2</v>
      </c>
      <c r="AB92" s="20" t="s">
        <v>2</v>
      </c>
      <c r="AC92" s="20" t="s">
        <v>2</v>
      </c>
      <c r="AD92" s="20" t="s">
        <v>2</v>
      </c>
      <c r="AE92" s="20" t="s">
        <v>2</v>
      </c>
      <c r="AF92" s="20" t="s">
        <v>2</v>
      </c>
      <c r="AG92" s="20" t="s">
        <v>2</v>
      </c>
      <c r="AH92" s="111" t="s">
        <v>2</v>
      </c>
      <c r="AI92" s="111" t="s">
        <v>2</v>
      </c>
      <c r="AJ92" s="111" t="s">
        <v>2</v>
      </c>
      <c r="AK92" s="111" t="s">
        <v>2</v>
      </c>
    </row>
    <row r="93" spans="4:37" s="18" customFormat="1" x14ac:dyDescent="0.35">
      <c r="D93" s="23" t="s">
        <v>45</v>
      </c>
      <c r="E93" s="2707" t="s">
        <v>84</v>
      </c>
      <c r="F93" s="2710" t="s">
        <v>164</v>
      </c>
      <c r="G93" s="120">
        <v>0.09</v>
      </c>
      <c r="H93" s="972"/>
      <c r="I93" s="986"/>
      <c r="J93" s="991">
        <v>37.869999999999997</v>
      </c>
      <c r="K93" s="487">
        <v>5.4</v>
      </c>
      <c r="L93" s="487">
        <v>13.51</v>
      </c>
      <c r="M93" s="487">
        <v>5.58</v>
      </c>
      <c r="N93" s="487">
        <v>2</v>
      </c>
      <c r="O93" s="487">
        <v>2.11</v>
      </c>
      <c r="P93" s="487">
        <v>1.78</v>
      </c>
      <c r="Q93" s="487">
        <v>1.99</v>
      </c>
      <c r="R93" s="487">
        <v>2</v>
      </c>
      <c r="S93" s="487">
        <v>2.1</v>
      </c>
      <c r="T93" s="487">
        <v>1.9</v>
      </c>
      <c r="U93" s="487">
        <v>2.93</v>
      </c>
      <c r="V93" s="487">
        <v>3.02</v>
      </c>
      <c r="W93" s="120">
        <v>0.99</v>
      </c>
      <c r="X93" s="204">
        <v>1.2</v>
      </c>
      <c r="Y93" s="204">
        <v>1.2</v>
      </c>
      <c r="Z93" s="204">
        <v>1.2</v>
      </c>
      <c r="AA93" s="204"/>
      <c r="AB93" s="204"/>
      <c r="AC93" s="204"/>
      <c r="AD93" s="204"/>
      <c r="AE93" s="204"/>
      <c r="AF93" s="204"/>
      <c r="AG93" s="204"/>
      <c r="AH93" s="992"/>
      <c r="AI93" s="992"/>
      <c r="AJ93" s="992"/>
      <c r="AK93" s="992"/>
    </row>
    <row r="94" spans="4:37" ht="18" x14ac:dyDescent="0.45">
      <c r="D94" s="30" t="s">
        <v>86</v>
      </c>
      <c r="E94" s="2708"/>
      <c r="F94" s="2711"/>
      <c r="G94" s="121">
        <v>0.04</v>
      </c>
      <c r="H94" s="973"/>
      <c r="I94" s="987"/>
      <c r="J94" s="993">
        <v>5.78</v>
      </c>
      <c r="K94" s="488">
        <v>0.2</v>
      </c>
      <c r="L94" s="488">
        <v>0.21</v>
      </c>
      <c r="M94" s="488">
        <v>0.1</v>
      </c>
      <c r="N94" s="488">
        <v>0.15</v>
      </c>
      <c r="O94" s="488">
        <v>0.19</v>
      </c>
      <c r="P94" s="488">
        <v>0.12</v>
      </c>
      <c r="Q94" s="488">
        <v>0.14000000000000001</v>
      </c>
      <c r="R94" s="488">
        <v>0.16</v>
      </c>
      <c r="S94" s="488">
        <v>0.17</v>
      </c>
      <c r="T94" s="488">
        <v>0.2</v>
      </c>
      <c r="U94" s="488">
        <v>0.33</v>
      </c>
      <c r="V94" s="488">
        <v>0.35</v>
      </c>
      <c r="W94" s="121">
        <v>0.15</v>
      </c>
      <c r="X94" s="32">
        <v>0.19</v>
      </c>
      <c r="Y94" s="32">
        <v>0.19</v>
      </c>
      <c r="Z94" s="32">
        <v>0.19</v>
      </c>
      <c r="AA94" s="32"/>
      <c r="AB94" s="32"/>
      <c r="AC94" s="32"/>
      <c r="AD94" s="32"/>
      <c r="AE94" s="32"/>
      <c r="AF94" s="32"/>
      <c r="AG94" s="32"/>
      <c r="AH94" s="41"/>
      <c r="AI94" s="41"/>
      <c r="AJ94" s="41"/>
      <c r="AK94" s="41"/>
    </row>
    <row r="95" spans="4:37" ht="18" x14ac:dyDescent="0.35">
      <c r="D95" s="37" t="s">
        <v>87</v>
      </c>
      <c r="E95" s="2708"/>
      <c r="F95" s="2711"/>
      <c r="G95" s="121">
        <v>0.04</v>
      </c>
      <c r="H95" s="973"/>
      <c r="I95" s="987"/>
      <c r="J95" s="993">
        <v>9.36</v>
      </c>
      <c r="K95" s="488">
        <v>0.25</v>
      </c>
      <c r="L95" s="488">
        <v>0.08</v>
      </c>
      <c r="M95" s="488">
        <v>0.06</v>
      </c>
      <c r="N95" s="488">
        <v>0.22</v>
      </c>
      <c r="O95" s="488">
        <v>0.27</v>
      </c>
      <c r="P95" s="488">
        <v>0.18</v>
      </c>
      <c r="Q95" s="488">
        <v>0.2</v>
      </c>
      <c r="R95" s="488">
        <v>0.22</v>
      </c>
      <c r="S95" s="488">
        <v>0.23</v>
      </c>
      <c r="T95" s="488">
        <v>0.36</v>
      </c>
      <c r="U95" s="488">
        <v>0.53</v>
      </c>
      <c r="V95" s="488">
        <v>0.53</v>
      </c>
      <c r="W95" s="121">
        <v>0.28999999999999998</v>
      </c>
      <c r="X95" s="32">
        <v>0.34</v>
      </c>
      <c r="Y95" s="32">
        <v>0.34</v>
      </c>
      <c r="Z95" s="32">
        <v>0.34</v>
      </c>
      <c r="AA95" s="32"/>
      <c r="AB95" s="32"/>
      <c r="AC95" s="32"/>
      <c r="AD95" s="32"/>
      <c r="AE95" s="32"/>
      <c r="AF95" s="32"/>
      <c r="AG95" s="32"/>
      <c r="AH95" s="41"/>
      <c r="AI95" s="41"/>
      <c r="AJ95" s="41"/>
      <c r="AK95" s="41"/>
    </row>
    <row r="96" spans="4:37" ht="18" x14ac:dyDescent="0.35">
      <c r="D96" s="37" t="s">
        <v>88</v>
      </c>
      <c r="E96" s="2708"/>
      <c r="F96" s="2711"/>
      <c r="G96" s="121">
        <v>0.04</v>
      </c>
      <c r="H96" s="973"/>
      <c r="I96" s="987"/>
      <c r="J96" s="993">
        <v>13.81</v>
      </c>
      <c r="K96" s="488">
        <v>0.39</v>
      </c>
      <c r="L96" s="488">
        <v>0.19</v>
      </c>
      <c r="M96" s="488">
        <v>0.08</v>
      </c>
      <c r="N96" s="488">
        <v>0.3</v>
      </c>
      <c r="O96" s="488">
        <v>0.4</v>
      </c>
      <c r="P96" s="488">
        <v>0.28999999999999998</v>
      </c>
      <c r="Q96" s="488">
        <v>0.3</v>
      </c>
      <c r="R96" s="488">
        <v>0.33</v>
      </c>
      <c r="S96" s="488">
        <v>0.32</v>
      </c>
      <c r="T96" s="488">
        <v>0.6</v>
      </c>
      <c r="U96" s="488">
        <v>0.8</v>
      </c>
      <c r="V96" s="488">
        <v>0.79</v>
      </c>
      <c r="W96" s="121">
        <v>0.46</v>
      </c>
      <c r="X96" s="32">
        <v>0.53</v>
      </c>
      <c r="Y96" s="32">
        <v>0.53</v>
      </c>
      <c r="Z96" s="32">
        <v>0.53</v>
      </c>
      <c r="AA96" s="32"/>
      <c r="AB96" s="32"/>
      <c r="AC96" s="32"/>
      <c r="AD96" s="32"/>
      <c r="AE96" s="32"/>
      <c r="AF96" s="32"/>
      <c r="AG96" s="32"/>
      <c r="AH96" s="41"/>
      <c r="AI96" s="41"/>
      <c r="AJ96" s="41"/>
      <c r="AK96" s="41"/>
    </row>
    <row r="97" spans="4:37" ht="18" x14ac:dyDescent="0.35">
      <c r="D97" s="37" t="s">
        <v>377</v>
      </c>
      <c r="E97" s="2708"/>
      <c r="F97" s="2711"/>
      <c r="G97" s="121">
        <v>0.04</v>
      </c>
      <c r="H97" s="973"/>
      <c r="I97" s="987"/>
      <c r="J97" s="993">
        <v>12.58</v>
      </c>
      <c r="K97" s="488">
        <v>0.6</v>
      </c>
      <c r="L97" s="488">
        <v>0.7</v>
      </c>
      <c r="M97" s="488">
        <v>0.23</v>
      </c>
      <c r="N97" s="488">
        <v>0.45</v>
      </c>
      <c r="O97" s="488">
        <v>0.52</v>
      </c>
      <c r="P97" s="488">
        <v>0.41</v>
      </c>
      <c r="Q97" s="488">
        <v>0.42</v>
      </c>
      <c r="R97" s="488">
        <v>0.42</v>
      </c>
      <c r="S97" s="488">
        <v>0.4</v>
      </c>
      <c r="T97" s="488">
        <v>0.78</v>
      </c>
      <c r="U97" s="488">
        <v>0.93</v>
      </c>
      <c r="V97" s="488">
        <v>0.91</v>
      </c>
      <c r="W97" s="121">
        <v>0.56999999999999995</v>
      </c>
      <c r="X97" s="32">
        <v>0.61</v>
      </c>
      <c r="Y97" s="32">
        <v>0.61</v>
      </c>
      <c r="Z97" s="32">
        <v>0.61</v>
      </c>
      <c r="AA97" s="32"/>
      <c r="AB97" s="32"/>
      <c r="AC97" s="32"/>
      <c r="AD97" s="32"/>
      <c r="AE97" s="32"/>
      <c r="AF97" s="32"/>
      <c r="AG97" s="32"/>
      <c r="AH97" s="41"/>
      <c r="AI97" s="41"/>
      <c r="AJ97" s="41"/>
      <c r="AK97" s="41"/>
    </row>
    <row r="98" spans="4:37" ht="18" x14ac:dyDescent="0.45">
      <c r="D98" s="23" t="s">
        <v>89</v>
      </c>
      <c r="E98" s="2708"/>
      <c r="F98" s="2711"/>
      <c r="G98" s="122">
        <v>0.09</v>
      </c>
      <c r="H98" s="972"/>
      <c r="I98" s="986"/>
      <c r="J98" s="994">
        <v>11.15</v>
      </c>
      <c r="K98" s="489">
        <v>2.58</v>
      </c>
      <c r="L98" s="489">
        <v>0.35</v>
      </c>
      <c r="M98" s="489">
        <v>0.23</v>
      </c>
      <c r="N98" s="489">
        <v>1.59</v>
      </c>
      <c r="O98" s="489">
        <v>1.48</v>
      </c>
      <c r="P98" s="489">
        <v>1.52</v>
      </c>
      <c r="Q98" s="489">
        <v>1.43</v>
      </c>
      <c r="R98" s="489">
        <v>1.31</v>
      </c>
      <c r="S98" s="489">
        <v>1.04</v>
      </c>
      <c r="T98" s="489">
        <v>1.72</v>
      </c>
      <c r="U98" s="489">
        <v>2.2000000000000002</v>
      </c>
      <c r="V98" s="489">
        <v>2.0099999999999998</v>
      </c>
      <c r="W98" s="122">
        <v>1.72</v>
      </c>
      <c r="X98" s="25">
        <v>1.44</v>
      </c>
      <c r="Y98" s="25">
        <v>1.44</v>
      </c>
      <c r="Z98" s="25">
        <v>1.44</v>
      </c>
      <c r="AA98" s="25"/>
      <c r="AB98" s="25"/>
      <c r="AC98" s="25"/>
      <c r="AD98" s="25"/>
      <c r="AE98" s="25"/>
      <c r="AF98" s="25"/>
      <c r="AG98" s="25"/>
      <c r="AH98" s="995"/>
      <c r="AI98" s="995"/>
      <c r="AJ98" s="995"/>
      <c r="AK98" s="995"/>
    </row>
    <row r="99" spans="4:37" ht="18.5" thickBot="1" x14ac:dyDescent="0.5">
      <c r="D99" s="233" t="s">
        <v>381</v>
      </c>
      <c r="E99" s="2708"/>
      <c r="F99" s="2711"/>
      <c r="G99" s="123">
        <v>0.04</v>
      </c>
      <c r="H99" s="974"/>
      <c r="I99" s="988"/>
      <c r="J99" s="996">
        <v>2.57</v>
      </c>
      <c r="K99" s="490">
        <v>1.01</v>
      </c>
      <c r="L99" s="490">
        <v>0.55000000000000004</v>
      </c>
      <c r="M99" s="490">
        <v>0.34</v>
      </c>
      <c r="N99" s="490">
        <v>0.42</v>
      </c>
      <c r="O99" s="490">
        <v>0.36</v>
      </c>
      <c r="P99" s="490">
        <v>0.37</v>
      </c>
      <c r="Q99" s="490">
        <v>0.28000000000000003</v>
      </c>
      <c r="R99" s="490">
        <v>0.25</v>
      </c>
      <c r="S99" s="490">
        <v>0.18</v>
      </c>
      <c r="T99" s="490">
        <v>0.24</v>
      </c>
      <c r="U99" s="490">
        <v>0.4</v>
      </c>
      <c r="V99" s="490">
        <v>0.3</v>
      </c>
      <c r="W99" s="123">
        <v>0.4</v>
      </c>
      <c r="X99" s="205">
        <v>0.26</v>
      </c>
      <c r="Y99" s="205">
        <v>0.26</v>
      </c>
      <c r="Z99" s="205">
        <v>0.26</v>
      </c>
      <c r="AA99" s="205"/>
      <c r="AB99" s="205"/>
      <c r="AC99" s="205"/>
      <c r="AD99" s="205"/>
      <c r="AE99" s="205"/>
      <c r="AF99" s="205"/>
      <c r="AG99" s="205"/>
      <c r="AH99" s="997"/>
      <c r="AI99" s="997"/>
      <c r="AJ99" s="997"/>
      <c r="AK99" s="997"/>
    </row>
    <row r="100" spans="4:37" s="237" customFormat="1" ht="16.5" thickTop="1" x14ac:dyDescent="0.35">
      <c r="D100" s="234" t="s">
        <v>378</v>
      </c>
      <c r="E100" s="2708"/>
      <c r="F100" s="2711"/>
      <c r="G100" s="235">
        <v>0</v>
      </c>
      <c r="H100" s="975"/>
      <c r="I100" s="989"/>
      <c r="J100" s="998">
        <f>2.63/12.58</f>
        <v>0.20906200317965024</v>
      </c>
      <c r="K100" s="447">
        <f>0.1/K97</f>
        <v>0.16666666666666669</v>
      </c>
      <c r="L100" s="447">
        <f>0.21/L97</f>
        <v>0.3</v>
      </c>
      <c r="M100" s="447">
        <f>0.05/M97</f>
        <v>0.21739130434782608</v>
      </c>
      <c r="N100" s="447">
        <f>0.07/N97</f>
        <v>0.15555555555555556</v>
      </c>
      <c r="O100" s="447">
        <v>0.17</v>
      </c>
      <c r="P100" s="447">
        <v>0.17</v>
      </c>
      <c r="Q100" s="447">
        <v>0.17</v>
      </c>
      <c r="R100" s="447">
        <v>0.17</v>
      </c>
      <c r="S100" s="447">
        <v>0.18</v>
      </c>
      <c r="T100" s="447">
        <v>0.17</v>
      </c>
      <c r="U100" s="447">
        <v>0.19</v>
      </c>
      <c r="V100" s="447">
        <v>0.2</v>
      </c>
      <c r="W100" s="235">
        <v>0.19</v>
      </c>
      <c r="X100" s="236">
        <v>0.2</v>
      </c>
      <c r="Y100" s="236">
        <v>0.2</v>
      </c>
      <c r="Z100" s="236">
        <v>0.2</v>
      </c>
      <c r="AA100" s="236"/>
      <c r="AB100" s="236"/>
      <c r="AC100" s="236"/>
      <c r="AD100" s="236"/>
      <c r="AE100" s="236"/>
      <c r="AF100" s="236"/>
      <c r="AG100" s="236"/>
      <c r="AH100" s="999"/>
      <c r="AI100" s="999"/>
      <c r="AJ100" s="999"/>
      <c r="AK100" s="999"/>
    </row>
    <row r="101" spans="4:37" x14ac:dyDescent="0.35">
      <c r="D101" s="37" t="s">
        <v>90</v>
      </c>
      <c r="E101" s="2708"/>
      <c r="F101" s="2711"/>
      <c r="G101" s="121">
        <v>0</v>
      </c>
      <c r="H101" s="973"/>
      <c r="I101" s="987"/>
      <c r="J101" s="993">
        <v>0</v>
      </c>
      <c r="K101" s="488">
        <v>0</v>
      </c>
      <c r="L101" s="488">
        <v>0</v>
      </c>
      <c r="M101" s="488">
        <v>0</v>
      </c>
      <c r="N101" s="488">
        <v>0</v>
      </c>
      <c r="O101" s="488">
        <v>0</v>
      </c>
      <c r="P101" s="488">
        <v>0</v>
      </c>
      <c r="Q101" s="488">
        <v>0</v>
      </c>
      <c r="R101" s="488">
        <v>0</v>
      </c>
      <c r="S101" s="488">
        <v>0</v>
      </c>
      <c r="T101" s="488">
        <v>0</v>
      </c>
      <c r="U101" s="488">
        <v>0</v>
      </c>
      <c r="V101" s="488">
        <v>0</v>
      </c>
      <c r="W101" s="121">
        <v>0</v>
      </c>
      <c r="X101" s="32">
        <v>0</v>
      </c>
      <c r="Y101" s="32">
        <v>0</v>
      </c>
      <c r="Z101" s="32">
        <v>0</v>
      </c>
      <c r="AA101" s="32"/>
      <c r="AB101" s="32"/>
      <c r="AC101" s="32"/>
      <c r="AD101" s="32"/>
      <c r="AE101" s="32"/>
      <c r="AF101" s="32"/>
      <c r="AG101" s="32"/>
      <c r="AH101" s="41"/>
      <c r="AI101" s="41"/>
      <c r="AJ101" s="41"/>
      <c r="AK101" s="41"/>
    </row>
    <row r="102" spans="4:37" ht="18" x14ac:dyDescent="0.35">
      <c r="D102" s="37" t="s">
        <v>91</v>
      </c>
      <c r="E102" s="2708"/>
      <c r="F102" s="2711"/>
      <c r="G102" s="121">
        <v>0</v>
      </c>
      <c r="H102" s="973"/>
      <c r="I102" s="987"/>
      <c r="J102" s="993">
        <v>0.4</v>
      </c>
      <c r="K102" s="488">
        <v>0.01</v>
      </c>
      <c r="L102" s="488">
        <v>0.01</v>
      </c>
      <c r="M102" s="488">
        <v>0</v>
      </c>
      <c r="N102" s="488">
        <v>0</v>
      </c>
      <c r="O102" s="488">
        <v>0</v>
      </c>
      <c r="P102" s="488">
        <v>0</v>
      </c>
      <c r="Q102" s="488">
        <v>0</v>
      </c>
      <c r="R102" s="488">
        <v>0</v>
      </c>
      <c r="S102" s="488">
        <v>0</v>
      </c>
      <c r="T102" s="488">
        <v>0</v>
      </c>
      <c r="U102" s="488">
        <v>0</v>
      </c>
      <c r="V102" s="488">
        <v>0</v>
      </c>
      <c r="W102" s="121">
        <v>0</v>
      </c>
      <c r="X102" s="32">
        <v>0</v>
      </c>
      <c r="Y102" s="32">
        <v>0</v>
      </c>
      <c r="Z102" s="32">
        <v>0</v>
      </c>
      <c r="AA102" s="32"/>
      <c r="AB102" s="32"/>
      <c r="AC102" s="32"/>
      <c r="AD102" s="32"/>
      <c r="AE102" s="32"/>
      <c r="AF102" s="32"/>
      <c r="AG102" s="32"/>
      <c r="AH102" s="41"/>
      <c r="AI102" s="41"/>
      <c r="AJ102" s="41"/>
      <c r="AK102" s="41"/>
    </row>
    <row r="103" spans="4:37" ht="18" x14ac:dyDescent="0.45">
      <c r="D103" s="30" t="s">
        <v>85</v>
      </c>
      <c r="E103" s="2708"/>
      <c r="F103" s="2711"/>
      <c r="G103" s="123">
        <v>0</v>
      </c>
      <c r="H103" s="974"/>
      <c r="I103" s="988"/>
      <c r="J103" s="996">
        <v>0</v>
      </c>
      <c r="K103" s="490">
        <v>0</v>
      </c>
      <c r="L103" s="490">
        <v>0</v>
      </c>
      <c r="M103" s="490">
        <v>0</v>
      </c>
      <c r="N103" s="490">
        <v>0</v>
      </c>
      <c r="O103" s="490">
        <v>0</v>
      </c>
      <c r="P103" s="490">
        <v>0</v>
      </c>
      <c r="Q103" s="490">
        <v>0</v>
      </c>
      <c r="R103" s="490">
        <v>0</v>
      </c>
      <c r="S103" s="490">
        <v>0</v>
      </c>
      <c r="T103" s="490">
        <v>0</v>
      </c>
      <c r="U103" s="490">
        <v>0</v>
      </c>
      <c r="V103" s="490">
        <v>0</v>
      </c>
      <c r="W103" s="123">
        <v>0</v>
      </c>
      <c r="X103" s="205">
        <v>0</v>
      </c>
      <c r="Y103" s="205">
        <v>0</v>
      </c>
      <c r="Z103" s="205">
        <v>0</v>
      </c>
      <c r="AA103" s="205"/>
      <c r="AB103" s="205"/>
      <c r="AC103" s="205"/>
      <c r="AD103" s="205"/>
      <c r="AE103" s="205"/>
      <c r="AF103" s="205"/>
      <c r="AG103" s="205"/>
      <c r="AH103" s="997"/>
      <c r="AI103" s="997"/>
      <c r="AJ103" s="997"/>
      <c r="AK103" s="997"/>
    </row>
    <row r="104" spans="4:37" ht="18.5" thickBot="1" x14ac:dyDescent="0.4">
      <c r="D104" s="124" t="s">
        <v>165</v>
      </c>
      <c r="E104" s="2709"/>
      <c r="F104" s="2712"/>
      <c r="G104" s="125">
        <v>0.5</v>
      </c>
      <c r="H104" s="976"/>
      <c r="I104" s="990"/>
      <c r="J104" s="1000">
        <v>6.47</v>
      </c>
      <c r="K104" s="491">
        <v>89.55</v>
      </c>
      <c r="L104" s="491">
        <v>84.4</v>
      </c>
      <c r="M104" s="491">
        <v>93.38</v>
      </c>
      <c r="N104" s="491">
        <v>94.87</v>
      </c>
      <c r="O104" s="491">
        <v>94.69</v>
      </c>
      <c r="P104" s="491">
        <v>95.33</v>
      </c>
      <c r="Q104" s="491">
        <v>95.25</v>
      </c>
      <c r="R104" s="491">
        <v>95.3</v>
      </c>
      <c r="S104" s="491">
        <v>95.56</v>
      </c>
      <c r="T104" s="491">
        <v>94.2</v>
      </c>
      <c r="U104" s="491">
        <v>91.87</v>
      </c>
      <c r="V104" s="491">
        <v>92.08</v>
      </c>
      <c r="W104" s="125">
        <v>95.43</v>
      </c>
      <c r="X104" s="206">
        <v>95.42</v>
      </c>
      <c r="Y104" s="206">
        <v>95.42</v>
      </c>
      <c r="Z104" s="206">
        <v>95.42</v>
      </c>
      <c r="AA104" s="206"/>
      <c r="AB104" s="206"/>
      <c r="AC104" s="206"/>
      <c r="AD104" s="206"/>
      <c r="AE104" s="206"/>
      <c r="AF104" s="206"/>
      <c r="AG104" s="206"/>
      <c r="AH104" s="1001"/>
      <c r="AI104" s="1001"/>
      <c r="AJ104" s="1001"/>
      <c r="AK104" s="1001"/>
    </row>
    <row r="105" spans="4:37" ht="16.5" thickBot="1" x14ac:dyDescent="0.4">
      <c r="D105" s="19" t="s">
        <v>11</v>
      </c>
      <c r="E105" s="20" t="s">
        <v>12</v>
      </c>
      <c r="F105" s="20" t="s">
        <v>13</v>
      </c>
      <c r="G105" s="20"/>
      <c r="H105" s="971"/>
      <c r="I105" s="985"/>
      <c r="J105" s="19" t="s">
        <v>1</v>
      </c>
      <c r="K105" s="20" t="s">
        <v>1</v>
      </c>
      <c r="L105" s="20" t="s">
        <v>1</v>
      </c>
      <c r="M105" s="20" t="s">
        <v>1</v>
      </c>
      <c r="N105" s="20" t="s">
        <v>1</v>
      </c>
      <c r="O105" s="20" t="s">
        <v>1</v>
      </c>
      <c r="P105" s="20" t="s">
        <v>1</v>
      </c>
      <c r="Q105" s="20" t="s">
        <v>1</v>
      </c>
      <c r="R105" s="20" t="s">
        <v>1</v>
      </c>
      <c r="S105" s="20" t="s">
        <v>1</v>
      </c>
      <c r="T105" s="20" t="s">
        <v>1</v>
      </c>
      <c r="U105" s="20" t="s">
        <v>1</v>
      </c>
      <c r="V105" s="20" t="s">
        <v>1</v>
      </c>
      <c r="W105" s="20" t="s">
        <v>1</v>
      </c>
      <c r="X105" s="20" t="s">
        <v>1</v>
      </c>
      <c r="Y105" s="20" t="s">
        <v>1</v>
      </c>
      <c r="Z105" s="20" t="s">
        <v>1</v>
      </c>
      <c r="AA105" s="20" t="s">
        <v>1</v>
      </c>
      <c r="AB105" s="20" t="s">
        <v>1</v>
      </c>
      <c r="AC105" s="20" t="s">
        <v>1</v>
      </c>
      <c r="AD105" s="20" t="s">
        <v>1</v>
      </c>
      <c r="AE105" s="20" t="s">
        <v>1</v>
      </c>
      <c r="AF105" s="20" t="s">
        <v>1</v>
      </c>
      <c r="AG105" s="20" t="s">
        <v>1</v>
      </c>
      <c r="AH105" s="111" t="s">
        <v>1</v>
      </c>
      <c r="AI105" s="111" t="s">
        <v>1</v>
      </c>
      <c r="AJ105" s="111" t="s">
        <v>1</v>
      </c>
      <c r="AK105" s="111" t="s">
        <v>1</v>
      </c>
    </row>
    <row r="106" spans="4:37" x14ac:dyDescent="0.35">
      <c r="D106" s="23" t="s">
        <v>45</v>
      </c>
      <c r="E106" s="2707" t="s">
        <v>84</v>
      </c>
      <c r="F106" s="2710" t="s">
        <v>18</v>
      </c>
      <c r="G106" s="120">
        <v>0.5</v>
      </c>
      <c r="H106" s="972"/>
      <c r="I106" s="986"/>
      <c r="J106" s="1002">
        <v>54.35</v>
      </c>
      <c r="K106" s="120">
        <v>46.17</v>
      </c>
      <c r="L106" s="120">
        <v>59.72</v>
      </c>
      <c r="M106" s="487">
        <v>71.92</v>
      </c>
      <c r="N106" s="487">
        <v>51.89</v>
      </c>
      <c r="O106" s="487">
        <v>51.32</v>
      </c>
      <c r="P106" s="487">
        <v>50.92</v>
      </c>
      <c r="Q106" s="487">
        <v>49.96</v>
      </c>
      <c r="R106" s="487">
        <v>51.37</v>
      </c>
      <c r="S106" s="487">
        <v>49.83</v>
      </c>
      <c r="T106" s="487">
        <v>47.22</v>
      </c>
      <c r="U106" s="487">
        <v>50.25</v>
      </c>
      <c r="V106" s="487">
        <v>49.67</v>
      </c>
      <c r="W106" s="487">
        <v>50.83</v>
      </c>
      <c r="X106" s="567">
        <v>48.73</v>
      </c>
      <c r="Y106" s="567">
        <v>48.73</v>
      </c>
      <c r="Z106" s="567">
        <v>48.73</v>
      </c>
      <c r="AA106" s="567"/>
      <c r="AB106" s="567"/>
      <c r="AC106" s="567"/>
      <c r="AD106" s="567"/>
      <c r="AE106" s="567"/>
      <c r="AF106" s="567"/>
      <c r="AG106" s="567"/>
      <c r="AH106" s="1003"/>
      <c r="AI106" s="1003"/>
      <c r="AJ106" s="1003"/>
      <c r="AK106" s="1003"/>
    </row>
    <row r="107" spans="4:37" ht="18" x14ac:dyDescent="0.45">
      <c r="D107" s="30" t="s">
        <v>86</v>
      </c>
      <c r="E107" s="2708"/>
      <c r="F107" s="2711"/>
      <c r="G107" s="121">
        <v>0.4</v>
      </c>
      <c r="H107" s="973"/>
      <c r="I107" s="987"/>
      <c r="J107" s="1004">
        <v>5.83</v>
      </c>
      <c r="K107" s="121">
        <v>4.34</v>
      </c>
      <c r="L107" s="121">
        <v>5.88</v>
      </c>
      <c r="M107" s="488">
        <v>7.1</v>
      </c>
      <c r="N107" s="488">
        <v>15.37</v>
      </c>
      <c r="O107" s="488">
        <v>14.29</v>
      </c>
      <c r="P107" s="488">
        <v>14.36</v>
      </c>
      <c r="Q107" s="488">
        <v>12.7</v>
      </c>
      <c r="R107" s="488">
        <v>12.78</v>
      </c>
      <c r="S107" s="488">
        <v>13.91</v>
      </c>
      <c r="T107" s="488">
        <v>14.9</v>
      </c>
      <c r="U107" s="488">
        <v>15.42</v>
      </c>
      <c r="V107" s="488">
        <v>15.02</v>
      </c>
      <c r="W107" s="488">
        <v>14.69</v>
      </c>
      <c r="X107" s="568">
        <v>13.62</v>
      </c>
      <c r="Y107" s="568">
        <v>13.62</v>
      </c>
      <c r="Z107" s="568">
        <v>13.62</v>
      </c>
      <c r="AA107" s="568"/>
      <c r="AB107" s="568"/>
      <c r="AC107" s="568"/>
      <c r="AD107" s="568"/>
      <c r="AE107" s="568"/>
      <c r="AF107" s="568"/>
      <c r="AG107" s="568"/>
      <c r="AH107" s="1005"/>
      <c r="AI107" s="1005"/>
      <c r="AJ107" s="1005"/>
      <c r="AK107" s="1005"/>
    </row>
    <row r="108" spans="4:37" ht="18" x14ac:dyDescent="0.35">
      <c r="D108" s="37" t="s">
        <v>87</v>
      </c>
      <c r="E108" s="2708"/>
      <c r="F108" s="2711"/>
      <c r="G108" s="121">
        <v>0.4</v>
      </c>
      <c r="H108" s="973"/>
      <c r="I108" s="987"/>
      <c r="J108" s="1004">
        <v>5.2</v>
      </c>
      <c r="K108" s="121">
        <v>3.69</v>
      </c>
      <c r="L108" s="121">
        <v>4.78</v>
      </c>
      <c r="M108" s="488">
        <v>5.68</v>
      </c>
      <c r="N108" s="488">
        <v>11.69</v>
      </c>
      <c r="O108" s="488">
        <v>11.12</v>
      </c>
      <c r="P108" s="488">
        <v>11</v>
      </c>
      <c r="Q108" s="488">
        <v>10.130000000000001</v>
      </c>
      <c r="R108" s="488">
        <v>10.07</v>
      </c>
      <c r="S108" s="488">
        <v>10.56</v>
      </c>
      <c r="T108" s="488">
        <v>11.18</v>
      </c>
      <c r="U108" s="488">
        <v>11.4</v>
      </c>
      <c r="V108" s="488">
        <v>11.16</v>
      </c>
      <c r="W108" s="488">
        <v>11.13</v>
      </c>
      <c r="X108" s="568">
        <v>10.27</v>
      </c>
      <c r="Y108" s="568">
        <v>10.27</v>
      </c>
      <c r="Z108" s="568">
        <v>10.27</v>
      </c>
      <c r="AA108" s="568"/>
      <c r="AB108" s="568"/>
      <c r="AC108" s="568"/>
      <c r="AD108" s="568"/>
      <c r="AE108" s="568"/>
      <c r="AF108" s="568"/>
      <c r="AG108" s="568"/>
      <c r="AH108" s="1005"/>
      <c r="AI108" s="1005"/>
      <c r="AJ108" s="1005"/>
      <c r="AK108" s="1005"/>
    </row>
    <row r="109" spans="4:37" ht="18" x14ac:dyDescent="0.35">
      <c r="D109" s="37" t="s">
        <v>88</v>
      </c>
      <c r="E109" s="2708"/>
      <c r="F109" s="2711"/>
      <c r="G109" s="121">
        <v>0.1</v>
      </c>
      <c r="H109" s="973"/>
      <c r="I109" s="987"/>
      <c r="J109" s="1004">
        <v>6.23</v>
      </c>
      <c r="K109" s="121">
        <v>3.97</v>
      </c>
      <c r="L109" s="121">
        <v>5.1100000000000003</v>
      </c>
      <c r="M109" s="488">
        <v>5.36</v>
      </c>
      <c r="N109" s="488">
        <v>9.9600000000000009</v>
      </c>
      <c r="O109" s="488">
        <v>10.14</v>
      </c>
      <c r="P109" s="488">
        <v>9.98</v>
      </c>
      <c r="Q109" s="488">
        <v>10.06</v>
      </c>
      <c r="R109" s="488">
        <v>9.68</v>
      </c>
      <c r="S109" s="488">
        <v>9.5299999999999994</v>
      </c>
      <c r="T109" s="488">
        <v>10.44</v>
      </c>
      <c r="U109" s="488">
        <v>10.119999999999999</v>
      </c>
      <c r="V109" s="488">
        <v>10.18</v>
      </c>
      <c r="W109" s="488">
        <v>10.24</v>
      </c>
      <c r="X109" s="568">
        <v>9.8699999999999992</v>
      </c>
      <c r="Y109" s="568">
        <v>9.8699999999999992</v>
      </c>
      <c r="Z109" s="568">
        <v>9.8699999999999992</v>
      </c>
      <c r="AA109" s="568"/>
      <c r="AB109" s="568"/>
      <c r="AC109" s="568"/>
      <c r="AD109" s="568"/>
      <c r="AE109" s="568"/>
      <c r="AF109" s="568"/>
      <c r="AG109" s="568"/>
      <c r="AH109" s="1005"/>
      <c r="AI109" s="1005"/>
      <c r="AJ109" s="1005"/>
      <c r="AK109" s="1005"/>
    </row>
    <row r="110" spans="4:37" x14ac:dyDescent="0.35">
      <c r="D110" s="37" t="s">
        <v>379</v>
      </c>
      <c r="E110" s="2708"/>
      <c r="F110" s="2711"/>
      <c r="G110" s="121">
        <v>0.1</v>
      </c>
      <c r="H110" s="973"/>
      <c r="I110" s="987"/>
      <c r="J110" s="1004">
        <v>7.1</v>
      </c>
      <c r="K110" s="121">
        <v>3.76</v>
      </c>
      <c r="L110" s="121">
        <v>8.26</v>
      </c>
      <c r="M110" s="488">
        <v>3.85</v>
      </c>
      <c r="N110" s="488">
        <v>5.97</v>
      </c>
      <c r="O110" s="488">
        <v>6.61</v>
      </c>
      <c r="P110" s="488">
        <v>6.63</v>
      </c>
      <c r="Q110" s="488">
        <v>7.15</v>
      </c>
      <c r="R110" s="488">
        <v>6.65</v>
      </c>
      <c r="S110" s="488">
        <v>6.43</v>
      </c>
      <c r="T110" s="488">
        <v>6.95</v>
      </c>
      <c r="U110" s="488">
        <v>6.46</v>
      </c>
      <c r="V110" s="488">
        <v>6.82</v>
      </c>
      <c r="W110" s="488">
        <v>6.76</v>
      </c>
      <c r="X110" s="568">
        <v>7.04</v>
      </c>
      <c r="Y110" s="568">
        <v>7.04</v>
      </c>
      <c r="Z110" s="568">
        <v>7.04</v>
      </c>
      <c r="AA110" s="568"/>
      <c r="AB110" s="568"/>
      <c r="AC110" s="568"/>
      <c r="AD110" s="568"/>
      <c r="AE110" s="568"/>
      <c r="AF110" s="568"/>
      <c r="AG110" s="568"/>
      <c r="AH110" s="1005"/>
      <c r="AI110" s="1005"/>
      <c r="AJ110" s="1005"/>
      <c r="AK110" s="1005"/>
    </row>
    <row r="111" spans="4:37" ht="18" x14ac:dyDescent="0.45">
      <c r="D111" s="23" t="s">
        <v>89</v>
      </c>
      <c r="E111" s="2708"/>
      <c r="F111" s="2711"/>
      <c r="G111" s="122">
        <v>0.1</v>
      </c>
      <c r="H111" s="972"/>
      <c r="I111" s="986"/>
      <c r="J111" s="1006">
        <v>8.67</v>
      </c>
      <c r="K111" s="122">
        <v>6.83</v>
      </c>
      <c r="L111" s="122">
        <v>6.02</v>
      </c>
      <c r="M111" s="489">
        <v>3.91</v>
      </c>
      <c r="N111" s="489">
        <v>3.82</v>
      </c>
      <c r="O111" s="489">
        <v>5.28</v>
      </c>
      <c r="P111" s="489">
        <v>5.93</v>
      </c>
      <c r="Q111" s="489">
        <v>7.85</v>
      </c>
      <c r="R111" s="489">
        <v>7.04</v>
      </c>
      <c r="S111" s="489">
        <v>7.2</v>
      </c>
      <c r="T111" s="489">
        <v>7.24</v>
      </c>
      <c r="U111" s="489">
        <v>5.23</v>
      </c>
      <c r="V111" s="489">
        <v>6.38</v>
      </c>
      <c r="W111" s="489">
        <v>5.68</v>
      </c>
      <c r="X111" s="569">
        <v>8.67</v>
      </c>
      <c r="Y111" s="569">
        <v>8.67</v>
      </c>
      <c r="Z111" s="569">
        <v>8.67</v>
      </c>
      <c r="AA111" s="569"/>
      <c r="AB111" s="569"/>
      <c r="AC111" s="569"/>
      <c r="AD111" s="569"/>
      <c r="AE111" s="569"/>
      <c r="AF111" s="569"/>
      <c r="AG111" s="569"/>
      <c r="AH111" s="1007"/>
      <c r="AI111" s="1007"/>
      <c r="AJ111" s="1007"/>
      <c r="AK111" s="1007"/>
    </row>
    <row r="112" spans="4:37" ht="18.5" thickBot="1" x14ac:dyDescent="0.5">
      <c r="D112" s="233" t="s">
        <v>380</v>
      </c>
      <c r="E112" s="2708"/>
      <c r="F112" s="2711"/>
      <c r="G112" s="123">
        <v>0.04</v>
      </c>
      <c r="H112" s="974"/>
      <c r="I112" s="988"/>
      <c r="J112" s="1008">
        <v>12.33</v>
      </c>
      <c r="K112" s="123">
        <v>30.83</v>
      </c>
      <c r="L112" s="123">
        <v>10.039999999999999</v>
      </c>
      <c r="M112" s="490">
        <v>1.85</v>
      </c>
      <c r="N112" s="490">
        <v>0.92</v>
      </c>
      <c r="O112" s="490">
        <v>1.03</v>
      </c>
      <c r="P112" s="490">
        <v>0.99</v>
      </c>
      <c r="Q112" s="490">
        <v>1.94</v>
      </c>
      <c r="R112" s="490">
        <v>1.68</v>
      </c>
      <c r="S112" s="490">
        <v>1.7</v>
      </c>
      <c r="T112" s="490">
        <v>1.45</v>
      </c>
      <c r="U112" s="490">
        <v>0.7</v>
      </c>
      <c r="V112" s="490">
        <v>0.62</v>
      </c>
      <c r="W112" s="490">
        <v>0.51</v>
      </c>
      <c r="X112" s="570">
        <v>1.63</v>
      </c>
      <c r="Y112" s="570">
        <v>1.63</v>
      </c>
      <c r="Z112" s="570">
        <v>1.63</v>
      </c>
      <c r="AA112" s="570"/>
      <c r="AB112" s="570"/>
      <c r="AC112" s="570"/>
      <c r="AD112" s="570"/>
      <c r="AE112" s="570"/>
      <c r="AF112" s="570"/>
      <c r="AG112" s="570"/>
      <c r="AH112" s="1009"/>
      <c r="AI112" s="1009"/>
      <c r="AJ112" s="1009"/>
      <c r="AK112" s="1009"/>
    </row>
    <row r="113" spans="4:37" s="237" customFormat="1" ht="16.5" thickTop="1" x14ac:dyDescent="0.35">
      <c r="D113" s="234" t="s">
        <v>378</v>
      </c>
      <c r="E113" s="2708"/>
      <c r="F113" s="2711"/>
      <c r="G113" s="235">
        <v>0</v>
      </c>
      <c r="H113" s="975"/>
      <c r="I113" s="989"/>
      <c r="J113" s="998">
        <f>1.73/J110</f>
        <v>0.24366197183098592</v>
      </c>
      <c r="K113" s="447">
        <f>0.75/K110</f>
        <v>0.199468085106383</v>
      </c>
      <c r="L113" s="447">
        <f>2.42/L110</f>
        <v>0.29297820823244553</v>
      </c>
      <c r="M113" s="447">
        <f>0.81/M110</f>
        <v>0.2103896103896104</v>
      </c>
      <c r="N113" s="447">
        <f>1.36/N110</f>
        <v>0.22780569514237858</v>
      </c>
      <c r="O113" s="447">
        <v>0.22</v>
      </c>
      <c r="P113" s="447">
        <v>0.22</v>
      </c>
      <c r="Q113" s="447">
        <v>0.21</v>
      </c>
      <c r="R113" s="447">
        <v>0.22</v>
      </c>
      <c r="S113" s="447">
        <v>0.22</v>
      </c>
      <c r="T113" s="447">
        <v>0.23</v>
      </c>
      <c r="U113" s="447">
        <v>0.24</v>
      </c>
      <c r="V113" s="447">
        <v>0.24</v>
      </c>
      <c r="W113" s="447">
        <v>0.24</v>
      </c>
      <c r="X113" s="571">
        <v>0.23</v>
      </c>
      <c r="Y113" s="571">
        <v>0.23</v>
      </c>
      <c r="Z113" s="571">
        <v>0.23</v>
      </c>
      <c r="AA113" s="571"/>
      <c r="AB113" s="571"/>
      <c r="AC113" s="571"/>
      <c r="AD113" s="571"/>
      <c r="AE113" s="571"/>
      <c r="AF113" s="571"/>
      <c r="AG113" s="571"/>
      <c r="AH113" s="1010"/>
      <c r="AI113" s="1010"/>
      <c r="AJ113" s="1010"/>
      <c r="AK113" s="1010"/>
    </row>
    <row r="114" spans="4:37" x14ac:dyDescent="0.35">
      <c r="D114" s="37" t="s">
        <v>90</v>
      </c>
      <c r="E114" s="2708"/>
      <c r="F114" s="2711"/>
      <c r="G114" s="121">
        <v>0</v>
      </c>
      <c r="H114" s="973"/>
      <c r="I114" s="987"/>
      <c r="J114" s="993">
        <v>0</v>
      </c>
      <c r="K114" s="488">
        <v>0</v>
      </c>
      <c r="L114" s="488">
        <v>0</v>
      </c>
      <c r="M114" s="488">
        <v>0</v>
      </c>
      <c r="N114" s="488">
        <v>0</v>
      </c>
      <c r="O114" s="488">
        <v>0</v>
      </c>
      <c r="P114" s="488">
        <v>0</v>
      </c>
      <c r="Q114" s="488">
        <v>0</v>
      </c>
      <c r="R114" s="488">
        <v>0</v>
      </c>
      <c r="S114" s="488">
        <v>0</v>
      </c>
      <c r="T114" s="488">
        <v>0</v>
      </c>
      <c r="U114" s="488">
        <v>0</v>
      </c>
      <c r="V114" s="488">
        <v>0</v>
      </c>
      <c r="W114" s="488">
        <v>0</v>
      </c>
      <c r="X114" s="568">
        <v>0</v>
      </c>
      <c r="Y114" s="568">
        <v>0</v>
      </c>
      <c r="Z114" s="568">
        <v>0</v>
      </c>
      <c r="AA114" s="568"/>
      <c r="AB114" s="568"/>
      <c r="AC114" s="568"/>
      <c r="AD114" s="568"/>
      <c r="AE114" s="568"/>
      <c r="AF114" s="568"/>
      <c r="AG114" s="568"/>
      <c r="AH114" s="1005"/>
      <c r="AI114" s="1005"/>
      <c r="AJ114" s="1005"/>
      <c r="AK114" s="1005"/>
    </row>
    <row r="115" spans="4:37" ht="18" x14ac:dyDescent="0.35">
      <c r="D115" s="37" t="s">
        <v>91</v>
      </c>
      <c r="E115" s="2708"/>
      <c r="F115" s="2711"/>
      <c r="G115" s="121">
        <v>0</v>
      </c>
      <c r="H115" s="973"/>
      <c r="I115" s="987"/>
      <c r="J115" s="993">
        <v>0</v>
      </c>
      <c r="K115" s="488">
        <v>0.05</v>
      </c>
      <c r="L115" s="488">
        <v>0</v>
      </c>
      <c r="M115" s="488">
        <v>0</v>
      </c>
      <c r="N115" s="488">
        <v>0</v>
      </c>
      <c r="O115" s="488">
        <v>0</v>
      </c>
      <c r="P115" s="488">
        <v>0</v>
      </c>
      <c r="Q115" s="488">
        <v>0</v>
      </c>
      <c r="R115" s="488">
        <v>0</v>
      </c>
      <c r="S115" s="488">
        <v>0</v>
      </c>
      <c r="T115" s="488">
        <v>0</v>
      </c>
      <c r="U115" s="488">
        <v>0</v>
      </c>
      <c r="V115" s="488">
        <v>0</v>
      </c>
      <c r="W115" s="488">
        <v>0</v>
      </c>
      <c r="X115" s="568">
        <v>0</v>
      </c>
      <c r="Y115" s="568">
        <v>0</v>
      </c>
      <c r="Z115" s="568">
        <v>0</v>
      </c>
      <c r="AA115" s="568"/>
      <c r="AB115" s="568"/>
      <c r="AC115" s="568"/>
      <c r="AD115" s="568"/>
      <c r="AE115" s="568"/>
      <c r="AF115" s="568"/>
      <c r="AG115" s="568"/>
      <c r="AH115" s="1005"/>
      <c r="AI115" s="1005"/>
      <c r="AJ115" s="1005"/>
      <c r="AK115" s="1005"/>
    </row>
    <row r="116" spans="4:37" ht="18" x14ac:dyDescent="0.45">
      <c r="D116" s="30" t="s">
        <v>85</v>
      </c>
      <c r="E116" s="2708"/>
      <c r="F116" s="2711"/>
      <c r="G116" s="123">
        <v>0</v>
      </c>
      <c r="H116" s="974"/>
      <c r="I116" s="988"/>
      <c r="J116" s="996">
        <v>0</v>
      </c>
      <c r="K116" s="490">
        <v>0</v>
      </c>
      <c r="L116" s="490">
        <v>0</v>
      </c>
      <c r="M116" s="490">
        <v>0</v>
      </c>
      <c r="N116" s="490">
        <v>0</v>
      </c>
      <c r="O116" s="490">
        <v>0</v>
      </c>
      <c r="P116" s="490">
        <v>0</v>
      </c>
      <c r="Q116" s="490">
        <v>0</v>
      </c>
      <c r="R116" s="490">
        <v>0</v>
      </c>
      <c r="S116" s="490">
        <v>0</v>
      </c>
      <c r="T116" s="490">
        <v>0</v>
      </c>
      <c r="U116" s="490">
        <v>0</v>
      </c>
      <c r="V116" s="490">
        <v>0</v>
      </c>
      <c r="W116" s="490">
        <v>0</v>
      </c>
      <c r="X116" s="570">
        <v>0</v>
      </c>
      <c r="Y116" s="570">
        <v>0</v>
      </c>
      <c r="Z116" s="570">
        <v>0</v>
      </c>
      <c r="AA116" s="570"/>
      <c r="AB116" s="570"/>
      <c r="AC116" s="570"/>
      <c r="AD116" s="570"/>
      <c r="AE116" s="570"/>
      <c r="AF116" s="570"/>
      <c r="AG116" s="570"/>
      <c r="AH116" s="1009"/>
      <c r="AI116" s="1009"/>
      <c r="AJ116" s="1009"/>
      <c r="AK116" s="1009"/>
    </row>
    <row r="117" spans="4:37" ht="18.5" thickBot="1" x14ac:dyDescent="0.4">
      <c r="D117" s="124" t="s">
        <v>165</v>
      </c>
      <c r="E117" s="2709"/>
      <c r="F117" s="2712"/>
      <c r="G117" s="125">
        <v>0.04</v>
      </c>
      <c r="H117" s="976"/>
      <c r="I117" s="990"/>
      <c r="J117" s="1000">
        <v>0.3</v>
      </c>
      <c r="K117" s="491">
        <v>0.36</v>
      </c>
      <c r="L117" s="491">
        <v>0.2</v>
      </c>
      <c r="M117" s="491">
        <v>0.32</v>
      </c>
      <c r="N117" s="491">
        <v>0.38</v>
      </c>
      <c r="O117" s="491">
        <v>0</v>
      </c>
      <c r="P117" s="491">
        <v>0.19</v>
      </c>
      <c r="Q117" s="491">
        <v>0</v>
      </c>
      <c r="R117" s="491">
        <v>0.72</v>
      </c>
      <c r="S117" s="491">
        <v>0.85</v>
      </c>
      <c r="T117" s="491">
        <v>0.6</v>
      </c>
      <c r="U117" s="491">
        <v>0.42</v>
      </c>
      <c r="V117" s="491">
        <v>0.15</v>
      </c>
      <c r="W117" s="491">
        <v>0.15</v>
      </c>
      <c r="X117" s="572">
        <v>0.17</v>
      </c>
      <c r="Y117" s="572">
        <v>0.17</v>
      </c>
      <c r="Z117" s="572">
        <v>0.17</v>
      </c>
      <c r="AA117" s="572"/>
      <c r="AB117" s="572"/>
      <c r="AC117" s="572"/>
      <c r="AD117" s="572"/>
      <c r="AE117" s="572"/>
      <c r="AF117" s="572"/>
      <c r="AG117" s="572"/>
      <c r="AH117" s="1011"/>
      <c r="AI117" s="1011"/>
      <c r="AJ117" s="1011"/>
      <c r="AK117" s="1011"/>
    </row>
    <row r="118" spans="4:37" x14ac:dyDescent="0.35">
      <c r="T118" s="147"/>
    </row>
    <row r="119" spans="4:37" x14ac:dyDescent="0.35">
      <c r="M119" s="18" t="s">
        <v>644</v>
      </c>
    </row>
    <row r="120" spans="4:37" x14ac:dyDescent="0.35">
      <c r="L120" s="2706"/>
      <c r="N120" s="44" t="s">
        <v>64</v>
      </c>
      <c r="O120" s="88">
        <v>18.8</v>
      </c>
      <c r="P120" s="88">
        <v>18.399999999999999</v>
      </c>
      <c r="Q120" s="88">
        <v>19.399999999999999</v>
      </c>
      <c r="R120" s="88">
        <v>17.399999999999999</v>
      </c>
      <c r="S120" s="88">
        <v>15.7</v>
      </c>
      <c r="T120" s="88">
        <v>13.8</v>
      </c>
      <c r="U120" s="88">
        <v>13.5</v>
      </c>
      <c r="X120" s="18"/>
    </row>
    <row r="121" spans="4:37" x14ac:dyDescent="0.35">
      <c r="L121" s="2706"/>
      <c r="N121" s="44" t="s">
        <v>65</v>
      </c>
      <c r="O121" s="88">
        <v>76.599999999999994</v>
      </c>
      <c r="P121" s="88">
        <v>72.3</v>
      </c>
      <c r="Q121" s="88">
        <v>68.400000000000006</v>
      </c>
      <c r="R121" s="88">
        <v>68.2</v>
      </c>
      <c r="S121" s="88">
        <v>66.599999999999994</v>
      </c>
      <c r="T121" s="88">
        <v>68.7</v>
      </c>
      <c r="U121" s="88">
        <v>69.7</v>
      </c>
      <c r="X121" s="18"/>
    </row>
    <row r="122" spans="4:37" x14ac:dyDescent="0.35">
      <c r="L122" s="2706"/>
      <c r="N122" s="44" t="s">
        <v>66</v>
      </c>
      <c r="O122" s="86">
        <v>0</v>
      </c>
      <c r="P122" s="86">
        <v>4.7</v>
      </c>
      <c r="Q122" s="86">
        <v>5.6</v>
      </c>
      <c r="R122" s="86">
        <v>7.5</v>
      </c>
      <c r="S122" s="86">
        <v>7.4</v>
      </c>
      <c r="T122" s="86">
        <v>9.1999999999999993</v>
      </c>
      <c r="U122" s="86">
        <v>8.6999999999999993</v>
      </c>
      <c r="X122" s="18"/>
    </row>
    <row r="123" spans="4:37" x14ac:dyDescent="0.35">
      <c r="L123" s="2706"/>
      <c r="N123" s="44" t="s">
        <v>67</v>
      </c>
      <c r="O123" s="88">
        <v>4.7</v>
      </c>
      <c r="P123" s="88">
        <v>4.5999999999999996</v>
      </c>
      <c r="Q123" s="88">
        <v>6.7</v>
      </c>
      <c r="R123" s="88">
        <v>7</v>
      </c>
      <c r="S123" s="88">
        <v>10.3</v>
      </c>
      <c r="T123" s="88">
        <v>8.3000000000000007</v>
      </c>
      <c r="U123" s="88">
        <v>8.1</v>
      </c>
      <c r="X123" s="18"/>
    </row>
    <row r="124" spans="4:37" x14ac:dyDescent="0.35">
      <c r="L124" s="2706"/>
      <c r="N124" s="44" t="s">
        <v>320</v>
      </c>
      <c r="O124" s="63">
        <f>(O$75+O$72)/(O$74+O$73)</f>
        <v>0.35459224137931045</v>
      </c>
      <c r="P124" s="63">
        <f t="shared" ref="P124:U124" si="28">(P$75+P$72)/(P$74+P$73)</f>
        <v>0.37170689655172412</v>
      </c>
      <c r="Q124" s="63">
        <f t="shared" si="28"/>
        <v>0.41891379310344823</v>
      </c>
      <c r="R124" s="63">
        <f t="shared" si="28"/>
        <v>0.39642241379310345</v>
      </c>
      <c r="S124" s="63">
        <f t="shared" si="28"/>
        <v>0.38918965517241377</v>
      </c>
      <c r="T124" s="63">
        <f t="shared" si="28"/>
        <v>0.40771551724137922</v>
      </c>
      <c r="U124" s="63">
        <f t="shared" si="28"/>
        <v>0.43099137931034487</v>
      </c>
      <c r="X124" s="18"/>
    </row>
    <row r="127" spans="4:37" x14ac:dyDescent="0.35">
      <c r="O127" s="713"/>
      <c r="P127" s="713"/>
      <c r="Q127" s="713"/>
      <c r="R127" s="713"/>
      <c r="S127" s="713"/>
      <c r="T127" s="713"/>
    </row>
    <row r="128" spans="4:37" x14ac:dyDescent="0.35">
      <c r="O128" s="713"/>
      <c r="P128" s="713"/>
      <c r="Q128" s="713"/>
      <c r="R128" s="713"/>
      <c r="S128" s="713"/>
      <c r="T128" s="713"/>
    </row>
  </sheetData>
  <mergeCells count="27">
    <mergeCell ref="E106:E117"/>
    <mergeCell ref="F106:F117"/>
    <mergeCell ref="L120:L124"/>
    <mergeCell ref="E74:E78"/>
    <mergeCell ref="F74:F78"/>
    <mergeCell ref="E80:E86"/>
    <mergeCell ref="F80:F86"/>
    <mergeCell ref="E93:E104"/>
    <mergeCell ref="F93:F104"/>
    <mergeCell ref="E41:E46"/>
    <mergeCell ref="F41:F46"/>
    <mergeCell ref="E50:E63"/>
    <mergeCell ref="F50:F64"/>
    <mergeCell ref="E66:E72"/>
    <mergeCell ref="F66:F72"/>
    <mergeCell ref="F26:F29"/>
    <mergeCell ref="D1:J1"/>
    <mergeCell ref="N3:X3"/>
    <mergeCell ref="J4:M4"/>
    <mergeCell ref="N4:X4"/>
    <mergeCell ref="E13:E19"/>
    <mergeCell ref="F13:F19"/>
    <mergeCell ref="D20:D22"/>
    <mergeCell ref="E21:E22"/>
    <mergeCell ref="D23:D25"/>
    <mergeCell ref="E24:E25"/>
    <mergeCell ref="E26:E29"/>
  </mergeCells>
  <printOptions horizontalCentered="1"/>
  <pageMargins left="0.24" right="0.17" top="0.52" bottom="0.38" header="0.31496062992126" footer="0.16"/>
  <pageSetup paperSize="9" scale="47" orientation="portrait" r:id="rId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1D364-195E-4D14-B381-D60CB5D5CF65}">
  <sheetPr codeName="Sheet32">
    <tabColor rgb="FFFFFF00"/>
    <pageSetUpPr fitToPage="1"/>
  </sheetPr>
  <dimension ref="B1:AI95"/>
  <sheetViews>
    <sheetView showGridLines="0" zoomScale="49" zoomScaleNormal="70" zoomScaleSheetLayoutView="100" workbookViewId="0">
      <pane xSplit="5" ySplit="7" topLeftCell="F9" activePane="bottomRight" state="frozen"/>
      <selection activeCell="F9" sqref="F9"/>
      <selection pane="topRight" activeCell="F9" sqref="F9"/>
      <selection pane="bottomLeft" activeCell="F9" sqref="F9"/>
      <selection pane="bottomRight" activeCell="F9" sqref="F9"/>
    </sheetView>
  </sheetViews>
  <sheetFormatPr defaultColWidth="9.26953125" defaultRowHeight="16" x14ac:dyDescent="0.35"/>
  <cols>
    <col min="1" max="2" width="9.26953125" style="7"/>
    <col min="3" max="3" width="1" style="7" customWidth="1"/>
    <col min="4" max="4" width="31.26953125" style="18" customWidth="1"/>
    <col min="5" max="5" width="31.7265625" style="18" bestFit="1" customWidth="1"/>
    <col min="6" max="6" width="14.453125" style="18" customWidth="1"/>
    <col min="7" max="22" width="22.7265625" style="18" customWidth="1"/>
    <col min="23" max="24" width="22.7265625" style="13" customWidth="1"/>
    <col min="25" max="30" width="22.7265625" style="7" customWidth="1"/>
    <col min="31" max="16384" width="9.26953125" style="7"/>
  </cols>
  <sheetData>
    <row r="1" spans="4:35" ht="26.25" customHeight="1" x14ac:dyDescent="0.55000000000000004">
      <c r="D1" s="2676" t="s">
        <v>5</v>
      </c>
      <c r="E1" s="2676"/>
      <c r="F1" s="2676"/>
      <c r="G1" s="2676"/>
      <c r="H1" s="2676"/>
      <c r="I1" s="4"/>
      <c r="J1" s="4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</row>
    <row r="2" spans="4:35" ht="30.75" customHeight="1" x14ac:dyDescent="0.35">
      <c r="D2" s="8" t="s">
        <v>6</v>
      </c>
      <c r="E2" s="9" t="s">
        <v>7</v>
      </c>
      <c r="F2" s="10"/>
      <c r="G2" s="10"/>
      <c r="H2" s="11"/>
      <c r="I2" s="11"/>
      <c r="J2" s="11"/>
      <c r="K2" s="11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4:35" ht="26.25" customHeight="1" x14ac:dyDescent="0.35">
      <c r="D3" s="8" t="s">
        <v>8</v>
      </c>
      <c r="E3" s="14" t="s">
        <v>432</v>
      </c>
      <c r="F3" s="15"/>
      <c r="G3" s="15"/>
      <c r="H3" s="11"/>
      <c r="I3" s="11"/>
      <c r="J3" s="11"/>
      <c r="K3" s="11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4:35" ht="28.5" customHeight="1" x14ac:dyDescent="0.45">
      <c r="D4" s="8" t="s">
        <v>9</v>
      </c>
      <c r="E4" s="16" t="s">
        <v>10</v>
      </c>
      <c r="F4" s="15"/>
      <c r="G4" s="15"/>
      <c r="H4" s="2772" t="s">
        <v>149</v>
      </c>
      <c r="I4" s="2772"/>
      <c r="J4" s="2772"/>
      <c r="K4" s="2772"/>
      <c r="L4" s="2772"/>
      <c r="M4" s="2772"/>
      <c r="N4" s="2772"/>
      <c r="O4" s="2772"/>
      <c r="P4" s="2772"/>
      <c r="Q4" s="2772"/>
      <c r="R4" s="2772"/>
      <c r="S4" s="2772"/>
      <c r="T4" s="2772"/>
      <c r="U4" s="2772"/>
      <c r="V4" s="2772"/>
      <c r="W4" s="213"/>
      <c r="X4" s="213"/>
    </row>
    <row r="5" spans="4:35" ht="31.5" customHeight="1" x14ac:dyDescent="0.35">
      <c r="D5" s="17"/>
      <c r="G5" s="18" t="s">
        <v>355</v>
      </c>
      <c r="H5" s="211">
        <v>1</v>
      </c>
      <c r="I5" s="212">
        <v>2</v>
      </c>
      <c r="J5" s="212">
        <v>3</v>
      </c>
      <c r="K5" s="212">
        <v>4</v>
      </c>
      <c r="L5" s="211">
        <v>5</v>
      </c>
      <c r="M5" s="212">
        <v>6</v>
      </c>
      <c r="N5" s="212">
        <v>7</v>
      </c>
      <c r="O5" s="212">
        <v>8</v>
      </c>
      <c r="P5" s="212">
        <v>9</v>
      </c>
      <c r="Q5" s="212">
        <v>10</v>
      </c>
      <c r="R5" s="211">
        <v>11</v>
      </c>
      <c r="S5" s="212">
        <v>12</v>
      </c>
      <c r="T5" s="212">
        <v>13</v>
      </c>
      <c r="U5" s="212">
        <v>14</v>
      </c>
      <c r="V5" s="212">
        <v>15</v>
      </c>
      <c r="W5" s="212">
        <v>16</v>
      </c>
      <c r="X5" s="212">
        <v>17</v>
      </c>
      <c r="Y5" s="212">
        <v>18</v>
      </c>
      <c r="Z5" s="212">
        <v>19</v>
      </c>
      <c r="AA5" s="212">
        <v>20</v>
      </c>
      <c r="AB5" s="212">
        <v>21</v>
      </c>
      <c r="AC5" s="212">
        <v>22</v>
      </c>
      <c r="AD5" s="212">
        <v>23</v>
      </c>
      <c r="AE5" s="212">
        <v>24</v>
      </c>
      <c r="AF5" s="212">
        <v>25</v>
      </c>
      <c r="AG5" s="212">
        <v>26</v>
      </c>
      <c r="AH5" s="212">
        <v>27</v>
      </c>
      <c r="AI5" s="212">
        <v>28</v>
      </c>
    </row>
    <row r="6" spans="4:35" ht="17.25" customHeight="1" thickBot="1" x14ac:dyDescent="0.4">
      <c r="D6" s="17"/>
      <c r="G6" s="18" t="s">
        <v>354</v>
      </c>
      <c r="H6" s="184"/>
      <c r="I6" s="12"/>
      <c r="J6" s="12"/>
      <c r="K6" s="12"/>
      <c r="L6" s="210"/>
      <c r="M6" s="12"/>
      <c r="N6" s="12"/>
      <c r="O6" s="12"/>
      <c r="P6" s="12"/>
      <c r="Q6" s="12"/>
      <c r="R6" s="184"/>
      <c r="S6" s="12"/>
      <c r="T6" s="12"/>
      <c r="U6" s="12"/>
      <c r="V6" s="12"/>
      <c r="W6" s="576" t="s">
        <v>585</v>
      </c>
      <c r="X6" s="18" t="s">
        <v>584</v>
      </c>
    </row>
    <row r="7" spans="4:35" ht="16.5" thickBot="1" x14ac:dyDescent="0.4">
      <c r="D7" s="19" t="s">
        <v>11</v>
      </c>
      <c r="E7" s="20" t="s">
        <v>12</v>
      </c>
      <c r="F7" s="21" t="s">
        <v>13</v>
      </c>
      <c r="G7" s="22"/>
      <c r="H7" s="22" t="s">
        <v>0</v>
      </c>
      <c r="I7" s="22" t="s">
        <v>0</v>
      </c>
      <c r="J7" s="22" t="s">
        <v>0</v>
      </c>
      <c r="K7" s="209" t="s">
        <v>0</v>
      </c>
      <c r="L7" s="111" t="s">
        <v>0</v>
      </c>
      <c r="M7" s="111" t="s">
        <v>0</v>
      </c>
      <c r="N7" s="111" t="s">
        <v>0</v>
      </c>
      <c r="O7" s="111" t="s">
        <v>0</v>
      </c>
      <c r="P7" s="111" t="s">
        <v>0</v>
      </c>
      <c r="Q7" s="111" t="s">
        <v>0</v>
      </c>
      <c r="R7" s="22" t="s">
        <v>0</v>
      </c>
      <c r="S7" s="22" t="s">
        <v>0</v>
      </c>
      <c r="T7" s="22" t="s">
        <v>0</v>
      </c>
      <c r="U7" s="22" t="s">
        <v>0</v>
      </c>
      <c r="V7" s="22" t="s">
        <v>0</v>
      </c>
      <c r="W7" s="22" t="s">
        <v>0</v>
      </c>
      <c r="X7" s="22" t="s">
        <v>0</v>
      </c>
      <c r="Y7" s="22" t="s">
        <v>0</v>
      </c>
      <c r="Z7" s="22" t="s">
        <v>0</v>
      </c>
      <c r="AA7" s="22" t="s">
        <v>0</v>
      </c>
      <c r="AB7" s="22" t="s">
        <v>0</v>
      </c>
      <c r="AC7" s="22" t="s">
        <v>0</v>
      </c>
      <c r="AD7" s="22" t="s">
        <v>0</v>
      </c>
      <c r="AE7" s="22" t="s">
        <v>0</v>
      </c>
      <c r="AF7" s="22" t="s">
        <v>0</v>
      </c>
      <c r="AG7" s="22" t="s">
        <v>0</v>
      </c>
      <c r="AH7" s="22" t="s">
        <v>0</v>
      </c>
      <c r="AI7" s="22" t="s">
        <v>0</v>
      </c>
    </row>
    <row r="8" spans="4:35" ht="19.5" customHeight="1" x14ac:dyDescent="0.35">
      <c r="D8" s="23" t="s">
        <v>16</v>
      </c>
      <c r="E8" s="24" t="s">
        <v>17</v>
      </c>
      <c r="F8" s="25" t="s">
        <v>18</v>
      </c>
      <c r="G8" s="26"/>
      <c r="H8" s="27"/>
      <c r="I8" s="27"/>
      <c r="J8" s="28"/>
      <c r="K8" s="28"/>
      <c r="L8" s="28"/>
      <c r="M8" s="28"/>
      <c r="N8" s="28"/>
      <c r="O8" s="28"/>
      <c r="P8" s="28"/>
      <c r="Q8" s="28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</row>
    <row r="9" spans="4:35" ht="19.5" customHeight="1" x14ac:dyDescent="0.35">
      <c r="D9" s="30" t="s">
        <v>433</v>
      </c>
      <c r="E9" s="31" t="s">
        <v>17</v>
      </c>
      <c r="F9" s="32" t="s">
        <v>20</v>
      </c>
      <c r="G9" s="33"/>
      <c r="H9" s="34">
        <v>44</v>
      </c>
      <c r="I9" s="34">
        <v>43.8</v>
      </c>
      <c r="J9" s="35">
        <v>45.66</v>
      </c>
      <c r="K9" s="35">
        <v>44.2</v>
      </c>
      <c r="L9" s="35">
        <v>43.75</v>
      </c>
      <c r="M9" s="35">
        <v>43.8</v>
      </c>
      <c r="N9" s="35">
        <v>45.4</v>
      </c>
      <c r="O9" s="35">
        <v>45.62</v>
      </c>
      <c r="P9" s="35">
        <v>45.25</v>
      </c>
      <c r="Q9" s="35">
        <v>45.86</v>
      </c>
      <c r="R9" s="36">
        <v>47.55</v>
      </c>
      <c r="S9" s="36">
        <v>45.6</v>
      </c>
      <c r="T9" s="36">
        <v>44.61</v>
      </c>
      <c r="U9" s="36">
        <v>45.7</v>
      </c>
      <c r="V9" s="36">
        <v>46.37</v>
      </c>
      <c r="W9" s="36">
        <v>47.2</v>
      </c>
      <c r="X9" s="36">
        <v>43.4</v>
      </c>
      <c r="Y9" s="36">
        <v>43.4</v>
      </c>
      <c r="Z9" s="36">
        <v>43.4</v>
      </c>
      <c r="AA9" s="36">
        <v>43.4</v>
      </c>
      <c r="AB9" s="36">
        <v>43.4</v>
      </c>
      <c r="AC9" s="36">
        <v>43.4</v>
      </c>
      <c r="AD9" s="36">
        <v>43.4</v>
      </c>
      <c r="AE9" s="36">
        <v>43.4</v>
      </c>
      <c r="AF9" s="36">
        <v>43.4</v>
      </c>
      <c r="AG9" s="36">
        <v>43.4</v>
      </c>
      <c r="AH9" s="36">
        <v>43.4</v>
      </c>
      <c r="AI9" s="36">
        <v>43.4</v>
      </c>
    </row>
    <row r="10" spans="4:35" ht="19.5" customHeight="1" x14ac:dyDescent="0.35">
      <c r="D10" s="37" t="s">
        <v>21</v>
      </c>
      <c r="E10" s="31" t="s">
        <v>22</v>
      </c>
      <c r="F10" s="32" t="s">
        <v>23</v>
      </c>
      <c r="G10" s="38"/>
      <c r="H10" s="39">
        <v>0.80549999999999999</v>
      </c>
      <c r="I10" s="39">
        <v>0.80659999999999998</v>
      </c>
      <c r="J10" s="40">
        <v>0.79790000000000005</v>
      </c>
      <c r="K10" s="40">
        <v>0.80449999999999999</v>
      </c>
      <c r="L10" s="40">
        <v>0.80659999999999998</v>
      </c>
      <c r="M10" s="40">
        <v>0.80630000000000002</v>
      </c>
      <c r="N10" s="40">
        <v>0.79920000000000002</v>
      </c>
      <c r="O10" s="40">
        <v>0.79810000000000003</v>
      </c>
      <c r="P10" s="40">
        <v>0.79979999999999996</v>
      </c>
      <c r="Q10" s="40">
        <v>0.79700000000000004</v>
      </c>
      <c r="R10" s="41">
        <v>0.78949999999999998</v>
      </c>
      <c r="S10" s="41">
        <v>0.79830000000000001</v>
      </c>
      <c r="T10" s="41">
        <v>0.80269999999999997</v>
      </c>
      <c r="U10" s="41">
        <v>0.79779999999999995</v>
      </c>
      <c r="V10" s="41">
        <v>0.79469999999999996</v>
      </c>
      <c r="W10" s="41">
        <v>0.79110000000000003</v>
      </c>
      <c r="X10" s="41">
        <v>0.80810000000000004</v>
      </c>
      <c r="Y10" s="41">
        <v>0.80810000000000004</v>
      </c>
      <c r="Z10" s="41">
        <v>0.80810000000000004</v>
      </c>
      <c r="AA10" s="41">
        <v>0.80810000000000004</v>
      </c>
      <c r="AB10" s="41">
        <v>0.80810000000000004</v>
      </c>
      <c r="AC10" s="41">
        <v>0.80810000000000004</v>
      </c>
      <c r="AD10" s="41">
        <v>0.80810000000000004</v>
      </c>
      <c r="AE10" s="41">
        <v>0.80810000000000004</v>
      </c>
      <c r="AF10" s="41">
        <v>0.80810000000000004</v>
      </c>
      <c r="AG10" s="41">
        <v>0.80810000000000004</v>
      </c>
      <c r="AH10" s="41">
        <v>0.80810000000000004</v>
      </c>
      <c r="AI10" s="41">
        <v>0.80810000000000004</v>
      </c>
    </row>
    <row r="11" spans="4:35" ht="19.5" customHeight="1" x14ac:dyDescent="0.35">
      <c r="D11" s="37" t="s">
        <v>24</v>
      </c>
      <c r="E11" s="31" t="s">
        <v>25</v>
      </c>
      <c r="F11" s="32" t="s">
        <v>17</v>
      </c>
      <c r="G11" s="172"/>
      <c r="H11" s="38"/>
      <c r="I11" s="38"/>
      <c r="J11" s="42"/>
      <c r="K11" s="42"/>
      <c r="L11" s="42"/>
      <c r="M11" s="42"/>
      <c r="N11" s="42"/>
      <c r="O11" s="42"/>
      <c r="P11" s="42"/>
      <c r="Q11" s="42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</row>
    <row r="12" spans="4:35" ht="19.5" customHeight="1" x14ac:dyDescent="0.35">
      <c r="D12" s="44" t="s">
        <v>26</v>
      </c>
      <c r="E12" s="2677" t="s">
        <v>27</v>
      </c>
      <c r="F12" s="2680" t="s">
        <v>28</v>
      </c>
      <c r="G12" s="38"/>
      <c r="H12" s="38"/>
      <c r="I12" s="38"/>
      <c r="J12" s="42"/>
      <c r="K12" s="42"/>
      <c r="L12" s="42"/>
      <c r="M12" s="42"/>
      <c r="N12" s="42"/>
      <c r="O12" s="42"/>
      <c r="P12" s="42"/>
      <c r="Q12" s="42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</row>
    <row r="13" spans="4:35" ht="19.5" customHeight="1" x14ac:dyDescent="0.35">
      <c r="D13" s="44" t="s">
        <v>29</v>
      </c>
      <c r="E13" s="2678"/>
      <c r="F13" s="2681"/>
      <c r="G13" s="47"/>
      <c r="H13" s="47"/>
      <c r="I13" s="47"/>
      <c r="J13" s="55"/>
      <c r="K13" s="55"/>
      <c r="L13" s="55"/>
      <c r="M13" s="55"/>
      <c r="N13" s="55"/>
      <c r="O13" s="55"/>
      <c r="P13" s="55"/>
      <c r="Q13" s="55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</row>
    <row r="14" spans="4:35" ht="19.5" customHeight="1" x14ac:dyDescent="0.35">
      <c r="D14" s="44" t="s">
        <v>30</v>
      </c>
      <c r="E14" s="2678"/>
      <c r="F14" s="2681"/>
      <c r="G14" s="47"/>
      <c r="H14" s="49"/>
      <c r="I14" s="50"/>
      <c r="J14" s="51"/>
      <c r="K14" s="51"/>
      <c r="L14" s="51"/>
      <c r="M14" s="51"/>
      <c r="N14" s="51"/>
      <c r="O14" s="51"/>
      <c r="P14" s="51"/>
      <c r="Q14" s="51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</row>
    <row r="15" spans="4:35" ht="19.5" customHeight="1" x14ac:dyDescent="0.35">
      <c r="D15" s="44" t="s">
        <v>31</v>
      </c>
      <c r="E15" s="2678"/>
      <c r="F15" s="2681"/>
      <c r="G15" s="47"/>
      <c r="H15" s="49"/>
      <c r="I15" s="49"/>
      <c r="J15" s="53"/>
      <c r="K15" s="53"/>
      <c r="L15" s="53"/>
      <c r="M15" s="53"/>
      <c r="N15" s="53"/>
      <c r="O15" s="53"/>
      <c r="P15" s="53"/>
      <c r="Q15" s="53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</row>
    <row r="16" spans="4:35" ht="19.5" customHeight="1" x14ac:dyDescent="0.35">
      <c r="D16" s="44" t="s">
        <v>32</v>
      </c>
      <c r="E16" s="2678"/>
      <c r="F16" s="2681"/>
      <c r="G16" s="47"/>
      <c r="H16" s="47"/>
      <c r="I16" s="47"/>
      <c r="J16" s="55"/>
      <c r="K16" s="55"/>
      <c r="L16" s="55"/>
      <c r="M16" s="55"/>
      <c r="N16" s="55"/>
      <c r="O16" s="55"/>
      <c r="P16" s="55"/>
      <c r="Q16" s="55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</row>
    <row r="17" spans="2:35" ht="19.5" customHeight="1" x14ac:dyDescent="0.35">
      <c r="D17" s="44" t="s">
        <v>33</v>
      </c>
      <c r="E17" s="2679"/>
      <c r="F17" s="2682"/>
      <c r="G17" s="57"/>
      <c r="H17" s="47"/>
      <c r="I17" s="47"/>
      <c r="J17" s="55"/>
      <c r="K17" s="55"/>
      <c r="L17" s="55"/>
      <c r="M17" s="55"/>
      <c r="N17" s="55"/>
      <c r="O17" s="55"/>
      <c r="P17" s="55"/>
      <c r="Q17" s="55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</row>
    <row r="18" spans="2:35" ht="19.5" customHeight="1" x14ac:dyDescent="0.35">
      <c r="D18" s="2683" t="s">
        <v>34</v>
      </c>
      <c r="E18" s="58" t="s">
        <v>35</v>
      </c>
      <c r="F18" s="59" t="s">
        <v>36</v>
      </c>
      <c r="G18" s="982" t="s">
        <v>881</v>
      </c>
      <c r="H18" s="60">
        <f>'LTO DAILY'!H18-(0.3856*(('LTO DAILY'!H18*10000)^0.8))/10000</f>
        <v>0</v>
      </c>
      <c r="I18" s="60">
        <f>'LTO DAILY'!I18-(0.3856*(('LTO DAILY'!I18*10000)^0.8))/10000</f>
        <v>0.14961161322260788</v>
      </c>
      <c r="J18" s="60">
        <f>'LTO DAILY'!J18-(0.3856*(('LTO DAILY'!J18*10000)^0.8))/10000</f>
        <v>0.15705280216315032</v>
      </c>
      <c r="K18" s="60">
        <f>'LTO DAILY'!K18-(0.3856*(('LTO DAILY'!K18*10000)^0.8))/10000</f>
        <v>0.14310505771638055</v>
      </c>
      <c r="L18" s="60">
        <f>'LTO DAILY'!L18-(0.3856*(('LTO DAILY'!L18*10000)^0.8))/10000</f>
        <v>0.12061886098501834</v>
      </c>
      <c r="M18" s="60">
        <f>'LTO DAILY'!M18-(0.3856*(('LTO DAILY'!M18*10000)^0.8))/10000</f>
        <v>8.1483887505044927E-2</v>
      </c>
      <c r="N18" s="60">
        <f>'LTO DAILY'!N18-(0.3856*(('LTO DAILY'!N18*10000)^0.8))/10000</f>
        <v>9.3082395049159092E-2</v>
      </c>
      <c r="O18" s="60">
        <f>'LTO DAILY'!O18-(0.3856*(('LTO DAILY'!O18*10000)^0.8))/10000</f>
        <v>9.7699079637204589E-2</v>
      </c>
      <c r="P18" s="60">
        <f>'LTO DAILY'!P18-(0.3856*(('LTO DAILY'!P18*10000)^0.8))/10000</f>
        <v>0.15115986961114528</v>
      </c>
      <c r="Q18" s="60">
        <f>'LTO DAILY'!Q18-(0.3856*(('LTO DAILY'!Q18*10000)^0.8))/10000</f>
        <v>0.1325275227940193</v>
      </c>
      <c r="R18" s="60">
        <f>'LTO DAILY'!R18-(0.3856*(('LTO DAILY'!R18*10000)^0.8))/10000</f>
        <v>0.12426196321508709</v>
      </c>
      <c r="S18" s="60">
        <f>'LTO DAILY'!S18-(0.3856*(('LTO DAILY'!S18*10000)^0.8))/10000</f>
        <v>0.11293045256123964</v>
      </c>
      <c r="T18" s="60">
        <f>'LTO DAILY'!T18-(0.3856*(('LTO DAILY'!T18*10000)^0.8))/10000</f>
        <v>0.11159737800242095</v>
      </c>
      <c r="U18" s="60">
        <f>'LTO DAILY'!U18-(0.3856*(('LTO DAILY'!U18*10000)^0.8))/10000</f>
        <v>0</v>
      </c>
      <c r="V18" s="60">
        <f>'LTO DAILY'!V18-(0.3856*(('LTO DAILY'!V18*10000)^0.8))/10000</f>
        <v>0</v>
      </c>
      <c r="W18" s="60">
        <f>'LTO DAILY'!W18-(0.3856*(('LTO DAILY'!W18*10000)^0.8))/10000</f>
        <v>0</v>
      </c>
      <c r="X18" s="60">
        <f>'LTO DAILY'!X18-(0.3856*(('LTO DAILY'!X18*10000)^0.8))/10000</f>
        <v>0</v>
      </c>
      <c r="Y18" s="60">
        <f>'LTO DAILY'!Y18-(0.3856*(('LTO DAILY'!Y18*10000)^0.8))/10000</f>
        <v>0</v>
      </c>
      <c r="Z18" s="60">
        <f>'LTO DAILY'!Z18-(0.3856*(('LTO DAILY'!Z18*10000)^0.8))/10000</f>
        <v>0</v>
      </c>
      <c r="AA18" s="60">
        <f>'LTO DAILY'!AA18-(0.3856*(('LTO DAILY'!AA18*10000)^0.8))/10000</f>
        <v>0</v>
      </c>
      <c r="AB18" s="60">
        <f>'LTO DAILY'!AB18-(0.3856*(('LTO DAILY'!AB18*10000)^0.8))/10000</f>
        <v>0</v>
      </c>
      <c r="AC18" s="60">
        <f>'LTO DAILY'!AC18-(0.3856*(('LTO DAILY'!AC18*10000)^0.8))/10000</f>
        <v>0</v>
      </c>
      <c r="AD18" s="60">
        <f>'LTO DAILY'!AD18-(0.3856*(('LTO DAILY'!AD18*10000)^0.8))/10000</f>
        <v>0</v>
      </c>
      <c r="AE18" s="60">
        <f>'LTO DAILY'!AE18-(0.3856*(('LTO DAILY'!AE18*10000)^0.8))/10000</f>
        <v>0</v>
      </c>
      <c r="AF18" s="60">
        <f>'LTO DAILY'!AF18-(0.3856*(('LTO DAILY'!AF18*10000)^0.8))/10000</f>
        <v>0</v>
      </c>
      <c r="AG18" s="60">
        <f>'LTO DAILY'!AG18-(0.3856*(('LTO DAILY'!AG18*10000)^0.8))/10000</f>
        <v>0</v>
      </c>
      <c r="AH18" s="60">
        <f>'LTO DAILY'!AH18-(0.3856*(('LTO DAILY'!AH18*10000)^0.8))/10000</f>
        <v>0</v>
      </c>
      <c r="AI18" s="60">
        <f>'LTO DAILY'!AI18-(0.3856*(('LTO DAILY'!AI18*10000)^0.8))/10000</f>
        <v>0</v>
      </c>
    </row>
    <row r="19" spans="2:35" ht="19.5" customHeight="1" x14ac:dyDescent="0.35">
      <c r="D19" s="2683"/>
      <c r="E19" s="2684" t="s">
        <v>37</v>
      </c>
      <c r="F19" s="59" t="s">
        <v>36</v>
      </c>
      <c r="G19" s="47"/>
      <c r="H19" s="47"/>
      <c r="I19" s="47"/>
      <c r="J19" s="55"/>
      <c r="K19" s="55"/>
      <c r="L19" s="55"/>
      <c r="M19" s="55"/>
      <c r="N19" s="55"/>
      <c r="O19" s="55"/>
      <c r="P19" s="55"/>
      <c r="Q19" s="55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</row>
    <row r="20" spans="2:35" ht="19.5" customHeight="1" x14ac:dyDescent="0.35">
      <c r="D20" s="2683"/>
      <c r="E20" s="2684"/>
      <c r="F20" s="59" t="s">
        <v>38</v>
      </c>
      <c r="G20" s="47"/>
      <c r="H20" s="47"/>
      <c r="I20" s="47"/>
      <c r="J20" s="55"/>
      <c r="K20" s="55"/>
      <c r="L20" s="55"/>
      <c r="M20" s="55"/>
      <c r="N20" s="55"/>
      <c r="O20" s="55"/>
      <c r="P20" s="55"/>
      <c r="Q20" s="55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</row>
    <row r="21" spans="2:35" ht="19.5" customHeight="1" x14ac:dyDescent="0.35">
      <c r="D21" s="2686" t="s">
        <v>39</v>
      </c>
      <c r="E21" s="64" t="s">
        <v>40</v>
      </c>
      <c r="F21" s="59" t="s">
        <v>38</v>
      </c>
      <c r="G21" s="65"/>
      <c r="H21" s="47"/>
      <c r="I21" s="47"/>
      <c r="J21" s="55"/>
      <c r="K21" s="55"/>
      <c r="L21" s="55"/>
      <c r="M21" s="55"/>
      <c r="N21" s="55"/>
      <c r="O21" s="55"/>
      <c r="P21" s="55"/>
      <c r="Q21" s="55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</row>
    <row r="22" spans="2:35" ht="19.5" customHeight="1" x14ac:dyDescent="0.35">
      <c r="D22" s="2687"/>
      <c r="E22" s="2677" t="s">
        <v>41</v>
      </c>
      <c r="F22" s="66" t="s">
        <v>38</v>
      </c>
      <c r="G22" s="979" t="s">
        <v>876</v>
      </c>
      <c r="H22" s="68">
        <f>'LTO DAILY'!H22-('LTO DAILY'!H22*0.087)</f>
        <v>0</v>
      </c>
      <c r="I22" s="68">
        <f>'LTO DAILY'!I22-('LTO DAILY'!I22*0.087)</f>
        <v>418.40051</v>
      </c>
      <c r="J22" s="68">
        <f>'LTO DAILY'!J22-('LTO DAILY'!J22*0.087)</f>
        <v>449.19600000000003</v>
      </c>
      <c r="K22" s="68">
        <f>'LTO DAILY'!K22-('LTO DAILY'!K22*0.087)</f>
        <v>496.36158</v>
      </c>
      <c r="L22" s="68">
        <f>'LTO DAILY'!L22-('LTO DAILY'!L22*0.087)</f>
        <v>509.92876000000001</v>
      </c>
      <c r="M22" s="68">
        <f>'LTO DAILY'!M22-('LTO DAILY'!M22*0.087)</f>
        <v>433.35544999999996</v>
      </c>
      <c r="N22" s="68">
        <f>'LTO DAILY'!N22-('LTO DAILY'!N22*0.087)</f>
        <v>501.05439999999999</v>
      </c>
      <c r="O22" s="68">
        <f>'LTO DAILY'!O22-('LTO DAILY'!O22*0.087)</f>
        <v>500.14139999999998</v>
      </c>
      <c r="P22" s="68">
        <f>'LTO DAILY'!P22-('LTO DAILY'!P22*0.087)</f>
        <v>509.79272299999997</v>
      </c>
      <c r="Q22" s="68">
        <f>'LTO DAILY'!Q22-('LTO DAILY'!Q22*0.087)</f>
        <v>523.09422000000006</v>
      </c>
      <c r="R22" s="68">
        <f>'LTO DAILY'!R22-('LTO DAILY'!R22*0.087)</f>
        <v>558.74687000000006</v>
      </c>
      <c r="S22" s="68">
        <f>'LTO DAILY'!S22-('LTO DAILY'!S22*0.087)</f>
        <v>551.35157000000004</v>
      </c>
      <c r="T22" s="68">
        <f>'LTO DAILY'!T22-('LTO DAILY'!T22*0.087)</f>
        <v>563.37577999999996</v>
      </c>
      <c r="U22" s="68">
        <f>'LTO DAILY'!U22-('LTO DAILY'!U22*0.087)</f>
        <v>0</v>
      </c>
      <c r="V22" s="68">
        <f>'LTO DAILY'!V22-('LTO DAILY'!V22*0.087)</f>
        <v>0</v>
      </c>
      <c r="W22" s="68">
        <f>'LTO DAILY'!W22-('LTO DAILY'!W22*0.087)</f>
        <v>0</v>
      </c>
      <c r="X22" s="68">
        <f>'LTO DAILY'!X22-('LTO DAILY'!X22*0.087)</f>
        <v>0</v>
      </c>
      <c r="Y22" s="68">
        <f>'LTO DAILY'!Y22-('LTO DAILY'!Y22*0.087)</f>
        <v>0</v>
      </c>
      <c r="Z22" s="68">
        <f>'LTO DAILY'!Z22-('LTO DAILY'!Z22*0.087)</f>
        <v>0</v>
      </c>
      <c r="AA22" s="68">
        <f>'LTO DAILY'!AA22-('LTO DAILY'!AA22*0.087)</f>
        <v>0</v>
      </c>
      <c r="AB22" s="68">
        <f>'LTO DAILY'!AB22-('LTO DAILY'!AB22*0.087)</f>
        <v>0</v>
      </c>
      <c r="AC22" s="68">
        <f>'LTO DAILY'!AC22-('LTO DAILY'!AC22*0.087)</f>
        <v>0</v>
      </c>
      <c r="AD22" s="68">
        <f>'LTO DAILY'!AD22-('LTO DAILY'!AD22*0.087)</f>
        <v>0</v>
      </c>
      <c r="AE22" s="68">
        <f>'LTO DAILY'!AE22-('LTO DAILY'!AE22*0.087)</f>
        <v>0</v>
      </c>
      <c r="AF22" s="68">
        <f>'LTO DAILY'!AF22-('LTO DAILY'!AF22*0.087)</f>
        <v>0</v>
      </c>
      <c r="AG22" s="68">
        <f>'LTO DAILY'!AG22-('LTO DAILY'!AG22*0.087)</f>
        <v>0</v>
      </c>
      <c r="AH22" s="68">
        <f>'LTO DAILY'!AH22-('LTO DAILY'!AH22*0.087)</f>
        <v>0</v>
      </c>
      <c r="AI22" s="68">
        <f>'LTO DAILY'!AI22-('LTO DAILY'!AI22*0.087)</f>
        <v>0</v>
      </c>
    </row>
    <row r="23" spans="2:35" ht="19.5" customHeight="1" x14ac:dyDescent="0.35">
      <c r="B23" s="72">
        <v>0.45190000000000002</v>
      </c>
      <c r="D23" s="2688"/>
      <c r="E23" s="2679"/>
      <c r="F23" s="66" t="s">
        <v>36</v>
      </c>
      <c r="G23" s="956"/>
      <c r="H23" s="74">
        <f>H22/10000</f>
        <v>0</v>
      </c>
      <c r="I23" s="74">
        <f>I22/10000</f>
        <v>4.1840051000000003E-2</v>
      </c>
      <c r="J23" s="74">
        <f t="shared" ref="J23:X23" si="0">J22/10000</f>
        <v>4.4919600000000004E-2</v>
      </c>
      <c r="K23" s="74">
        <f t="shared" si="0"/>
        <v>4.9636158E-2</v>
      </c>
      <c r="L23" s="74">
        <f t="shared" si="0"/>
        <v>5.0992875999999999E-2</v>
      </c>
      <c r="M23" s="74">
        <f t="shared" si="0"/>
        <v>4.3335544999999996E-2</v>
      </c>
      <c r="N23" s="74">
        <f t="shared" si="0"/>
        <v>5.0105440000000001E-2</v>
      </c>
      <c r="O23" s="74">
        <f t="shared" si="0"/>
        <v>5.0014139999999999E-2</v>
      </c>
      <c r="P23" s="74">
        <f t="shared" si="0"/>
        <v>5.0979272299999996E-2</v>
      </c>
      <c r="Q23" s="74">
        <f t="shared" si="0"/>
        <v>5.2309422000000008E-2</v>
      </c>
      <c r="R23" s="74">
        <f t="shared" si="0"/>
        <v>5.5874687000000006E-2</v>
      </c>
      <c r="S23" s="74">
        <f t="shared" si="0"/>
        <v>5.5135157000000004E-2</v>
      </c>
      <c r="T23" s="74">
        <f t="shared" si="0"/>
        <v>5.6337577999999999E-2</v>
      </c>
      <c r="U23" s="74">
        <f t="shared" si="0"/>
        <v>0</v>
      </c>
      <c r="V23" s="74">
        <f t="shared" si="0"/>
        <v>0</v>
      </c>
      <c r="W23" s="74">
        <f t="shared" si="0"/>
        <v>0</v>
      </c>
      <c r="X23" s="74">
        <f t="shared" si="0"/>
        <v>0</v>
      </c>
      <c r="Y23" s="74">
        <f t="shared" ref="Y23:AF23" si="1">Y22/10000</f>
        <v>0</v>
      </c>
      <c r="Z23" s="74">
        <f t="shared" si="1"/>
        <v>0</v>
      </c>
      <c r="AA23" s="74">
        <f t="shared" si="1"/>
        <v>0</v>
      </c>
      <c r="AB23" s="74">
        <f t="shared" si="1"/>
        <v>0</v>
      </c>
      <c r="AC23" s="74">
        <f t="shared" si="1"/>
        <v>0</v>
      </c>
      <c r="AD23" s="74">
        <f t="shared" si="1"/>
        <v>0</v>
      </c>
      <c r="AE23" s="74">
        <f t="shared" si="1"/>
        <v>0</v>
      </c>
      <c r="AF23" s="74">
        <f t="shared" si="1"/>
        <v>0</v>
      </c>
      <c r="AG23" s="74">
        <f t="shared" ref="AG23:AI23" si="2">AG22/10000</f>
        <v>0</v>
      </c>
      <c r="AH23" s="74">
        <f t="shared" si="2"/>
        <v>0</v>
      </c>
      <c r="AI23" s="74">
        <f t="shared" si="2"/>
        <v>0</v>
      </c>
    </row>
    <row r="24" spans="2:35" ht="19.5" customHeight="1" x14ac:dyDescent="0.35">
      <c r="D24" s="75" t="s">
        <v>42</v>
      </c>
      <c r="E24" s="2677" t="s">
        <v>43</v>
      </c>
      <c r="F24" s="2680" t="s">
        <v>36</v>
      </c>
      <c r="G24" s="47"/>
      <c r="H24" s="47"/>
      <c r="I24" s="47"/>
      <c r="J24" s="55"/>
      <c r="K24" s="55"/>
      <c r="L24" s="55"/>
      <c r="M24" s="55"/>
      <c r="N24" s="55"/>
      <c r="O24" s="55"/>
      <c r="P24" s="55"/>
      <c r="Q24" s="55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</row>
    <row r="25" spans="2:35" ht="19.5" customHeight="1" x14ac:dyDescent="0.35">
      <c r="B25" s="76"/>
      <c r="D25" s="44" t="s">
        <v>44</v>
      </c>
      <c r="E25" s="2678"/>
      <c r="F25" s="2681"/>
      <c r="G25" s="978" t="s">
        <v>874</v>
      </c>
      <c r="H25" s="77">
        <v>86.99</v>
      </c>
      <c r="I25" s="77">
        <v>86.33</v>
      </c>
      <c r="J25" s="62">
        <v>86.72</v>
      </c>
      <c r="K25" s="62">
        <v>85.54</v>
      </c>
      <c r="L25" s="62">
        <v>86.67</v>
      </c>
      <c r="M25" s="62">
        <v>85.59</v>
      </c>
      <c r="N25" s="62">
        <v>86.48</v>
      </c>
      <c r="O25" s="62">
        <v>86.98</v>
      </c>
      <c r="P25" s="62">
        <v>85.82</v>
      </c>
      <c r="Q25" s="62">
        <v>85.47</v>
      </c>
      <c r="R25" s="63">
        <v>86.77</v>
      </c>
      <c r="S25" s="63">
        <v>86.71</v>
      </c>
      <c r="T25" s="63">
        <v>87.83</v>
      </c>
      <c r="U25" s="63">
        <v>86.37</v>
      </c>
      <c r="V25" s="63">
        <v>86.35</v>
      </c>
      <c r="W25" s="63">
        <v>86.75</v>
      </c>
      <c r="X25" s="63">
        <v>87.53</v>
      </c>
      <c r="Y25" s="63">
        <v>88.53</v>
      </c>
      <c r="Z25" s="63">
        <v>89.53</v>
      </c>
      <c r="AA25" s="63">
        <v>90.53</v>
      </c>
      <c r="AB25" s="63">
        <v>91.53</v>
      </c>
      <c r="AC25" s="63">
        <v>92.53</v>
      </c>
      <c r="AD25" s="63">
        <v>93.53</v>
      </c>
      <c r="AE25" s="63">
        <v>94.53</v>
      </c>
      <c r="AF25" s="63">
        <v>95.53</v>
      </c>
      <c r="AG25" s="63">
        <v>95.53</v>
      </c>
      <c r="AH25" s="63">
        <v>95.53</v>
      </c>
      <c r="AI25" s="63">
        <v>95.53</v>
      </c>
    </row>
    <row r="26" spans="2:35" ht="19.5" customHeight="1" x14ac:dyDescent="0.35">
      <c r="B26" s="76"/>
      <c r="D26" s="44" t="s">
        <v>45</v>
      </c>
      <c r="E26" s="2678"/>
      <c r="F26" s="2681"/>
      <c r="G26" s="978" t="s">
        <v>875</v>
      </c>
      <c r="H26" s="77">
        <f>'LTO DAILY'!H26-('LTO DAILY'!H26*0.5)*0.2314</f>
        <v>0</v>
      </c>
      <c r="I26" s="77">
        <f>'LTO DAILY'!I26-('LTO DAILY'!I26*0.5)*0.2314</f>
        <v>11.796562</v>
      </c>
      <c r="J26" s="77">
        <f>'LTO DAILY'!J26-('LTO DAILY'!J26*0.5)*0.2314</f>
        <v>12.008794</v>
      </c>
      <c r="K26" s="77">
        <f>'LTO DAILY'!K26-('LTO DAILY'!K26*0.5)*0.2314</f>
        <v>11.787718999999999</v>
      </c>
      <c r="L26" s="77">
        <f>'LTO DAILY'!L26-('LTO DAILY'!L26*0.5)*0.2314</f>
        <v>11.593173</v>
      </c>
      <c r="M26" s="77">
        <f>'LTO DAILY'!M26-('LTO DAILY'!M26*0.5)*0.2314</f>
        <v>11.93805</v>
      </c>
      <c r="N26" s="77">
        <f>'LTO DAILY'!N26-('LTO DAILY'!N26*0.5)*0.2314</f>
        <v>11.566644</v>
      </c>
      <c r="O26" s="77">
        <f>'LTO DAILY'!O26-('LTO DAILY'!O26*0.5)*0.2314</f>
        <v>11.814247999999999</v>
      </c>
      <c r="P26" s="77">
        <f>'LTO DAILY'!P26-('LTO DAILY'!P26*0.5)*0.2314</f>
        <v>11.610859</v>
      </c>
      <c r="Q26" s="77">
        <f>'LTO DAILY'!Q26-('LTO DAILY'!Q26*0.5)*0.2314</f>
        <v>11.725818</v>
      </c>
      <c r="R26" s="77">
        <f>'LTO DAILY'!R26-('LTO DAILY'!R26*0.5)*0.2314</f>
        <v>11.699289</v>
      </c>
      <c r="S26" s="77">
        <f>'LTO DAILY'!S26-('LTO DAILY'!S26*0.5)*0.2314</f>
        <v>11.725818</v>
      </c>
      <c r="T26" s="77">
        <f>'LTO DAILY'!T26-('LTO DAILY'!T26*0.5)*0.2314</f>
        <v>11.743504</v>
      </c>
      <c r="U26" s="77">
        <f>'LTO DAILY'!U26-('LTO DAILY'!U26*0.5)*0.2314</f>
        <v>0</v>
      </c>
      <c r="V26" s="77">
        <f>'LTO DAILY'!V26-('LTO DAILY'!V26*0.5)*0.2314</f>
        <v>0</v>
      </c>
      <c r="W26" s="77">
        <f>'LTO DAILY'!W26-('LTO DAILY'!W26*0.5)*0.2314</f>
        <v>0</v>
      </c>
      <c r="X26" s="77">
        <f>'LTO DAILY'!X26-('LTO DAILY'!X26*0.5)*0.2314</f>
        <v>0</v>
      </c>
      <c r="Y26" s="77">
        <f>'LTO DAILY'!Y26-('LTO DAILY'!Y26*0.5)*0.2314</f>
        <v>0</v>
      </c>
      <c r="Z26" s="77">
        <f>'LTO DAILY'!Z26-('LTO DAILY'!Z26*0.5)*0.2314</f>
        <v>0</v>
      </c>
      <c r="AA26" s="77">
        <f>'LTO DAILY'!AA26-('LTO DAILY'!AA26*0.5)*0.2314</f>
        <v>0</v>
      </c>
      <c r="AB26" s="77">
        <f>'LTO DAILY'!AB26-('LTO DAILY'!AB26*0.5)*0.2314</f>
        <v>0</v>
      </c>
      <c r="AC26" s="77">
        <f>'LTO DAILY'!AC26-('LTO DAILY'!AC26*0.5)*0.2314</f>
        <v>0</v>
      </c>
      <c r="AD26" s="77">
        <f>'LTO DAILY'!AD26-('LTO DAILY'!AD26*0.5)*0.2314</f>
        <v>0</v>
      </c>
      <c r="AE26" s="77">
        <f>'LTO DAILY'!AE26-('LTO DAILY'!AE26*0.5)*0.2314</f>
        <v>0</v>
      </c>
      <c r="AF26" s="77">
        <f>'LTO DAILY'!AF26-('LTO DAILY'!AF26*0.5)*0.2314</f>
        <v>0</v>
      </c>
      <c r="AG26" s="77">
        <f>'LTO DAILY'!AG26-('LTO DAILY'!AG26*0.5)*0.2314</f>
        <v>0</v>
      </c>
      <c r="AH26" s="77">
        <f>'LTO DAILY'!AH26-('LTO DAILY'!AH26*0.5)*0.2314</f>
        <v>0</v>
      </c>
      <c r="AI26" s="77">
        <f>'LTO DAILY'!AI26-('LTO DAILY'!AI26*0.5)*0.2314</f>
        <v>0</v>
      </c>
    </row>
    <row r="27" spans="2:35" ht="19.5" customHeight="1" x14ac:dyDescent="0.35">
      <c r="B27" s="76"/>
      <c r="D27" s="44" t="s">
        <v>46</v>
      </c>
      <c r="E27" s="2679"/>
      <c r="F27" s="2682"/>
      <c r="G27" s="60">
        <v>0.44600000000000001</v>
      </c>
      <c r="H27" s="77">
        <v>0.14000000000000001</v>
      </c>
      <c r="I27" s="77">
        <v>0.1145</v>
      </c>
      <c r="J27" s="62">
        <v>0.1206</v>
      </c>
      <c r="K27" s="62">
        <v>0.15</v>
      </c>
      <c r="L27" s="62">
        <v>0.17</v>
      </c>
      <c r="M27" s="526">
        <v>0.41839999999999999</v>
      </c>
      <c r="N27" s="526">
        <v>7.3660000000000003E-2</v>
      </c>
      <c r="O27" s="526">
        <v>0.89980000000000004</v>
      </c>
      <c r="P27" s="526">
        <v>0.18</v>
      </c>
      <c r="Q27" s="526">
        <v>1.546</v>
      </c>
      <c r="R27" s="525">
        <v>1.2290000000000001</v>
      </c>
      <c r="S27" s="525">
        <v>1.42</v>
      </c>
      <c r="T27" s="525">
        <v>1.61</v>
      </c>
      <c r="U27" s="525">
        <v>1.573</v>
      </c>
      <c r="V27" s="525">
        <v>1.5349999999999999</v>
      </c>
      <c r="W27" s="525">
        <v>2.0099999999999998</v>
      </c>
      <c r="X27" s="525">
        <v>3.03</v>
      </c>
      <c r="Y27" s="525">
        <v>4.03</v>
      </c>
      <c r="Z27" s="525">
        <v>5.03</v>
      </c>
      <c r="AA27" s="525">
        <v>6.03</v>
      </c>
      <c r="AB27" s="525">
        <v>7.03</v>
      </c>
      <c r="AC27" s="525">
        <v>8.0299999999999994</v>
      </c>
      <c r="AD27" s="525">
        <v>9.0299999999999994</v>
      </c>
      <c r="AE27" s="525">
        <v>10.029999999999999</v>
      </c>
      <c r="AF27" s="525">
        <v>11.03</v>
      </c>
      <c r="AG27" s="525">
        <v>11.03</v>
      </c>
      <c r="AH27" s="525">
        <v>11.03</v>
      </c>
      <c r="AI27" s="525">
        <v>11.03</v>
      </c>
    </row>
    <row r="28" spans="2:35" ht="19.5" customHeight="1" x14ac:dyDescent="0.35">
      <c r="B28" s="76"/>
      <c r="D28" s="78" t="s">
        <v>150</v>
      </c>
      <c r="E28" s="79"/>
      <c r="F28" s="80"/>
      <c r="G28" s="2"/>
      <c r="H28" s="2">
        <f>H$25+H$26+H$23+H$18</f>
        <v>86.99</v>
      </c>
      <c r="I28" s="2">
        <f t="shared" ref="I28:AI28" si="3">I$25+I$26+I$23+I$18</f>
        <v>98.31801366422259</v>
      </c>
      <c r="J28" s="2">
        <f t="shared" si="3"/>
        <v>98.930766402163144</v>
      </c>
      <c r="K28" s="2">
        <f t="shared" si="3"/>
        <v>97.520460215716383</v>
      </c>
      <c r="L28" s="2">
        <f t="shared" si="3"/>
        <v>98.434784736985009</v>
      </c>
      <c r="M28" s="2">
        <f t="shared" si="3"/>
        <v>97.652869432505057</v>
      </c>
      <c r="N28" s="2">
        <f t="shared" si="3"/>
        <v>98.189831835049162</v>
      </c>
      <c r="O28" s="2">
        <f t="shared" si="3"/>
        <v>98.941961219637221</v>
      </c>
      <c r="P28" s="2">
        <f t="shared" si="3"/>
        <v>97.632998141911145</v>
      </c>
      <c r="Q28" s="2">
        <f t="shared" si="3"/>
        <v>97.380654944794017</v>
      </c>
      <c r="R28" s="2">
        <f t="shared" si="3"/>
        <v>98.649425650215093</v>
      </c>
      <c r="S28" s="2">
        <f t="shared" si="3"/>
        <v>98.603883609561237</v>
      </c>
      <c r="T28" s="2">
        <f t="shared" si="3"/>
        <v>99.741438956002412</v>
      </c>
      <c r="U28" s="2">
        <f t="shared" si="3"/>
        <v>86.37</v>
      </c>
      <c r="V28" s="2">
        <f t="shared" si="3"/>
        <v>86.35</v>
      </c>
      <c r="W28" s="2">
        <f t="shared" si="3"/>
        <v>86.75</v>
      </c>
      <c r="X28" s="2">
        <f t="shared" si="3"/>
        <v>87.53</v>
      </c>
      <c r="Y28" s="2">
        <f t="shared" si="3"/>
        <v>88.53</v>
      </c>
      <c r="Z28" s="2">
        <f t="shared" si="3"/>
        <v>89.53</v>
      </c>
      <c r="AA28" s="2">
        <f t="shared" si="3"/>
        <v>90.53</v>
      </c>
      <c r="AB28" s="2">
        <f t="shared" si="3"/>
        <v>91.53</v>
      </c>
      <c r="AC28" s="2">
        <f t="shared" si="3"/>
        <v>92.53</v>
      </c>
      <c r="AD28" s="2">
        <f t="shared" si="3"/>
        <v>93.53</v>
      </c>
      <c r="AE28" s="2">
        <f t="shared" si="3"/>
        <v>94.53</v>
      </c>
      <c r="AF28" s="2">
        <f t="shared" si="3"/>
        <v>95.53</v>
      </c>
      <c r="AG28" s="2">
        <f t="shared" si="3"/>
        <v>95.53</v>
      </c>
      <c r="AH28" s="2">
        <f t="shared" si="3"/>
        <v>95.53</v>
      </c>
      <c r="AI28" s="2">
        <f t="shared" si="3"/>
        <v>95.53</v>
      </c>
    </row>
    <row r="29" spans="2:35" ht="19.5" customHeight="1" x14ac:dyDescent="0.35">
      <c r="D29" s="78" t="s">
        <v>151</v>
      </c>
      <c r="E29" s="79"/>
      <c r="F29" s="80"/>
      <c r="G29" s="2"/>
      <c r="H29" s="2">
        <f>(100-H$31-H$32)/(1+(H$26/H$25))</f>
        <v>100</v>
      </c>
      <c r="I29" s="2">
        <f t="shared" ref="I29:AI29" si="4">(100-I$31-I$32)/(1+(I$26/I$25))</f>
        <v>87.806900060893938</v>
      </c>
      <c r="J29" s="2">
        <f t="shared" si="4"/>
        <v>87.657260884318632</v>
      </c>
      <c r="K29" s="2">
        <f t="shared" si="4"/>
        <v>87.71492649930542</v>
      </c>
      <c r="L29" s="2">
        <f t="shared" si="4"/>
        <v>88.048142972608531</v>
      </c>
      <c r="M29" s="2">
        <f t="shared" si="4"/>
        <v>87.647194083894732</v>
      </c>
      <c r="N29" s="2">
        <f t="shared" si="4"/>
        <v>88.074292809951331</v>
      </c>
      <c r="O29" s="2">
        <f t="shared" si="4"/>
        <v>87.910123195270685</v>
      </c>
      <c r="P29" s="2">
        <f t="shared" si="4"/>
        <v>87.900609049472422</v>
      </c>
      <c r="Q29" s="2">
        <f t="shared" si="4"/>
        <v>87.768972234222204</v>
      </c>
      <c r="R29" s="2">
        <f t="shared" si="4"/>
        <v>87.957937340318225</v>
      </c>
      <c r="S29" s="2">
        <f t="shared" si="4"/>
        <v>87.937712822086098</v>
      </c>
      <c r="T29" s="2">
        <f t="shared" si="4"/>
        <v>88.057682864133582</v>
      </c>
      <c r="U29" s="2">
        <f t="shared" si="4"/>
        <v>100</v>
      </c>
      <c r="V29" s="2">
        <f t="shared" si="4"/>
        <v>100</v>
      </c>
      <c r="W29" s="2">
        <f t="shared" si="4"/>
        <v>100</v>
      </c>
      <c r="X29" s="2">
        <f t="shared" si="4"/>
        <v>100</v>
      </c>
      <c r="Y29" s="2">
        <f t="shared" si="4"/>
        <v>100</v>
      </c>
      <c r="Z29" s="2">
        <f t="shared" si="4"/>
        <v>100</v>
      </c>
      <c r="AA29" s="2">
        <f t="shared" si="4"/>
        <v>100</v>
      </c>
      <c r="AB29" s="2">
        <f t="shared" si="4"/>
        <v>100</v>
      </c>
      <c r="AC29" s="2">
        <f t="shared" si="4"/>
        <v>100</v>
      </c>
      <c r="AD29" s="2">
        <f t="shared" si="4"/>
        <v>100</v>
      </c>
      <c r="AE29" s="2">
        <f t="shared" si="4"/>
        <v>100</v>
      </c>
      <c r="AF29" s="2">
        <f t="shared" si="4"/>
        <v>100</v>
      </c>
      <c r="AG29" s="2">
        <f t="shared" si="4"/>
        <v>100</v>
      </c>
      <c r="AH29" s="2">
        <f t="shared" si="4"/>
        <v>100</v>
      </c>
      <c r="AI29" s="2">
        <f t="shared" si="4"/>
        <v>100</v>
      </c>
    </row>
    <row r="30" spans="2:35" ht="19.5" customHeight="1" x14ac:dyDescent="0.35">
      <c r="D30" s="78" t="s">
        <v>152</v>
      </c>
      <c r="E30" s="79"/>
      <c r="F30" s="80" t="s">
        <v>36</v>
      </c>
      <c r="G30" s="2"/>
      <c r="H30" s="2">
        <f>H$29*(H$26/H$25)</f>
        <v>0</v>
      </c>
      <c r="I30" s="2">
        <f t="shared" ref="I30:AI30" si="5">I$29*(I$26/I$25)</f>
        <v>11.998372994279384</v>
      </c>
      <c r="J30" s="2">
        <f t="shared" si="5"/>
        <v>12.138583816467255</v>
      </c>
      <c r="K30" s="2">
        <f t="shared" si="5"/>
        <v>12.087431677337687</v>
      </c>
      <c r="L30" s="2">
        <f t="shared" si="5"/>
        <v>11.777516485637301</v>
      </c>
      <c r="M30" s="2">
        <f t="shared" si="5"/>
        <v>12.224986392490239</v>
      </c>
      <c r="N30" s="2">
        <f t="shared" si="5"/>
        <v>11.779879630948967</v>
      </c>
      <c r="O30" s="2">
        <f t="shared" si="5"/>
        <v>11.940584009421478</v>
      </c>
      <c r="P30" s="2">
        <f t="shared" si="5"/>
        <v>11.892351173241066</v>
      </c>
      <c r="Q30" s="2">
        <f t="shared" si="5"/>
        <v>12.04121907646593</v>
      </c>
      <c r="R30" s="2">
        <f t="shared" si="5"/>
        <v>11.859459822384169</v>
      </c>
      <c r="S30" s="2">
        <f t="shared" si="5"/>
        <v>11.891841954653996</v>
      </c>
      <c r="T30" s="2">
        <f t="shared" si="5"/>
        <v>11.773946839868886</v>
      </c>
      <c r="U30" s="2">
        <f t="shared" si="5"/>
        <v>0</v>
      </c>
      <c r="V30" s="2">
        <f t="shared" si="5"/>
        <v>0</v>
      </c>
      <c r="W30" s="2">
        <f t="shared" si="5"/>
        <v>0</v>
      </c>
      <c r="X30" s="2">
        <f t="shared" si="5"/>
        <v>0</v>
      </c>
      <c r="Y30" s="2">
        <f t="shared" si="5"/>
        <v>0</v>
      </c>
      <c r="Z30" s="2">
        <f t="shared" si="5"/>
        <v>0</v>
      </c>
      <c r="AA30" s="2">
        <f t="shared" si="5"/>
        <v>0</v>
      </c>
      <c r="AB30" s="2">
        <f t="shared" si="5"/>
        <v>0</v>
      </c>
      <c r="AC30" s="2">
        <f t="shared" si="5"/>
        <v>0</v>
      </c>
      <c r="AD30" s="2">
        <f t="shared" si="5"/>
        <v>0</v>
      </c>
      <c r="AE30" s="2">
        <f t="shared" si="5"/>
        <v>0</v>
      </c>
      <c r="AF30" s="2">
        <f t="shared" si="5"/>
        <v>0</v>
      </c>
      <c r="AG30" s="2">
        <f t="shared" si="5"/>
        <v>0</v>
      </c>
      <c r="AH30" s="2">
        <f t="shared" si="5"/>
        <v>0</v>
      </c>
      <c r="AI30" s="2">
        <f t="shared" si="5"/>
        <v>0</v>
      </c>
    </row>
    <row r="31" spans="2:35" ht="19.5" customHeight="1" x14ac:dyDescent="0.35">
      <c r="D31" s="78" t="s">
        <v>153</v>
      </c>
      <c r="E31" s="79"/>
      <c r="F31" s="80"/>
      <c r="G31" s="2"/>
      <c r="H31" s="2">
        <f>H$23*100/H$28</f>
        <v>0</v>
      </c>
      <c r="I31" s="2">
        <f t="shared" ref="I31:AI31" si="6">I$23*100/I$28</f>
        <v>4.2555834318310053E-2</v>
      </c>
      <c r="J31" s="2">
        <f t="shared" si="6"/>
        <v>4.5405086439336259E-2</v>
      </c>
      <c r="K31" s="2">
        <f t="shared" si="6"/>
        <v>5.0898199096070969E-2</v>
      </c>
      <c r="L31" s="2">
        <f t="shared" si="6"/>
        <v>5.1803715664387892E-2</v>
      </c>
      <c r="M31" s="2">
        <f t="shared" si="6"/>
        <v>4.4377134283752229E-2</v>
      </c>
      <c r="N31" s="2">
        <f t="shared" si="6"/>
        <v>5.1029153491344216E-2</v>
      </c>
      <c r="O31" s="2">
        <f t="shared" si="6"/>
        <v>5.0548967681139499E-2</v>
      </c>
      <c r="P31" s="2">
        <f t="shared" si="6"/>
        <v>5.2215207225226046E-2</v>
      </c>
      <c r="Q31" s="2">
        <f t="shared" si="6"/>
        <v>5.3716440939583637E-2</v>
      </c>
      <c r="R31" s="2">
        <f t="shared" si="6"/>
        <v>5.6639647551641047E-2</v>
      </c>
      <c r="S31" s="2">
        <f t="shared" si="6"/>
        <v>5.5915806742782043E-2</v>
      </c>
      <c r="T31" s="2">
        <f t="shared" si="6"/>
        <v>5.6483622644397005E-2</v>
      </c>
      <c r="U31" s="2">
        <f t="shared" si="6"/>
        <v>0</v>
      </c>
      <c r="V31" s="2">
        <f t="shared" si="6"/>
        <v>0</v>
      </c>
      <c r="W31" s="2">
        <f t="shared" si="6"/>
        <v>0</v>
      </c>
      <c r="X31" s="2">
        <f t="shared" si="6"/>
        <v>0</v>
      </c>
      <c r="Y31" s="2">
        <f t="shared" si="6"/>
        <v>0</v>
      </c>
      <c r="Z31" s="2">
        <f t="shared" si="6"/>
        <v>0</v>
      </c>
      <c r="AA31" s="2">
        <f t="shared" si="6"/>
        <v>0</v>
      </c>
      <c r="AB31" s="2">
        <f t="shared" si="6"/>
        <v>0</v>
      </c>
      <c r="AC31" s="2">
        <f t="shared" si="6"/>
        <v>0</v>
      </c>
      <c r="AD31" s="2">
        <f t="shared" si="6"/>
        <v>0</v>
      </c>
      <c r="AE31" s="2">
        <f t="shared" si="6"/>
        <v>0</v>
      </c>
      <c r="AF31" s="2">
        <f t="shared" si="6"/>
        <v>0</v>
      </c>
      <c r="AG31" s="2">
        <f t="shared" si="6"/>
        <v>0</v>
      </c>
      <c r="AH31" s="2">
        <f t="shared" si="6"/>
        <v>0</v>
      </c>
      <c r="AI31" s="2">
        <f t="shared" si="6"/>
        <v>0</v>
      </c>
    </row>
    <row r="32" spans="2:35" ht="19.5" customHeight="1" x14ac:dyDescent="0.35">
      <c r="D32" s="78" t="s">
        <v>154</v>
      </c>
      <c r="E32" s="79"/>
      <c r="F32" s="80"/>
      <c r="G32" s="2"/>
      <c r="H32" s="2">
        <f>H$18*100/H$28</f>
        <v>0</v>
      </c>
      <c r="I32" s="2">
        <f t="shared" ref="I32:AI32" si="7">I$18*100/I$28</f>
        <v>0.15217111050835921</v>
      </c>
      <c r="J32" s="2">
        <f t="shared" si="7"/>
        <v>0.15875021277477572</v>
      </c>
      <c r="K32" s="2">
        <f t="shared" si="7"/>
        <v>0.14674362426082743</v>
      </c>
      <c r="L32" s="2">
        <f t="shared" si="7"/>
        <v>0.12253682608978986</v>
      </c>
      <c r="M32" s="2">
        <f t="shared" si="7"/>
        <v>8.3442389331287725E-2</v>
      </c>
      <c r="N32" s="2">
        <f t="shared" si="7"/>
        <v>9.479840560836264E-2</v>
      </c>
      <c r="O32" s="2">
        <f t="shared" si="7"/>
        <v>9.874382762670976E-2</v>
      </c>
      <c r="P32" s="2">
        <f t="shared" si="7"/>
        <v>0.1548245700612737</v>
      </c>
      <c r="Q32" s="2">
        <f t="shared" si="7"/>
        <v>0.13609224837227718</v>
      </c>
      <c r="R32" s="2">
        <f t="shared" si="7"/>
        <v>0.12596318974596701</v>
      </c>
      <c r="S32" s="2">
        <f t="shared" si="7"/>
        <v>0.11452941651710888</v>
      </c>
      <c r="T32" s="2">
        <f t="shared" si="7"/>
        <v>0.11188667335313698</v>
      </c>
      <c r="U32" s="2">
        <f t="shared" si="7"/>
        <v>0</v>
      </c>
      <c r="V32" s="2">
        <f t="shared" si="7"/>
        <v>0</v>
      </c>
      <c r="W32" s="2">
        <f t="shared" si="7"/>
        <v>0</v>
      </c>
      <c r="X32" s="2">
        <f t="shared" si="7"/>
        <v>0</v>
      </c>
      <c r="Y32" s="2">
        <f t="shared" si="7"/>
        <v>0</v>
      </c>
      <c r="Z32" s="2">
        <f t="shared" si="7"/>
        <v>0</v>
      </c>
      <c r="AA32" s="2">
        <f t="shared" si="7"/>
        <v>0</v>
      </c>
      <c r="AB32" s="2">
        <f t="shared" si="7"/>
        <v>0</v>
      </c>
      <c r="AC32" s="2">
        <f t="shared" si="7"/>
        <v>0</v>
      </c>
      <c r="AD32" s="2">
        <f t="shared" si="7"/>
        <v>0</v>
      </c>
      <c r="AE32" s="2">
        <f t="shared" si="7"/>
        <v>0</v>
      </c>
      <c r="AF32" s="2">
        <f t="shared" si="7"/>
        <v>0</v>
      </c>
      <c r="AG32" s="2">
        <f t="shared" si="7"/>
        <v>0</v>
      </c>
      <c r="AH32" s="2">
        <f t="shared" si="7"/>
        <v>0</v>
      </c>
      <c r="AI32" s="2">
        <f t="shared" si="7"/>
        <v>0</v>
      </c>
    </row>
    <row r="33" spans="4:35" ht="19.5" customHeight="1" x14ac:dyDescent="0.35">
      <c r="D33" s="78" t="s">
        <v>155</v>
      </c>
      <c r="E33" s="79"/>
      <c r="F33" s="80"/>
      <c r="G33" s="149"/>
      <c r="H33" s="149">
        <f>H$30/H$29</f>
        <v>0</v>
      </c>
      <c r="I33" s="149">
        <f t="shared" ref="I33:AI33" si="8">I$30/I$29</f>
        <v>0.13664499015406001</v>
      </c>
      <c r="J33" s="149">
        <f t="shared" si="8"/>
        <v>0.13847779059040591</v>
      </c>
      <c r="K33" s="149">
        <f t="shared" si="8"/>
        <v>0.13780358896422723</v>
      </c>
      <c r="L33" s="149">
        <f t="shared" si="8"/>
        <v>0.13376223606784354</v>
      </c>
      <c r="M33" s="149">
        <f t="shared" si="8"/>
        <v>0.1394794952681388</v>
      </c>
      <c r="N33" s="149">
        <f t="shared" si="8"/>
        <v>0.13374935245143385</v>
      </c>
      <c r="O33" s="149">
        <f t="shared" si="8"/>
        <v>0.13582717866176131</v>
      </c>
      <c r="P33" s="149">
        <f t="shared" si="8"/>
        <v>0.13529316010254019</v>
      </c>
      <c r="Q33" s="149">
        <f t="shared" si="8"/>
        <v>0.13719220779220781</v>
      </c>
      <c r="R33" s="149">
        <f t="shared" si="8"/>
        <v>0.13483103607237526</v>
      </c>
      <c r="S33" s="149">
        <f t="shared" si="8"/>
        <v>0.13523028485757121</v>
      </c>
      <c r="T33" s="149">
        <f t="shared" si="8"/>
        <v>0.13370720710463396</v>
      </c>
      <c r="U33" s="149">
        <f t="shared" si="8"/>
        <v>0</v>
      </c>
      <c r="V33" s="149">
        <f t="shared" si="8"/>
        <v>0</v>
      </c>
      <c r="W33" s="149">
        <f t="shared" si="8"/>
        <v>0</v>
      </c>
      <c r="X33" s="149">
        <f t="shared" si="8"/>
        <v>0</v>
      </c>
      <c r="Y33" s="149">
        <f t="shared" si="8"/>
        <v>0</v>
      </c>
      <c r="Z33" s="149">
        <f t="shared" si="8"/>
        <v>0</v>
      </c>
      <c r="AA33" s="149">
        <f t="shared" si="8"/>
        <v>0</v>
      </c>
      <c r="AB33" s="149">
        <f t="shared" si="8"/>
        <v>0</v>
      </c>
      <c r="AC33" s="149">
        <f t="shared" si="8"/>
        <v>0</v>
      </c>
      <c r="AD33" s="149">
        <f t="shared" si="8"/>
        <v>0</v>
      </c>
      <c r="AE33" s="149">
        <f t="shared" si="8"/>
        <v>0</v>
      </c>
      <c r="AF33" s="149">
        <f t="shared" si="8"/>
        <v>0</v>
      </c>
      <c r="AG33" s="149">
        <f t="shared" si="8"/>
        <v>0</v>
      </c>
      <c r="AH33" s="149">
        <f t="shared" si="8"/>
        <v>0</v>
      </c>
      <c r="AI33" s="149">
        <f t="shared" si="8"/>
        <v>0</v>
      </c>
    </row>
    <row r="34" spans="4:35" ht="19.5" hidden="1" customHeight="1" x14ac:dyDescent="0.35">
      <c r="D34" s="81" t="s">
        <v>106</v>
      </c>
      <c r="E34" s="45"/>
      <c r="F34" s="46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</row>
    <row r="35" spans="4:35" ht="19.5" hidden="1" customHeight="1" x14ac:dyDescent="0.35">
      <c r="D35" s="81" t="s">
        <v>107</v>
      </c>
      <c r="E35" s="45"/>
      <c r="F35" s="46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</row>
    <row r="36" spans="4:35" ht="19.5" hidden="1" customHeight="1" x14ac:dyDescent="0.35">
      <c r="D36" s="81" t="s">
        <v>156</v>
      </c>
      <c r="E36" s="45"/>
      <c r="F36" s="46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</row>
    <row r="37" spans="4:35" ht="19.5" hidden="1" customHeight="1" x14ac:dyDescent="0.35">
      <c r="D37" s="81" t="s">
        <v>157</v>
      </c>
      <c r="E37" s="45"/>
      <c r="F37" s="46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</row>
    <row r="38" spans="4:35" ht="19.5" hidden="1" customHeight="1" x14ac:dyDescent="0.35">
      <c r="D38" s="81" t="s">
        <v>108</v>
      </c>
      <c r="E38" s="45"/>
      <c r="F38" s="46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</row>
    <row r="39" spans="4:35" ht="19.5" customHeight="1" x14ac:dyDescent="0.35">
      <c r="D39" s="75" t="s">
        <v>57</v>
      </c>
      <c r="E39" s="2689" t="s">
        <v>58</v>
      </c>
      <c r="F39" s="2680" t="s">
        <v>59</v>
      </c>
      <c r="G39" s="47"/>
      <c r="H39" s="47"/>
      <c r="I39" s="47"/>
      <c r="J39" s="55"/>
      <c r="K39" s="55"/>
      <c r="L39" s="55"/>
      <c r="M39" s="55"/>
      <c r="N39" s="55"/>
      <c r="O39" s="55"/>
      <c r="P39" s="55"/>
      <c r="Q39" s="55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</row>
    <row r="40" spans="4:35" ht="19.5" customHeight="1" x14ac:dyDescent="0.35">
      <c r="D40" s="83" t="s">
        <v>60</v>
      </c>
      <c r="E40" s="2690"/>
      <c r="F40" s="2681"/>
      <c r="G40" s="961"/>
      <c r="H40" s="84">
        <f>'HPS LTO DAILY '!H116</f>
        <v>0</v>
      </c>
      <c r="I40" s="84">
        <f>'HPS LTO DAILY '!I116</f>
        <v>71.400000000000006</v>
      </c>
      <c r="J40" s="84">
        <f>'HPS LTO DAILY '!J116</f>
        <v>39</v>
      </c>
      <c r="K40" s="84">
        <f>'HPS LTO DAILY '!K116</f>
        <v>43.8</v>
      </c>
      <c r="L40" s="84">
        <f>'HPS LTO DAILY '!L116</f>
        <v>69.400000000000006</v>
      </c>
      <c r="M40" s="84">
        <f>'HPS LTO DAILY '!M116</f>
        <v>38.700000000000003</v>
      </c>
      <c r="N40" s="84">
        <f>'HPS LTO DAILY '!N116</f>
        <v>70.2</v>
      </c>
      <c r="O40" s="84">
        <f>'HPS LTO DAILY '!O116</f>
        <v>55.8</v>
      </c>
      <c r="P40" s="84">
        <f>'HPS LTO DAILY '!P116</f>
        <v>69.099999999999994</v>
      </c>
      <c r="Q40" s="84">
        <f>'HPS LTO DAILY '!Q116</f>
        <v>75.8</v>
      </c>
      <c r="R40" s="84">
        <f>'HPS LTO DAILY '!R116</f>
        <v>57.5</v>
      </c>
      <c r="S40" s="84">
        <f>'HPS LTO DAILY '!S116</f>
        <v>60.4</v>
      </c>
      <c r="T40" s="84">
        <f>'HPS LTO DAILY '!T116</f>
        <v>68.099999999999994</v>
      </c>
      <c r="U40" s="84">
        <f>'HPS LTO DAILY '!U116</f>
        <v>0</v>
      </c>
      <c r="V40" s="84">
        <f>'HPS LTO DAILY '!V116</f>
        <v>0</v>
      </c>
      <c r="W40" s="84">
        <f>'HPS LTO DAILY '!W116</f>
        <v>0</v>
      </c>
      <c r="X40" s="84">
        <f>'HPS LTO DAILY '!X116</f>
        <v>0</v>
      </c>
      <c r="Y40" s="84">
        <f>'HPS LTO DAILY '!AG116</f>
        <v>0</v>
      </c>
      <c r="Z40" s="84">
        <f>'HPS LTO DAILY '!AH116</f>
        <v>0</v>
      </c>
      <c r="AA40" s="84">
        <f>'HPS LTO DAILY '!AI116</f>
        <v>0</v>
      </c>
      <c r="AB40" s="84">
        <f>'HPS LTO DAILY '!AJ116</f>
        <v>0</v>
      </c>
      <c r="AC40" s="84">
        <f>'HPS LTO DAILY '!AK116</f>
        <v>0</v>
      </c>
      <c r="AD40" s="84">
        <f>'HPS LTO DAILY '!AL116</f>
        <v>0</v>
      </c>
      <c r="AE40" s="84">
        <f>'HPS LTO DAILY '!AM116</f>
        <v>0</v>
      </c>
      <c r="AF40" s="84">
        <f>'HPS LTO DAILY '!AN116</f>
        <v>0</v>
      </c>
      <c r="AG40" s="84">
        <f>'HPS LTO DAILY '!AO116</f>
        <v>0</v>
      </c>
      <c r="AH40" s="84">
        <f>'HPS LTO DAILY '!AP116</f>
        <v>0</v>
      </c>
      <c r="AI40" s="84">
        <f>'HPS LTO DAILY '!AQ116</f>
        <v>0</v>
      </c>
    </row>
    <row r="41" spans="4:35" ht="19.5" customHeight="1" x14ac:dyDescent="0.35">
      <c r="D41" s="83">
        <v>5</v>
      </c>
      <c r="E41" s="2690"/>
      <c r="F41" s="2681"/>
      <c r="G41" s="961"/>
      <c r="H41" s="84">
        <f>'HPS LTO DAILY '!H121</f>
        <v>0</v>
      </c>
      <c r="I41" s="84">
        <f>'HPS LTO DAILY '!I121</f>
        <v>99.9</v>
      </c>
      <c r="J41" s="84">
        <f>'HPS LTO DAILY '!J121</f>
        <v>95.1</v>
      </c>
      <c r="K41" s="84">
        <f>'HPS LTO DAILY '!K121</f>
        <v>96.1</v>
      </c>
      <c r="L41" s="84">
        <f>'HPS LTO DAILY '!L121</f>
        <v>116.7</v>
      </c>
      <c r="M41" s="84">
        <f>'HPS LTO DAILY '!M121</f>
        <v>97.5</v>
      </c>
      <c r="N41" s="84">
        <f>'HPS LTO DAILY '!N121</f>
        <v>126.6</v>
      </c>
      <c r="O41" s="84">
        <f>'HPS LTO DAILY '!O121</f>
        <v>114.8</v>
      </c>
      <c r="P41" s="84">
        <f>'HPS LTO DAILY '!P121</f>
        <v>115.7</v>
      </c>
      <c r="Q41" s="84">
        <f>'HPS LTO DAILY '!Q121</f>
        <v>126.5</v>
      </c>
      <c r="R41" s="84">
        <f>'HPS LTO DAILY '!R121</f>
        <v>115.5</v>
      </c>
      <c r="S41" s="84">
        <f>'HPS LTO DAILY '!S121</f>
        <v>115.8</v>
      </c>
      <c r="T41" s="84">
        <f>'HPS LTO DAILY '!T121</f>
        <v>117.3</v>
      </c>
      <c r="U41" s="84">
        <f>'HPS LTO DAILY '!U121</f>
        <v>0</v>
      </c>
      <c r="V41" s="84">
        <f>'HPS LTO DAILY '!V121</f>
        <v>0</v>
      </c>
      <c r="W41" s="84">
        <f>'HPS LTO DAILY '!W121</f>
        <v>0</v>
      </c>
      <c r="X41" s="84">
        <f>'HPS LTO DAILY '!X121</f>
        <v>0</v>
      </c>
      <c r="Y41" s="84">
        <f>'HPS LTO DAILY '!AG121</f>
        <v>0</v>
      </c>
      <c r="Z41" s="84">
        <f>'HPS LTO DAILY '!AH121</f>
        <v>0</v>
      </c>
      <c r="AA41" s="84">
        <f>'HPS LTO DAILY '!AI121</f>
        <v>0</v>
      </c>
      <c r="AB41" s="84">
        <f>'HPS LTO DAILY '!AJ121</f>
        <v>0</v>
      </c>
      <c r="AC41" s="84">
        <f>'HPS LTO DAILY '!AK121</f>
        <v>0</v>
      </c>
      <c r="AD41" s="84">
        <f>'HPS LTO DAILY '!AL121</f>
        <v>0</v>
      </c>
      <c r="AE41" s="84">
        <f>'HPS LTO DAILY '!AM121</f>
        <v>0</v>
      </c>
      <c r="AF41" s="84">
        <f>'HPS LTO DAILY '!AN121</f>
        <v>0</v>
      </c>
      <c r="AG41" s="84">
        <f>'HPS LTO DAILY '!AO121</f>
        <v>0</v>
      </c>
      <c r="AH41" s="84">
        <f>'HPS LTO DAILY '!AP121</f>
        <v>0</v>
      </c>
      <c r="AI41" s="84">
        <f>'HPS LTO DAILY '!AQ121</f>
        <v>0</v>
      </c>
    </row>
    <row r="42" spans="4:35" ht="19.5" customHeight="1" x14ac:dyDescent="0.35">
      <c r="D42" s="83">
        <v>10</v>
      </c>
      <c r="E42" s="2690"/>
      <c r="F42" s="2681"/>
      <c r="G42" s="961"/>
      <c r="H42" s="84">
        <f>'HPS LTO DAILY '!H126</f>
        <v>0</v>
      </c>
      <c r="I42" s="84">
        <f>'HPS LTO DAILY '!I126</f>
        <v>121.8</v>
      </c>
      <c r="J42" s="84">
        <f>'HPS LTO DAILY '!J126</f>
        <v>117.2</v>
      </c>
      <c r="K42" s="84">
        <f>'HPS LTO DAILY '!K126</f>
        <v>117</v>
      </c>
      <c r="L42" s="84">
        <f>'HPS LTO DAILY '!L126</f>
        <v>135.9</v>
      </c>
      <c r="M42" s="84">
        <f>'HPS LTO DAILY '!M126</f>
        <v>117.6</v>
      </c>
      <c r="N42" s="84">
        <f>'HPS LTO DAILY '!N126</f>
        <v>144.19999999999999</v>
      </c>
      <c r="O42" s="84">
        <f>'HPS LTO DAILY '!O126</f>
        <v>134.69999999999999</v>
      </c>
      <c r="P42" s="84">
        <f>'HPS LTO DAILY '!P126</f>
        <v>133.9</v>
      </c>
      <c r="Q42" s="84">
        <f>'HPS LTO DAILY '!Q126</f>
        <v>144.6</v>
      </c>
      <c r="R42" s="84">
        <f>'HPS LTO DAILY '!R126</f>
        <v>134.9</v>
      </c>
      <c r="S42" s="84">
        <f>'HPS LTO DAILY '!S126</f>
        <v>135.19999999999999</v>
      </c>
      <c r="T42" s="84">
        <f>'HPS LTO DAILY '!T126</f>
        <v>138.80000000000001</v>
      </c>
      <c r="U42" s="84">
        <f>'HPS LTO DAILY '!U126</f>
        <v>0</v>
      </c>
      <c r="V42" s="84">
        <f>'HPS LTO DAILY '!V126</f>
        <v>0</v>
      </c>
      <c r="W42" s="84">
        <f>'HPS LTO DAILY '!W126</f>
        <v>0</v>
      </c>
      <c r="X42" s="84">
        <f>'HPS LTO DAILY '!X126</f>
        <v>0</v>
      </c>
      <c r="Y42" s="84">
        <f>'HPS LTO DAILY '!AG126</f>
        <v>0</v>
      </c>
      <c r="Z42" s="84">
        <f>'HPS LTO DAILY '!AH126</f>
        <v>0</v>
      </c>
      <c r="AA42" s="84">
        <f>'HPS LTO DAILY '!AI126</f>
        <v>0</v>
      </c>
      <c r="AB42" s="84">
        <f>'HPS LTO DAILY '!AJ126</f>
        <v>0</v>
      </c>
      <c r="AC42" s="84">
        <f>'HPS LTO DAILY '!AK126</f>
        <v>0</v>
      </c>
      <c r="AD42" s="84">
        <f>'HPS LTO DAILY '!AL126</f>
        <v>0</v>
      </c>
      <c r="AE42" s="84">
        <f>'HPS LTO DAILY '!AM126</f>
        <v>0</v>
      </c>
      <c r="AF42" s="84">
        <f>'HPS LTO DAILY '!AN126</f>
        <v>0</v>
      </c>
      <c r="AG42" s="84">
        <f>'HPS LTO DAILY '!AO126</f>
        <v>0</v>
      </c>
      <c r="AH42" s="84">
        <f>'HPS LTO DAILY '!AP126</f>
        <v>0</v>
      </c>
      <c r="AI42" s="84">
        <f>'HPS LTO DAILY '!AQ126</f>
        <v>0</v>
      </c>
    </row>
    <row r="43" spans="4:35" ht="19.5" customHeight="1" x14ac:dyDescent="0.35">
      <c r="D43" s="83">
        <v>15</v>
      </c>
      <c r="E43" s="2690"/>
      <c r="F43" s="2681"/>
      <c r="G43" s="961"/>
      <c r="H43" s="84">
        <f>'HPS LTO DAILY '!H131</f>
        <v>0</v>
      </c>
      <c r="I43" s="84">
        <f>'HPS LTO DAILY '!I131</f>
        <v>142.80000000000001</v>
      </c>
      <c r="J43" s="84">
        <f>'HPS LTO DAILY '!J131</f>
        <v>135.1</v>
      </c>
      <c r="K43" s="84">
        <f>'HPS LTO DAILY '!K131</f>
        <v>133.80000000000001</v>
      </c>
      <c r="L43" s="84">
        <f>'HPS LTO DAILY '!L131</f>
        <v>152</v>
      </c>
      <c r="M43" s="84">
        <f>'HPS LTO DAILY '!M131</f>
        <v>134.6</v>
      </c>
      <c r="N43" s="84">
        <f>'HPS LTO DAILY '!N131</f>
        <v>158.19999999999999</v>
      </c>
      <c r="O43" s="84">
        <f>'HPS LTO DAILY '!O131</f>
        <v>151.19999999999999</v>
      </c>
      <c r="P43" s="84">
        <f>'HPS LTO DAILY '!P131</f>
        <v>147.9</v>
      </c>
      <c r="Q43" s="84">
        <f>'HPS LTO DAILY '!Q131</f>
        <v>159.80000000000001</v>
      </c>
      <c r="R43" s="84">
        <f>'HPS LTO DAILY '!R131</f>
        <v>151.9</v>
      </c>
      <c r="S43" s="84">
        <f>'HPS LTO DAILY '!S131</f>
        <v>152</v>
      </c>
      <c r="T43" s="84">
        <f>'HPS LTO DAILY '!T131</f>
        <v>152.6</v>
      </c>
      <c r="U43" s="84">
        <f>'HPS LTO DAILY '!U131</f>
        <v>0</v>
      </c>
      <c r="V43" s="84">
        <f>'HPS LTO DAILY '!V131</f>
        <v>0</v>
      </c>
      <c r="W43" s="84">
        <f>'HPS LTO DAILY '!W131</f>
        <v>0</v>
      </c>
      <c r="X43" s="84">
        <f>'HPS LTO DAILY '!X131</f>
        <v>0</v>
      </c>
      <c r="Y43" s="84">
        <f>'HPS LTO DAILY '!AG131</f>
        <v>0</v>
      </c>
      <c r="Z43" s="84">
        <f>'HPS LTO DAILY '!AH131</f>
        <v>0</v>
      </c>
      <c r="AA43" s="84">
        <f>'HPS LTO DAILY '!AI131</f>
        <v>0</v>
      </c>
      <c r="AB43" s="84">
        <f>'HPS LTO DAILY '!AJ131</f>
        <v>0</v>
      </c>
      <c r="AC43" s="84">
        <f>'HPS LTO DAILY '!AK131</f>
        <v>0</v>
      </c>
      <c r="AD43" s="84">
        <f>'HPS LTO DAILY '!AL131</f>
        <v>0</v>
      </c>
      <c r="AE43" s="84">
        <f>'HPS LTO DAILY '!AM131</f>
        <v>0</v>
      </c>
      <c r="AF43" s="84">
        <f>'HPS LTO DAILY '!AN131</f>
        <v>0</v>
      </c>
      <c r="AG43" s="84">
        <f>'HPS LTO DAILY '!AO131</f>
        <v>0</v>
      </c>
      <c r="AH43" s="84">
        <f>'HPS LTO DAILY '!AP131</f>
        <v>0</v>
      </c>
      <c r="AI43" s="84">
        <f>'HPS LTO DAILY '!AQ131</f>
        <v>0</v>
      </c>
    </row>
    <row r="44" spans="4:35" ht="19.5" customHeight="1" x14ac:dyDescent="0.35">
      <c r="D44" s="83">
        <v>20</v>
      </c>
      <c r="E44" s="2690"/>
      <c r="F44" s="2681"/>
      <c r="G44" s="961"/>
      <c r="H44" s="84">
        <f>'HPS LTO DAILY '!H136</f>
        <v>0</v>
      </c>
      <c r="I44" s="84">
        <f>'HPS LTO DAILY '!I136</f>
        <v>158.6</v>
      </c>
      <c r="J44" s="84">
        <f>'HPS LTO DAILY '!J136</f>
        <v>152.19999999999999</v>
      </c>
      <c r="K44" s="84">
        <f>'HPS LTO DAILY '!K136</f>
        <v>147.80000000000001</v>
      </c>
      <c r="L44" s="84">
        <f>'HPS LTO DAILY '!L136</f>
        <v>163.5</v>
      </c>
      <c r="M44" s="84">
        <f>'HPS LTO DAILY '!M136</f>
        <v>148.9</v>
      </c>
      <c r="N44" s="84">
        <f>'HPS LTO DAILY '!N136</f>
        <v>168.4</v>
      </c>
      <c r="O44" s="84">
        <f>'HPS LTO DAILY '!O136</f>
        <v>163.1</v>
      </c>
      <c r="P44" s="84">
        <f>'HPS LTO DAILY '!P136</f>
        <v>161</v>
      </c>
      <c r="Q44" s="84">
        <f>'HPS LTO DAILY '!Q136</f>
        <v>170.9</v>
      </c>
      <c r="R44" s="84">
        <f>'HPS LTO DAILY '!R136</f>
        <v>163.6</v>
      </c>
      <c r="S44" s="84">
        <f>'HPS LTO DAILY '!S136</f>
        <v>163.4</v>
      </c>
      <c r="T44" s="84">
        <f>'HPS LTO DAILY '!T136</f>
        <v>164.3</v>
      </c>
      <c r="U44" s="84">
        <f>'HPS LTO DAILY '!U136</f>
        <v>0</v>
      </c>
      <c r="V44" s="84">
        <f>'HPS LTO DAILY '!V136</f>
        <v>0</v>
      </c>
      <c r="W44" s="84">
        <f>'HPS LTO DAILY '!W136</f>
        <v>0</v>
      </c>
      <c r="X44" s="84">
        <f>'HPS LTO DAILY '!X136</f>
        <v>0</v>
      </c>
      <c r="Y44" s="84">
        <f>'HPS LTO DAILY '!AG136</f>
        <v>0</v>
      </c>
      <c r="Z44" s="84">
        <f>'HPS LTO DAILY '!AH136</f>
        <v>0</v>
      </c>
      <c r="AA44" s="84">
        <f>'HPS LTO DAILY '!AI136</f>
        <v>0</v>
      </c>
      <c r="AB44" s="84">
        <f>'HPS LTO DAILY '!AJ136</f>
        <v>0</v>
      </c>
      <c r="AC44" s="84">
        <f>'HPS LTO DAILY '!AK136</f>
        <v>0</v>
      </c>
      <c r="AD44" s="84">
        <f>'HPS LTO DAILY '!AL136</f>
        <v>0</v>
      </c>
      <c r="AE44" s="84">
        <f>'HPS LTO DAILY '!AM136</f>
        <v>0</v>
      </c>
      <c r="AF44" s="84">
        <f>'HPS LTO DAILY '!AN136</f>
        <v>0</v>
      </c>
      <c r="AG44" s="84">
        <f>'HPS LTO DAILY '!AO136</f>
        <v>0</v>
      </c>
      <c r="AH44" s="84">
        <f>'HPS LTO DAILY '!AP136</f>
        <v>0</v>
      </c>
      <c r="AI44" s="84">
        <f>'HPS LTO DAILY '!AQ136</f>
        <v>0</v>
      </c>
    </row>
    <row r="45" spans="4:35" ht="19.5" customHeight="1" x14ac:dyDescent="0.35">
      <c r="D45" s="83">
        <v>30</v>
      </c>
      <c r="E45" s="2690"/>
      <c r="F45" s="2681"/>
      <c r="G45" s="961"/>
      <c r="H45" s="84">
        <f>'HPS LTO DAILY '!H146</f>
        <v>0</v>
      </c>
      <c r="I45" s="84">
        <f>'HPS LTO DAILY '!I146</f>
        <v>182.8</v>
      </c>
      <c r="J45" s="84">
        <f>'HPS LTO DAILY '!J146</f>
        <v>176.1</v>
      </c>
      <c r="K45" s="84">
        <f>'HPS LTO DAILY '!K146</f>
        <v>173</v>
      </c>
      <c r="L45" s="84">
        <f>'HPS LTO DAILY '!L146</f>
        <v>183.4</v>
      </c>
      <c r="M45" s="84">
        <f>'HPS LTO DAILY '!M146</f>
        <v>172.3</v>
      </c>
      <c r="N45" s="84">
        <f>'HPS LTO DAILY '!N146</f>
        <v>188.8</v>
      </c>
      <c r="O45" s="84">
        <f>'HPS LTO DAILY '!O146</f>
        <v>181.8</v>
      </c>
      <c r="P45" s="84">
        <f>'HPS LTO DAILY '!P146</f>
        <v>179.8</v>
      </c>
      <c r="Q45" s="84">
        <f>'HPS LTO DAILY '!Q146</f>
        <v>193.1</v>
      </c>
      <c r="R45" s="84">
        <f>'HPS LTO DAILY '!R146</f>
        <v>183.2</v>
      </c>
      <c r="S45" s="84">
        <f>'HPS LTO DAILY '!S146</f>
        <v>182</v>
      </c>
      <c r="T45" s="84">
        <f>'HPS LTO DAILY '!T146</f>
        <v>183.5</v>
      </c>
      <c r="U45" s="84">
        <f>'HPS LTO DAILY '!U146</f>
        <v>0</v>
      </c>
      <c r="V45" s="84">
        <f>'HPS LTO DAILY '!V146</f>
        <v>0</v>
      </c>
      <c r="W45" s="84">
        <f>'HPS LTO DAILY '!W146</f>
        <v>0</v>
      </c>
      <c r="X45" s="84">
        <f>'HPS LTO DAILY '!X146</f>
        <v>0</v>
      </c>
      <c r="Y45" s="84">
        <f>'HPS LTO DAILY '!AG146</f>
        <v>0</v>
      </c>
      <c r="Z45" s="84">
        <f>'HPS LTO DAILY '!AH146</f>
        <v>0</v>
      </c>
      <c r="AA45" s="84">
        <f>'HPS LTO DAILY '!AI146</f>
        <v>0</v>
      </c>
      <c r="AB45" s="84">
        <f>'HPS LTO DAILY '!AJ146</f>
        <v>0</v>
      </c>
      <c r="AC45" s="84">
        <f>'HPS LTO DAILY '!AK146</f>
        <v>0</v>
      </c>
      <c r="AD45" s="84">
        <f>'HPS LTO DAILY '!AL146</f>
        <v>0</v>
      </c>
      <c r="AE45" s="84">
        <f>'HPS LTO DAILY '!AM146</f>
        <v>0</v>
      </c>
      <c r="AF45" s="84">
        <f>'HPS LTO DAILY '!AN146</f>
        <v>0</v>
      </c>
      <c r="AG45" s="84">
        <f>'HPS LTO DAILY '!AO146</f>
        <v>0</v>
      </c>
      <c r="AH45" s="84">
        <f>'HPS LTO DAILY '!AP146</f>
        <v>0</v>
      </c>
      <c r="AI45" s="84">
        <f>'HPS LTO DAILY '!AQ146</f>
        <v>0</v>
      </c>
    </row>
    <row r="46" spans="4:35" ht="19.5" customHeight="1" x14ac:dyDescent="0.35">
      <c r="D46" s="83">
        <v>40</v>
      </c>
      <c r="E46" s="2690"/>
      <c r="F46" s="2681"/>
      <c r="G46" s="961"/>
      <c r="H46" s="84">
        <f>'HPS LTO DAILY '!H156</f>
        <v>0</v>
      </c>
      <c r="I46" s="84">
        <f>'HPS LTO DAILY '!I156</f>
        <v>207.5</v>
      </c>
      <c r="J46" s="84">
        <f>'HPS LTO DAILY '!J156</f>
        <v>199.5</v>
      </c>
      <c r="K46" s="84">
        <f>'HPS LTO DAILY '!K156</f>
        <v>196.8</v>
      </c>
      <c r="L46" s="84">
        <f>'HPS LTO DAILY '!L156</f>
        <v>204</v>
      </c>
      <c r="M46" s="84">
        <f>'HPS LTO DAILY '!M156</f>
        <v>194.2</v>
      </c>
      <c r="N46" s="84">
        <f>'HPS LTO DAILY '!N156</f>
        <v>206.8</v>
      </c>
      <c r="O46" s="84">
        <f>'HPS LTO DAILY '!O156</f>
        <v>201.9</v>
      </c>
      <c r="P46" s="84">
        <f>'HPS LTO DAILY '!P156</f>
        <v>199</v>
      </c>
      <c r="Q46" s="84">
        <f>'HPS LTO DAILY '!Q156</f>
        <v>215.5</v>
      </c>
      <c r="R46" s="84">
        <f>'HPS LTO DAILY '!R156</f>
        <v>203.6</v>
      </c>
      <c r="S46" s="84">
        <f>'HPS LTO DAILY '!S156</f>
        <v>201.8</v>
      </c>
      <c r="T46" s="84">
        <f>'HPS LTO DAILY '!T156</f>
        <v>203</v>
      </c>
      <c r="U46" s="84">
        <f>'HPS LTO DAILY '!U156</f>
        <v>0</v>
      </c>
      <c r="V46" s="84">
        <f>'HPS LTO DAILY '!V156</f>
        <v>0</v>
      </c>
      <c r="W46" s="84">
        <f>'HPS LTO DAILY '!W156</f>
        <v>0</v>
      </c>
      <c r="X46" s="84">
        <f>'HPS LTO DAILY '!X156</f>
        <v>0</v>
      </c>
      <c r="Y46" s="84">
        <f>'HPS LTO DAILY '!AG156</f>
        <v>0</v>
      </c>
      <c r="Z46" s="84">
        <f>'HPS LTO DAILY '!AH156</f>
        <v>0</v>
      </c>
      <c r="AA46" s="84">
        <f>'HPS LTO DAILY '!AI156</f>
        <v>0</v>
      </c>
      <c r="AB46" s="84">
        <f>'HPS LTO DAILY '!AJ156</f>
        <v>0</v>
      </c>
      <c r="AC46" s="84">
        <f>'HPS LTO DAILY '!AK156</f>
        <v>0</v>
      </c>
      <c r="AD46" s="84">
        <f>'HPS LTO DAILY '!AL156</f>
        <v>0</v>
      </c>
      <c r="AE46" s="84">
        <f>'HPS LTO DAILY '!AM156</f>
        <v>0</v>
      </c>
      <c r="AF46" s="84">
        <f>'HPS LTO DAILY '!AN156</f>
        <v>0</v>
      </c>
      <c r="AG46" s="84">
        <f>'HPS LTO DAILY '!AO156</f>
        <v>0</v>
      </c>
      <c r="AH46" s="84">
        <f>'HPS LTO DAILY '!AP156</f>
        <v>0</v>
      </c>
      <c r="AI46" s="84">
        <f>'HPS LTO DAILY '!AQ156</f>
        <v>0</v>
      </c>
    </row>
    <row r="47" spans="4:35" ht="19.5" customHeight="1" x14ac:dyDescent="0.35">
      <c r="D47" s="83">
        <v>50</v>
      </c>
      <c r="E47" s="2690"/>
      <c r="F47" s="2681"/>
      <c r="G47" s="961"/>
      <c r="H47" s="84">
        <f>'HPS LTO DAILY '!H166</f>
        <v>0</v>
      </c>
      <c r="I47" s="84">
        <f>'HPS LTO DAILY '!I166</f>
        <v>233.3</v>
      </c>
      <c r="J47" s="84">
        <f>'HPS LTO DAILY '!J166</f>
        <v>224.2</v>
      </c>
      <c r="K47" s="84">
        <f>'HPS LTO DAILY '!K166</f>
        <v>218.1</v>
      </c>
      <c r="L47" s="84">
        <f>'HPS LTO DAILY '!L166</f>
        <v>225</v>
      </c>
      <c r="M47" s="84">
        <f>'HPS LTO DAILY '!M166</f>
        <v>214.9</v>
      </c>
      <c r="N47" s="84">
        <f>'HPS LTO DAILY '!N166</f>
        <v>226.6</v>
      </c>
      <c r="O47" s="84">
        <f>'HPS LTO DAILY '!O166</f>
        <v>220.9</v>
      </c>
      <c r="P47" s="84">
        <f>'HPS LTO DAILY '!P166</f>
        <v>219.3</v>
      </c>
      <c r="Q47" s="84">
        <f>'HPS LTO DAILY '!Q166</f>
        <v>237.4</v>
      </c>
      <c r="R47" s="84">
        <f>'HPS LTO DAILY '!R166</f>
        <v>223.5</v>
      </c>
      <c r="S47" s="84">
        <f>'HPS LTO DAILY '!S166</f>
        <v>220.6</v>
      </c>
      <c r="T47" s="84">
        <f>'HPS LTO DAILY '!T166</f>
        <v>221.5</v>
      </c>
      <c r="U47" s="84">
        <f>'HPS LTO DAILY '!U166</f>
        <v>0</v>
      </c>
      <c r="V47" s="84">
        <f>'HPS LTO DAILY '!V166</f>
        <v>0</v>
      </c>
      <c r="W47" s="84">
        <f>'HPS LTO DAILY '!W166</f>
        <v>0</v>
      </c>
      <c r="X47" s="84">
        <f>'HPS LTO DAILY '!X166</f>
        <v>0</v>
      </c>
      <c r="Y47" s="84">
        <f>'HPS LTO DAILY '!AG166</f>
        <v>0</v>
      </c>
      <c r="Z47" s="84">
        <f>'HPS LTO DAILY '!AH166</f>
        <v>0</v>
      </c>
      <c r="AA47" s="84">
        <f>'HPS LTO DAILY '!AI166</f>
        <v>0</v>
      </c>
      <c r="AB47" s="84">
        <f>'HPS LTO DAILY '!AJ166</f>
        <v>0</v>
      </c>
      <c r="AC47" s="84">
        <f>'HPS LTO DAILY '!AK166</f>
        <v>0</v>
      </c>
      <c r="AD47" s="84">
        <f>'HPS LTO DAILY '!AL166</f>
        <v>0</v>
      </c>
      <c r="AE47" s="84">
        <f>'HPS LTO DAILY '!AM166</f>
        <v>0</v>
      </c>
      <c r="AF47" s="84">
        <f>'HPS LTO DAILY '!AN166</f>
        <v>0</v>
      </c>
      <c r="AG47" s="84">
        <f>'HPS LTO DAILY '!AO166</f>
        <v>0</v>
      </c>
      <c r="AH47" s="84">
        <f>'HPS LTO DAILY '!AP166</f>
        <v>0</v>
      </c>
      <c r="AI47" s="84">
        <f>'HPS LTO DAILY '!AQ166</f>
        <v>0</v>
      </c>
    </row>
    <row r="48" spans="4:35" ht="19.5" customHeight="1" x14ac:dyDescent="0.35">
      <c r="D48" s="83">
        <v>60</v>
      </c>
      <c r="E48" s="2690"/>
      <c r="F48" s="2681"/>
      <c r="G48" s="961"/>
      <c r="H48" s="84">
        <f>'HPS LTO DAILY '!H176</f>
        <v>0</v>
      </c>
      <c r="I48" s="84">
        <f>'HPS LTO DAILY '!I176</f>
        <v>261.3</v>
      </c>
      <c r="J48" s="84">
        <f>'HPS LTO DAILY '!J176</f>
        <v>251.3</v>
      </c>
      <c r="K48" s="84">
        <f>'HPS LTO DAILY '!K176</f>
        <v>243.8</v>
      </c>
      <c r="L48" s="84">
        <f>'HPS LTO DAILY '!L176</f>
        <v>248.6</v>
      </c>
      <c r="M48" s="84">
        <f>'HPS LTO DAILY '!M176</f>
        <v>237</v>
      </c>
      <c r="N48" s="84">
        <f>'HPS LTO DAILY '!N176</f>
        <v>247.8</v>
      </c>
      <c r="O48" s="84">
        <f>'HPS LTO DAILY '!O176</f>
        <v>242.7</v>
      </c>
      <c r="P48" s="84">
        <f>'HPS LTO DAILY '!P176</f>
        <v>240.7</v>
      </c>
      <c r="Q48" s="84">
        <f>'HPS LTO DAILY '!Q176</f>
        <v>264.39999999999998</v>
      </c>
      <c r="R48" s="84">
        <f>'HPS LTO DAILY '!R176</f>
        <v>246.8</v>
      </c>
      <c r="S48" s="84">
        <f>'HPS LTO DAILY '!S176</f>
        <v>242.1</v>
      </c>
      <c r="T48" s="84">
        <f>'HPS LTO DAILY '!T176</f>
        <v>243.3</v>
      </c>
      <c r="U48" s="84">
        <f>'HPS LTO DAILY '!U176</f>
        <v>0</v>
      </c>
      <c r="V48" s="84">
        <f>'HPS LTO DAILY '!V176</f>
        <v>0</v>
      </c>
      <c r="W48" s="84">
        <f>'HPS LTO DAILY '!W176</f>
        <v>0</v>
      </c>
      <c r="X48" s="84">
        <f>'HPS LTO DAILY '!X176</f>
        <v>0</v>
      </c>
      <c r="Y48" s="84">
        <f>'HPS LTO DAILY '!AG176</f>
        <v>0</v>
      </c>
      <c r="Z48" s="84">
        <f>'HPS LTO DAILY '!AH176</f>
        <v>0</v>
      </c>
      <c r="AA48" s="84">
        <f>'HPS LTO DAILY '!AI176</f>
        <v>0</v>
      </c>
      <c r="AB48" s="84">
        <f>'HPS LTO DAILY '!AJ176</f>
        <v>0</v>
      </c>
      <c r="AC48" s="84">
        <f>'HPS LTO DAILY '!AK176</f>
        <v>0</v>
      </c>
      <c r="AD48" s="84">
        <f>'HPS LTO DAILY '!AL176</f>
        <v>0</v>
      </c>
      <c r="AE48" s="84">
        <f>'HPS LTO DAILY '!AM176</f>
        <v>0</v>
      </c>
      <c r="AF48" s="84">
        <f>'HPS LTO DAILY '!AN176</f>
        <v>0</v>
      </c>
      <c r="AG48" s="84">
        <f>'HPS LTO DAILY '!AO176</f>
        <v>0</v>
      </c>
      <c r="AH48" s="84">
        <f>'HPS LTO DAILY '!AP176</f>
        <v>0</v>
      </c>
      <c r="AI48" s="84">
        <f>'HPS LTO DAILY '!AQ176</f>
        <v>0</v>
      </c>
    </row>
    <row r="49" spans="4:35" ht="19.5" customHeight="1" x14ac:dyDescent="0.35">
      <c r="D49" s="83">
        <v>70</v>
      </c>
      <c r="E49" s="2690"/>
      <c r="F49" s="2681"/>
      <c r="G49" s="952"/>
      <c r="H49" s="60">
        <f>'HPS LTO DAILY '!H186</f>
        <v>0</v>
      </c>
      <c r="I49" s="60">
        <f>'HPS LTO DAILY '!I186</f>
        <v>293.2</v>
      </c>
      <c r="J49" s="60">
        <f>'HPS LTO DAILY '!J186</f>
        <v>280.10000000000002</v>
      </c>
      <c r="K49" s="60">
        <f>'HPS LTO DAILY '!K186</f>
        <v>272.39999999999998</v>
      </c>
      <c r="L49" s="60">
        <f>'HPS LTO DAILY '!L186</f>
        <v>273.60000000000002</v>
      </c>
      <c r="M49" s="60">
        <f>'HPS LTO DAILY '!M186</f>
        <v>263</v>
      </c>
      <c r="N49" s="60">
        <f>'HPS LTO DAILY '!N186</f>
        <v>272.3</v>
      </c>
      <c r="O49" s="60">
        <f>'HPS LTO DAILY '!O186</f>
        <v>267.8</v>
      </c>
      <c r="P49" s="60">
        <f>'HPS LTO DAILY '!P186</f>
        <v>266.60000000000002</v>
      </c>
      <c r="Q49" s="60">
        <f>'HPS LTO DAILY '!Q186</f>
        <v>293.39999999999998</v>
      </c>
      <c r="R49" s="60">
        <f>'HPS LTO DAILY '!R186</f>
        <v>272.60000000000002</v>
      </c>
      <c r="S49" s="60">
        <f>'HPS LTO DAILY '!S186</f>
        <v>267.3</v>
      </c>
      <c r="T49" s="60">
        <f>'HPS LTO DAILY '!T186</f>
        <v>268</v>
      </c>
      <c r="U49" s="60">
        <f>'HPS LTO DAILY '!U186</f>
        <v>0</v>
      </c>
      <c r="V49" s="60">
        <f>'HPS LTO DAILY '!V186</f>
        <v>0</v>
      </c>
      <c r="W49" s="60">
        <f>'HPS LTO DAILY '!W186</f>
        <v>0</v>
      </c>
      <c r="X49" s="60">
        <f>'HPS LTO DAILY '!X186</f>
        <v>0</v>
      </c>
      <c r="Y49" s="60">
        <f>'HPS LTO DAILY '!AG186</f>
        <v>0</v>
      </c>
      <c r="Z49" s="60">
        <f>'HPS LTO DAILY '!AH186</f>
        <v>0</v>
      </c>
      <c r="AA49" s="60">
        <f>'HPS LTO DAILY '!AI186</f>
        <v>0</v>
      </c>
      <c r="AB49" s="60">
        <f>'HPS LTO DAILY '!AJ186</f>
        <v>0</v>
      </c>
      <c r="AC49" s="60">
        <f>'HPS LTO DAILY '!AK186</f>
        <v>0</v>
      </c>
      <c r="AD49" s="60">
        <f>'HPS LTO DAILY '!AL186</f>
        <v>0</v>
      </c>
      <c r="AE49" s="60">
        <f>'HPS LTO DAILY '!AM186</f>
        <v>0</v>
      </c>
      <c r="AF49" s="60">
        <f>'HPS LTO DAILY '!AN186</f>
        <v>0</v>
      </c>
      <c r="AG49" s="60">
        <f>'HPS LTO DAILY '!AO186</f>
        <v>0</v>
      </c>
      <c r="AH49" s="60">
        <f>'HPS LTO DAILY '!AP186</f>
        <v>0</v>
      </c>
      <c r="AI49" s="60">
        <f>'HPS LTO DAILY '!AQ186</f>
        <v>0</v>
      </c>
    </row>
    <row r="50" spans="4:35" ht="19.5" customHeight="1" x14ac:dyDescent="0.35">
      <c r="D50" s="83">
        <v>80</v>
      </c>
      <c r="E50" s="2690"/>
      <c r="F50" s="2681"/>
      <c r="G50" s="952"/>
      <c r="H50" s="60">
        <f>'HPS LTO DAILY '!H196</f>
        <v>0</v>
      </c>
      <c r="I50" s="60">
        <f>'HPS LTO DAILY '!I196</f>
        <v>331.7</v>
      </c>
      <c r="J50" s="60">
        <f>'HPS LTO DAILY '!J196</f>
        <v>315.60000000000002</v>
      </c>
      <c r="K50" s="60">
        <f>'HPS LTO DAILY '!K196</f>
        <v>306</v>
      </c>
      <c r="L50" s="60">
        <f>'HPS LTO DAILY '!L196</f>
        <v>306</v>
      </c>
      <c r="M50" s="60">
        <f>'HPS LTO DAILY '!M196</f>
        <v>294.2</v>
      </c>
      <c r="N50" s="60">
        <f>'HPS LTO DAILY '!N196</f>
        <v>302.10000000000002</v>
      </c>
      <c r="O50" s="60">
        <f>'HPS LTO DAILY '!O196</f>
        <v>298.5</v>
      </c>
      <c r="P50" s="60">
        <f>'HPS LTO DAILY '!P196</f>
        <v>297.39999999999998</v>
      </c>
      <c r="Q50" s="60">
        <f>'HPS LTO DAILY '!Q196</f>
        <v>330.8</v>
      </c>
      <c r="R50" s="60">
        <f>'HPS LTO DAILY '!R196</f>
        <v>304.2</v>
      </c>
      <c r="S50" s="60">
        <f>'HPS LTO DAILY '!S196</f>
        <v>298</v>
      </c>
      <c r="T50" s="60">
        <f>'HPS LTO DAILY '!T196</f>
        <v>298.60000000000002</v>
      </c>
      <c r="U50" s="60">
        <f>'HPS LTO DAILY '!U196</f>
        <v>0</v>
      </c>
      <c r="V50" s="60">
        <f>'HPS LTO DAILY '!V196</f>
        <v>0</v>
      </c>
      <c r="W50" s="60">
        <f>'HPS LTO DAILY '!W196</f>
        <v>0</v>
      </c>
      <c r="X50" s="60">
        <f>'HPS LTO DAILY '!X196</f>
        <v>0</v>
      </c>
      <c r="Y50" s="60">
        <f>'HPS LTO DAILY '!AG196</f>
        <v>0</v>
      </c>
      <c r="Z50" s="60">
        <f>'HPS LTO DAILY '!AH196</f>
        <v>0</v>
      </c>
      <c r="AA50" s="60">
        <f>'HPS LTO DAILY '!AI196</f>
        <v>0</v>
      </c>
      <c r="AB50" s="60">
        <f>'HPS LTO DAILY '!AJ196</f>
        <v>0</v>
      </c>
      <c r="AC50" s="60">
        <f>'HPS LTO DAILY '!AK196</f>
        <v>0</v>
      </c>
      <c r="AD50" s="60">
        <f>'HPS LTO DAILY '!AL196</f>
        <v>0</v>
      </c>
      <c r="AE50" s="60">
        <f>'HPS LTO DAILY '!AM196</f>
        <v>0</v>
      </c>
      <c r="AF50" s="60">
        <f>'HPS LTO DAILY '!AN196</f>
        <v>0</v>
      </c>
      <c r="AG50" s="60">
        <f>'HPS LTO DAILY '!AO196</f>
        <v>0</v>
      </c>
      <c r="AH50" s="60">
        <f>'HPS LTO DAILY '!AP196</f>
        <v>0</v>
      </c>
      <c r="AI50" s="60">
        <f>'HPS LTO DAILY '!AQ196</f>
        <v>0</v>
      </c>
    </row>
    <row r="51" spans="4:35" ht="19.5" customHeight="1" x14ac:dyDescent="0.35">
      <c r="D51" s="83">
        <v>90</v>
      </c>
      <c r="E51" s="2690"/>
      <c r="F51" s="2681"/>
      <c r="G51" s="952"/>
      <c r="H51" s="60">
        <f>'HPS LTO DAILY '!H206</f>
        <v>0</v>
      </c>
      <c r="I51" s="60">
        <f>'HPS LTO DAILY '!I206</f>
        <v>380.5</v>
      </c>
      <c r="J51" s="60">
        <f>'HPS LTO DAILY '!J206</f>
        <v>364.3</v>
      </c>
      <c r="K51" s="60">
        <f>'HPS LTO DAILY '!K206</f>
        <v>355</v>
      </c>
      <c r="L51" s="60">
        <f>'HPS LTO DAILY '!L206</f>
        <v>352.3</v>
      </c>
      <c r="M51" s="60">
        <f>'HPS LTO DAILY '!M206</f>
        <v>337.8</v>
      </c>
      <c r="N51" s="60">
        <f>'HPS LTO DAILY '!N206</f>
        <v>344.3</v>
      </c>
      <c r="O51" s="60">
        <f>'HPS LTO DAILY '!O206</f>
        <v>341</v>
      </c>
      <c r="P51" s="60">
        <f>'HPS LTO DAILY '!P206</f>
        <v>340.2</v>
      </c>
      <c r="Q51" s="60">
        <f>'HPS LTO DAILY '!Q206</f>
        <v>380.1</v>
      </c>
      <c r="R51" s="60">
        <f>'HPS LTO DAILY '!R206</f>
        <v>351.1</v>
      </c>
      <c r="S51" s="60">
        <f>'HPS LTO DAILY '!S206</f>
        <v>340.8</v>
      </c>
      <c r="T51" s="60">
        <f>'HPS LTO DAILY '!T206</f>
        <v>341.3</v>
      </c>
      <c r="U51" s="60">
        <f>'HPS LTO DAILY '!U206</f>
        <v>0</v>
      </c>
      <c r="V51" s="60">
        <f>'HPS LTO DAILY '!V206</f>
        <v>0</v>
      </c>
      <c r="W51" s="60">
        <f>'HPS LTO DAILY '!W206</f>
        <v>0</v>
      </c>
      <c r="X51" s="60">
        <f>'HPS LTO DAILY '!X206</f>
        <v>0</v>
      </c>
      <c r="Y51" s="60">
        <f>'HPS LTO DAILY '!AG206</f>
        <v>0</v>
      </c>
      <c r="Z51" s="60">
        <f>'HPS LTO DAILY '!AH206</f>
        <v>0</v>
      </c>
      <c r="AA51" s="60">
        <f>'HPS LTO DAILY '!AI206</f>
        <v>0</v>
      </c>
      <c r="AB51" s="60">
        <f>'HPS LTO DAILY '!AJ206</f>
        <v>0</v>
      </c>
      <c r="AC51" s="60">
        <f>'HPS LTO DAILY '!AK206</f>
        <v>0</v>
      </c>
      <c r="AD51" s="60">
        <f>'HPS LTO DAILY '!AL206</f>
        <v>0</v>
      </c>
      <c r="AE51" s="60">
        <f>'HPS LTO DAILY '!AM206</f>
        <v>0</v>
      </c>
      <c r="AF51" s="60">
        <f>'HPS LTO DAILY '!AN206</f>
        <v>0</v>
      </c>
      <c r="AG51" s="60">
        <f>'HPS LTO DAILY '!AO206</f>
        <v>0</v>
      </c>
      <c r="AH51" s="60">
        <f>'HPS LTO DAILY '!AP206</f>
        <v>0</v>
      </c>
      <c r="AI51" s="60">
        <f>'HPS LTO DAILY '!AQ206</f>
        <v>0</v>
      </c>
    </row>
    <row r="52" spans="4:35" ht="19.5" customHeight="1" x14ac:dyDescent="0.35">
      <c r="D52" s="83">
        <v>95</v>
      </c>
      <c r="E52" s="2690"/>
      <c r="F52" s="2681"/>
      <c r="G52" s="952"/>
      <c r="H52" s="60">
        <f>'HPS LTO DAILY '!H211</f>
        <v>0</v>
      </c>
      <c r="I52" s="60">
        <f>'HPS LTO DAILY '!I211</f>
        <v>412.1</v>
      </c>
      <c r="J52" s="60">
        <f>'HPS LTO DAILY '!J211</f>
        <v>398.6</v>
      </c>
      <c r="K52" s="60">
        <f>'HPS LTO DAILY '!K211</f>
        <v>392</v>
      </c>
      <c r="L52" s="60">
        <f>'HPS LTO DAILY '!L211</f>
        <v>389</v>
      </c>
      <c r="M52" s="60">
        <f>'HPS LTO DAILY '!M211</f>
        <v>373.3</v>
      </c>
      <c r="N52" s="60">
        <f>'HPS LTO DAILY '!N211</f>
        <v>378.1</v>
      </c>
      <c r="O52" s="60">
        <f>'HPS LTO DAILY '!O211</f>
        <v>375.4</v>
      </c>
      <c r="P52" s="60">
        <f>'HPS LTO DAILY '!P211</f>
        <v>374.8</v>
      </c>
      <c r="Q52" s="60">
        <f>'HPS LTO DAILY '!Q211</f>
        <v>409.6</v>
      </c>
      <c r="R52" s="60">
        <f>'HPS LTO DAILY '!R211</f>
        <v>387.2</v>
      </c>
      <c r="S52" s="60">
        <f>'HPS LTO DAILY '!S211</f>
        <v>375.5</v>
      </c>
      <c r="T52" s="60">
        <f>'HPS LTO DAILY '!T211</f>
        <v>375.8</v>
      </c>
      <c r="U52" s="60">
        <f>'HPS LTO DAILY '!U211</f>
        <v>0</v>
      </c>
      <c r="V52" s="60">
        <f>'HPS LTO DAILY '!V211</f>
        <v>0</v>
      </c>
      <c r="W52" s="60">
        <f>'HPS LTO DAILY '!W211</f>
        <v>0</v>
      </c>
      <c r="X52" s="60">
        <f>'HPS LTO DAILY '!X211</f>
        <v>0</v>
      </c>
      <c r="Y52" s="60">
        <f>'HPS LTO DAILY '!AG211</f>
        <v>0</v>
      </c>
      <c r="Z52" s="60">
        <f>'HPS LTO DAILY '!AH211</f>
        <v>0</v>
      </c>
      <c r="AA52" s="60">
        <f>'HPS LTO DAILY '!AI211</f>
        <v>0</v>
      </c>
      <c r="AB52" s="60">
        <f>'HPS LTO DAILY '!AJ211</f>
        <v>0</v>
      </c>
      <c r="AC52" s="60">
        <f>'HPS LTO DAILY '!AK211</f>
        <v>0</v>
      </c>
      <c r="AD52" s="60">
        <f>'HPS LTO DAILY '!AL211</f>
        <v>0</v>
      </c>
      <c r="AE52" s="60">
        <f>'HPS LTO DAILY '!AM211</f>
        <v>0</v>
      </c>
      <c r="AF52" s="60">
        <f>'HPS LTO DAILY '!AN211</f>
        <v>0</v>
      </c>
      <c r="AG52" s="60">
        <f>'HPS LTO DAILY '!AO211</f>
        <v>0</v>
      </c>
      <c r="AH52" s="60">
        <f>'HPS LTO DAILY '!AP211</f>
        <v>0</v>
      </c>
      <c r="AI52" s="60">
        <f>'HPS LTO DAILY '!AQ211</f>
        <v>0</v>
      </c>
    </row>
    <row r="53" spans="4:35" ht="19.5" customHeight="1" thickBot="1" x14ac:dyDescent="0.4">
      <c r="D53" s="83" t="s">
        <v>61</v>
      </c>
      <c r="E53" s="89" t="s">
        <v>54</v>
      </c>
      <c r="F53" s="2682"/>
      <c r="G53" s="963"/>
      <c r="H53" s="91">
        <f>'HPS LTO DAILY '!H216</f>
        <v>0</v>
      </c>
      <c r="I53" s="91">
        <f>'HPS LTO DAILY '!I216</f>
        <v>479.3</v>
      </c>
      <c r="J53" s="91">
        <f>'HPS LTO DAILY '!J216</f>
        <v>472</v>
      </c>
      <c r="K53" s="91">
        <f>'HPS LTO DAILY '!K216</f>
        <v>471.4</v>
      </c>
      <c r="L53" s="91">
        <f>'HPS LTO DAILY '!L216</f>
        <v>470.4</v>
      </c>
      <c r="M53" s="91">
        <f>'HPS LTO DAILY '!M216</f>
        <v>454.1</v>
      </c>
      <c r="N53" s="91">
        <f>'HPS LTO DAILY '!N216</f>
        <v>458.4</v>
      </c>
      <c r="O53" s="91">
        <f>'HPS LTO DAILY '!O216</f>
        <v>456.5</v>
      </c>
      <c r="P53" s="91">
        <f>'HPS LTO DAILY '!P216</f>
        <v>456.5</v>
      </c>
      <c r="Q53" s="91">
        <f>'HPS LTO DAILY '!Q216</f>
        <v>471.8</v>
      </c>
      <c r="R53" s="91">
        <f>'HPS LTO DAILY '!R216</f>
        <v>461</v>
      </c>
      <c r="S53" s="91">
        <f>'HPS LTO DAILY '!S216</f>
        <v>456.6</v>
      </c>
      <c r="T53" s="91">
        <f>'HPS LTO DAILY '!T216</f>
        <v>456.9</v>
      </c>
      <c r="U53" s="91">
        <f>'HPS LTO DAILY '!U216</f>
        <v>0</v>
      </c>
      <c r="V53" s="91">
        <f>'HPS LTO DAILY '!V216</f>
        <v>0</v>
      </c>
      <c r="W53" s="91">
        <f>'HPS LTO DAILY '!W216</f>
        <v>0</v>
      </c>
      <c r="X53" s="91">
        <f>'HPS LTO DAILY '!X216</f>
        <v>0</v>
      </c>
      <c r="Y53" s="91">
        <f>'HPS LTO DAILY '!AG216</f>
        <v>0</v>
      </c>
      <c r="Z53" s="91">
        <f>'HPS LTO DAILY '!AH216</f>
        <v>0</v>
      </c>
      <c r="AA53" s="91">
        <f>'HPS LTO DAILY '!AI216</f>
        <v>0</v>
      </c>
      <c r="AB53" s="91">
        <f>'HPS LTO DAILY '!AJ216</f>
        <v>0</v>
      </c>
      <c r="AC53" s="91">
        <f>'HPS LTO DAILY '!AK216</f>
        <v>0</v>
      </c>
      <c r="AD53" s="91">
        <f>'HPS LTO DAILY '!AL216</f>
        <v>0</v>
      </c>
      <c r="AE53" s="91">
        <f>'HPS LTO DAILY '!AM216</f>
        <v>0</v>
      </c>
      <c r="AF53" s="91">
        <f>'HPS LTO DAILY '!AN216</f>
        <v>0</v>
      </c>
      <c r="AG53" s="91">
        <f>'HPS LTO DAILY '!AO216</f>
        <v>0</v>
      </c>
      <c r="AH53" s="91">
        <f>'HPS LTO DAILY '!AP216</f>
        <v>0</v>
      </c>
      <c r="AI53" s="91">
        <f>'HPS LTO DAILY '!AQ216</f>
        <v>0</v>
      </c>
    </row>
    <row r="54" spans="4:35" ht="19.5" customHeight="1" x14ac:dyDescent="0.35">
      <c r="D54" s="92" t="s">
        <v>159</v>
      </c>
      <c r="E54" s="93"/>
      <c r="F54" s="94"/>
      <c r="G54" s="95"/>
      <c r="H54" s="95"/>
      <c r="I54" s="95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  <c r="AC54" s="96"/>
      <c r="AD54" s="96"/>
      <c r="AE54" s="96"/>
      <c r="AF54" s="96"/>
      <c r="AG54" s="96"/>
      <c r="AH54" s="96"/>
      <c r="AI54" s="96"/>
    </row>
    <row r="55" spans="4:35" ht="19.5" customHeight="1" x14ac:dyDescent="0.35">
      <c r="D55" s="97" t="s">
        <v>101</v>
      </c>
      <c r="E55" s="2692" t="s">
        <v>58</v>
      </c>
      <c r="F55" s="2695" t="s">
        <v>36</v>
      </c>
      <c r="G55" s="98">
        <v>1.74</v>
      </c>
      <c r="H55" s="3">
        <v>2</v>
      </c>
      <c r="I55" s="3">
        <v>7.5</v>
      </c>
      <c r="J55" s="99">
        <v>9.5</v>
      </c>
      <c r="K55" s="99">
        <v>6.5</v>
      </c>
      <c r="L55" s="99">
        <v>4.5</v>
      </c>
      <c r="M55" s="99">
        <v>2.5</v>
      </c>
      <c r="N55" s="99">
        <v>3.5</v>
      </c>
      <c r="O55" s="99">
        <v>3.5</v>
      </c>
      <c r="P55" s="99">
        <v>3.5</v>
      </c>
      <c r="Q55" s="99">
        <v>3.5</v>
      </c>
      <c r="R55" s="99">
        <v>6.7</v>
      </c>
      <c r="S55" s="99">
        <v>3.5</v>
      </c>
      <c r="T55" s="99">
        <v>3.4</v>
      </c>
      <c r="U55" s="99">
        <v>3.6</v>
      </c>
      <c r="V55" s="99">
        <v>3.7</v>
      </c>
      <c r="W55" s="99">
        <v>6.8</v>
      </c>
      <c r="X55" s="99">
        <v>1.1000000000000001</v>
      </c>
      <c r="Y55" s="99">
        <v>1.1000000000000001</v>
      </c>
      <c r="Z55" s="99">
        <v>1.1000000000000001</v>
      </c>
      <c r="AA55" s="99">
        <v>1.1000000000000001</v>
      </c>
      <c r="AB55" s="99">
        <v>1.1000000000000001</v>
      </c>
      <c r="AC55" s="99">
        <v>1.1000000000000001</v>
      </c>
      <c r="AD55" s="99">
        <v>1.1000000000000001</v>
      </c>
      <c r="AE55" s="99">
        <v>1.1000000000000001</v>
      </c>
      <c r="AF55" s="99">
        <v>1.1000000000000001</v>
      </c>
      <c r="AG55" s="99">
        <v>1.1000000000000001</v>
      </c>
      <c r="AH55" s="99">
        <v>1.1000000000000001</v>
      </c>
      <c r="AI55" s="99">
        <v>1.1000000000000001</v>
      </c>
    </row>
    <row r="56" spans="4:35" ht="19.5" customHeight="1" x14ac:dyDescent="0.35">
      <c r="D56" s="97" t="s">
        <v>102</v>
      </c>
      <c r="E56" s="2693"/>
      <c r="F56" s="2696"/>
      <c r="G56" s="98">
        <v>1.74</v>
      </c>
      <c r="H56" s="3">
        <v>29</v>
      </c>
      <c r="I56" s="3">
        <v>22</v>
      </c>
      <c r="J56" s="99">
        <v>23</v>
      </c>
      <c r="K56" s="99">
        <v>22</v>
      </c>
      <c r="L56" s="99">
        <v>23.5</v>
      </c>
      <c r="M56" s="99">
        <v>24</v>
      </c>
      <c r="N56" s="99">
        <v>26.5</v>
      </c>
      <c r="O56" s="99">
        <v>26.5</v>
      </c>
      <c r="P56" s="99">
        <v>25.5</v>
      </c>
      <c r="Q56" s="99">
        <v>27.4</v>
      </c>
      <c r="R56" s="99">
        <v>29.4</v>
      </c>
      <c r="S56" s="99">
        <v>26.6</v>
      </c>
      <c r="T56" s="99">
        <v>23.8</v>
      </c>
      <c r="U56" s="99">
        <v>26.9</v>
      </c>
      <c r="V56" s="99">
        <v>28.3</v>
      </c>
      <c r="W56" s="99">
        <v>28.5</v>
      </c>
      <c r="X56" s="99">
        <v>20.399999999999999</v>
      </c>
      <c r="Y56" s="99">
        <v>20.399999999999999</v>
      </c>
      <c r="Z56" s="99">
        <v>20.399999999999999</v>
      </c>
      <c r="AA56" s="99">
        <v>20.399999999999999</v>
      </c>
      <c r="AB56" s="99">
        <v>20.399999999999999</v>
      </c>
      <c r="AC56" s="99">
        <v>20.399999999999999</v>
      </c>
      <c r="AD56" s="99">
        <v>20.399999999999999</v>
      </c>
      <c r="AE56" s="99">
        <v>20.399999999999999</v>
      </c>
      <c r="AF56" s="99">
        <v>20.399999999999999</v>
      </c>
      <c r="AG56" s="99">
        <v>20.399999999999999</v>
      </c>
      <c r="AH56" s="99">
        <v>20.399999999999999</v>
      </c>
      <c r="AI56" s="99">
        <v>20.399999999999999</v>
      </c>
    </row>
    <row r="57" spans="4:35" ht="19.5" customHeight="1" x14ac:dyDescent="0.35">
      <c r="D57" s="97" t="s">
        <v>103</v>
      </c>
      <c r="E57" s="2693"/>
      <c r="F57" s="2696"/>
      <c r="G57" s="98">
        <v>2.0499999999999998</v>
      </c>
      <c r="H57" s="3">
        <v>43.5</v>
      </c>
      <c r="I57" s="3">
        <v>39.5</v>
      </c>
      <c r="J57" s="99">
        <v>36.5</v>
      </c>
      <c r="K57" s="99">
        <v>37.5</v>
      </c>
      <c r="L57" s="99">
        <v>39.5</v>
      </c>
      <c r="M57" s="99">
        <v>45.5</v>
      </c>
      <c r="N57" s="99">
        <v>45</v>
      </c>
      <c r="O57" s="99">
        <v>45</v>
      </c>
      <c r="P57" s="99">
        <v>46</v>
      </c>
      <c r="Q57" s="99">
        <v>45.4</v>
      </c>
      <c r="R57" s="99">
        <v>42.4</v>
      </c>
      <c r="S57" s="99">
        <v>43.5</v>
      </c>
      <c r="T57" s="99">
        <v>44.3</v>
      </c>
      <c r="U57" s="99">
        <v>44.6</v>
      </c>
      <c r="V57" s="99">
        <v>44.7</v>
      </c>
      <c r="W57" s="99">
        <v>42</v>
      </c>
      <c r="X57" s="99">
        <v>50.3</v>
      </c>
      <c r="Y57" s="99">
        <v>50.3</v>
      </c>
      <c r="Z57" s="99">
        <v>50.3</v>
      </c>
      <c r="AA57" s="99">
        <v>50.3</v>
      </c>
      <c r="AB57" s="99">
        <v>50.3</v>
      </c>
      <c r="AC57" s="99">
        <v>50.3</v>
      </c>
      <c r="AD57" s="99">
        <v>50.3</v>
      </c>
      <c r="AE57" s="99">
        <v>50.3</v>
      </c>
      <c r="AF57" s="99">
        <v>50.3</v>
      </c>
      <c r="AG57" s="99">
        <v>50.3</v>
      </c>
      <c r="AH57" s="99">
        <v>50.3</v>
      </c>
      <c r="AI57" s="99">
        <v>50.3</v>
      </c>
    </row>
    <row r="58" spans="4:35" ht="19.5" customHeight="1" x14ac:dyDescent="0.35">
      <c r="D58" s="97" t="s">
        <v>104</v>
      </c>
      <c r="E58" s="2693"/>
      <c r="F58" s="2696"/>
      <c r="G58" s="98">
        <v>2.2799999999999998</v>
      </c>
      <c r="H58" s="3">
        <v>16.5</v>
      </c>
      <c r="I58" s="3">
        <v>23</v>
      </c>
      <c r="J58" s="99">
        <v>24</v>
      </c>
      <c r="K58" s="99">
        <v>26.5</v>
      </c>
      <c r="L58" s="99">
        <v>25.5</v>
      </c>
      <c r="M58" s="99">
        <v>23.5</v>
      </c>
      <c r="N58" s="99">
        <v>21.5</v>
      </c>
      <c r="O58" s="99">
        <v>21.5</v>
      </c>
      <c r="P58" s="99">
        <v>21.5</v>
      </c>
      <c r="Q58" s="99">
        <v>20.3</v>
      </c>
      <c r="R58" s="99">
        <v>18.399999999999999</v>
      </c>
      <c r="S58" s="99">
        <v>20.8</v>
      </c>
      <c r="T58" s="99">
        <v>23.8</v>
      </c>
      <c r="U58" s="99">
        <v>21</v>
      </c>
      <c r="V58" s="99">
        <v>19.899999999999999</v>
      </c>
      <c r="W58" s="99">
        <v>19.5</v>
      </c>
      <c r="X58" s="99">
        <v>24.4</v>
      </c>
      <c r="Y58" s="99">
        <v>24.4</v>
      </c>
      <c r="Z58" s="99">
        <v>24.4</v>
      </c>
      <c r="AA58" s="99">
        <v>24.4</v>
      </c>
      <c r="AB58" s="99">
        <v>24.4</v>
      </c>
      <c r="AC58" s="99">
        <v>24.4</v>
      </c>
      <c r="AD58" s="99">
        <v>24.4</v>
      </c>
      <c r="AE58" s="99">
        <v>24.4</v>
      </c>
      <c r="AF58" s="99">
        <v>24.4</v>
      </c>
      <c r="AG58" s="99">
        <v>24.4</v>
      </c>
      <c r="AH58" s="99">
        <v>24.4</v>
      </c>
      <c r="AI58" s="99">
        <v>24.4</v>
      </c>
    </row>
    <row r="59" spans="4:35" ht="19.5" customHeight="1" x14ac:dyDescent="0.35">
      <c r="D59" s="97" t="s">
        <v>105</v>
      </c>
      <c r="E59" s="2693"/>
      <c r="F59" s="2696"/>
      <c r="G59" s="98">
        <v>2.58</v>
      </c>
      <c r="H59" s="3">
        <v>9</v>
      </c>
      <c r="I59" s="3">
        <v>8</v>
      </c>
      <c r="J59" s="99">
        <v>7</v>
      </c>
      <c r="K59" s="99">
        <v>7.5</v>
      </c>
      <c r="L59" s="99">
        <v>7</v>
      </c>
      <c r="M59" s="99">
        <v>4.5</v>
      </c>
      <c r="N59" s="99">
        <v>3.5</v>
      </c>
      <c r="O59" s="99">
        <v>3.5</v>
      </c>
      <c r="P59" s="99">
        <v>3.5</v>
      </c>
      <c r="Q59" s="99">
        <v>3.4</v>
      </c>
      <c r="R59" s="99">
        <v>3.1</v>
      </c>
      <c r="S59" s="99">
        <v>5.6</v>
      </c>
      <c r="T59" s="99">
        <v>4.7</v>
      </c>
      <c r="U59" s="99">
        <v>3.9</v>
      </c>
      <c r="V59" s="99">
        <v>3.4</v>
      </c>
      <c r="W59" s="99">
        <v>3.2</v>
      </c>
      <c r="X59" s="99">
        <v>3.8</v>
      </c>
      <c r="Y59" s="99">
        <v>3.8</v>
      </c>
      <c r="Z59" s="99">
        <v>3.8</v>
      </c>
      <c r="AA59" s="99">
        <v>3.8</v>
      </c>
      <c r="AB59" s="99">
        <v>3.8</v>
      </c>
      <c r="AC59" s="99">
        <v>3.8</v>
      </c>
      <c r="AD59" s="99">
        <v>3.8</v>
      </c>
      <c r="AE59" s="99">
        <v>3.8</v>
      </c>
      <c r="AF59" s="99">
        <v>3.8</v>
      </c>
      <c r="AG59" s="99">
        <v>3.8</v>
      </c>
      <c r="AH59" s="99">
        <v>3.8</v>
      </c>
      <c r="AI59" s="99">
        <v>3.8</v>
      </c>
    </row>
    <row r="60" spans="4:35" ht="19.5" customHeight="1" x14ac:dyDescent="0.35">
      <c r="D60" s="97" t="s">
        <v>100</v>
      </c>
      <c r="E60" s="2693"/>
      <c r="F60" s="2696"/>
      <c r="G60" s="98">
        <v>2.58</v>
      </c>
      <c r="H60" s="3">
        <v>0</v>
      </c>
      <c r="I60" s="3">
        <v>0</v>
      </c>
      <c r="J60" s="99">
        <v>0</v>
      </c>
      <c r="K60" s="99">
        <v>0</v>
      </c>
      <c r="L60" s="99">
        <v>0</v>
      </c>
      <c r="M60" s="99">
        <v>0</v>
      </c>
      <c r="N60" s="99">
        <v>0</v>
      </c>
      <c r="O60" s="99">
        <v>0</v>
      </c>
      <c r="P60" s="99">
        <v>0</v>
      </c>
      <c r="Q60" s="99">
        <v>0</v>
      </c>
      <c r="R60" s="99">
        <v>0</v>
      </c>
      <c r="S60" s="99">
        <v>0</v>
      </c>
      <c r="T60" s="99">
        <v>0</v>
      </c>
      <c r="U60" s="99">
        <v>0</v>
      </c>
      <c r="V60" s="99">
        <v>0</v>
      </c>
      <c r="W60" s="99">
        <v>0</v>
      </c>
      <c r="X60" s="99">
        <v>0</v>
      </c>
      <c r="Y60" s="99">
        <v>0</v>
      </c>
      <c r="Z60" s="99">
        <v>0</v>
      </c>
      <c r="AA60" s="99">
        <v>0</v>
      </c>
      <c r="AB60" s="99">
        <v>0</v>
      </c>
      <c r="AC60" s="99">
        <v>0</v>
      </c>
      <c r="AD60" s="99">
        <v>0</v>
      </c>
      <c r="AE60" s="99">
        <v>0</v>
      </c>
      <c r="AF60" s="99">
        <v>0</v>
      </c>
      <c r="AG60" s="99">
        <v>0</v>
      </c>
      <c r="AH60" s="99">
        <v>0</v>
      </c>
      <c r="AI60" s="99">
        <v>0</v>
      </c>
    </row>
    <row r="61" spans="4:35" ht="19.5" customHeight="1" x14ac:dyDescent="0.35">
      <c r="D61" s="97" t="s">
        <v>160</v>
      </c>
      <c r="E61" s="2694"/>
      <c r="F61" s="2697"/>
      <c r="G61" s="98">
        <v>3.03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4:35" ht="19.5" customHeight="1" thickBot="1" x14ac:dyDescent="0.4">
      <c r="D62" s="100" t="s">
        <v>161</v>
      </c>
      <c r="E62" s="93"/>
      <c r="F62" s="94"/>
      <c r="G62" s="101"/>
      <c r="H62" s="443">
        <f>SUM(H55:H61)</f>
        <v>100</v>
      </c>
      <c r="I62" s="443">
        <f t="shared" ref="I62:X62" si="9">SUM(I55:I61)</f>
        <v>100</v>
      </c>
      <c r="J62" s="443">
        <f t="shared" si="9"/>
        <v>100</v>
      </c>
      <c r="K62" s="443">
        <f t="shared" si="9"/>
        <v>100</v>
      </c>
      <c r="L62" s="443">
        <f t="shared" si="9"/>
        <v>100</v>
      </c>
      <c r="M62" s="443">
        <f t="shared" si="9"/>
        <v>100</v>
      </c>
      <c r="N62" s="443">
        <f>SUM(N55:N61)</f>
        <v>100</v>
      </c>
      <c r="O62" s="443">
        <f t="shared" si="9"/>
        <v>100</v>
      </c>
      <c r="P62" s="443">
        <f t="shared" si="9"/>
        <v>100</v>
      </c>
      <c r="Q62" s="443">
        <f t="shared" si="9"/>
        <v>100</v>
      </c>
      <c r="R62" s="443">
        <f t="shared" si="9"/>
        <v>100</v>
      </c>
      <c r="S62" s="443">
        <f t="shared" si="9"/>
        <v>99.999999999999986</v>
      </c>
      <c r="T62" s="443">
        <f t="shared" si="9"/>
        <v>100</v>
      </c>
      <c r="U62" s="443">
        <f t="shared" si="9"/>
        <v>100</v>
      </c>
      <c r="V62" s="443">
        <f t="shared" si="9"/>
        <v>100</v>
      </c>
      <c r="W62" s="443">
        <f t="shared" si="9"/>
        <v>100</v>
      </c>
      <c r="X62" s="443">
        <f t="shared" si="9"/>
        <v>99.999999999999986</v>
      </c>
      <c r="Y62" s="443">
        <f t="shared" ref="Y62:AF62" si="10">SUM(Y55:Y61)</f>
        <v>99.999999999999986</v>
      </c>
      <c r="Z62" s="443">
        <f t="shared" si="10"/>
        <v>99.999999999999986</v>
      </c>
      <c r="AA62" s="443">
        <f t="shared" si="10"/>
        <v>99.999999999999986</v>
      </c>
      <c r="AB62" s="443">
        <f t="shared" si="10"/>
        <v>99.999999999999986</v>
      </c>
      <c r="AC62" s="443">
        <f t="shared" si="10"/>
        <v>99.999999999999986</v>
      </c>
      <c r="AD62" s="443">
        <f t="shared" si="10"/>
        <v>99.999999999999986</v>
      </c>
      <c r="AE62" s="443">
        <f t="shared" si="10"/>
        <v>99.999999999999986</v>
      </c>
      <c r="AF62" s="443">
        <f t="shared" si="10"/>
        <v>99.999999999999986</v>
      </c>
      <c r="AG62" s="443">
        <f t="shared" ref="AG62:AI62" si="11">SUM(AG55:AG61)</f>
        <v>99.999999999999986</v>
      </c>
      <c r="AH62" s="443">
        <f t="shared" si="11"/>
        <v>99.999999999999986</v>
      </c>
      <c r="AI62" s="443">
        <f t="shared" si="11"/>
        <v>99.999999999999986</v>
      </c>
    </row>
    <row r="63" spans="4:35" ht="18.75" customHeight="1" x14ac:dyDescent="0.35">
      <c r="D63" s="75" t="s">
        <v>62</v>
      </c>
      <c r="E63" s="2684" t="s">
        <v>63</v>
      </c>
      <c r="F63" s="2698" t="s">
        <v>55</v>
      </c>
      <c r="G63" s="47"/>
      <c r="H63" s="47"/>
      <c r="I63" s="47"/>
      <c r="J63" s="55"/>
      <c r="K63" s="55"/>
      <c r="L63" s="55"/>
      <c r="M63" s="55"/>
      <c r="N63" s="55"/>
      <c r="O63" s="55"/>
      <c r="P63" s="55"/>
      <c r="Q63" s="55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</row>
    <row r="64" spans="4:35" ht="18.75" customHeight="1" x14ac:dyDescent="0.35">
      <c r="D64" s="44" t="s">
        <v>64</v>
      </c>
      <c r="E64" s="2684"/>
      <c r="F64" s="2698"/>
      <c r="G64" s="60"/>
      <c r="H64" s="47"/>
      <c r="I64" s="47"/>
      <c r="J64" s="55"/>
      <c r="K64" s="55"/>
      <c r="L64" s="55"/>
      <c r="M64" s="55"/>
      <c r="N64" s="55"/>
      <c r="O64" s="55"/>
      <c r="P64" s="55"/>
      <c r="Q64" s="55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</row>
    <row r="65" spans="2:35" ht="18.75" customHeight="1" x14ac:dyDescent="0.35">
      <c r="D65" s="44" t="s">
        <v>65</v>
      </c>
      <c r="E65" s="2684"/>
      <c r="F65" s="2698"/>
      <c r="G65" s="60"/>
      <c r="H65" s="47"/>
      <c r="I65" s="47"/>
      <c r="J65" s="55"/>
      <c r="K65" s="55"/>
      <c r="L65" s="55"/>
      <c r="M65" s="55"/>
      <c r="N65" s="55"/>
      <c r="O65" s="55"/>
      <c r="P65" s="55"/>
      <c r="Q65" s="55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</row>
    <row r="66" spans="2:35" ht="18.75" customHeight="1" x14ac:dyDescent="0.35">
      <c r="D66" s="44" t="s">
        <v>66</v>
      </c>
      <c r="E66" s="2684"/>
      <c r="F66" s="2698"/>
      <c r="G66" s="60"/>
      <c r="H66" s="47"/>
      <c r="I66" s="47"/>
      <c r="J66" s="276"/>
      <c r="K66" s="55"/>
      <c r="L66" s="55"/>
      <c r="M66" s="55"/>
      <c r="N66" s="55"/>
      <c r="O66" s="55"/>
      <c r="P66" s="55"/>
      <c r="Q66" s="55"/>
      <c r="R66" s="277"/>
      <c r="S66" s="277"/>
      <c r="T66" s="277"/>
      <c r="U66" s="277"/>
      <c r="V66" s="277"/>
      <c r="W66" s="277"/>
      <c r="X66" s="277"/>
      <c r="Y66" s="277"/>
      <c r="Z66" s="277"/>
      <c r="AA66" s="277"/>
      <c r="AB66" s="277"/>
      <c r="AC66" s="277"/>
      <c r="AD66" s="277"/>
      <c r="AE66" s="277"/>
      <c r="AF66" s="277"/>
      <c r="AG66" s="277"/>
      <c r="AH66" s="277"/>
      <c r="AI66" s="277"/>
    </row>
    <row r="67" spans="2:35" ht="18.75" customHeight="1" x14ac:dyDescent="0.35">
      <c r="D67" s="44" t="s">
        <v>67</v>
      </c>
      <c r="E67" s="2684"/>
      <c r="F67" s="2698"/>
      <c r="G67" s="60"/>
      <c r="H67" s="47"/>
      <c r="I67" s="47"/>
      <c r="J67" s="55"/>
      <c r="K67" s="55"/>
      <c r="L67" s="55"/>
      <c r="M67" s="55"/>
      <c r="N67" s="55"/>
      <c r="O67" s="55"/>
      <c r="P67" s="55"/>
      <c r="Q67" s="55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</row>
    <row r="68" spans="2:35" x14ac:dyDescent="0.35">
      <c r="B68" s="103"/>
      <c r="C68" s="10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</row>
    <row r="69" spans="2:35" x14ac:dyDescent="0.35">
      <c r="B69" s="103"/>
      <c r="C69" s="103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</row>
    <row r="70" spans="2:35" s="18" customFormat="1" x14ac:dyDescent="0.35">
      <c r="B70" s="13"/>
      <c r="C70" s="13"/>
      <c r="D70" s="105"/>
      <c r="E70" s="106"/>
      <c r="F70" s="107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</row>
    <row r="71" spans="2:35" x14ac:dyDescent="0.35">
      <c r="B71" s="103"/>
      <c r="C71" s="103"/>
      <c r="D71" s="105"/>
      <c r="E71" s="106"/>
      <c r="F71" s="107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</row>
    <row r="72" spans="2:35" x14ac:dyDescent="0.35">
      <c r="B72" s="103"/>
      <c r="C72" s="103"/>
      <c r="D72" s="108"/>
      <c r="E72" s="106"/>
      <c r="F72" s="107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</row>
    <row r="73" spans="2:35" x14ac:dyDescent="0.35">
      <c r="B73" s="103"/>
      <c r="C73" s="103"/>
      <c r="D73" s="108"/>
      <c r="E73" s="106"/>
      <c r="F73" s="107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</row>
    <row r="74" spans="2:35" x14ac:dyDescent="0.35">
      <c r="B74" s="103"/>
      <c r="C74" s="103"/>
      <c r="D74" s="108"/>
      <c r="E74" s="106"/>
      <c r="F74" s="107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</row>
    <row r="75" spans="2:35" x14ac:dyDescent="0.35">
      <c r="B75" s="103"/>
      <c r="C75" s="103"/>
      <c r="D75" s="105"/>
      <c r="E75" s="106"/>
      <c r="F75" s="107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</row>
    <row r="76" spans="2:35" x14ac:dyDescent="0.35">
      <c r="B76" s="103"/>
      <c r="C76" s="103"/>
      <c r="D76" s="105"/>
      <c r="E76" s="106"/>
      <c r="F76" s="107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</row>
    <row r="77" spans="2:35" x14ac:dyDescent="0.35">
      <c r="B77" s="103"/>
      <c r="C77" s="103"/>
      <c r="D77" s="108"/>
      <c r="E77" s="106"/>
      <c r="F77" s="107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</row>
    <row r="78" spans="2:35" x14ac:dyDescent="0.35">
      <c r="B78" s="103"/>
      <c r="C78" s="103"/>
      <c r="D78" s="108"/>
      <c r="E78" s="106"/>
      <c r="F78" s="107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</row>
    <row r="79" spans="2:35" x14ac:dyDescent="0.35">
      <c r="B79" s="103"/>
      <c r="C79" s="103"/>
      <c r="D79" s="105"/>
      <c r="E79" s="106"/>
      <c r="F79" s="107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</row>
    <row r="80" spans="2:35" x14ac:dyDescent="0.35">
      <c r="B80" s="103"/>
      <c r="C80" s="103"/>
      <c r="D80" s="108"/>
      <c r="E80" s="106"/>
      <c r="F80" s="107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</row>
    <row r="81" spans="2:22" x14ac:dyDescent="0.35">
      <c r="B81" s="103"/>
      <c r="C81" s="103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</row>
    <row r="82" spans="2:22" x14ac:dyDescent="0.35">
      <c r="B82" s="103"/>
      <c r="C82" s="103"/>
      <c r="D82" s="105"/>
      <c r="E82" s="106"/>
      <c r="F82" s="107"/>
      <c r="G82" s="13"/>
      <c r="H82" s="13"/>
      <c r="I82" s="13"/>
      <c r="J82" s="13"/>
      <c r="K82" s="109"/>
      <c r="L82" s="13"/>
      <c r="M82" s="13"/>
      <c r="N82" s="13"/>
      <c r="O82" s="13"/>
      <c r="P82" s="13"/>
      <c r="Q82" s="13"/>
      <c r="R82" s="109"/>
      <c r="S82" s="109"/>
      <c r="T82" s="109"/>
      <c r="U82" s="109"/>
      <c r="V82" s="109"/>
    </row>
    <row r="83" spans="2:22" x14ac:dyDescent="0.35">
      <c r="B83" s="103"/>
      <c r="C83" s="103"/>
      <c r="D83" s="105"/>
      <c r="E83" s="106"/>
      <c r="F83" s="107"/>
      <c r="G83" s="13"/>
      <c r="H83" s="13"/>
      <c r="I83" s="13"/>
      <c r="J83" s="13"/>
      <c r="K83" s="109"/>
      <c r="L83" s="13"/>
      <c r="M83" s="13"/>
      <c r="N83" s="13"/>
      <c r="O83" s="13"/>
      <c r="P83" s="13"/>
      <c r="Q83" s="13"/>
      <c r="R83" s="109"/>
      <c r="S83" s="109"/>
      <c r="T83" s="109"/>
      <c r="U83" s="109"/>
      <c r="V83" s="109"/>
    </row>
    <row r="84" spans="2:22" x14ac:dyDescent="0.35">
      <c r="B84" s="103"/>
      <c r="C84" s="103"/>
      <c r="D84" s="108"/>
      <c r="E84" s="106"/>
      <c r="F84" s="107"/>
      <c r="G84" s="13"/>
      <c r="H84" s="13"/>
      <c r="I84" s="13"/>
      <c r="J84" s="13"/>
      <c r="K84" s="109"/>
      <c r="L84" s="13"/>
      <c r="M84" s="13"/>
      <c r="N84" s="13"/>
      <c r="O84" s="13"/>
      <c r="P84" s="13"/>
      <c r="Q84" s="13"/>
      <c r="R84" s="109"/>
      <c r="S84" s="109"/>
      <c r="T84" s="109"/>
      <c r="U84" s="109"/>
      <c r="V84" s="109"/>
    </row>
    <row r="85" spans="2:22" x14ac:dyDescent="0.35">
      <c r="B85" s="103"/>
      <c r="C85" s="103"/>
      <c r="D85" s="108"/>
      <c r="E85" s="106"/>
      <c r="F85" s="107"/>
      <c r="G85" s="13"/>
      <c r="H85" s="13"/>
      <c r="I85" s="13"/>
      <c r="J85" s="13"/>
      <c r="K85" s="109"/>
      <c r="L85" s="13"/>
      <c r="M85" s="13"/>
      <c r="N85" s="13"/>
      <c r="O85" s="13"/>
      <c r="P85" s="13"/>
      <c r="Q85" s="13"/>
      <c r="R85" s="109"/>
      <c r="S85" s="109"/>
      <c r="T85" s="109"/>
      <c r="U85" s="109"/>
      <c r="V85" s="109"/>
    </row>
    <row r="86" spans="2:22" x14ac:dyDescent="0.35">
      <c r="B86" s="103"/>
      <c r="C86" s="103"/>
      <c r="D86" s="108"/>
      <c r="E86" s="106"/>
      <c r="F86" s="107"/>
      <c r="G86" s="13"/>
      <c r="H86" s="13"/>
      <c r="I86" s="13"/>
      <c r="J86" s="13"/>
      <c r="K86" s="109"/>
      <c r="L86" s="13"/>
      <c r="M86" s="13"/>
      <c r="N86" s="13"/>
      <c r="O86" s="13"/>
      <c r="P86" s="13"/>
      <c r="Q86" s="13"/>
      <c r="R86" s="109"/>
      <c r="S86" s="109"/>
      <c r="T86" s="109"/>
      <c r="U86" s="109"/>
      <c r="V86" s="109"/>
    </row>
    <row r="87" spans="2:22" x14ac:dyDescent="0.35">
      <c r="B87" s="103"/>
      <c r="C87" s="103"/>
      <c r="D87" s="105"/>
      <c r="E87" s="106"/>
      <c r="F87" s="107"/>
      <c r="G87" s="13"/>
      <c r="H87" s="13"/>
      <c r="I87" s="13"/>
      <c r="J87" s="13"/>
      <c r="K87" s="109"/>
      <c r="L87" s="13"/>
      <c r="M87" s="13"/>
      <c r="N87" s="13"/>
      <c r="O87" s="13"/>
      <c r="P87" s="13"/>
      <c r="Q87" s="13"/>
      <c r="R87" s="109"/>
      <c r="S87" s="109"/>
      <c r="T87" s="109"/>
      <c r="U87" s="109"/>
      <c r="V87" s="109"/>
    </row>
    <row r="88" spans="2:22" x14ac:dyDescent="0.35">
      <c r="B88" s="103"/>
      <c r="C88" s="103"/>
      <c r="D88" s="105"/>
      <c r="E88" s="106"/>
      <c r="F88" s="107"/>
      <c r="G88" s="13"/>
      <c r="H88" s="13"/>
      <c r="I88" s="13"/>
      <c r="J88" s="13"/>
      <c r="K88" s="109"/>
      <c r="L88" s="13"/>
      <c r="M88" s="13"/>
      <c r="N88" s="13"/>
      <c r="O88" s="13"/>
      <c r="P88" s="13"/>
      <c r="Q88" s="13"/>
      <c r="R88" s="109"/>
      <c r="S88" s="109"/>
      <c r="T88" s="109"/>
      <c r="U88" s="109"/>
      <c r="V88" s="109"/>
    </row>
    <row r="89" spans="2:22" x14ac:dyDescent="0.35">
      <c r="B89" s="103"/>
      <c r="C89" s="103"/>
      <c r="D89" s="108"/>
      <c r="E89" s="106"/>
      <c r="F89" s="107"/>
      <c r="G89" s="13"/>
      <c r="H89" s="13"/>
      <c r="I89" s="13"/>
      <c r="J89" s="13"/>
      <c r="K89" s="109"/>
      <c r="L89" s="13"/>
      <c r="M89" s="13"/>
      <c r="N89" s="13"/>
      <c r="O89" s="13"/>
      <c r="P89" s="13"/>
      <c r="Q89" s="13"/>
      <c r="R89" s="109"/>
      <c r="S89" s="109"/>
      <c r="T89" s="109"/>
      <c r="U89" s="109"/>
      <c r="V89" s="109"/>
    </row>
    <row r="90" spans="2:22" x14ac:dyDescent="0.35">
      <c r="B90" s="103"/>
      <c r="C90" s="103"/>
      <c r="D90" s="108"/>
      <c r="E90" s="106"/>
      <c r="F90" s="107"/>
      <c r="G90" s="13"/>
      <c r="H90" s="13"/>
      <c r="I90" s="13"/>
      <c r="J90" s="13"/>
      <c r="K90" s="109"/>
      <c r="L90" s="13"/>
      <c r="M90" s="13"/>
      <c r="N90" s="13"/>
      <c r="O90" s="13"/>
      <c r="P90" s="13"/>
      <c r="Q90" s="13"/>
      <c r="R90" s="109"/>
      <c r="S90" s="109"/>
      <c r="T90" s="109"/>
      <c r="U90" s="109"/>
      <c r="V90" s="109"/>
    </row>
    <row r="91" spans="2:22" x14ac:dyDescent="0.35">
      <c r="B91" s="103"/>
      <c r="C91" s="103"/>
      <c r="D91" s="105"/>
      <c r="E91" s="106"/>
      <c r="F91" s="107"/>
      <c r="G91" s="13"/>
      <c r="H91" s="13"/>
      <c r="I91" s="13"/>
      <c r="J91" s="13"/>
      <c r="K91" s="109"/>
      <c r="L91" s="13"/>
      <c r="M91" s="13"/>
      <c r="N91" s="13"/>
      <c r="O91" s="13"/>
      <c r="P91" s="13"/>
      <c r="Q91" s="13"/>
      <c r="R91" s="109"/>
      <c r="S91" s="109"/>
      <c r="T91" s="109"/>
      <c r="U91" s="109"/>
      <c r="V91" s="109"/>
    </row>
    <row r="92" spans="2:22" x14ac:dyDescent="0.35">
      <c r="B92" s="103"/>
      <c r="C92" s="103"/>
      <c r="D92" s="108"/>
      <c r="E92" s="106"/>
      <c r="F92" s="107"/>
      <c r="G92" s="13"/>
      <c r="H92" s="13"/>
      <c r="I92" s="13"/>
      <c r="J92" s="13"/>
      <c r="K92" s="109"/>
      <c r="L92" s="13"/>
      <c r="M92" s="13"/>
      <c r="N92" s="13"/>
      <c r="O92" s="13"/>
      <c r="P92" s="13"/>
      <c r="Q92" s="13"/>
      <c r="R92" s="109"/>
      <c r="S92" s="109"/>
      <c r="T92" s="109"/>
      <c r="U92" s="109"/>
      <c r="V92" s="109"/>
    </row>
    <row r="93" spans="2:22" x14ac:dyDescent="0.35">
      <c r="B93" s="103"/>
      <c r="C93" s="10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</row>
    <row r="94" spans="2:22" x14ac:dyDescent="0.35">
      <c r="B94" s="103"/>
      <c r="C94" s="10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</row>
    <row r="95" spans="2:22" x14ac:dyDescent="0.35">
      <c r="B95" s="103"/>
      <c r="C95" s="10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</row>
  </sheetData>
  <mergeCells count="16">
    <mergeCell ref="E55:E61"/>
    <mergeCell ref="F55:F61"/>
    <mergeCell ref="E63:E67"/>
    <mergeCell ref="F63:F67"/>
    <mergeCell ref="D21:D23"/>
    <mergeCell ref="E22:E23"/>
    <mergeCell ref="E24:E27"/>
    <mergeCell ref="F24:F27"/>
    <mergeCell ref="E39:E52"/>
    <mergeCell ref="F39:F53"/>
    <mergeCell ref="D1:H1"/>
    <mergeCell ref="H4:V4"/>
    <mergeCell ref="E12:E17"/>
    <mergeCell ref="F12:F17"/>
    <mergeCell ref="D18:D20"/>
    <mergeCell ref="E19:E20"/>
  </mergeCells>
  <printOptions horizontalCentered="1"/>
  <pageMargins left="0.24" right="0.17" top="0.52" bottom="0.38" header="0.31496062992126" footer="0.16"/>
  <pageSetup paperSize="9" scale="63" orientation="portrait"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C4264-09A6-410E-B702-4B24FEFD9BC4}">
  <sheetPr codeName="Sheet33">
    <tabColor rgb="FFFFFF00"/>
    <pageSetUpPr fitToPage="1"/>
  </sheetPr>
  <dimension ref="B1:AI95"/>
  <sheetViews>
    <sheetView showGridLines="0" zoomScale="49" zoomScaleNormal="70" zoomScaleSheetLayoutView="100" workbookViewId="0">
      <pane xSplit="5" ySplit="7" topLeftCell="F8" activePane="bottomRight" state="frozen"/>
      <selection activeCell="F9" sqref="F9"/>
      <selection pane="topRight" activeCell="F9" sqref="F9"/>
      <selection pane="bottomLeft" activeCell="F9" sqref="F9"/>
      <selection pane="bottomRight" activeCell="F9" sqref="F9"/>
    </sheetView>
  </sheetViews>
  <sheetFormatPr defaultColWidth="9.26953125" defaultRowHeight="16" x14ac:dyDescent="0.35"/>
  <cols>
    <col min="1" max="2" width="9.26953125" style="7"/>
    <col min="3" max="3" width="1" style="7" customWidth="1"/>
    <col min="4" max="4" width="31.26953125" style="18" customWidth="1"/>
    <col min="5" max="5" width="31.7265625" style="18" bestFit="1" customWidth="1"/>
    <col min="6" max="6" width="14.453125" style="18" customWidth="1"/>
    <col min="7" max="22" width="22.7265625" style="18" customWidth="1"/>
    <col min="23" max="24" width="22.7265625" style="13" customWidth="1"/>
    <col min="25" max="30" width="22.7265625" style="7" customWidth="1"/>
    <col min="31" max="16384" width="9.26953125" style="7"/>
  </cols>
  <sheetData>
    <row r="1" spans="4:35" ht="26.25" customHeight="1" x14ac:dyDescent="0.55000000000000004">
      <c r="D1" s="2676" t="s">
        <v>5</v>
      </c>
      <c r="E1" s="2676"/>
      <c r="F1" s="2676"/>
      <c r="G1" s="2676"/>
      <c r="H1" s="2676"/>
      <c r="I1" s="4"/>
      <c r="J1" s="4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</row>
    <row r="2" spans="4:35" ht="30.75" customHeight="1" x14ac:dyDescent="0.35">
      <c r="D2" s="8" t="s">
        <v>6</v>
      </c>
      <c r="E2" s="9" t="s">
        <v>7</v>
      </c>
      <c r="F2" s="10"/>
      <c r="G2" s="10"/>
      <c r="H2" s="11"/>
      <c r="I2" s="11"/>
      <c r="J2" s="11"/>
      <c r="K2" s="11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4:35" ht="26.25" customHeight="1" x14ac:dyDescent="0.35">
      <c r="D3" s="8" t="s">
        <v>8</v>
      </c>
      <c r="E3" s="14" t="s">
        <v>432</v>
      </c>
      <c r="F3" s="15"/>
      <c r="G3" s="15"/>
      <c r="H3" s="11"/>
      <c r="I3" s="11"/>
      <c r="J3" s="11"/>
      <c r="K3" s="11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4:35" ht="28.5" customHeight="1" x14ac:dyDescent="0.45">
      <c r="D4" s="8" t="s">
        <v>9</v>
      </c>
      <c r="E4" s="16" t="s">
        <v>10</v>
      </c>
      <c r="F4" s="15"/>
      <c r="G4" s="15"/>
      <c r="H4" s="2772" t="s">
        <v>149</v>
      </c>
      <c r="I4" s="2772"/>
      <c r="J4" s="2772"/>
      <c r="K4" s="2772"/>
      <c r="L4" s="2772"/>
      <c r="M4" s="2772"/>
      <c r="N4" s="2772"/>
      <c r="O4" s="2772"/>
      <c r="P4" s="2772"/>
      <c r="Q4" s="2772"/>
      <c r="R4" s="2772"/>
      <c r="S4" s="2772"/>
      <c r="T4" s="2772"/>
      <c r="U4" s="2772"/>
      <c r="V4" s="2772"/>
      <c r="W4" s="213"/>
      <c r="X4" s="213"/>
    </row>
    <row r="5" spans="4:35" ht="31.5" customHeight="1" x14ac:dyDescent="0.35">
      <c r="D5" s="17"/>
      <c r="H5" s="211">
        <v>1</v>
      </c>
      <c r="I5" s="212">
        <v>2</v>
      </c>
      <c r="J5" s="212">
        <v>3</v>
      </c>
      <c r="K5" s="212">
        <v>4</v>
      </c>
      <c r="L5" s="211">
        <v>5</v>
      </c>
      <c r="M5" s="212">
        <v>6</v>
      </c>
      <c r="N5" s="212">
        <v>7</v>
      </c>
      <c r="O5" s="212">
        <v>8</v>
      </c>
      <c r="P5" s="212">
        <v>9</v>
      </c>
      <c r="Q5" s="212">
        <v>10</v>
      </c>
      <c r="R5" s="211">
        <v>11</v>
      </c>
      <c r="S5" s="212">
        <v>12</v>
      </c>
      <c r="T5" s="212">
        <v>13</v>
      </c>
      <c r="U5" s="212">
        <v>14</v>
      </c>
      <c r="V5" s="212">
        <v>15</v>
      </c>
      <c r="W5" s="212">
        <v>16</v>
      </c>
      <c r="X5" s="212">
        <v>17</v>
      </c>
      <c r="Y5" s="212">
        <v>18</v>
      </c>
      <c r="Z5" s="212">
        <v>19</v>
      </c>
      <c r="AA5" s="212">
        <v>20</v>
      </c>
      <c r="AB5" s="212">
        <v>21</v>
      </c>
      <c r="AC5" s="212">
        <v>22</v>
      </c>
      <c r="AD5" s="212">
        <v>23</v>
      </c>
      <c r="AE5" s="212">
        <v>24</v>
      </c>
      <c r="AF5" s="212">
        <v>25</v>
      </c>
      <c r="AG5" s="212">
        <v>26</v>
      </c>
      <c r="AH5" s="212">
        <v>27</v>
      </c>
      <c r="AI5" s="212">
        <v>28</v>
      </c>
    </row>
    <row r="6" spans="4:35" ht="17.25" customHeight="1" thickBot="1" x14ac:dyDescent="0.4">
      <c r="D6" s="17"/>
      <c r="H6" s="184"/>
      <c r="I6" s="12"/>
      <c r="J6" s="12"/>
      <c r="K6" s="12"/>
      <c r="L6" s="210"/>
      <c r="M6" s="12"/>
      <c r="N6" s="12"/>
      <c r="O6" s="12"/>
      <c r="P6" s="12"/>
      <c r="Q6" s="12"/>
      <c r="R6" s="184"/>
      <c r="S6" s="12"/>
      <c r="T6" s="12"/>
      <c r="U6" s="12"/>
      <c r="V6" s="12"/>
      <c r="W6" s="576" t="s">
        <v>585</v>
      </c>
      <c r="X6" s="18" t="s">
        <v>584</v>
      </c>
    </row>
    <row r="7" spans="4:35" ht="16.5" thickBot="1" x14ac:dyDescent="0.4">
      <c r="D7" s="19" t="s">
        <v>11</v>
      </c>
      <c r="E7" s="20" t="s">
        <v>12</v>
      </c>
      <c r="F7" s="21" t="s">
        <v>13</v>
      </c>
      <c r="G7" s="22"/>
      <c r="H7" s="22" t="s">
        <v>0</v>
      </c>
      <c r="I7" s="22" t="s">
        <v>0</v>
      </c>
      <c r="J7" s="22" t="s">
        <v>0</v>
      </c>
      <c r="K7" s="209" t="s">
        <v>0</v>
      </c>
      <c r="L7" s="111" t="s">
        <v>0</v>
      </c>
      <c r="M7" s="111" t="s">
        <v>0</v>
      </c>
      <c r="N7" s="111" t="s">
        <v>0</v>
      </c>
      <c r="O7" s="111" t="s">
        <v>0</v>
      </c>
      <c r="P7" s="111" t="s">
        <v>0</v>
      </c>
      <c r="Q7" s="111" t="s">
        <v>0</v>
      </c>
      <c r="R7" s="22" t="s">
        <v>0</v>
      </c>
      <c r="S7" s="22" t="s">
        <v>0</v>
      </c>
      <c r="T7" s="22" t="s">
        <v>0</v>
      </c>
      <c r="U7" s="22" t="s">
        <v>0</v>
      </c>
      <c r="V7" s="22" t="s">
        <v>0</v>
      </c>
      <c r="W7" s="22" t="s">
        <v>0</v>
      </c>
      <c r="X7" s="22" t="s">
        <v>0</v>
      </c>
      <c r="Y7" s="22" t="s">
        <v>0</v>
      </c>
      <c r="Z7" s="22" t="s">
        <v>0</v>
      </c>
      <c r="AA7" s="22" t="s">
        <v>0</v>
      </c>
      <c r="AB7" s="22" t="s">
        <v>0</v>
      </c>
      <c r="AC7" s="22" t="s">
        <v>0</v>
      </c>
      <c r="AD7" s="22" t="s">
        <v>0</v>
      </c>
      <c r="AE7" s="22" t="s">
        <v>0</v>
      </c>
      <c r="AF7" s="22" t="s">
        <v>0</v>
      </c>
      <c r="AG7" s="22" t="s">
        <v>0</v>
      </c>
      <c r="AH7" s="22" t="s">
        <v>0</v>
      </c>
      <c r="AI7" s="22" t="s">
        <v>0</v>
      </c>
    </row>
    <row r="8" spans="4:35" ht="19.5" customHeight="1" x14ac:dyDescent="0.35">
      <c r="D8" s="23" t="s">
        <v>16</v>
      </c>
      <c r="E8" s="24" t="s">
        <v>17</v>
      </c>
      <c r="F8" s="25" t="s">
        <v>18</v>
      </c>
      <c r="G8" s="26"/>
      <c r="H8" s="27"/>
      <c r="I8" s="27"/>
      <c r="J8" s="28"/>
      <c r="K8" s="28"/>
      <c r="L8" s="28"/>
      <c r="M8" s="28"/>
      <c r="N8" s="28"/>
      <c r="O8" s="28"/>
      <c r="P8" s="28"/>
      <c r="Q8" s="28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</row>
    <row r="9" spans="4:35" ht="19.5" customHeight="1" x14ac:dyDescent="0.35">
      <c r="D9" s="30" t="s">
        <v>433</v>
      </c>
      <c r="E9" s="31" t="s">
        <v>17</v>
      </c>
      <c r="F9" s="32"/>
      <c r="G9" s="33"/>
      <c r="H9" s="34">
        <v>44</v>
      </c>
      <c r="I9" s="34">
        <v>43.8</v>
      </c>
      <c r="J9" s="35">
        <v>45.66</v>
      </c>
      <c r="K9" s="35">
        <v>44.2</v>
      </c>
      <c r="L9" s="35">
        <v>43.75</v>
      </c>
      <c r="M9" s="35">
        <v>43.8</v>
      </c>
      <c r="N9" s="35">
        <v>45.4</v>
      </c>
      <c r="O9" s="35">
        <v>45.62</v>
      </c>
      <c r="P9" s="35">
        <v>45.25</v>
      </c>
      <c r="Q9" s="35">
        <v>45.86</v>
      </c>
      <c r="R9" s="36">
        <v>47.55</v>
      </c>
      <c r="S9" s="36">
        <v>45.6</v>
      </c>
      <c r="T9" s="36">
        <v>44.61</v>
      </c>
      <c r="U9" s="36">
        <v>45.7</v>
      </c>
      <c r="V9" s="36">
        <v>46.37</v>
      </c>
      <c r="W9" s="36">
        <v>47.2</v>
      </c>
      <c r="X9" s="36">
        <v>43.4</v>
      </c>
      <c r="Y9" s="36">
        <v>43.4</v>
      </c>
      <c r="Z9" s="36">
        <v>43.4</v>
      </c>
      <c r="AA9" s="36">
        <v>43.4</v>
      </c>
      <c r="AB9" s="36">
        <v>43.4</v>
      </c>
      <c r="AC9" s="36">
        <v>43.4</v>
      </c>
      <c r="AD9" s="36">
        <v>43.4</v>
      </c>
      <c r="AE9" s="36">
        <v>43.4</v>
      </c>
      <c r="AF9" s="36">
        <v>43.4</v>
      </c>
      <c r="AG9" s="36">
        <v>43.4</v>
      </c>
      <c r="AH9" s="36">
        <v>43.4</v>
      </c>
      <c r="AI9" s="36">
        <v>43.4</v>
      </c>
    </row>
    <row r="10" spans="4:35" ht="19.5" customHeight="1" x14ac:dyDescent="0.35">
      <c r="D10" s="37" t="s">
        <v>21</v>
      </c>
      <c r="E10" s="31" t="s">
        <v>22</v>
      </c>
      <c r="F10" s="32" t="s">
        <v>23</v>
      </c>
      <c r="G10" s="33"/>
      <c r="H10" s="39">
        <v>0.80549999999999999</v>
      </c>
      <c r="I10" s="39">
        <v>0.80659999999999998</v>
      </c>
      <c r="J10" s="40">
        <v>0.79790000000000005</v>
      </c>
      <c r="K10" s="40">
        <v>0.80449999999999999</v>
      </c>
      <c r="L10" s="40">
        <v>0.80659999999999998</v>
      </c>
      <c r="M10" s="40">
        <v>0.80630000000000002</v>
      </c>
      <c r="N10" s="40">
        <v>0.79920000000000002</v>
      </c>
      <c r="O10" s="40">
        <v>0.79810000000000003</v>
      </c>
      <c r="P10" s="40">
        <v>0.79979999999999996</v>
      </c>
      <c r="Q10" s="40">
        <v>0.79700000000000004</v>
      </c>
      <c r="R10" s="41">
        <v>0.78949999999999998</v>
      </c>
      <c r="S10" s="41">
        <v>0.79830000000000001</v>
      </c>
      <c r="T10" s="41">
        <v>0.80269999999999997</v>
      </c>
      <c r="U10" s="41">
        <v>0.79779999999999995</v>
      </c>
      <c r="V10" s="41">
        <v>0.79469999999999996</v>
      </c>
      <c r="W10" s="41">
        <v>0.79110000000000003</v>
      </c>
      <c r="X10" s="41">
        <v>0.80810000000000004</v>
      </c>
      <c r="Y10" s="41">
        <v>0.80810000000000004</v>
      </c>
      <c r="Z10" s="41">
        <v>0.80810000000000004</v>
      </c>
      <c r="AA10" s="41">
        <v>0.80810000000000004</v>
      </c>
      <c r="AB10" s="41">
        <v>0.80810000000000004</v>
      </c>
      <c r="AC10" s="41">
        <v>0.80810000000000004</v>
      </c>
      <c r="AD10" s="41">
        <v>0.80810000000000004</v>
      </c>
      <c r="AE10" s="41">
        <v>0.80810000000000004</v>
      </c>
      <c r="AF10" s="41">
        <v>0.80810000000000004</v>
      </c>
      <c r="AG10" s="41">
        <v>0.80810000000000004</v>
      </c>
      <c r="AH10" s="41">
        <v>0.80810000000000004</v>
      </c>
      <c r="AI10" s="41">
        <v>0.80810000000000004</v>
      </c>
    </row>
    <row r="11" spans="4:35" ht="19.5" customHeight="1" x14ac:dyDescent="0.35">
      <c r="D11" s="37" t="s">
        <v>24</v>
      </c>
      <c r="E11" s="31" t="s">
        <v>25</v>
      </c>
      <c r="F11" s="32" t="s">
        <v>17</v>
      </c>
      <c r="G11" s="172"/>
      <c r="H11" s="38"/>
      <c r="I11" s="38"/>
      <c r="J11" s="42"/>
      <c r="K11" s="42"/>
      <c r="L11" s="42"/>
      <c r="M11" s="42"/>
      <c r="N11" s="42"/>
      <c r="O11" s="42"/>
      <c r="P11" s="42"/>
      <c r="Q11" s="42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</row>
    <row r="12" spans="4:35" ht="19.5" customHeight="1" x14ac:dyDescent="0.35">
      <c r="D12" s="44" t="s">
        <v>26</v>
      </c>
      <c r="E12" s="2677" t="s">
        <v>27</v>
      </c>
      <c r="F12" s="2680" t="s">
        <v>28</v>
      </c>
      <c r="G12" s="38"/>
      <c r="H12" s="38"/>
      <c r="I12" s="38"/>
      <c r="J12" s="42"/>
      <c r="K12" s="42"/>
      <c r="L12" s="42"/>
      <c r="M12" s="42"/>
      <c r="N12" s="42"/>
      <c r="O12" s="42"/>
      <c r="P12" s="42"/>
      <c r="Q12" s="42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</row>
    <row r="13" spans="4:35" ht="19.5" customHeight="1" x14ac:dyDescent="0.35">
      <c r="D13" s="44" t="s">
        <v>29</v>
      </c>
      <c r="E13" s="2678"/>
      <c r="F13" s="2681"/>
      <c r="G13" s="47"/>
      <c r="H13" s="47"/>
      <c r="I13" s="47"/>
      <c r="J13" s="55"/>
      <c r="K13" s="55"/>
      <c r="L13" s="55"/>
      <c r="M13" s="55"/>
      <c r="N13" s="55"/>
      <c r="O13" s="55"/>
      <c r="P13" s="55"/>
      <c r="Q13" s="55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</row>
    <row r="14" spans="4:35" ht="19.5" customHeight="1" x14ac:dyDescent="0.35">
      <c r="D14" s="44" t="s">
        <v>30</v>
      </c>
      <c r="E14" s="2678"/>
      <c r="F14" s="2681"/>
      <c r="G14" s="47"/>
      <c r="H14" s="49"/>
      <c r="I14" s="50"/>
      <c r="J14" s="51"/>
      <c r="K14" s="51"/>
      <c r="L14" s="51"/>
      <c r="M14" s="51"/>
      <c r="N14" s="51"/>
      <c r="O14" s="51"/>
      <c r="P14" s="51"/>
      <c r="Q14" s="51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</row>
    <row r="15" spans="4:35" ht="19.5" customHeight="1" x14ac:dyDescent="0.35">
      <c r="D15" s="44" t="s">
        <v>31</v>
      </c>
      <c r="E15" s="2678"/>
      <c r="F15" s="2681"/>
      <c r="G15" s="47"/>
      <c r="H15" s="49"/>
      <c r="I15" s="49"/>
      <c r="J15" s="53"/>
      <c r="K15" s="53"/>
      <c r="L15" s="53"/>
      <c r="M15" s="53"/>
      <c r="N15" s="53"/>
      <c r="O15" s="53"/>
      <c r="P15" s="53"/>
      <c r="Q15" s="53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</row>
    <row r="16" spans="4:35" ht="19.5" customHeight="1" x14ac:dyDescent="0.35">
      <c r="D16" s="44" t="s">
        <v>32</v>
      </c>
      <c r="E16" s="2678"/>
      <c r="F16" s="2681"/>
      <c r="G16" s="47"/>
      <c r="H16" s="47"/>
      <c r="I16" s="47"/>
      <c r="J16" s="55"/>
      <c r="K16" s="55"/>
      <c r="L16" s="55"/>
      <c r="M16" s="55"/>
      <c r="N16" s="55"/>
      <c r="O16" s="55"/>
      <c r="P16" s="55"/>
      <c r="Q16" s="55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</row>
    <row r="17" spans="2:35" ht="19.5" customHeight="1" x14ac:dyDescent="0.35">
      <c r="D17" s="44" t="s">
        <v>33</v>
      </c>
      <c r="E17" s="2679"/>
      <c r="F17" s="2682"/>
      <c r="G17" s="57"/>
      <c r="H17" s="47"/>
      <c r="I17" s="47"/>
      <c r="J17" s="55"/>
      <c r="K17" s="55"/>
      <c r="L17" s="55"/>
      <c r="M17" s="55"/>
      <c r="N17" s="55"/>
      <c r="O17" s="55"/>
      <c r="P17" s="55"/>
      <c r="Q17" s="55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</row>
    <row r="18" spans="2:35" ht="19.5" customHeight="1" x14ac:dyDescent="0.35">
      <c r="D18" s="2683" t="s">
        <v>34</v>
      </c>
      <c r="E18" s="58" t="s">
        <v>35</v>
      </c>
      <c r="F18" s="59" t="s">
        <v>36</v>
      </c>
      <c r="G18" s="982" t="s">
        <v>881</v>
      </c>
      <c r="H18" s="60">
        <f>'LTO DAILY'!H18+(0.3856*(('LTO DAILY'!H18*10000)^0.8))/10000</f>
        <v>0</v>
      </c>
      <c r="I18" s="60">
        <f>'LTO DAILY'!I18+(0.3856*(('LTO DAILY'!I18*10000)^0.8))/10000</f>
        <v>0.17838838677739213</v>
      </c>
      <c r="J18" s="60">
        <f>'LTO DAILY'!J18+(0.3856*(('LTO DAILY'!J18*10000)^0.8))/10000</f>
        <v>0.18694719783684965</v>
      </c>
      <c r="K18" s="60">
        <f>'LTO DAILY'!K18+(0.3856*(('LTO DAILY'!K18*10000)^0.8))/10000</f>
        <v>0.17089494228361946</v>
      </c>
      <c r="L18" s="60">
        <f>'LTO DAILY'!L18+(0.3856*(('LTO DAILY'!L18*10000)^0.8))/10000</f>
        <v>0.14492113901498166</v>
      </c>
      <c r="M18" s="60">
        <f>'LTO DAILY'!M18+(0.3856*(('LTO DAILY'!M18*10000)^0.8))/10000</f>
        <v>9.9356112494955073E-2</v>
      </c>
      <c r="N18" s="60">
        <f>'LTO DAILY'!N18+(0.3856*(('LTO DAILY'!N18*10000)^0.8))/10000</f>
        <v>0.1129176049508409</v>
      </c>
      <c r="O18" s="60">
        <f>'LTO DAILY'!O18+(0.3856*(('LTO DAILY'!O18*10000)^0.8))/10000</f>
        <v>0.11830092036279541</v>
      </c>
      <c r="P18" s="60">
        <f>'LTO DAILY'!P18+(0.3856*(('LTO DAILY'!P18*10000)^0.8))/10000</f>
        <v>0.18017013038885474</v>
      </c>
      <c r="Q18" s="60">
        <f>'LTO DAILY'!Q18+(0.3856*(('LTO DAILY'!Q18*10000)^0.8))/10000</f>
        <v>0.15869247720598068</v>
      </c>
      <c r="R18" s="60">
        <f>'LTO DAILY'!R18+(0.3856*(('LTO DAILY'!R18*10000)^0.8))/10000</f>
        <v>0.14913803678491289</v>
      </c>
      <c r="S18" s="60">
        <f>'LTO DAILY'!S18+(0.3856*(('LTO DAILY'!S18*10000)^0.8))/10000</f>
        <v>0.13600954743876034</v>
      </c>
      <c r="T18" s="60">
        <f>'LTO DAILY'!T18+(0.3856*(('LTO DAILY'!T18*10000)^0.8))/10000</f>
        <v>0.13446262199757905</v>
      </c>
      <c r="U18" s="60">
        <f>'LTO DAILY'!U18+(0.3856*(('LTO DAILY'!U18*10000)^0.8))/10000</f>
        <v>0</v>
      </c>
      <c r="V18" s="60">
        <f>'LTO DAILY'!V18+(0.3856*(('LTO DAILY'!V18*10000)^0.8))/10000</f>
        <v>0</v>
      </c>
      <c r="W18" s="60">
        <f>'LTO DAILY'!W18+(0.3856*(('LTO DAILY'!W18*10000)^0.8))/10000</f>
        <v>0</v>
      </c>
      <c r="X18" s="60">
        <f>'LTO DAILY'!X18+(0.3856*(('LTO DAILY'!X18*10000)^0.8))/10000</f>
        <v>0</v>
      </c>
      <c r="Y18" s="60">
        <f>'LTO DAILY'!Y18+(0.3856*(('LTO DAILY'!Y18*10000)^0.8))/10000</f>
        <v>0</v>
      </c>
      <c r="Z18" s="60">
        <f>'LTO DAILY'!Z18+(0.3856*(('LTO DAILY'!Z18*10000)^0.8))/10000</f>
        <v>0</v>
      </c>
      <c r="AA18" s="60">
        <f>'LTO DAILY'!AA18+(0.3856*(('LTO DAILY'!AA18*10000)^0.8))/10000</f>
        <v>0</v>
      </c>
      <c r="AB18" s="60">
        <f>'LTO DAILY'!AB18+(0.3856*(('LTO DAILY'!AB18*10000)^0.8))/10000</f>
        <v>0</v>
      </c>
      <c r="AC18" s="60">
        <f>'LTO DAILY'!AC18+(0.3856*(('LTO DAILY'!AC18*10000)^0.8))/10000</f>
        <v>0</v>
      </c>
      <c r="AD18" s="60">
        <f>'LTO DAILY'!AD18+(0.3856*(('LTO DAILY'!AD18*10000)^0.8))/10000</f>
        <v>0</v>
      </c>
      <c r="AE18" s="60">
        <f>'LTO DAILY'!AE18+(0.3856*(('LTO DAILY'!AE18*10000)^0.8))/10000</f>
        <v>0</v>
      </c>
      <c r="AF18" s="60">
        <f>'LTO DAILY'!AF18+(0.3856*(('LTO DAILY'!AF18*10000)^0.8))/10000</f>
        <v>0</v>
      </c>
      <c r="AG18" s="60">
        <f>'LTO DAILY'!AG18+(0.3856*(('LTO DAILY'!AG18*10000)^0.8))/10000</f>
        <v>0</v>
      </c>
      <c r="AH18" s="60">
        <f>'LTO DAILY'!AH18+(0.3856*(('LTO DAILY'!AH18*10000)^0.8))/10000</f>
        <v>0</v>
      </c>
      <c r="AI18" s="60">
        <f>'LTO DAILY'!AI18+(0.3856*(('LTO DAILY'!AI18*10000)^0.8))/10000</f>
        <v>0</v>
      </c>
    </row>
    <row r="19" spans="2:35" ht="19.5" customHeight="1" x14ac:dyDescent="0.35">
      <c r="D19" s="2683"/>
      <c r="E19" s="2684" t="s">
        <v>37</v>
      </c>
      <c r="F19" s="59" t="s">
        <v>36</v>
      </c>
      <c r="G19" s="47"/>
      <c r="H19" s="47"/>
      <c r="I19" s="47"/>
      <c r="J19" s="55"/>
      <c r="K19" s="55"/>
      <c r="L19" s="55"/>
      <c r="M19" s="55"/>
      <c r="N19" s="55"/>
      <c r="O19" s="55"/>
      <c r="P19" s="55"/>
      <c r="Q19" s="55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</row>
    <row r="20" spans="2:35" ht="19.5" customHeight="1" x14ac:dyDescent="0.35">
      <c r="D20" s="2683"/>
      <c r="E20" s="2684"/>
      <c r="F20" s="59" t="s">
        <v>38</v>
      </c>
      <c r="G20" s="47"/>
      <c r="H20" s="47"/>
      <c r="I20" s="47"/>
      <c r="J20" s="55"/>
      <c r="K20" s="55"/>
      <c r="L20" s="55"/>
      <c r="M20" s="55"/>
      <c r="N20" s="55"/>
      <c r="O20" s="55"/>
      <c r="P20" s="55"/>
      <c r="Q20" s="55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</row>
    <row r="21" spans="2:35" ht="19.5" customHeight="1" x14ac:dyDescent="0.35">
      <c r="D21" s="2686" t="s">
        <v>39</v>
      </c>
      <c r="E21" s="64" t="s">
        <v>40</v>
      </c>
      <c r="F21" s="59" t="s">
        <v>38</v>
      </c>
      <c r="G21" s="65"/>
      <c r="H21" s="47"/>
      <c r="I21" s="47"/>
      <c r="J21" s="55"/>
      <c r="K21" s="55"/>
      <c r="L21" s="55"/>
      <c r="M21" s="55"/>
      <c r="N21" s="55"/>
      <c r="O21" s="55"/>
      <c r="P21" s="55"/>
      <c r="Q21" s="55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</row>
    <row r="22" spans="2:35" ht="19.5" customHeight="1" x14ac:dyDescent="0.35">
      <c r="D22" s="2687"/>
      <c r="E22" s="2677" t="s">
        <v>41</v>
      </c>
      <c r="F22" s="66" t="s">
        <v>38</v>
      </c>
      <c r="G22" s="979" t="s">
        <v>876</v>
      </c>
      <c r="H22" s="68">
        <f>'LTO DAILY'!H22+('LTO DAILY'!H22*0.087)</f>
        <v>0</v>
      </c>
      <c r="I22" s="68">
        <f>'LTO DAILY'!I22+('LTO DAILY'!I22*0.087)</f>
        <v>498.13948999999997</v>
      </c>
      <c r="J22" s="68">
        <f>'LTO DAILY'!J22+('LTO DAILY'!J22*0.087)</f>
        <v>534.80399999999997</v>
      </c>
      <c r="K22" s="68">
        <f>'LTO DAILY'!K22+('LTO DAILY'!K22*0.087)</f>
        <v>590.95841999999993</v>
      </c>
      <c r="L22" s="68">
        <f>'LTO DAILY'!L22+('LTO DAILY'!L22*0.087)</f>
        <v>607.11123999999995</v>
      </c>
      <c r="M22" s="68">
        <f>'LTO DAILY'!M22+('LTO DAILY'!M22*0.087)</f>
        <v>515.94454999999994</v>
      </c>
      <c r="N22" s="68">
        <f>'LTO DAILY'!N22+('LTO DAILY'!N22*0.087)</f>
        <v>596.54559999999992</v>
      </c>
      <c r="O22" s="68">
        <f>'LTO DAILY'!O22+('LTO DAILY'!O22*0.087)</f>
        <v>595.45859999999993</v>
      </c>
      <c r="P22" s="68">
        <f>'LTO DAILY'!P22+('LTO DAILY'!P22*0.087)</f>
        <v>606.94927699999994</v>
      </c>
      <c r="Q22" s="68">
        <f>'LTO DAILY'!Q22+('LTO DAILY'!Q22*0.087)</f>
        <v>622.78578000000005</v>
      </c>
      <c r="R22" s="68">
        <f>'LTO DAILY'!R22+('LTO DAILY'!R22*0.087)</f>
        <v>665.23312999999996</v>
      </c>
      <c r="S22" s="68">
        <f>'LTO DAILY'!S22+('LTO DAILY'!S22*0.087)</f>
        <v>656.42842999999993</v>
      </c>
      <c r="T22" s="68">
        <f>'LTO DAILY'!T22+('LTO DAILY'!T22*0.087)</f>
        <v>670.74421999999993</v>
      </c>
      <c r="U22" s="68">
        <f>'LTO DAILY'!U22+('LTO DAILY'!U22*0.087)</f>
        <v>0</v>
      </c>
      <c r="V22" s="68">
        <f>'LTO DAILY'!V22+('LTO DAILY'!V22*0.087)</f>
        <v>0</v>
      </c>
      <c r="W22" s="68">
        <f>'LTO DAILY'!W22+('LTO DAILY'!W22*0.087)</f>
        <v>0</v>
      </c>
      <c r="X22" s="68">
        <f>'LTO DAILY'!X22+('LTO DAILY'!X22*0.087)</f>
        <v>0</v>
      </c>
      <c r="Y22" s="68">
        <f>'LTO DAILY'!Y22+('LTO DAILY'!Y22*0.087)</f>
        <v>0</v>
      </c>
      <c r="Z22" s="68">
        <f>'LTO DAILY'!Z22+('LTO DAILY'!Z22*0.087)</f>
        <v>0</v>
      </c>
      <c r="AA22" s="68">
        <f>'LTO DAILY'!AA22+('LTO DAILY'!AA22*0.087)</f>
        <v>0</v>
      </c>
      <c r="AB22" s="68">
        <f>'LTO DAILY'!AB22+('LTO DAILY'!AB22*0.087)</f>
        <v>0</v>
      </c>
      <c r="AC22" s="68">
        <f>'LTO DAILY'!AC22+('LTO DAILY'!AC22*0.087)</f>
        <v>0</v>
      </c>
      <c r="AD22" s="68">
        <f>'LTO DAILY'!AD22+('LTO DAILY'!AD22*0.087)</f>
        <v>0</v>
      </c>
      <c r="AE22" s="68">
        <f>'LTO DAILY'!AE22+('LTO DAILY'!AE22*0.087)</f>
        <v>0</v>
      </c>
      <c r="AF22" s="68">
        <f>'LTO DAILY'!AF22+('LTO DAILY'!AF22*0.087)</f>
        <v>0</v>
      </c>
      <c r="AG22" s="68">
        <f>'LTO DAILY'!AG22+('LTO DAILY'!AG22*0.087)</f>
        <v>0</v>
      </c>
      <c r="AH22" s="68">
        <f>'LTO DAILY'!AH22+('LTO DAILY'!AH22*0.087)</f>
        <v>0</v>
      </c>
      <c r="AI22" s="68">
        <f>'LTO DAILY'!AI22+('LTO DAILY'!AI22*0.087)</f>
        <v>0</v>
      </c>
    </row>
    <row r="23" spans="2:35" ht="19.5" customHeight="1" x14ac:dyDescent="0.35">
      <c r="B23" s="72">
        <v>0.45190000000000002</v>
      </c>
      <c r="D23" s="2688"/>
      <c r="E23" s="2679"/>
      <c r="F23" s="66" t="s">
        <v>36</v>
      </c>
      <c r="G23" s="956"/>
      <c r="H23" s="74">
        <f>H22/10000</f>
        <v>0</v>
      </c>
      <c r="I23" s="74">
        <f>I22/10000</f>
        <v>4.9813948999999996E-2</v>
      </c>
      <c r="J23" s="74">
        <f t="shared" ref="J23:X23" si="0">J22/10000</f>
        <v>5.3480399999999997E-2</v>
      </c>
      <c r="K23" s="74">
        <f t="shared" si="0"/>
        <v>5.9095841999999996E-2</v>
      </c>
      <c r="L23" s="74">
        <f t="shared" si="0"/>
        <v>6.0711123999999998E-2</v>
      </c>
      <c r="M23" s="74">
        <f t="shared" si="0"/>
        <v>5.159445499999999E-2</v>
      </c>
      <c r="N23" s="74">
        <f t="shared" si="0"/>
        <v>5.9654559999999995E-2</v>
      </c>
      <c r="O23" s="74">
        <f t="shared" si="0"/>
        <v>5.9545859999999992E-2</v>
      </c>
      <c r="P23" s="74">
        <f t="shared" si="0"/>
        <v>6.0694927699999991E-2</v>
      </c>
      <c r="Q23" s="74">
        <f t="shared" si="0"/>
        <v>6.2278578000000001E-2</v>
      </c>
      <c r="R23" s="74">
        <f t="shared" si="0"/>
        <v>6.6523313000000001E-2</v>
      </c>
      <c r="S23" s="74">
        <f t="shared" si="0"/>
        <v>6.5642842999999992E-2</v>
      </c>
      <c r="T23" s="74">
        <f t="shared" si="0"/>
        <v>6.7074421999999995E-2</v>
      </c>
      <c r="U23" s="74">
        <f t="shared" si="0"/>
        <v>0</v>
      </c>
      <c r="V23" s="74">
        <f t="shared" si="0"/>
        <v>0</v>
      </c>
      <c r="W23" s="74">
        <f t="shared" si="0"/>
        <v>0</v>
      </c>
      <c r="X23" s="74">
        <f t="shared" si="0"/>
        <v>0</v>
      </c>
      <c r="Y23" s="74">
        <f t="shared" ref="Y23:AF23" si="1">Y22/10000</f>
        <v>0</v>
      </c>
      <c r="Z23" s="74">
        <f t="shared" si="1"/>
        <v>0</v>
      </c>
      <c r="AA23" s="74">
        <f t="shared" si="1"/>
        <v>0</v>
      </c>
      <c r="AB23" s="74">
        <f t="shared" si="1"/>
        <v>0</v>
      </c>
      <c r="AC23" s="74">
        <f t="shared" si="1"/>
        <v>0</v>
      </c>
      <c r="AD23" s="74">
        <f t="shared" si="1"/>
        <v>0</v>
      </c>
      <c r="AE23" s="74">
        <f t="shared" si="1"/>
        <v>0</v>
      </c>
      <c r="AF23" s="74">
        <f t="shared" si="1"/>
        <v>0</v>
      </c>
      <c r="AG23" s="74">
        <f t="shared" ref="AG23:AI23" si="2">AG22/10000</f>
        <v>0</v>
      </c>
      <c r="AH23" s="74">
        <f t="shared" si="2"/>
        <v>0</v>
      </c>
      <c r="AI23" s="74">
        <f t="shared" si="2"/>
        <v>0</v>
      </c>
    </row>
    <row r="24" spans="2:35" ht="19.5" customHeight="1" x14ac:dyDescent="0.35">
      <c r="D24" s="75" t="s">
        <v>42</v>
      </c>
      <c r="E24" s="2677" t="s">
        <v>43</v>
      </c>
      <c r="F24" s="2680" t="s">
        <v>36</v>
      </c>
      <c r="G24" s="47"/>
      <c r="H24" s="47"/>
      <c r="I24" s="47"/>
      <c r="J24" s="55"/>
      <c r="K24" s="55"/>
      <c r="L24" s="55"/>
      <c r="M24" s="55"/>
      <c r="N24" s="55"/>
      <c r="O24" s="55"/>
      <c r="P24" s="55"/>
      <c r="Q24" s="55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</row>
    <row r="25" spans="2:35" ht="19.5" customHeight="1" x14ac:dyDescent="0.35">
      <c r="B25" s="76"/>
      <c r="D25" s="44" t="s">
        <v>44</v>
      </c>
      <c r="E25" s="2678"/>
      <c r="F25" s="2681"/>
      <c r="G25" s="978" t="s">
        <v>874</v>
      </c>
      <c r="H25" s="77">
        <f>'LTO DAILY'!H25+(('LTO DAILY'!H25+48.48)*0.0018)</f>
        <v>8.7263999999999994E-2</v>
      </c>
      <c r="I25" s="77">
        <f>'LTO DAILY'!I25+(('LTO DAILY'!I25+48.48)*0.0018)</f>
        <v>86.592693999999995</v>
      </c>
      <c r="J25" s="77">
        <f>'LTO DAILY'!J25+(('LTO DAILY'!J25+48.48)*0.0018)</f>
        <v>87.31398999999999</v>
      </c>
      <c r="K25" s="77">
        <f>'LTO DAILY'!K25+(('LTO DAILY'!K25+48.48)*0.0018)</f>
        <v>86.86318</v>
      </c>
      <c r="L25" s="77">
        <f>'LTO DAILY'!L25+(('LTO DAILY'!L25+48.48)*0.0018)</f>
        <v>87.434206000000003</v>
      </c>
      <c r="M25" s="77">
        <f>'LTO DAILY'!M25+(('LTO DAILY'!M25+48.48)*0.0018)</f>
        <v>87.183756000000002</v>
      </c>
      <c r="N25" s="77">
        <f>'LTO DAILY'!N25+(('LTO DAILY'!N25+48.48)*0.0018)</f>
        <v>87.774817999999996</v>
      </c>
      <c r="O25" s="77">
        <f>'LTO DAILY'!O25+(('LTO DAILY'!O25+48.48)*0.0018)</f>
        <v>87.544404</v>
      </c>
      <c r="P25" s="77">
        <f>'LTO DAILY'!P25+(('LTO DAILY'!P25+48.48)*0.0018)</f>
        <v>88.400942999999998</v>
      </c>
      <c r="Q25" s="77">
        <f>'LTO DAILY'!Q25+(('LTO DAILY'!Q25+48.48)*0.0018)</f>
        <v>87.724727999999999</v>
      </c>
      <c r="R25" s="77">
        <f>'LTO DAILY'!R25+(('LTO DAILY'!R25+48.48)*0.0018)</f>
        <v>86.101811999999995</v>
      </c>
      <c r="S25" s="77">
        <f>'LTO DAILY'!S25+(('LTO DAILY'!S25+48.48)*0.0018)</f>
        <v>87.724727999999999</v>
      </c>
      <c r="T25" s="77">
        <f>'LTO DAILY'!T25+(('LTO DAILY'!T25+48.48)*0.0018)</f>
        <v>88.115430000000003</v>
      </c>
      <c r="U25" s="77">
        <f>'LTO DAILY'!U25+(('LTO DAILY'!U25+48.48)*0.0018)</f>
        <v>8.7263999999999994E-2</v>
      </c>
      <c r="V25" s="77">
        <f>'LTO DAILY'!V25+(('LTO DAILY'!V25+48.48)*0.0018)</f>
        <v>8.7263999999999994E-2</v>
      </c>
      <c r="W25" s="77">
        <f>'LTO DAILY'!W25+(('LTO DAILY'!W25+48.48)*0.0018)</f>
        <v>8.7263999999999994E-2</v>
      </c>
      <c r="X25" s="77">
        <f>'LTO DAILY'!X25+(('LTO DAILY'!X25+48.48)*0.0018)</f>
        <v>8.7263999999999994E-2</v>
      </c>
      <c r="Y25" s="77">
        <f>'LTO DAILY'!Y25+(('LTO DAILY'!Y25+48.48)*0.0018)</f>
        <v>8.7263999999999994E-2</v>
      </c>
      <c r="Z25" s="77">
        <f>'LTO DAILY'!Z25+(('LTO DAILY'!Z25+48.48)*0.0018)</f>
        <v>8.7263999999999994E-2</v>
      </c>
      <c r="AA25" s="77">
        <f>'LTO DAILY'!AA25+(('LTO DAILY'!AA25+48.48)*0.0018)</f>
        <v>8.7263999999999994E-2</v>
      </c>
      <c r="AB25" s="77">
        <f>'LTO DAILY'!AB25+(('LTO DAILY'!AB25+48.48)*0.0018)</f>
        <v>8.7263999999999994E-2</v>
      </c>
      <c r="AC25" s="77">
        <f>'LTO DAILY'!AC25+(('LTO DAILY'!AC25+48.48)*0.0018)</f>
        <v>8.7263999999999994E-2</v>
      </c>
      <c r="AD25" s="77">
        <f>'LTO DAILY'!AD25+(('LTO DAILY'!AD25+48.48)*0.0018)</f>
        <v>8.7263999999999994E-2</v>
      </c>
      <c r="AE25" s="77">
        <f>'LTO DAILY'!AE25+(('LTO DAILY'!AE25+48.48)*0.0018)</f>
        <v>8.7263999999999994E-2</v>
      </c>
      <c r="AF25" s="77">
        <f>'LTO DAILY'!AF25+(('LTO DAILY'!AF25+48.48)*0.0018)</f>
        <v>8.7263999999999994E-2</v>
      </c>
      <c r="AG25" s="77">
        <f>'LTO DAILY'!AG25+(('LTO DAILY'!AG25+48.48)*0.0018)</f>
        <v>8.7263999999999994E-2</v>
      </c>
      <c r="AH25" s="77">
        <f>'LTO DAILY'!AH25+(('LTO DAILY'!AH25+48.48)*0.0018)</f>
        <v>8.7263999999999994E-2</v>
      </c>
      <c r="AI25" s="77">
        <f>'LTO DAILY'!AI25+(('LTO DAILY'!AI25+48.48)*0.0018)</f>
        <v>8.7263999999999994E-2</v>
      </c>
    </row>
    <row r="26" spans="2:35" ht="19.5" customHeight="1" x14ac:dyDescent="0.35">
      <c r="B26" s="76"/>
      <c r="D26" s="44" t="s">
        <v>45</v>
      </c>
      <c r="E26" s="2678"/>
      <c r="F26" s="2681"/>
      <c r="G26" s="978" t="s">
        <v>875</v>
      </c>
      <c r="H26" s="77">
        <f>'LTO DAILY'!H26+('LTO DAILY'!H26*0.5)*0.2314</f>
        <v>0</v>
      </c>
      <c r="I26" s="77">
        <f>'LTO DAILY'!I26+('LTO DAILY'!I26*0.5)*0.2314</f>
        <v>14.883438</v>
      </c>
      <c r="J26" s="77">
        <f>'LTO DAILY'!J26+('LTO DAILY'!J26*0.5)*0.2314</f>
        <v>15.151206</v>
      </c>
      <c r="K26" s="77">
        <f>'LTO DAILY'!K26+('LTO DAILY'!K26*0.5)*0.2314</f>
        <v>14.872281000000001</v>
      </c>
      <c r="L26" s="77">
        <f>'LTO DAILY'!L26+('LTO DAILY'!L26*0.5)*0.2314</f>
        <v>14.626826999999999</v>
      </c>
      <c r="M26" s="77">
        <f>'LTO DAILY'!M26+('LTO DAILY'!M26*0.5)*0.2314</f>
        <v>15.06195</v>
      </c>
      <c r="N26" s="77">
        <f>'LTO DAILY'!N26+('LTO DAILY'!N26*0.5)*0.2314</f>
        <v>14.593356</v>
      </c>
      <c r="O26" s="77">
        <f>'LTO DAILY'!O26+('LTO DAILY'!O26*0.5)*0.2314</f>
        <v>14.905752</v>
      </c>
      <c r="P26" s="77">
        <f>'LTO DAILY'!P26+('LTO DAILY'!P26*0.5)*0.2314</f>
        <v>14.649140999999998</v>
      </c>
      <c r="Q26" s="77">
        <f>'LTO DAILY'!Q26+('LTO DAILY'!Q26*0.5)*0.2314</f>
        <v>14.794181999999999</v>
      </c>
      <c r="R26" s="77">
        <f>'LTO DAILY'!R26+('LTO DAILY'!R26*0.5)*0.2314</f>
        <v>14.760711000000001</v>
      </c>
      <c r="S26" s="77">
        <f>'LTO DAILY'!S26+('LTO DAILY'!S26*0.5)*0.2314</f>
        <v>14.794181999999999</v>
      </c>
      <c r="T26" s="77">
        <f>'LTO DAILY'!T26+('LTO DAILY'!T26*0.5)*0.2314</f>
        <v>14.816495999999999</v>
      </c>
      <c r="U26" s="77">
        <f>'LTO DAILY'!U26+('LTO DAILY'!U26*0.5)*0.2314</f>
        <v>0</v>
      </c>
      <c r="V26" s="77">
        <f>'LTO DAILY'!V26+('LTO DAILY'!V26*0.5)*0.2314</f>
        <v>0</v>
      </c>
      <c r="W26" s="77">
        <f>'LTO DAILY'!W26+('LTO DAILY'!W26*0.5)*0.2314</f>
        <v>0</v>
      </c>
      <c r="X26" s="77">
        <f>'LTO DAILY'!X26+('LTO DAILY'!X26*0.5)*0.2314</f>
        <v>0</v>
      </c>
      <c r="Y26" s="77">
        <f>'LTO DAILY'!Y26+('LTO DAILY'!Y26*0.5)*0.2314</f>
        <v>0</v>
      </c>
      <c r="Z26" s="77">
        <f>'LTO DAILY'!Z26+('LTO DAILY'!Z26*0.5)*0.2314</f>
        <v>0</v>
      </c>
      <c r="AA26" s="77">
        <f>'LTO DAILY'!AA26+('LTO DAILY'!AA26*0.5)*0.2314</f>
        <v>0</v>
      </c>
      <c r="AB26" s="77">
        <f>'LTO DAILY'!AB26+('LTO DAILY'!AB26*0.5)*0.2314</f>
        <v>0</v>
      </c>
      <c r="AC26" s="77">
        <f>'LTO DAILY'!AC26+('LTO DAILY'!AC26*0.5)*0.2314</f>
        <v>0</v>
      </c>
      <c r="AD26" s="77">
        <f>'LTO DAILY'!AD26+('LTO DAILY'!AD26*0.5)*0.2314</f>
        <v>0</v>
      </c>
      <c r="AE26" s="77">
        <f>'LTO DAILY'!AE26+('LTO DAILY'!AE26*0.5)*0.2314</f>
        <v>0</v>
      </c>
      <c r="AF26" s="77">
        <f>'LTO DAILY'!AF26+('LTO DAILY'!AF26*0.5)*0.2314</f>
        <v>0</v>
      </c>
      <c r="AG26" s="77">
        <f>'LTO DAILY'!AG26+('LTO DAILY'!AG26*0.5)*0.2314</f>
        <v>0</v>
      </c>
      <c r="AH26" s="77">
        <f>'LTO DAILY'!AH26+('LTO DAILY'!AH26*0.5)*0.2314</f>
        <v>0</v>
      </c>
      <c r="AI26" s="77">
        <f>'LTO DAILY'!AI26+('LTO DAILY'!AI26*0.5)*0.2314</f>
        <v>0</v>
      </c>
    </row>
    <row r="27" spans="2:35" ht="19.5" customHeight="1" x14ac:dyDescent="0.35">
      <c r="B27" s="76"/>
      <c r="D27" s="44" t="s">
        <v>46</v>
      </c>
      <c r="E27" s="2679"/>
      <c r="F27" s="2682"/>
      <c r="G27" s="60">
        <v>0.44600000000000001</v>
      </c>
      <c r="H27" s="77">
        <v>0.14000000000000001</v>
      </c>
      <c r="I27" s="77">
        <v>0.1145</v>
      </c>
      <c r="J27" s="62">
        <v>0.1206</v>
      </c>
      <c r="K27" s="62">
        <v>0.15</v>
      </c>
      <c r="L27" s="62">
        <v>0.17</v>
      </c>
      <c r="M27" s="526">
        <v>0.41839999999999999</v>
      </c>
      <c r="N27" s="526">
        <v>7.3660000000000003E-2</v>
      </c>
      <c r="O27" s="526">
        <v>0.89980000000000004</v>
      </c>
      <c r="P27" s="526">
        <v>0.18</v>
      </c>
      <c r="Q27" s="526">
        <v>1.546</v>
      </c>
      <c r="R27" s="525">
        <v>1.2290000000000001</v>
      </c>
      <c r="S27" s="525">
        <v>1.42</v>
      </c>
      <c r="T27" s="525">
        <v>1.61</v>
      </c>
      <c r="U27" s="525">
        <v>1.573</v>
      </c>
      <c r="V27" s="525">
        <v>1.5349999999999999</v>
      </c>
      <c r="W27" s="525">
        <v>2.0099999999999998</v>
      </c>
      <c r="X27" s="525">
        <v>3.03</v>
      </c>
      <c r="Y27" s="525">
        <v>4.03</v>
      </c>
      <c r="Z27" s="525">
        <v>5.03</v>
      </c>
      <c r="AA27" s="525">
        <v>6.03</v>
      </c>
      <c r="AB27" s="525">
        <v>7.03</v>
      </c>
      <c r="AC27" s="525">
        <v>8.0299999999999994</v>
      </c>
      <c r="AD27" s="525">
        <v>9.0299999999999994</v>
      </c>
      <c r="AE27" s="525">
        <v>10.029999999999999</v>
      </c>
      <c r="AF27" s="525">
        <v>11.03</v>
      </c>
      <c r="AG27" s="525">
        <v>11.03</v>
      </c>
      <c r="AH27" s="525">
        <v>11.03</v>
      </c>
      <c r="AI27" s="525">
        <v>11.03</v>
      </c>
    </row>
    <row r="28" spans="2:35" ht="19.5" customHeight="1" x14ac:dyDescent="0.35">
      <c r="B28" s="76"/>
      <c r="D28" s="78" t="s">
        <v>150</v>
      </c>
      <c r="E28" s="79"/>
      <c r="F28" s="80"/>
      <c r="G28" s="2"/>
      <c r="H28" s="2">
        <f>H$25+H$26+H$23+H$18</f>
        <v>8.7263999999999994E-2</v>
      </c>
      <c r="I28" s="2">
        <f t="shared" ref="I28:AI28" si="3">I$25+I$26+I$23+I$18</f>
        <v>101.70433433577738</v>
      </c>
      <c r="J28" s="2">
        <f t="shared" si="3"/>
        <v>102.70562359783683</v>
      </c>
      <c r="K28" s="2">
        <f t="shared" si="3"/>
        <v>101.96545178428363</v>
      </c>
      <c r="L28" s="2">
        <f t="shared" si="3"/>
        <v>102.26666526301499</v>
      </c>
      <c r="M28" s="2">
        <f t="shared" si="3"/>
        <v>102.39665656749496</v>
      </c>
      <c r="N28" s="2">
        <f t="shared" si="3"/>
        <v>102.54074616495083</v>
      </c>
      <c r="O28" s="2">
        <f t="shared" si="3"/>
        <v>102.62800278036279</v>
      </c>
      <c r="P28" s="2">
        <f t="shared" si="3"/>
        <v>103.29094905808886</v>
      </c>
      <c r="Q28" s="2">
        <f t="shared" si="3"/>
        <v>102.73988105520598</v>
      </c>
      <c r="R28" s="2">
        <f t="shared" si="3"/>
        <v>101.07818434978492</v>
      </c>
      <c r="S28" s="2">
        <f t="shared" si="3"/>
        <v>102.72056239043877</v>
      </c>
      <c r="T28" s="2">
        <f t="shared" si="3"/>
        <v>103.13346304399759</v>
      </c>
      <c r="U28" s="2">
        <f t="shared" si="3"/>
        <v>8.7263999999999994E-2</v>
      </c>
      <c r="V28" s="2">
        <f t="shared" si="3"/>
        <v>8.7263999999999994E-2</v>
      </c>
      <c r="W28" s="2">
        <f t="shared" si="3"/>
        <v>8.7263999999999994E-2</v>
      </c>
      <c r="X28" s="2">
        <f t="shared" si="3"/>
        <v>8.7263999999999994E-2</v>
      </c>
      <c r="Y28" s="2">
        <f t="shared" si="3"/>
        <v>8.7263999999999994E-2</v>
      </c>
      <c r="Z28" s="2">
        <f t="shared" si="3"/>
        <v>8.7263999999999994E-2</v>
      </c>
      <c r="AA28" s="2">
        <f t="shared" si="3"/>
        <v>8.7263999999999994E-2</v>
      </c>
      <c r="AB28" s="2">
        <f t="shared" si="3"/>
        <v>8.7263999999999994E-2</v>
      </c>
      <c r="AC28" s="2">
        <f t="shared" si="3"/>
        <v>8.7263999999999994E-2</v>
      </c>
      <c r="AD28" s="2">
        <f t="shared" si="3"/>
        <v>8.7263999999999994E-2</v>
      </c>
      <c r="AE28" s="2">
        <f t="shared" si="3"/>
        <v>8.7263999999999994E-2</v>
      </c>
      <c r="AF28" s="2">
        <f t="shared" si="3"/>
        <v>8.7263999999999994E-2</v>
      </c>
      <c r="AG28" s="2">
        <f t="shared" si="3"/>
        <v>8.7263999999999994E-2</v>
      </c>
      <c r="AH28" s="2">
        <f t="shared" si="3"/>
        <v>8.7263999999999994E-2</v>
      </c>
      <c r="AI28" s="2">
        <f t="shared" si="3"/>
        <v>8.7263999999999994E-2</v>
      </c>
    </row>
    <row r="29" spans="2:35" ht="19.5" customHeight="1" x14ac:dyDescent="0.35">
      <c r="D29" s="78" t="s">
        <v>151</v>
      </c>
      <c r="E29" s="79"/>
      <c r="F29" s="80"/>
      <c r="G29" s="2"/>
      <c r="H29" s="2">
        <f>(100-H$31-H$32)/(1+(H$26/H$25))</f>
        <v>100</v>
      </c>
      <c r="I29" s="2">
        <f t="shared" ref="I29:AI29" si="4">(100-I$31-I$32)/(1+(I$26/I$25))</f>
        <v>85.141596536204403</v>
      </c>
      <c r="J29" s="2">
        <f t="shared" si="4"/>
        <v>85.013835602512188</v>
      </c>
      <c r="K29" s="2">
        <f t="shared" si="4"/>
        <v>85.188834531686553</v>
      </c>
      <c r="L29" s="2">
        <f t="shared" si="4"/>
        <v>85.496291264736115</v>
      </c>
      <c r="M29" s="2">
        <f t="shared" si="4"/>
        <v>85.143166703429102</v>
      </c>
      <c r="N29" s="2">
        <f t="shared" si="4"/>
        <v>85.599940787247817</v>
      </c>
      <c r="O29" s="2">
        <f t="shared" si="4"/>
        <v>85.302648037842403</v>
      </c>
      <c r="P29" s="2">
        <f t="shared" si="4"/>
        <v>85.584403867065831</v>
      </c>
      <c r="Q29" s="2">
        <f t="shared" si="4"/>
        <v>85.385273078973327</v>
      </c>
      <c r="R29" s="2">
        <f t="shared" si="4"/>
        <v>85.18337814818814</v>
      </c>
      <c r="S29" s="2">
        <f t="shared" si="4"/>
        <v>85.401331494428646</v>
      </c>
      <c r="T29" s="2">
        <f t="shared" si="4"/>
        <v>85.438253888952829</v>
      </c>
      <c r="U29" s="2">
        <f t="shared" si="4"/>
        <v>100</v>
      </c>
      <c r="V29" s="2">
        <f t="shared" si="4"/>
        <v>100</v>
      </c>
      <c r="W29" s="2">
        <f t="shared" si="4"/>
        <v>100</v>
      </c>
      <c r="X29" s="2">
        <f t="shared" si="4"/>
        <v>100</v>
      </c>
      <c r="Y29" s="2">
        <f t="shared" si="4"/>
        <v>100</v>
      </c>
      <c r="Z29" s="2">
        <f t="shared" si="4"/>
        <v>100</v>
      </c>
      <c r="AA29" s="2">
        <f t="shared" si="4"/>
        <v>100</v>
      </c>
      <c r="AB29" s="2">
        <f t="shared" si="4"/>
        <v>100</v>
      </c>
      <c r="AC29" s="2">
        <f t="shared" si="4"/>
        <v>100</v>
      </c>
      <c r="AD29" s="2">
        <f t="shared" si="4"/>
        <v>100</v>
      </c>
      <c r="AE29" s="2">
        <f t="shared" si="4"/>
        <v>100</v>
      </c>
      <c r="AF29" s="2">
        <f t="shared" si="4"/>
        <v>100</v>
      </c>
      <c r="AG29" s="2">
        <f t="shared" si="4"/>
        <v>100</v>
      </c>
      <c r="AH29" s="2">
        <f t="shared" si="4"/>
        <v>100</v>
      </c>
      <c r="AI29" s="2">
        <f t="shared" si="4"/>
        <v>100</v>
      </c>
    </row>
    <row r="30" spans="2:35" ht="19.5" customHeight="1" x14ac:dyDescent="0.35">
      <c r="D30" s="78" t="s">
        <v>152</v>
      </c>
      <c r="E30" s="79"/>
      <c r="F30" s="80" t="s">
        <v>36</v>
      </c>
      <c r="G30" s="2"/>
      <c r="H30" s="2">
        <f>H$29*(H$26/H$25)</f>
        <v>0</v>
      </c>
      <c r="I30" s="2">
        <f t="shared" ref="I30:AI30" si="5">I$29*(I$26/I$25)</f>
        <v>14.634025282405615</v>
      </c>
      <c r="J30" s="2">
        <f t="shared" si="5"/>
        <v>14.752070499398739</v>
      </c>
      <c r="K30" s="2">
        <f t="shared" si="5"/>
        <v>14.585607909101945</v>
      </c>
      <c r="L30" s="2">
        <f t="shared" si="5"/>
        <v>14.302634159803615</v>
      </c>
      <c r="M30" s="2">
        <f t="shared" si="5"/>
        <v>14.709415819716622</v>
      </c>
      <c r="N30" s="2">
        <f t="shared" si="5"/>
        <v>14.231763026694372</v>
      </c>
      <c r="O30" s="2">
        <f t="shared" si="5"/>
        <v>14.524059317319304</v>
      </c>
      <c r="P30" s="2">
        <f t="shared" si="5"/>
        <v>14.182405267436938</v>
      </c>
      <c r="Q30" s="2">
        <f t="shared" si="5"/>
        <v>14.399648751832341</v>
      </c>
      <c r="R30" s="2">
        <f t="shared" si="5"/>
        <v>14.603260926136146</v>
      </c>
      <c r="S30" s="2">
        <f t="shared" si="5"/>
        <v>14.402356894978453</v>
      </c>
      <c r="T30" s="2">
        <f t="shared" si="5"/>
        <v>14.366332287008689</v>
      </c>
      <c r="U30" s="2">
        <f t="shared" si="5"/>
        <v>0</v>
      </c>
      <c r="V30" s="2">
        <f t="shared" si="5"/>
        <v>0</v>
      </c>
      <c r="W30" s="2">
        <f t="shared" si="5"/>
        <v>0</v>
      </c>
      <c r="X30" s="2">
        <f t="shared" si="5"/>
        <v>0</v>
      </c>
      <c r="Y30" s="2">
        <f t="shared" si="5"/>
        <v>0</v>
      </c>
      <c r="Z30" s="2">
        <f t="shared" si="5"/>
        <v>0</v>
      </c>
      <c r="AA30" s="2">
        <f t="shared" si="5"/>
        <v>0</v>
      </c>
      <c r="AB30" s="2">
        <f t="shared" si="5"/>
        <v>0</v>
      </c>
      <c r="AC30" s="2">
        <f t="shared" si="5"/>
        <v>0</v>
      </c>
      <c r="AD30" s="2">
        <f t="shared" si="5"/>
        <v>0</v>
      </c>
      <c r="AE30" s="2">
        <f t="shared" si="5"/>
        <v>0</v>
      </c>
      <c r="AF30" s="2">
        <f t="shared" si="5"/>
        <v>0</v>
      </c>
      <c r="AG30" s="2">
        <f t="shared" si="5"/>
        <v>0</v>
      </c>
      <c r="AH30" s="2">
        <f t="shared" si="5"/>
        <v>0</v>
      </c>
      <c r="AI30" s="2">
        <f t="shared" si="5"/>
        <v>0</v>
      </c>
    </row>
    <row r="31" spans="2:35" ht="19.5" customHeight="1" x14ac:dyDescent="0.35">
      <c r="D31" s="78" t="s">
        <v>153</v>
      </c>
      <c r="E31" s="79"/>
      <c r="F31" s="80"/>
      <c r="G31" s="2"/>
      <c r="H31" s="2">
        <f>H$23*100/H$28</f>
        <v>0</v>
      </c>
      <c r="I31" s="2">
        <f t="shared" ref="I31:AI31" si="6">I$23*100/I$28</f>
        <v>4.89791800175782E-2</v>
      </c>
      <c r="J31" s="2">
        <f t="shared" si="6"/>
        <v>5.2071540122683599E-2</v>
      </c>
      <c r="K31" s="2">
        <f t="shared" si="6"/>
        <v>5.7956730408081893E-2</v>
      </c>
      <c r="L31" s="2">
        <f t="shared" si="6"/>
        <v>5.9365506681830112E-2</v>
      </c>
      <c r="M31" s="2">
        <f t="shared" si="6"/>
        <v>5.0386855127434176E-2</v>
      </c>
      <c r="N31" s="2">
        <f t="shared" si="6"/>
        <v>5.8176444224462213E-2</v>
      </c>
      <c r="O31" s="2">
        <f t="shared" si="6"/>
        <v>5.8021064803761055E-2</v>
      </c>
      <c r="P31" s="2">
        <f t="shared" si="6"/>
        <v>5.8761128882518374E-2</v>
      </c>
      <c r="Q31" s="2">
        <f t="shared" si="6"/>
        <v>6.0617724451652213E-2</v>
      </c>
      <c r="R31" s="2">
        <f t="shared" si="6"/>
        <v>6.5813719773391982E-2</v>
      </c>
      <c r="S31" s="2">
        <f t="shared" si="6"/>
        <v>6.3904287001946961E-2</v>
      </c>
      <c r="T31" s="2">
        <f t="shared" si="6"/>
        <v>6.5036526477720902E-2</v>
      </c>
      <c r="U31" s="2">
        <f t="shared" si="6"/>
        <v>0</v>
      </c>
      <c r="V31" s="2">
        <f t="shared" si="6"/>
        <v>0</v>
      </c>
      <c r="W31" s="2">
        <f t="shared" si="6"/>
        <v>0</v>
      </c>
      <c r="X31" s="2">
        <f t="shared" si="6"/>
        <v>0</v>
      </c>
      <c r="Y31" s="2">
        <f t="shared" si="6"/>
        <v>0</v>
      </c>
      <c r="Z31" s="2">
        <f t="shared" si="6"/>
        <v>0</v>
      </c>
      <c r="AA31" s="2">
        <f t="shared" si="6"/>
        <v>0</v>
      </c>
      <c r="AB31" s="2">
        <f t="shared" si="6"/>
        <v>0</v>
      </c>
      <c r="AC31" s="2">
        <f t="shared" si="6"/>
        <v>0</v>
      </c>
      <c r="AD31" s="2">
        <f t="shared" si="6"/>
        <v>0</v>
      </c>
      <c r="AE31" s="2">
        <f t="shared" si="6"/>
        <v>0</v>
      </c>
      <c r="AF31" s="2">
        <f t="shared" si="6"/>
        <v>0</v>
      </c>
      <c r="AG31" s="2">
        <f t="shared" si="6"/>
        <v>0</v>
      </c>
      <c r="AH31" s="2">
        <f t="shared" si="6"/>
        <v>0</v>
      </c>
      <c r="AI31" s="2">
        <f t="shared" si="6"/>
        <v>0</v>
      </c>
    </row>
    <row r="32" spans="2:35" ht="19.5" customHeight="1" x14ac:dyDescent="0.35">
      <c r="D32" s="78" t="s">
        <v>154</v>
      </c>
      <c r="E32" s="79"/>
      <c r="F32" s="80"/>
      <c r="G32" s="2"/>
      <c r="H32" s="2">
        <f>H$18*100/H$28</f>
        <v>0</v>
      </c>
      <c r="I32" s="2">
        <f t="shared" ref="I32:AI32" si="7">I$18*100/I$28</f>
        <v>0.17539900137239184</v>
      </c>
      <c r="J32" s="2">
        <f t="shared" si="7"/>
        <v>0.18202235796637245</v>
      </c>
      <c r="K32" s="2">
        <f t="shared" si="7"/>
        <v>0.16760082880342833</v>
      </c>
      <c r="L32" s="2">
        <f t="shared" si="7"/>
        <v>0.14170906877843878</v>
      </c>
      <c r="M32" s="2">
        <f t="shared" si="7"/>
        <v>9.7030621726857155E-2</v>
      </c>
      <c r="N32" s="2">
        <f t="shared" si="7"/>
        <v>0.11011974183335614</v>
      </c>
      <c r="O32" s="2">
        <f t="shared" si="7"/>
        <v>0.11527158003452011</v>
      </c>
      <c r="P32" s="2">
        <f t="shared" si="7"/>
        <v>0.17442973661470618</v>
      </c>
      <c r="Q32" s="2">
        <f t="shared" si="7"/>
        <v>0.15446044474268883</v>
      </c>
      <c r="R32" s="2">
        <f t="shared" si="7"/>
        <v>0.14754720590232903</v>
      </c>
      <c r="S32" s="2">
        <f t="shared" si="7"/>
        <v>0.13240732359095816</v>
      </c>
      <c r="T32" s="2">
        <f t="shared" si="7"/>
        <v>0.13037729756075017</v>
      </c>
      <c r="U32" s="2">
        <f t="shared" si="7"/>
        <v>0</v>
      </c>
      <c r="V32" s="2">
        <f t="shared" si="7"/>
        <v>0</v>
      </c>
      <c r="W32" s="2">
        <f t="shared" si="7"/>
        <v>0</v>
      </c>
      <c r="X32" s="2">
        <f t="shared" si="7"/>
        <v>0</v>
      </c>
      <c r="Y32" s="2">
        <f t="shared" si="7"/>
        <v>0</v>
      </c>
      <c r="Z32" s="2">
        <f t="shared" si="7"/>
        <v>0</v>
      </c>
      <c r="AA32" s="2">
        <f t="shared" si="7"/>
        <v>0</v>
      </c>
      <c r="AB32" s="2">
        <f t="shared" si="7"/>
        <v>0</v>
      </c>
      <c r="AC32" s="2">
        <f t="shared" si="7"/>
        <v>0</v>
      </c>
      <c r="AD32" s="2">
        <f t="shared" si="7"/>
        <v>0</v>
      </c>
      <c r="AE32" s="2">
        <f t="shared" si="7"/>
        <v>0</v>
      </c>
      <c r="AF32" s="2">
        <f t="shared" si="7"/>
        <v>0</v>
      </c>
      <c r="AG32" s="2">
        <f t="shared" si="7"/>
        <v>0</v>
      </c>
      <c r="AH32" s="2">
        <f t="shared" si="7"/>
        <v>0</v>
      </c>
      <c r="AI32" s="2">
        <f t="shared" si="7"/>
        <v>0</v>
      </c>
    </row>
    <row r="33" spans="4:35" ht="19.5" customHeight="1" x14ac:dyDescent="0.35">
      <c r="D33" s="78" t="s">
        <v>155</v>
      </c>
      <c r="E33" s="79"/>
      <c r="F33" s="80"/>
      <c r="G33" s="149"/>
      <c r="H33" s="149">
        <f>H$30/H$29</f>
        <v>0</v>
      </c>
      <c r="I33" s="149">
        <f t="shared" ref="I33:AI33" si="8">I$30/I$29</f>
        <v>0.1718786806655998</v>
      </c>
      <c r="J33" s="149">
        <f t="shared" si="8"/>
        <v>0.17352552552002265</v>
      </c>
      <c r="K33" s="149">
        <f t="shared" si="8"/>
        <v>0.17121501883767093</v>
      </c>
      <c r="L33" s="149">
        <f t="shared" si="8"/>
        <v>0.16728952739617717</v>
      </c>
      <c r="M33" s="149">
        <f t="shared" si="8"/>
        <v>0.17276096707739913</v>
      </c>
      <c r="N33" s="149">
        <f t="shared" si="8"/>
        <v>0.16625902887090008</v>
      </c>
      <c r="O33" s="149">
        <f t="shared" si="8"/>
        <v>0.17026504629582034</v>
      </c>
      <c r="P33" s="149">
        <f t="shared" si="8"/>
        <v>0.16571249698094281</v>
      </c>
      <c r="Q33" s="149">
        <f t="shared" si="8"/>
        <v>0.16864323591861122</v>
      </c>
      <c r="R33" s="149">
        <f t="shared" si="8"/>
        <v>0.17143322140537531</v>
      </c>
      <c r="S33" s="149">
        <f t="shared" si="8"/>
        <v>0.16864323591861122</v>
      </c>
      <c r="T33" s="149">
        <f t="shared" si="8"/>
        <v>0.16814871129835035</v>
      </c>
      <c r="U33" s="149">
        <f t="shared" si="8"/>
        <v>0</v>
      </c>
      <c r="V33" s="149">
        <f t="shared" si="8"/>
        <v>0</v>
      </c>
      <c r="W33" s="149">
        <f t="shared" si="8"/>
        <v>0</v>
      </c>
      <c r="X33" s="149">
        <f t="shared" si="8"/>
        <v>0</v>
      </c>
      <c r="Y33" s="149">
        <f t="shared" si="8"/>
        <v>0</v>
      </c>
      <c r="Z33" s="149">
        <f t="shared" si="8"/>
        <v>0</v>
      </c>
      <c r="AA33" s="149">
        <f t="shared" si="8"/>
        <v>0</v>
      </c>
      <c r="AB33" s="149">
        <f t="shared" si="8"/>
        <v>0</v>
      </c>
      <c r="AC33" s="149">
        <f t="shared" si="8"/>
        <v>0</v>
      </c>
      <c r="AD33" s="149">
        <f t="shared" si="8"/>
        <v>0</v>
      </c>
      <c r="AE33" s="149">
        <f t="shared" si="8"/>
        <v>0</v>
      </c>
      <c r="AF33" s="149">
        <f t="shared" si="8"/>
        <v>0</v>
      </c>
      <c r="AG33" s="149">
        <f t="shared" si="8"/>
        <v>0</v>
      </c>
      <c r="AH33" s="149">
        <f t="shared" si="8"/>
        <v>0</v>
      </c>
      <c r="AI33" s="149">
        <f t="shared" si="8"/>
        <v>0</v>
      </c>
    </row>
    <row r="34" spans="4:35" ht="19.5" hidden="1" customHeight="1" x14ac:dyDescent="0.35">
      <c r="D34" s="81" t="s">
        <v>106</v>
      </c>
      <c r="E34" s="45"/>
      <c r="F34" s="46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</row>
    <row r="35" spans="4:35" ht="19.5" hidden="1" customHeight="1" x14ac:dyDescent="0.35">
      <c r="D35" s="81" t="s">
        <v>107</v>
      </c>
      <c r="E35" s="45"/>
      <c r="F35" s="46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</row>
    <row r="36" spans="4:35" ht="19.5" hidden="1" customHeight="1" x14ac:dyDescent="0.35">
      <c r="D36" s="81" t="s">
        <v>156</v>
      </c>
      <c r="E36" s="45"/>
      <c r="F36" s="46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</row>
    <row r="37" spans="4:35" ht="19.5" hidden="1" customHeight="1" x14ac:dyDescent="0.35">
      <c r="D37" s="81" t="s">
        <v>157</v>
      </c>
      <c r="E37" s="45"/>
      <c r="F37" s="46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</row>
    <row r="38" spans="4:35" ht="19.5" hidden="1" customHeight="1" x14ac:dyDescent="0.35">
      <c r="D38" s="81" t="s">
        <v>108</v>
      </c>
      <c r="E38" s="45"/>
      <c r="F38" s="46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</row>
    <row r="39" spans="4:35" ht="19.5" customHeight="1" x14ac:dyDescent="0.35">
      <c r="D39" s="75" t="s">
        <v>57</v>
      </c>
      <c r="E39" s="2689" t="s">
        <v>58</v>
      </c>
      <c r="F39" s="2680" t="s">
        <v>59</v>
      </c>
      <c r="G39" s="47"/>
      <c r="H39" s="47"/>
      <c r="I39" s="47"/>
      <c r="J39" s="55"/>
      <c r="K39" s="55"/>
      <c r="L39" s="55"/>
      <c r="M39" s="55"/>
      <c r="N39" s="55"/>
      <c r="O39" s="55"/>
      <c r="P39" s="55"/>
      <c r="Q39" s="55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</row>
    <row r="40" spans="4:35" ht="19.5" customHeight="1" x14ac:dyDescent="0.35">
      <c r="D40" s="83" t="s">
        <v>60</v>
      </c>
      <c r="E40" s="2690"/>
      <c r="F40" s="2681"/>
      <c r="G40" s="84"/>
      <c r="H40" s="84">
        <f>'HPS LTO DAILY '!H116</f>
        <v>0</v>
      </c>
      <c r="I40" s="84">
        <f>'HPS LTO DAILY '!I116</f>
        <v>71.400000000000006</v>
      </c>
      <c r="J40" s="84">
        <f>'HPS LTO DAILY '!J116</f>
        <v>39</v>
      </c>
      <c r="K40" s="84">
        <f>'HPS LTO DAILY '!K116</f>
        <v>43.8</v>
      </c>
      <c r="L40" s="84">
        <f>'HPS LTO DAILY '!L116</f>
        <v>69.400000000000006</v>
      </c>
      <c r="M40" s="84">
        <f>'HPS LTO DAILY '!M116</f>
        <v>38.700000000000003</v>
      </c>
      <c r="N40" s="84">
        <f>'HPS LTO DAILY '!N116</f>
        <v>70.2</v>
      </c>
      <c r="O40" s="84">
        <f>'HPS LTO DAILY '!O116</f>
        <v>55.8</v>
      </c>
      <c r="P40" s="84">
        <f>'HPS LTO DAILY '!P116</f>
        <v>69.099999999999994</v>
      </c>
      <c r="Q40" s="84">
        <f>'HPS LTO DAILY '!Q116</f>
        <v>75.8</v>
      </c>
      <c r="R40" s="84">
        <f>'HPS LTO DAILY '!R116</f>
        <v>57.5</v>
      </c>
      <c r="S40" s="84">
        <f>'HPS LTO DAILY '!S116</f>
        <v>60.4</v>
      </c>
      <c r="T40" s="84">
        <f>'HPS LTO DAILY '!T116</f>
        <v>68.099999999999994</v>
      </c>
      <c r="U40" s="84">
        <f>'HPS LTO DAILY '!U116</f>
        <v>0</v>
      </c>
      <c r="V40" s="84">
        <f>'HPS LTO DAILY '!V116</f>
        <v>0</v>
      </c>
      <c r="W40" s="84">
        <f>'HPS LTO DAILY '!W116</f>
        <v>0</v>
      </c>
      <c r="X40" s="84">
        <f>'HPS LTO DAILY '!X116</f>
        <v>0</v>
      </c>
      <c r="Y40" s="84">
        <f>'HPS LTO DAILY '!AG116</f>
        <v>0</v>
      </c>
      <c r="Z40" s="84">
        <f>'HPS LTO DAILY '!AH116</f>
        <v>0</v>
      </c>
      <c r="AA40" s="84">
        <f>'HPS LTO DAILY '!AI116</f>
        <v>0</v>
      </c>
      <c r="AB40" s="84">
        <f>'HPS LTO DAILY '!AJ116</f>
        <v>0</v>
      </c>
      <c r="AC40" s="84">
        <f>'HPS LTO DAILY '!AK116</f>
        <v>0</v>
      </c>
      <c r="AD40" s="84">
        <f>'HPS LTO DAILY '!AL116</f>
        <v>0</v>
      </c>
      <c r="AE40" s="84">
        <f>'HPS LTO DAILY '!AM116</f>
        <v>0</v>
      </c>
      <c r="AF40" s="84">
        <f>'HPS LTO DAILY '!AN116</f>
        <v>0</v>
      </c>
      <c r="AG40" s="84">
        <f>'HPS LTO DAILY '!AO116</f>
        <v>0</v>
      </c>
      <c r="AH40" s="84">
        <f>'HPS LTO DAILY '!AP116</f>
        <v>0</v>
      </c>
      <c r="AI40" s="84">
        <f>'HPS LTO DAILY '!AQ116</f>
        <v>0</v>
      </c>
    </row>
    <row r="41" spans="4:35" ht="19.5" customHeight="1" x14ac:dyDescent="0.35">
      <c r="D41" s="83">
        <v>5</v>
      </c>
      <c r="E41" s="2690"/>
      <c r="F41" s="2681"/>
      <c r="G41" s="84"/>
      <c r="H41" s="84">
        <f>'HPS LTO DAILY '!H121</f>
        <v>0</v>
      </c>
      <c r="I41" s="84">
        <f>'HPS LTO DAILY '!I121</f>
        <v>99.9</v>
      </c>
      <c r="J41" s="84">
        <f>'HPS LTO DAILY '!J121</f>
        <v>95.1</v>
      </c>
      <c r="K41" s="84">
        <f>'HPS LTO DAILY '!K121</f>
        <v>96.1</v>
      </c>
      <c r="L41" s="84">
        <f>'HPS LTO DAILY '!L121</f>
        <v>116.7</v>
      </c>
      <c r="M41" s="84">
        <f>'HPS LTO DAILY '!M121</f>
        <v>97.5</v>
      </c>
      <c r="N41" s="84">
        <f>'HPS LTO DAILY '!N121</f>
        <v>126.6</v>
      </c>
      <c r="O41" s="84">
        <f>'HPS LTO DAILY '!O121</f>
        <v>114.8</v>
      </c>
      <c r="P41" s="84">
        <f>'HPS LTO DAILY '!P121</f>
        <v>115.7</v>
      </c>
      <c r="Q41" s="84">
        <f>'HPS LTO DAILY '!Q121</f>
        <v>126.5</v>
      </c>
      <c r="R41" s="84">
        <f>'HPS LTO DAILY '!R121</f>
        <v>115.5</v>
      </c>
      <c r="S41" s="84">
        <f>'HPS LTO DAILY '!S121</f>
        <v>115.8</v>
      </c>
      <c r="T41" s="84">
        <f>'HPS LTO DAILY '!T121</f>
        <v>117.3</v>
      </c>
      <c r="U41" s="84">
        <f>'HPS LTO DAILY '!U121</f>
        <v>0</v>
      </c>
      <c r="V41" s="84">
        <f>'HPS LTO DAILY '!V121</f>
        <v>0</v>
      </c>
      <c r="W41" s="84">
        <f>'HPS LTO DAILY '!W121</f>
        <v>0</v>
      </c>
      <c r="X41" s="84">
        <f>'HPS LTO DAILY '!X121</f>
        <v>0</v>
      </c>
      <c r="Y41" s="84">
        <f>'HPS LTO DAILY '!AG121</f>
        <v>0</v>
      </c>
      <c r="Z41" s="84">
        <f>'HPS LTO DAILY '!AH121</f>
        <v>0</v>
      </c>
      <c r="AA41" s="84">
        <f>'HPS LTO DAILY '!AI121</f>
        <v>0</v>
      </c>
      <c r="AB41" s="84">
        <f>'HPS LTO DAILY '!AJ121</f>
        <v>0</v>
      </c>
      <c r="AC41" s="84">
        <f>'HPS LTO DAILY '!AK121</f>
        <v>0</v>
      </c>
      <c r="AD41" s="84">
        <f>'HPS LTO DAILY '!AL121</f>
        <v>0</v>
      </c>
      <c r="AE41" s="84">
        <f>'HPS LTO DAILY '!AM121</f>
        <v>0</v>
      </c>
      <c r="AF41" s="84">
        <f>'HPS LTO DAILY '!AN121</f>
        <v>0</v>
      </c>
      <c r="AG41" s="84">
        <f>'HPS LTO DAILY '!AO121</f>
        <v>0</v>
      </c>
      <c r="AH41" s="84">
        <f>'HPS LTO DAILY '!AP121</f>
        <v>0</v>
      </c>
      <c r="AI41" s="84">
        <f>'HPS LTO DAILY '!AQ121</f>
        <v>0</v>
      </c>
    </row>
    <row r="42" spans="4:35" ht="19.5" customHeight="1" x14ac:dyDescent="0.35">
      <c r="D42" s="83">
        <v>10</v>
      </c>
      <c r="E42" s="2690"/>
      <c r="F42" s="2681"/>
      <c r="G42" s="84"/>
      <c r="H42" s="84">
        <f>'HPS LTO DAILY '!H126</f>
        <v>0</v>
      </c>
      <c r="I42" s="84">
        <f>'HPS LTO DAILY '!I126</f>
        <v>121.8</v>
      </c>
      <c r="J42" s="84">
        <f>'HPS LTO DAILY '!J126</f>
        <v>117.2</v>
      </c>
      <c r="K42" s="84">
        <f>'HPS LTO DAILY '!K126</f>
        <v>117</v>
      </c>
      <c r="L42" s="84">
        <f>'HPS LTO DAILY '!L126</f>
        <v>135.9</v>
      </c>
      <c r="M42" s="84">
        <f>'HPS LTO DAILY '!M126</f>
        <v>117.6</v>
      </c>
      <c r="N42" s="84">
        <f>'HPS LTO DAILY '!N126</f>
        <v>144.19999999999999</v>
      </c>
      <c r="O42" s="84">
        <f>'HPS LTO DAILY '!O126</f>
        <v>134.69999999999999</v>
      </c>
      <c r="P42" s="84">
        <f>'HPS LTO DAILY '!P126</f>
        <v>133.9</v>
      </c>
      <c r="Q42" s="84">
        <f>'HPS LTO DAILY '!Q126</f>
        <v>144.6</v>
      </c>
      <c r="R42" s="84">
        <f>'HPS LTO DAILY '!R126</f>
        <v>134.9</v>
      </c>
      <c r="S42" s="84">
        <f>'HPS LTO DAILY '!S126</f>
        <v>135.19999999999999</v>
      </c>
      <c r="T42" s="84">
        <f>'HPS LTO DAILY '!T126</f>
        <v>138.80000000000001</v>
      </c>
      <c r="U42" s="84">
        <f>'HPS LTO DAILY '!U126</f>
        <v>0</v>
      </c>
      <c r="V42" s="84">
        <f>'HPS LTO DAILY '!V126</f>
        <v>0</v>
      </c>
      <c r="W42" s="84">
        <f>'HPS LTO DAILY '!W126</f>
        <v>0</v>
      </c>
      <c r="X42" s="84">
        <f>'HPS LTO DAILY '!X126</f>
        <v>0</v>
      </c>
      <c r="Y42" s="84">
        <f>'HPS LTO DAILY '!AG126</f>
        <v>0</v>
      </c>
      <c r="Z42" s="84">
        <f>'HPS LTO DAILY '!AH126</f>
        <v>0</v>
      </c>
      <c r="AA42" s="84">
        <f>'HPS LTO DAILY '!AI126</f>
        <v>0</v>
      </c>
      <c r="AB42" s="84">
        <f>'HPS LTO DAILY '!AJ126</f>
        <v>0</v>
      </c>
      <c r="AC42" s="84">
        <f>'HPS LTO DAILY '!AK126</f>
        <v>0</v>
      </c>
      <c r="AD42" s="84">
        <f>'HPS LTO DAILY '!AL126</f>
        <v>0</v>
      </c>
      <c r="AE42" s="84">
        <f>'HPS LTO DAILY '!AM126</f>
        <v>0</v>
      </c>
      <c r="AF42" s="84">
        <f>'HPS LTO DAILY '!AN126</f>
        <v>0</v>
      </c>
      <c r="AG42" s="84">
        <f>'HPS LTO DAILY '!AO126</f>
        <v>0</v>
      </c>
      <c r="AH42" s="84">
        <f>'HPS LTO DAILY '!AP126</f>
        <v>0</v>
      </c>
      <c r="AI42" s="84">
        <f>'HPS LTO DAILY '!AQ126</f>
        <v>0</v>
      </c>
    </row>
    <row r="43" spans="4:35" ht="19.5" customHeight="1" x14ac:dyDescent="0.35">
      <c r="D43" s="83">
        <v>15</v>
      </c>
      <c r="E43" s="2690"/>
      <c r="F43" s="2681"/>
      <c r="G43" s="84"/>
      <c r="H43" s="84">
        <f>'HPS LTO DAILY '!H131</f>
        <v>0</v>
      </c>
      <c r="I43" s="84">
        <f>'HPS LTO DAILY '!I131</f>
        <v>142.80000000000001</v>
      </c>
      <c r="J43" s="84">
        <f>'HPS LTO DAILY '!J131</f>
        <v>135.1</v>
      </c>
      <c r="K43" s="84">
        <f>'HPS LTO DAILY '!K131</f>
        <v>133.80000000000001</v>
      </c>
      <c r="L43" s="84">
        <f>'HPS LTO DAILY '!L131</f>
        <v>152</v>
      </c>
      <c r="M43" s="84">
        <f>'HPS LTO DAILY '!M131</f>
        <v>134.6</v>
      </c>
      <c r="N43" s="84">
        <f>'HPS LTO DAILY '!N131</f>
        <v>158.19999999999999</v>
      </c>
      <c r="O43" s="84">
        <f>'HPS LTO DAILY '!O131</f>
        <v>151.19999999999999</v>
      </c>
      <c r="P43" s="84">
        <f>'HPS LTO DAILY '!P131</f>
        <v>147.9</v>
      </c>
      <c r="Q43" s="84">
        <f>'HPS LTO DAILY '!Q131</f>
        <v>159.80000000000001</v>
      </c>
      <c r="R43" s="84">
        <f>'HPS LTO DAILY '!R131</f>
        <v>151.9</v>
      </c>
      <c r="S43" s="84">
        <f>'HPS LTO DAILY '!S131</f>
        <v>152</v>
      </c>
      <c r="T43" s="84">
        <f>'HPS LTO DAILY '!T131</f>
        <v>152.6</v>
      </c>
      <c r="U43" s="84">
        <f>'HPS LTO DAILY '!U131</f>
        <v>0</v>
      </c>
      <c r="V43" s="84">
        <f>'HPS LTO DAILY '!V131</f>
        <v>0</v>
      </c>
      <c r="W43" s="84">
        <f>'HPS LTO DAILY '!W131</f>
        <v>0</v>
      </c>
      <c r="X43" s="84">
        <f>'HPS LTO DAILY '!X131</f>
        <v>0</v>
      </c>
      <c r="Y43" s="84">
        <f>'HPS LTO DAILY '!AG131</f>
        <v>0</v>
      </c>
      <c r="Z43" s="84">
        <f>'HPS LTO DAILY '!AH131</f>
        <v>0</v>
      </c>
      <c r="AA43" s="84">
        <f>'HPS LTO DAILY '!AI131</f>
        <v>0</v>
      </c>
      <c r="AB43" s="84">
        <f>'HPS LTO DAILY '!AJ131</f>
        <v>0</v>
      </c>
      <c r="AC43" s="84">
        <f>'HPS LTO DAILY '!AK131</f>
        <v>0</v>
      </c>
      <c r="AD43" s="84">
        <f>'HPS LTO DAILY '!AL131</f>
        <v>0</v>
      </c>
      <c r="AE43" s="84">
        <f>'HPS LTO DAILY '!AM131</f>
        <v>0</v>
      </c>
      <c r="AF43" s="84">
        <f>'HPS LTO DAILY '!AN131</f>
        <v>0</v>
      </c>
      <c r="AG43" s="84">
        <f>'HPS LTO DAILY '!AO131</f>
        <v>0</v>
      </c>
      <c r="AH43" s="84">
        <f>'HPS LTO DAILY '!AP131</f>
        <v>0</v>
      </c>
      <c r="AI43" s="84">
        <f>'HPS LTO DAILY '!AQ131</f>
        <v>0</v>
      </c>
    </row>
    <row r="44" spans="4:35" ht="19.5" customHeight="1" x14ac:dyDescent="0.35">
      <c r="D44" s="83">
        <v>20</v>
      </c>
      <c r="E44" s="2690"/>
      <c r="F44" s="2681"/>
      <c r="G44" s="84"/>
      <c r="H44" s="84">
        <f>'HPS LTO DAILY '!H136</f>
        <v>0</v>
      </c>
      <c r="I44" s="84">
        <f>'HPS LTO DAILY '!I136</f>
        <v>158.6</v>
      </c>
      <c r="J44" s="84">
        <f>'HPS LTO DAILY '!J136</f>
        <v>152.19999999999999</v>
      </c>
      <c r="K44" s="84">
        <f>'HPS LTO DAILY '!K136</f>
        <v>147.80000000000001</v>
      </c>
      <c r="L44" s="84">
        <f>'HPS LTO DAILY '!L136</f>
        <v>163.5</v>
      </c>
      <c r="M44" s="84">
        <f>'HPS LTO DAILY '!M136</f>
        <v>148.9</v>
      </c>
      <c r="N44" s="84">
        <f>'HPS LTO DAILY '!N136</f>
        <v>168.4</v>
      </c>
      <c r="O44" s="84">
        <f>'HPS LTO DAILY '!O136</f>
        <v>163.1</v>
      </c>
      <c r="P44" s="84">
        <f>'HPS LTO DAILY '!P136</f>
        <v>161</v>
      </c>
      <c r="Q44" s="84">
        <f>'HPS LTO DAILY '!Q136</f>
        <v>170.9</v>
      </c>
      <c r="R44" s="84">
        <f>'HPS LTO DAILY '!R136</f>
        <v>163.6</v>
      </c>
      <c r="S44" s="84">
        <f>'HPS LTO DAILY '!S136</f>
        <v>163.4</v>
      </c>
      <c r="T44" s="84">
        <f>'HPS LTO DAILY '!T136</f>
        <v>164.3</v>
      </c>
      <c r="U44" s="84">
        <f>'HPS LTO DAILY '!U136</f>
        <v>0</v>
      </c>
      <c r="V44" s="84">
        <f>'HPS LTO DAILY '!V136</f>
        <v>0</v>
      </c>
      <c r="W44" s="84">
        <f>'HPS LTO DAILY '!W136</f>
        <v>0</v>
      </c>
      <c r="X44" s="84">
        <f>'HPS LTO DAILY '!X136</f>
        <v>0</v>
      </c>
      <c r="Y44" s="84">
        <f>'HPS LTO DAILY '!AG136</f>
        <v>0</v>
      </c>
      <c r="Z44" s="84">
        <f>'HPS LTO DAILY '!AH136</f>
        <v>0</v>
      </c>
      <c r="AA44" s="84">
        <f>'HPS LTO DAILY '!AI136</f>
        <v>0</v>
      </c>
      <c r="AB44" s="84">
        <f>'HPS LTO DAILY '!AJ136</f>
        <v>0</v>
      </c>
      <c r="AC44" s="84">
        <f>'HPS LTO DAILY '!AK136</f>
        <v>0</v>
      </c>
      <c r="AD44" s="84">
        <f>'HPS LTO DAILY '!AL136</f>
        <v>0</v>
      </c>
      <c r="AE44" s="84">
        <f>'HPS LTO DAILY '!AM136</f>
        <v>0</v>
      </c>
      <c r="AF44" s="84">
        <f>'HPS LTO DAILY '!AN136</f>
        <v>0</v>
      </c>
      <c r="AG44" s="84">
        <f>'HPS LTO DAILY '!AO136</f>
        <v>0</v>
      </c>
      <c r="AH44" s="84">
        <f>'HPS LTO DAILY '!AP136</f>
        <v>0</v>
      </c>
      <c r="AI44" s="84">
        <f>'HPS LTO DAILY '!AQ136</f>
        <v>0</v>
      </c>
    </row>
    <row r="45" spans="4:35" ht="19.5" customHeight="1" x14ac:dyDescent="0.35">
      <c r="D45" s="83">
        <v>30</v>
      </c>
      <c r="E45" s="2690"/>
      <c r="F45" s="2681"/>
      <c r="G45" s="84"/>
      <c r="H45" s="84">
        <f>'HPS LTO DAILY '!H146</f>
        <v>0</v>
      </c>
      <c r="I45" s="84">
        <f>'HPS LTO DAILY '!I146</f>
        <v>182.8</v>
      </c>
      <c r="J45" s="84">
        <f>'HPS LTO DAILY '!J146</f>
        <v>176.1</v>
      </c>
      <c r="K45" s="84">
        <f>'HPS LTO DAILY '!K146</f>
        <v>173</v>
      </c>
      <c r="L45" s="84">
        <f>'HPS LTO DAILY '!L146</f>
        <v>183.4</v>
      </c>
      <c r="M45" s="84">
        <f>'HPS LTO DAILY '!M146</f>
        <v>172.3</v>
      </c>
      <c r="N45" s="84">
        <f>'HPS LTO DAILY '!N146</f>
        <v>188.8</v>
      </c>
      <c r="O45" s="84">
        <f>'HPS LTO DAILY '!O146</f>
        <v>181.8</v>
      </c>
      <c r="P45" s="84">
        <f>'HPS LTO DAILY '!P146</f>
        <v>179.8</v>
      </c>
      <c r="Q45" s="84">
        <f>'HPS LTO DAILY '!Q146</f>
        <v>193.1</v>
      </c>
      <c r="R45" s="84">
        <f>'HPS LTO DAILY '!R146</f>
        <v>183.2</v>
      </c>
      <c r="S45" s="84">
        <f>'HPS LTO DAILY '!S146</f>
        <v>182</v>
      </c>
      <c r="T45" s="84">
        <f>'HPS LTO DAILY '!T146</f>
        <v>183.5</v>
      </c>
      <c r="U45" s="84">
        <f>'HPS LTO DAILY '!U146</f>
        <v>0</v>
      </c>
      <c r="V45" s="84">
        <f>'HPS LTO DAILY '!V146</f>
        <v>0</v>
      </c>
      <c r="W45" s="84">
        <f>'HPS LTO DAILY '!W146</f>
        <v>0</v>
      </c>
      <c r="X45" s="84">
        <f>'HPS LTO DAILY '!X146</f>
        <v>0</v>
      </c>
      <c r="Y45" s="84">
        <f>'HPS LTO DAILY '!AG146</f>
        <v>0</v>
      </c>
      <c r="Z45" s="84">
        <f>'HPS LTO DAILY '!AH146</f>
        <v>0</v>
      </c>
      <c r="AA45" s="84">
        <f>'HPS LTO DAILY '!AI146</f>
        <v>0</v>
      </c>
      <c r="AB45" s="84">
        <f>'HPS LTO DAILY '!AJ146</f>
        <v>0</v>
      </c>
      <c r="AC45" s="84">
        <f>'HPS LTO DAILY '!AK146</f>
        <v>0</v>
      </c>
      <c r="AD45" s="84">
        <f>'HPS LTO DAILY '!AL146</f>
        <v>0</v>
      </c>
      <c r="AE45" s="84">
        <f>'HPS LTO DAILY '!AM146</f>
        <v>0</v>
      </c>
      <c r="AF45" s="84">
        <f>'HPS LTO DAILY '!AN146</f>
        <v>0</v>
      </c>
      <c r="AG45" s="84">
        <f>'HPS LTO DAILY '!AO146</f>
        <v>0</v>
      </c>
      <c r="AH45" s="84">
        <f>'HPS LTO DAILY '!AP146</f>
        <v>0</v>
      </c>
      <c r="AI45" s="84">
        <f>'HPS LTO DAILY '!AQ146</f>
        <v>0</v>
      </c>
    </row>
    <row r="46" spans="4:35" ht="19.5" customHeight="1" x14ac:dyDescent="0.35">
      <c r="D46" s="83">
        <v>40</v>
      </c>
      <c r="E46" s="2690"/>
      <c r="F46" s="2681"/>
      <c r="G46" s="84"/>
      <c r="H46" s="84">
        <f>'HPS LTO DAILY '!H156</f>
        <v>0</v>
      </c>
      <c r="I46" s="84">
        <f>'HPS LTO DAILY '!I156</f>
        <v>207.5</v>
      </c>
      <c r="J46" s="84">
        <f>'HPS LTO DAILY '!J156</f>
        <v>199.5</v>
      </c>
      <c r="K46" s="84">
        <f>'HPS LTO DAILY '!K156</f>
        <v>196.8</v>
      </c>
      <c r="L46" s="84">
        <f>'HPS LTO DAILY '!L156</f>
        <v>204</v>
      </c>
      <c r="M46" s="84">
        <f>'HPS LTO DAILY '!M156</f>
        <v>194.2</v>
      </c>
      <c r="N46" s="84">
        <f>'HPS LTO DAILY '!N156</f>
        <v>206.8</v>
      </c>
      <c r="O46" s="84">
        <f>'HPS LTO DAILY '!O156</f>
        <v>201.9</v>
      </c>
      <c r="P46" s="84">
        <f>'HPS LTO DAILY '!P156</f>
        <v>199</v>
      </c>
      <c r="Q46" s="84">
        <f>'HPS LTO DAILY '!Q156</f>
        <v>215.5</v>
      </c>
      <c r="R46" s="84">
        <f>'HPS LTO DAILY '!R156</f>
        <v>203.6</v>
      </c>
      <c r="S46" s="84">
        <f>'HPS LTO DAILY '!S156</f>
        <v>201.8</v>
      </c>
      <c r="T46" s="84">
        <f>'HPS LTO DAILY '!T156</f>
        <v>203</v>
      </c>
      <c r="U46" s="84">
        <f>'HPS LTO DAILY '!U156</f>
        <v>0</v>
      </c>
      <c r="V46" s="84">
        <f>'HPS LTO DAILY '!V156</f>
        <v>0</v>
      </c>
      <c r="W46" s="84">
        <f>'HPS LTO DAILY '!W156</f>
        <v>0</v>
      </c>
      <c r="X46" s="84">
        <f>'HPS LTO DAILY '!X156</f>
        <v>0</v>
      </c>
      <c r="Y46" s="84">
        <f>'HPS LTO DAILY '!AG156</f>
        <v>0</v>
      </c>
      <c r="Z46" s="84">
        <f>'HPS LTO DAILY '!AH156</f>
        <v>0</v>
      </c>
      <c r="AA46" s="84">
        <f>'HPS LTO DAILY '!AI156</f>
        <v>0</v>
      </c>
      <c r="AB46" s="84">
        <f>'HPS LTO DAILY '!AJ156</f>
        <v>0</v>
      </c>
      <c r="AC46" s="84">
        <f>'HPS LTO DAILY '!AK156</f>
        <v>0</v>
      </c>
      <c r="AD46" s="84">
        <f>'HPS LTO DAILY '!AL156</f>
        <v>0</v>
      </c>
      <c r="AE46" s="84">
        <f>'HPS LTO DAILY '!AM156</f>
        <v>0</v>
      </c>
      <c r="AF46" s="84">
        <f>'HPS LTO DAILY '!AN156</f>
        <v>0</v>
      </c>
      <c r="AG46" s="84">
        <f>'HPS LTO DAILY '!AO156</f>
        <v>0</v>
      </c>
      <c r="AH46" s="84">
        <f>'HPS LTO DAILY '!AP156</f>
        <v>0</v>
      </c>
      <c r="AI46" s="84">
        <f>'HPS LTO DAILY '!AQ156</f>
        <v>0</v>
      </c>
    </row>
    <row r="47" spans="4:35" ht="19.5" customHeight="1" x14ac:dyDescent="0.35">
      <c r="D47" s="83">
        <v>50</v>
      </c>
      <c r="E47" s="2690"/>
      <c r="F47" s="2681"/>
      <c r="G47" s="84"/>
      <c r="H47" s="84">
        <f>'HPS LTO DAILY '!H166</f>
        <v>0</v>
      </c>
      <c r="I47" s="84">
        <f>'HPS LTO DAILY '!I166</f>
        <v>233.3</v>
      </c>
      <c r="J47" s="84">
        <f>'HPS LTO DAILY '!J166</f>
        <v>224.2</v>
      </c>
      <c r="K47" s="84">
        <f>'HPS LTO DAILY '!K166</f>
        <v>218.1</v>
      </c>
      <c r="L47" s="84">
        <f>'HPS LTO DAILY '!L166</f>
        <v>225</v>
      </c>
      <c r="M47" s="84">
        <f>'HPS LTO DAILY '!M166</f>
        <v>214.9</v>
      </c>
      <c r="N47" s="84">
        <f>'HPS LTO DAILY '!N166</f>
        <v>226.6</v>
      </c>
      <c r="O47" s="84">
        <f>'HPS LTO DAILY '!O166</f>
        <v>220.9</v>
      </c>
      <c r="P47" s="84">
        <f>'HPS LTO DAILY '!P166</f>
        <v>219.3</v>
      </c>
      <c r="Q47" s="84">
        <f>'HPS LTO DAILY '!Q166</f>
        <v>237.4</v>
      </c>
      <c r="R47" s="84">
        <f>'HPS LTO DAILY '!R166</f>
        <v>223.5</v>
      </c>
      <c r="S47" s="84">
        <f>'HPS LTO DAILY '!S166</f>
        <v>220.6</v>
      </c>
      <c r="T47" s="84">
        <f>'HPS LTO DAILY '!T166</f>
        <v>221.5</v>
      </c>
      <c r="U47" s="84">
        <f>'HPS LTO DAILY '!U166</f>
        <v>0</v>
      </c>
      <c r="V47" s="84">
        <f>'HPS LTO DAILY '!V166</f>
        <v>0</v>
      </c>
      <c r="W47" s="84">
        <f>'HPS LTO DAILY '!W166</f>
        <v>0</v>
      </c>
      <c r="X47" s="84">
        <f>'HPS LTO DAILY '!X166</f>
        <v>0</v>
      </c>
      <c r="Y47" s="84">
        <f>'HPS LTO DAILY '!AG166</f>
        <v>0</v>
      </c>
      <c r="Z47" s="84">
        <f>'HPS LTO DAILY '!AH166</f>
        <v>0</v>
      </c>
      <c r="AA47" s="84">
        <f>'HPS LTO DAILY '!AI166</f>
        <v>0</v>
      </c>
      <c r="AB47" s="84">
        <f>'HPS LTO DAILY '!AJ166</f>
        <v>0</v>
      </c>
      <c r="AC47" s="84">
        <f>'HPS LTO DAILY '!AK166</f>
        <v>0</v>
      </c>
      <c r="AD47" s="84">
        <f>'HPS LTO DAILY '!AL166</f>
        <v>0</v>
      </c>
      <c r="AE47" s="84">
        <f>'HPS LTO DAILY '!AM166</f>
        <v>0</v>
      </c>
      <c r="AF47" s="84">
        <f>'HPS LTO DAILY '!AN166</f>
        <v>0</v>
      </c>
      <c r="AG47" s="84">
        <f>'HPS LTO DAILY '!AO166</f>
        <v>0</v>
      </c>
      <c r="AH47" s="84">
        <f>'HPS LTO DAILY '!AP166</f>
        <v>0</v>
      </c>
      <c r="AI47" s="84">
        <f>'HPS LTO DAILY '!AQ166</f>
        <v>0</v>
      </c>
    </row>
    <row r="48" spans="4:35" ht="19.5" customHeight="1" x14ac:dyDescent="0.35">
      <c r="D48" s="83">
        <v>60</v>
      </c>
      <c r="E48" s="2690"/>
      <c r="F48" s="2681"/>
      <c r="G48" s="84"/>
      <c r="H48" s="84">
        <f>'HPS LTO DAILY '!H176</f>
        <v>0</v>
      </c>
      <c r="I48" s="84">
        <f>'HPS LTO DAILY '!I176</f>
        <v>261.3</v>
      </c>
      <c r="J48" s="84">
        <f>'HPS LTO DAILY '!J176</f>
        <v>251.3</v>
      </c>
      <c r="K48" s="84">
        <f>'HPS LTO DAILY '!K176</f>
        <v>243.8</v>
      </c>
      <c r="L48" s="84">
        <f>'HPS LTO DAILY '!L176</f>
        <v>248.6</v>
      </c>
      <c r="M48" s="84">
        <f>'HPS LTO DAILY '!M176</f>
        <v>237</v>
      </c>
      <c r="N48" s="84">
        <f>'HPS LTO DAILY '!N176</f>
        <v>247.8</v>
      </c>
      <c r="O48" s="84">
        <f>'HPS LTO DAILY '!O176</f>
        <v>242.7</v>
      </c>
      <c r="P48" s="84">
        <f>'HPS LTO DAILY '!P176</f>
        <v>240.7</v>
      </c>
      <c r="Q48" s="84">
        <f>'HPS LTO DAILY '!Q176</f>
        <v>264.39999999999998</v>
      </c>
      <c r="R48" s="84">
        <f>'HPS LTO DAILY '!R176</f>
        <v>246.8</v>
      </c>
      <c r="S48" s="84">
        <f>'HPS LTO DAILY '!S176</f>
        <v>242.1</v>
      </c>
      <c r="T48" s="84">
        <f>'HPS LTO DAILY '!T176</f>
        <v>243.3</v>
      </c>
      <c r="U48" s="84">
        <f>'HPS LTO DAILY '!U176</f>
        <v>0</v>
      </c>
      <c r="V48" s="84">
        <f>'HPS LTO DAILY '!V176</f>
        <v>0</v>
      </c>
      <c r="W48" s="84">
        <f>'HPS LTO DAILY '!W176</f>
        <v>0</v>
      </c>
      <c r="X48" s="84">
        <f>'HPS LTO DAILY '!X176</f>
        <v>0</v>
      </c>
      <c r="Y48" s="84">
        <f>'HPS LTO DAILY '!AG176</f>
        <v>0</v>
      </c>
      <c r="Z48" s="84">
        <f>'HPS LTO DAILY '!AH176</f>
        <v>0</v>
      </c>
      <c r="AA48" s="84">
        <f>'HPS LTO DAILY '!AI176</f>
        <v>0</v>
      </c>
      <c r="AB48" s="84">
        <f>'HPS LTO DAILY '!AJ176</f>
        <v>0</v>
      </c>
      <c r="AC48" s="84">
        <f>'HPS LTO DAILY '!AK176</f>
        <v>0</v>
      </c>
      <c r="AD48" s="84">
        <f>'HPS LTO DAILY '!AL176</f>
        <v>0</v>
      </c>
      <c r="AE48" s="84">
        <f>'HPS LTO DAILY '!AM176</f>
        <v>0</v>
      </c>
      <c r="AF48" s="84">
        <f>'HPS LTO DAILY '!AN176</f>
        <v>0</v>
      </c>
      <c r="AG48" s="84">
        <f>'HPS LTO DAILY '!AO176</f>
        <v>0</v>
      </c>
      <c r="AH48" s="84">
        <f>'HPS LTO DAILY '!AP176</f>
        <v>0</v>
      </c>
      <c r="AI48" s="84">
        <f>'HPS LTO DAILY '!AQ176</f>
        <v>0</v>
      </c>
    </row>
    <row r="49" spans="4:35" ht="19.5" customHeight="1" x14ac:dyDescent="0.35">
      <c r="D49" s="83">
        <v>70</v>
      </c>
      <c r="E49" s="2690"/>
      <c r="F49" s="2681"/>
      <c r="G49" s="47"/>
      <c r="H49" s="60">
        <f>'HPS LTO DAILY '!H186</f>
        <v>0</v>
      </c>
      <c r="I49" s="60">
        <f>'HPS LTO DAILY '!I186</f>
        <v>293.2</v>
      </c>
      <c r="J49" s="60">
        <f>'HPS LTO DAILY '!J186</f>
        <v>280.10000000000002</v>
      </c>
      <c r="K49" s="60">
        <f>'HPS LTO DAILY '!K186</f>
        <v>272.39999999999998</v>
      </c>
      <c r="L49" s="60">
        <f>'HPS LTO DAILY '!L186</f>
        <v>273.60000000000002</v>
      </c>
      <c r="M49" s="60">
        <f>'HPS LTO DAILY '!M186</f>
        <v>263</v>
      </c>
      <c r="N49" s="60">
        <f>'HPS LTO DAILY '!N186</f>
        <v>272.3</v>
      </c>
      <c r="O49" s="60">
        <f>'HPS LTO DAILY '!O186</f>
        <v>267.8</v>
      </c>
      <c r="P49" s="60">
        <f>'HPS LTO DAILY '!P186</f>
        <v>266.60000000000002</v>
      </c>
      <c r="Q49" s="60">
        <f>'HPS LTO DAILY '!Q186</f>
        <v>293.39999999999998</v>
      </c>
      <c r="R49" s="60">
        <f>'HPS LTO DAILY '!R186</f>
        <v>272.60000000000002</v>
      </c>
      <c r="S49" s="60">
        <f>'HPS LTO DAILY '!S186</f>
        <v>267.3</v>
      </c>
      <c r="T49" s="60">
        <f>'HPS LTO DAILY '!T186</f>
        <v>268</v>
      </c>
      <c r="U49" s="60">
        <f>'HPS LTO DAILY '!U186</f>
        <v>0</v>
      </c>
      <c r="V49" s="60">
        <f>'HPS LTO DAILY '!V186</f>
        <v>0</v>
      </c>
      <c r="W49" s="60">
        <f>'HPS LTO DAILY '!W186</f>
        <v>0</v>
      </c>
      <c r="X49" s="60">
        <f>'HPS LTO DAILY '!X186</f>
        <v>0</v>
      </c>
      <c r="Y49" s="60">
        <f>'HPS LTO DAILY '!AG186</f>
        <v>0</v>
      </c>
      <c r="Z49" s="60">
        <f>'HPS LTO DAILY '!AH186</f>
        <v>0</v>
      </c>
      <c r="AA49" s="60">
        <f>'HPS LTO DAILY '!AI186</f>
        <v>0</v>
      </c>
      <c r="AB49" s="60">
        <f>'HPS LTO DAILY '!AJ186</f>
        <v>0</v>
      </c>
      <c r="AC49" s="60">
        <f>'HPS LTO DAILY '!AK186</f>
        <v>0</v>
      </c>
      <c r="AD49" s="60">
        <f>'HPS LTO DAILY '!AL186</f>
        <v>0</v>
      </c>
      <c r="AE49" s="60">
        <f>'HPS LTO DAILY '!AM186</f>
        <v>0</v>
      </c>
      <c r="AF49" s="60">
        <f>'HPS LTO DAILY '!AN186</f>
        <v>0</v>
      </c>
      <c r="AG49" s="60">
        <f>'HPS LTO DAILY '!AO186</f>
        <v>0</v>
      </c>
      <c r="AH49" s="60">
        <f>'HPS LTO DAILY '!AP186</f>
        <v>0</v>
      </c>
      <c r="AI49" s="60">
        <f>'HPS LTO DAILY '!AQ186</f>
        <v>0</v>
      </c>
    </row>
    <row r="50" spans="4:35" ht="19.5" customHeight="1" x14ac:dyDescent="0.35">
      <c r="D50" s="83">
        <v>80</v>
      </c>
      <c r="E50" s="2690"/>
      <c r="F50" s="2681"/>
      <c r="G50" s="47"/>
      <c r="H50" s="60">
        <f>'HPS LTO DAILY '!H196</f>
        <v>0</v>
      </c>
      <c r="I50" s="60">
        <f>'HPS LTO DAILY '!I196</f>
        <v>331.7</v>
      </c>
      <c r="J50" s="60">
        <f>'HPS LTO DAILY '!J196</f>
        <v>315.60000000000002</v>
      </c>
      <c r="K50" s="60">
        <f>'HPS LTO DAILY '!K196</f>
        <v>306</v>
      </c>
      <c r="L50" s="60">
        <f>'HPS LTO DAILY '!L196</f>
        <v>306</v>
      </c>
      <c r="M50" s="60">
        <f>'HPS LTO DAILY '!M196</f>
        <v>294.2</v>
      </c>
      <c r="N50" s="60">
        <f>'HPS LTO DAILY '!N196</f>
        <v>302.10000000000002</v>
      </c>
      <c r="O50" s="60">
        <f>'HPS LTO DAILY '!O196</f>
        <v>298.5</v>
      </c>
      <c r="P50" s="60">
        <f>'HPS LTO DAILY '!P196</f>
        <v>297.39999999999998</v>
      </c>
      <c r="Q50" s="60">
        <f>'HPS LTO DAILY '!Q196</f>
        <v>330.8</v>
      </c>
      <c r="R50" s="60">
        <f>'HPS LTO DAILY '!R196</f>
        <v>304.2</v>
      </c>
      <c r="S50" s="60">
        <f>'HPS LTO DAILY '!S196</f>
        <v>298</v>
      </c>
      <c r="T50" s="60">
        <f>'HPS LTO DAILY '!T196</f>
        <v>298.60000000000002</v>
      </c>
      <c r="U50" s="60">
        <f>'HPS LTO DAILY '!U196</f>
        <v>0</v>
      </c>
      <c r="V50" s="60">
        <f>'HPS LTO DAILY '!V196</f>
        <v>0</v>
      </c>
      <c r="W50" s="60">
        <f>'HPS LTO DAILY '!W196</f>
        <v>0</v>
      </c>
      <c r="X50" s="60">
        <f>'HPS LTO DAILY '!X196</f>
        <v>0</v>
      </c>
      <c r="Y50" s="60">
        <f>'HPS LTO DAILY '!AG196</f>
        <v>0</v>
      </c>
      <c r="Z50" s="60">
        <f>'HPS LTO DAILY '!AH196</f>
        <v>0</v>
      </c>
      <c r="AA50" s="60">
        <f>'HPS LTO DAILY '!AI196</f>
        <v>0</v>
      </c>
      <c r="AB50" s="60">
        <f>'HPS LTO DAILY '!AJ196</f>
        <v>0</v>
      </c>
      <c r="AC50" s="60">
        <f>'HPS LTO DAILY '!AK196</f>
        <v>0</v>
      </c>
      <c r="AD50" s="60">
        <f>'HPS LTO DAILY '!AL196</f>
        <v>0</v>
      </c>
      <c r="AE50" s="60">
        <f>'HPS LTO DAILY '!AM196</f>
        <v>0</v>
      </c>
      <c r="AF50" s="60">
        <f>'HPS LTO DAILY '!AN196</f>
        <v>0</v>
      </c>
      <c r="AG50" s="60">
        <f>'HPS LTO DAILY '!AO196</f>
        <v>0</v>
      </c>
      <c r="AH50" s="60">
        <f>'HPS LTO DAILY '!AP196</f>
        <v>0</v>
      </c>
      <c r="AI50" s="60">
        <f>'HPS LTO DAILY '!AQ196</f>
        <v>0</v>
      </c>
    </row>
    <row r="51" spans="4:35" ht="19.5" customHeight="1" x14ac:dyDescent="0.35">
      <c r="D51" s="83">
        <v>90</v>
      </c>
      <c r="E51" s="2690"/>
      <c r="F51" s="2681"/>
      <c r="G51" s="47"/>
      <c r="H51" s="60">
        <f>'HPS LTO DAILY '!H206</f>
        <v>0</v>
      </c>
      <c r="I51" s="60">
        <f>'HPS LTO DAILY '!I206</f>
        <v>380.5</v>
      </c>
      <c r="J51" s="60">
        <f>'HPS LTO DAILY '!J206</f>
        <v>364.3</v>
      </c>
      <c r="K51" s="60">
        <f>'HPS LTO DAILY '!K206</f>
        <v>355</v>
      </c>
      <c r="L51" s="60">
        <f>'HPS LTO DAILY '!L206</f>
        <v>352.3</v>
      </c>
      <c r="M51" s="60">
        <f>'HPS LTO DAILY '!M206</f>
        <v>337.8</v>
      </c>
      <c r="N51" s="60">
        <f>'HPS LTO DAILY '!N206</f>
        <v>344.3</v>
      </c>
      <c r="O51" s="60">
        <f>'HPS LTO DAILY '!O206</f>
        <v>341</v>
      </c>
      <c r="P51" s="60">
        <f>'HPS LTO DAILY '!P206</f>
        <v>340.2</v>
      </c>
      <c r="Q51" s="60">
        <f>'HPS LTO DAILY '!Q206</f>
        <v>380.1</v>
      </c>
      <c r="R51" s="60">
        <f>'HPS LTO DAILY '!R206</f>
        <v>351.1</v>
      </c>
      <c r="S51" s="60">
        <f>'HPS LTO DAILY '!S206</f>
        <v>340.8</v>
      </c>
      <c r="T51" s="60">
        <f>'HPS LTO DAILY '!T206</f>
        <v>341.3</v>
      </c>
      <c r="U51" s="60">
        <f>'HPS LTO DAILY '!U206</f>
        <v>0</v>
      </c>
      <c r="V51" s="60">
        <f>'HPS LTO DAILY '!V206</f>
        <v>0</v>
      </c>
      <c r="W51" s="60">
        <f>'HPS LTO DAILY '!W206</f>
        <v>0</v>
      </c>
      <c r="X51" s="60">
        <f>'HPS LTO DAILY '!X206</f>
        <v>0</v>
      </c>
      <c r="Y51" s="60">
        <f>'HPS LTO DAILY '!AG206</f>
        <v>0</v>
      </c>
      <c r="Z51" s="60">
        <f>'HPS LTO DAILY '!AH206</f>
        <v>0</v>
      </c>
      <c r="AA51" s="60">
        <f>'HPS LTO DAILY '!AI206</f>
        <v>0</v>
      </c>
      <c r="AB51" s="60">
        <f>'HPS LTO DAILY '!AJ206</f>
        <v>0</v>
      </c>
      <c r="AC51" s="60">
        <f>'HPS LTO DAILY '!AK206</f>
        <v>0</v>
      </c>
      <c r="AD51" s="60">
        <f>'HPS LTO DAILY '!AL206</f>
        <v>0</v>
      </c>
      <c r="AE51" s="60">
        <f>'HPS LTO DAILY '!AM206</f>
        <v>0</v>
      </c>
      <c r="AF51" s="60">
        <f>'HPS LTO DAILY '!AN206</f>
        <v>0</v>
      </c>
      <c r="AG51" s="60">
        <f>'HPS LTO DAILY '!AO206</f>
        <v>0</v>
      </c>
      <c r="AH51" s="60">
        <f>'HPS LTO DAILY '!AP206</f>
        <v>0</v>
      </c>
      <c r="AI51" s="60">
        <f>'HPS LTO DAILY '!AQ206</f>
        <v>0</v>
      </c>
    </row>
    <row r="52" spans="4:35" ht="19.5" customHeight="1" x14ac:dyDescent="0.35">
      <c r="D52" s="83">
        <v>95</v>
      </c>
      <c r="E52" s="2690"/>
      <c r="F52" s="2681"/>
      <c r="G52" s="47"/>
      <c r="H52" s="60">
        <f>'HPS LTO DAILY '!H211</f>
        <v>0</v>
      </c>
      <c r="I52" s="60">
        <f>'HPS LTO DAILY '!I211</f>
        <v>412.1</v>
      </c>
      <c r="J52" s="60">
        <f>'HPS LTO DAILY '!J211</f>
        <v>398.6</v>
      </c>
      <c r="K52" s="60">
        <f>'HPS LTO DAILY '!K211</f>
        <v>392</v>
      </c>
      <c r="L52" s="60">
        <f>'HPS LTO DAILY '!L211</f>
        <v>389</v>
      </c>
      <c r="M52" s="60">
        <f>'HPS LTO DAILY '!M211</f>
        <v>373.3</v>
      </c>
      <c r="N52" s="60">
        <f>'HPS LTO DAILY '!N211</f>
        <v>378.1</v>
      </c>
      <c r="O52" s="60">
        <f>'HPS LTO DAILY '!O211</f>
        <v>375.4</v>
      </c>
      <c r="P52" s="60">
        <f>'HPS LTO DAILY '!P211</f>
        <v>374.8</v>
      </c>
      <c r="Q52" s="60">
        <f>'HPS LTO DAILY '!Q211</f>
        <v>409.6</v>
      </c>
      <c r="R52" s="60">
        <f>'HPS LTO DAILY '!R211</f>
        <v>387.2</v>
      </c>
      <c r="S52" s="60">
        <f>'HPS LTO DAILY '!S211</f>
        <v>375.5</v>
      </c>
      <c r="T52" s="60">
        <f>'HPS LTO DAILY '!T211</f>
        <v>375.8</v>
      </c>
      <c r="U52" s="60">
        <f>'HPS LTO DAILY '!U211</f>
        <v>0</v>
      </c>
      <c r="V52" s="60">
        <f>'HPS LTO DAILY '!V211</f>
        <v>0</v>
      </c>
      <c r="W52" s="60">
        <f>'HPS LTO DAILY '!W211</f>
        <v>0</v>
      </c>
      <c r="X52" s="60">
        <f>'HPS LTO DAILY '!X211</f>
        <v>0</v>
      </c>
      <c r="Y52" s="60">
        <f>'HPS LTO DAILY '!AG211</f>
        <v>0</v>
      </c>
      <c r="Z52" s="60">
        <f>'HPS LTO DAILY '!AH211</f>
        <v>0</v>
      </c>
      <c r="AA52" s="60">
        <f>'HPS LTO DAILY '!AI211</f>
        <v>0</v>
      </c>
      <c r="AB52" s="60">
        <f>'HPS LTO DAILY '!AJ211</f>
        <v>0</v>
      </c>
      <c r="AC52" s="60">
        <f>'HPS LTO DAILY '!AK211</f>
        <v>0</v>
      </c>
      <c r="AD52" s="60">
        <f>'HPS LTO DAILY '!AL211</f>
        <v>0</v>
      </c>
      <c r="AE52" s="60">
        <f>'HPS LTO DAILY '!AM211</f>
        <v>0</v>
      </c>
      <c r="AF52" s="60">
        <f>'HPS LTO DAILY '!AN211</f>
        <v>0</v>
      </c>
      <c r="AG52" s="60">
        <f>'HPS LTO DAILY '!AO211</f>
        <v>0</v>
      </c>
      <c r="AH52" s="60">
        <f>'HPS LTO DAILY '!AP211</f>
        <v>0</v>
      </c>
      <c r="AI52" s="60">
        <f>'HPS LTO DAILY '!AQ211</f>
        <v>0</v>
      </c>
    </row>
    <row r="53" spans="4:35" ht="19.5" customHeight="1" thickBot="1" x14ac:dyDescent="0.4">
      <c r="D53" s="83" t="s">
        <v>61</v>
      </c>
      <c r="E53" s="89" t="s">
        <v>54</v>
      </c>
      <c r="F53" s="2682"/>
      <c r="G53" s="90"/>
      <c r="H53" s="91">
        <f>'HPS LTO DAILY '!H216</f>
        <v>0</v>
      </c>
      <c r="I53" s="91">
        <f>'HPS LTO DAILY '!I216</f>
        <v>479.3</v>
      </c>
      <c r="J53" s="91">
        <f>'HPS LTO DAILY '!J216</f>
        <v>472</v>
      </c>
      <c r="K53" s="91">
        <f>'HPS LTO DAILY '!K216</f>
        <v>471.4</v>
      </c>
      <c r="L53" s="91">
        <f>'HPS LTO DAILY '!L216</f>
        <v>470.4</v>
      </c>
      <c r="M53" s="91">
        <f>'HPS LTO DAILY '!M216</f>
        <v>454.1</v>
      </c>
      <c r="N53" s="91">
        <f>'HPS LTO DAILY '!N216</f>
        <v>458.4</v>
      </c>
      <c r="O53" s="91">
        <f>'HPS LTO DAILY '!O216</f>
        <v>456.5</v>
      </c>
      <c r="P53" s="91">
        <f>'HPS LTO DAILY '!P216</f>
        <v>456.5</v>
      </c>
      <c r="Q53" s="91">
        <f>'HPS LTO DAILY '!Q216</f>
        <v>471.8</v>
      </c>
      <c r="R53" s="91">
        <f>'HPS LTO DAILY '!R216</f>
        <v>461</v>
      </c>
      <c r="S53" s="91">
        <f>'HPS LTO DAILY '!S216</f>
        <v>456.6</v>
      </c>
      <c r="T53" s="91">
        <f>'HPS LTO DAILY '!T216</f>
        <v>456.9</v>
      </c>
      <c r="U53" s="91">
        <f>'HPS LTO DAILY '!U216</f>
        <v>0</v>
      </c>
      <c r="V53" s="91">
        <f>'HPS LTO DAILY '!V216</f>
        <v>0</v>
      </c>
      <c r="W53" s="91">
        <f>'HPS LTO DAILY '!W216</f>
        <v>0</v>
      </c>
      <c r="X53" s="91">
        <f>'HPS LTO DAILY '!X216</f>
        <v>0</v>
      </c>
      <c r="Y53" s="91">
        <f>'HPS LTO DAILY '!AG216</f>
        <v>0</v>
      </c>
      <c r="Z53" s="91">
        <f>'HPS LTO DAILY '!AH216</f>
        <v>0</v>
      </c>
      <c r="AA53" s="91">
        <f>'HPS LTO DAILY '!AI216</f>
        <v>0</v>
      </c>
      <c r="AB53" s="91">
        <f>'HPS LTO DAILY '!AJ216</f>
        <v>0</v>
      </c>
      <c r="AC53" s="91">
        <f>'HPS LTO DAILY '!AK216</f>
        <v>0</v>
      </c>
      <c r="AD53" s="91">
        <f>'HPS LTO DAILY '!AL216</f>
        <v>0</v>
      </c>
      <c r="AE53" s="91">
        <f>'HPS LTO DAILY '!AM216</f>
        <v>0</v>
      </c>
      <c r="AF53" s="91">
        <f>'HPS LTO DAILY '!AN216</f>
        <v>0</v>
      </c>
      <c r="AG53" s="91">
        <f>'HPS LTO DAILY '!AO216</f>
        <v>0</v>
      </c>
      <c r="AH53" s="91">
        <f>'HPS LTO DAILY '!AP216</f>
        <v>0</v>
      </c>
      <c r="AI53" s="91">
        <f>'HPS LTO DAILY '!AQ216</f>
        <v>0</v>
      </c>
    </row>
    <row r="54" spans="4:35" ht="19.5" customHeight="1" x14ac:dyDescent="0.35">
      <c r="D54" s="92" t="s">
        <v>159</v>
      </c>
      <c r="E54" s="93"/>
      <c r="F54" s="94"/>
      <c r="G54" s="95"/>
      <c r="H54" s="95"/>
      <c r="I54" s="95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  <c r="AC54" s="96"/>
      <c r="AD54" s="96"/>
      <c r="AE54" s="96"/>
      <c r="AF54" s="96"/>
      <c r="AG54" s="96"/>
      <c r="AH54" s="96"/>
      <c r="AI54" s="96"/>
    </row>
    <row r="55" spans="4:35" ht="19.5" customHeight="1" x14ac:dyDescent="0.35">
      <c r="D55" s="97" t="s">
        <v>101</v>
      </c>
      <c r="E55" s="2692" t="s">
        <v>58</v>
      </c>
      <c r="F55" s="2695" t="s">
        <v>36</v>
      </c>
      <c r="G55" s="98">
        <v>1.74</v>
      </c>
      <c r="H55" s="3">
        <f>'LTO DAILY'!H55+'LTO DAILY (repro+)'!$G$55</f>
        <v>1.74</v>
      </c>
      <c r="I55" s="3">
        <f>'LTO DAILY'!I55+'LTO DAILY (repro+)'!$G$55</f>
        <v>2.94</v>
      </c>
      <c r="J55" s="3">
        <f>'LTO DAILY'!J55+'LTO DAILY (repro+)'!$G$55</f>
        <v>6.04</v>
      </c>
      <c r="K55" s="3">
        <f>'LTO DAILY'!K55+'LTO DAILY (repro+)'!$G$55</f>
        <v>5.84</v>
      </c>
      <c r="L55" s="3">
        <f>'LTO DAILY'!L55+'LTO DAILY (repro+)'!$G$55</f>
        <v>3.24</v>
      </c>
      <c r="M55" s="3">
        <f>'LTO DAILY'!M55+'LTO DAILY (repro+)'!$G$55</f>
        <v>5.94</v>
      </c>
      <c r="N55" s="3">
        <f>'LTO DAILY'!N55+'LTO DAILY (repro+)'!$G$55</f>
        <v>2.84</v>
      </c>
      <c r="O55" s="3">
        <f>'LTO DAILY'!O55+'LTO DAILY (repro+)'!$G$55</f>
        <v>3.9400000000000004</v>
      </c>
      <c r="P55" s="3">
        <f>'LTO DAILY'!P55+'LTO DAILY (repro+)'!$G$55</f>
        <v>2.84</v>
      </c>
      <c r="Q55" s="3">
        <f>'LTO DAILY'!Q55+'LTO DAILY (repro+)'!$G$55</f>
        <v>3.84</v>
      </c>
      <c r="R55" s="3">
        <f>'LTO DAILY'!R55+'LTO DAILY (repro+)'!$G$55</f>
        <v>2.74</v>
      </c>
      <c r="S55" s="3">
        <f>'LTO DAILY'!S55+'LTO DAILY (repro+)'!$G$55</f>
        <v>3.6399999999999997</v>
      </c>
      <c r="T55" s="3">
        <f>'LTO DAILY'!T55+'LTO DAILY (repro+)'!$G$55</f>
        <v>3.34</v>
      </c>
      <c r="U55" s="3">
        <f>'LTO DAILY'!U55+'LTO DAILY (repro+)'!$G$55</f>
        <v>1.74</v>
      </c>
      <c r="V55" s="3">
        <f>'LTO DAILY'!V55+'LTO DAILY (repro+)'!$G$55</f>
        <v>1.74</v>
      </c>
      <c r="W55" s="3">
        <f>'LTO DAILY'!W55+'LTO DAILY (repro+)'!$G$55</f>
        <v>1.74</v>
      </c>
      <c r="X55" s="3">
        <f>'LTO DAILY'!X55+'LTO DAILY (repro+)'!$G$55</f>
        <v>1.74</v>
      </c>
      <c r="Y55" s="3">
        <f>'LTO DAILY'!Y55+'LTO DAILY (repro+)'!$G$55</f>
        <v>1.74</v>
      </c>
      <c r="Z55" s="3">
        <f>'LTO DAILY'!Z55+'LTO DAILY (repro+)'!$G$55</f>
        <v>1.74</v>
      </c>
      <c r="AA55" s="3">
        <f>'LTO DAILY'!AA55+'LTO DAILY (repro+)'!$G$55</f>
        <v>1.74</v>
      </c>
      <c r="AB55" s="3">
        <f>'LTO DAILY'!AB55+'LTO DAILY (repro+)'!$G$55</f>
        <v>1.74</v>
      </c>
      <c r="AC55" s="3">
        <f>'LTO DAILY'!AC55+'LTO DAILY (repro+)'!$G$55</f>
        <v>1.74</v>
      </c>
      <c r="AD55" s="3">
        <f>'LTO DAILY'!AD55+'LTO DAILY (repro+)'!$G$55</f>
        <v>1.74</v>
      </c>
      <c r="AE55" s="3">
        <f>'LTO DAILY'!AE55+'LTO DAILY (repro+)'!$G$55</f>
        <v>1.74</v>
      </c>
      <c r="AF55" s="3">
        <f>'LTO DAILY'!AF55+'LTO DAILY (repro+)'!$G$55</f>
        <v>1.74</v>
      </c>
      <c r="AG55" s="3">
        <f>'LTO DAILY'!AG55+'LTO DAILY (repro+)'!$G$55</f>
        <v>1.74</v>
      </c>
      <c r="AH55" s="3">
        <f>'LTO DAILY'!AH55+'LTO DAILY (repro+)'!$G$55</f>
        <v>1.74</v>
      </c>
      <c r="AI55" s="3">
        <f>'LTO DAILY'!AI55+'LTO DAILY (repro+)'!$G$55</f>
        <v>1.74</v>
      </c>
    </row>
    <row r="56" spans="4:35" ht="19.5" customHeight="1" x14ac:dyDescent="0.35">
      <c r="D56" s="97" t="s">
        <v>102</v>
      </c>
      <c r="E56" s="2693"/>
      <c r="F56" s="2696"/>
      <c r="G56" s="98">
        <v>1.74</v>
      </c>
      <c r="H56" s="3">
        <f>'LTO DAILY'!H56+'LTO DAILY (repro+)'!$G$56</f>
        <v>1.74</v>
      </c>
      <c r="I56" s="3">
        <f>'LTO DAILY'!I56+'LTO DAILY (repro+)'!$G$56</f>
        <v>20.939999999999998</v>
      </c>
      <c r="J56" s="3">
        <f>'LTO DAILY'!J56+'LTO DAILY (repro+)'!$G$56</f>
        <v>20.439999999999998</v>
      </c>
      <c r="K56" s="3">
        <f>'LTO DAILY'!K56+'LTO DAILY (repro+)'!$G$56</f>
        <v>21.84</v>
      </c>
      <c r="L56" s="3">
        <f>'LTO DAILY'!L56+'LTO DAILY (repro+)'!$G$56</f>
        <v>18.739999999999998</v>
      </c>
      <c r="M56" s="3">
        <f>'LTO DAILY'!M56+'LTO DAILY (repro+)'!$G$56</f>
        <v>21.54</v>
      </c>
      <c r="N56" s="3">
        <f>'LTO DAILY'!N56+'LTO DAILY (repro+)'!$G$56</f>
        <v>16.239999999999998</v>
      </c>
      <c r="O56" s="3">
        <f>'LTO DAILY'!O56+'LTO DAILY (repro+)'!$G$56</f>
        <v>18.34</v>
      </c>
      <c r="P56" s="3">
        <f>'LTO DAILY'!P56+'LTO DAILY (repro+)'!$G$56</f>
        <v>16.864999999999998</v>
      </c>
      <c r="Q56" s="3">
        <f>'LTO DAILY'!Q56+'LTO DAILY (repro+)'!$G$56</f>
        <v>18.139999999999997</v>
      </c>
      <c r="R56" s="3">
        <f>'LTO DAILY'!R56+'LTO DAILY (repro+)'!$G$56</f>
        <v>16.439999999999998</v>
      </c>
      <c r="S56" s="3">
        <f>'LTO DAILY'!S56+'LTO DAILY (repro+)'!$G$56</f>
        <v>18.439999999999998</v>
      </c>
      <c r="T56" s="3">
        <f>'LTO DAILY'!T56+'LTO DAILY (repro+)'!$G$56</f>
        <v>18.139999999999997</v>
      </c>
      <c r="U56" s="3">
        <f>'LTO DAILY'!U56+'LTO DAILY (repro+)'!$G$56</f>
        <v>1.74</v>
      </c>
      <c r="V56" s="3">
        <f>'LTO DAILY'!V56+'LTO DAILY (repro+)'!$G$56</f>
        <v>1.74</v>
      </c>
      <c r="W56" s="3">
        <f>'LTO DAILY'!W56+'LTO DAILY (repro+)'!$G$56</f>
        <v>1.74</v>
      </c>
      <c r="X56" s="3">
        <f>'LTO DAILY'!X56+'LTO DAILY (repro+)'!$G$56</f>
        <v>1.74</v>
      </c>
      <c r="Y56" s="3">
        <f>'LTO DAILY'!Y56+'LTO DAILY (repro+)'!$G$56</f>
        <v>1.74</v>
      </c>
      <c r="Z56" s="3">
        <f>'LTO DAILY'!Z56+'LTO DAILY (repro+)'!$G$56</f>
        <v>1.74</v>
      </c>
      <c r="AA56" s="3">
        <f>'LTO DAILY'!AA56+'LTO DAILY (repro+)'!$G$56</f>
        <v>1.74</v>
      </c>
      <c r="AB56" s="3">
        <f>'LTO DAILY'!AB56+'LTO DAILY (repro+)'!$G$56</f>
        <v>1.74</v>
      </c>
      <c r="AC56" s="3">
        <f>'LTO DAILY'!AC56+'LTO DAILY (repro+)'!$G$56</f>
        <v>1.74</v>
      </c>
      <c r="AD56" s="3">
        <f>'LTO DAILY'!AD56+'LTO DAILY (repro+)'!$G$56</f>
        <v>1.74</v>
      </c>
      <c r="AE56" s="3">
        <f>'LTO DAILY'!AE56+'LTO DAILY (repro+)'!$G$56</f>
        <v>1.74</v>
      </c>
      <c r="AF56" s="3">
        <f>'LTO DAILY'!AF56+'LTO DAILY (repro+)'!$G$56</f>
        <v>1.74</v>
      </c>
      <c r="AG56" s="3">
        <f>'LTO DAILY'!AG56+'LTO DAILY (repro+)'!$G$56</f>
        <v>1.74</v>
      </c>
      <c r="AH56" s="3">
        <f>'LTO DAILY'!AH56+'LTO DAILY (repro+)'!$G$56</f>
        <v>1.74</v>
      </c>
      <c r="AI56" s="3">
        <f>'LTO DAILY'!AI56+'LTO DAILY (repro+)'!$G$56</f>
        <v>1.74</v>
      </c>
    </row>
    <row r="57" spans="4:35" ht="19.5" customHeight="1" x14ac:dyDescent="0.35">
      <c r="D57" s="97" t="s">
        <v>103</v>
      </c>
      <c r="E57" s="2693"/>
      <c r="F57" s="2696"/>
      <c r="G57" s="98">
        <v>2.0499999999999998</v>
      </c>
      <c r="H57" s="3">
        <f>'LTO DAILY'!H57+'LTO DAILY (repro+)'!$G$57</f>
        <v>2.0499999999999998</v>
      </c>
      <c r="I57" s="3">
        <f>'LTO DAILY'!I57+'LTO DAILY (repro+)'!$G$57</f>
        <v>37.549999999999997</v>
      </c>
      <c r="J57" s="3">
        <f>'LTO DAILY'!J57+'LTO DAILY (repro+)'!$G$57</f>
        <v>38.65</v>
      </c>
      <c r="K57" s="3">
        <f>'LTO DAILY'!K57+'LTO DAILY (repro+)'!$G$57</f>
        <v>39.949999999999996</v>
      </c>
      <c r="L57" s="3">
        <f>'LTO DAILY'!L57+'LTO DAILY (repro+)'!$G$57</f>
        <v>44.15</v>
      </c>
      <c r="M57" s="3">
        <f>'LTO DAILY'!M57+'LTO DAILY (repro+)'!$G$57</f>
        <v>43.15</v>
      </c>
      <c r="N57" s="3">
        <f>'LTO DAILY'!N57+'LTO DAILY (repro+)'!$G$57</f>
        <v>47.349999999999994</v>
      </c>
      <c r="O57" s="3">
        <f>'LTO DAILY'!O57+'LTO DAILY (repro+)'!$G$57</f>
        <v>45.949999999999996</v>
      </c>
      <c r="P57" s="3">
        <f>'LTO DAILY'!P57+'LTO DAILY (repro+)'!$G$57</f>
        <v>42.599999999999994</v>
      </c>
      <c r="Q57" s="3">
        <f>'LTO DAILY'!Q57+'LTO DAILY (repro+)'!$G$57</f>
        <v>44.849999999999994</v>
      </c>
      <c r="R57" s="3">
        <f>'LTO DAILY'!R57+'LTO DAILY (repro+)'!$G$57</f>
        <v>47.349999999999994</v>
      </c>
      <c r="S57" s="3">
        <f>'LTO DAILY'!S57+'LTO DAILY (repro+)'!$G$57</f>
        <v>46.349999999999994</v>
      </c>
      <c r="T57" s="3">
        <f>'LTO DAILY'!T57+'LTO DAILY (repro+)'!$G$57</f>
        <v>46.65</v>
      </c>
      <c r="U57" s="3">
        <f>'LTO DAILY'!U57+'LTO DAILY (repro+)'!$G$57</f>
        <v>2.0499999999999998</v>
      </c>
      <c r="V57" s="3">
        <f>'LTO DAILY'!V57+'LTO DAILY (repro+)'!$G$57</f>
        <v>2.0499999999999998</v>
      </c>
      <c r="W57" s="3">
        <f>'LTO DAILY'!W57+'LTO DAILY (repro+)'!$G$57</f>
        <v>2.0499999999999998</v>
      </c>
      <c r="X57" s="3">
        <f>'LTO DAILY'!X57+'LTO DAILY (repro+)'!$G$57</f>
        <v>2.0499999999999998</v>
      </c>
      <c r="Y57" s="3">
        <f>'LTO DAILY'!Y57+'LTO DAILY (repro+)'!$G$57</f>
        <v>2.0499999999999998</v>
      </c>
      <c r="Z57" s="3">
        <f>'LTO DAILY'!Z57+'LTO DAILY (repro+)'!$G$57</f>
        <v>2.0499999999999998</v>
      </c>
      <c r="AA57" s="3">
        <f>'LTO DAILY'!AA57+'LTO DAILY (repro+)'!$G$57</f>
        <v>2.0499999999999998</v>
      </c>
      <c r="AB57" s="3">
        <f>'LTO DAILY'!AB57+'LTO DAILY (repro+)'!$G$57</f>
        <v>2.0499999999999998</v>
      </c>
      <c r="AC57" s="3">
        <f>'LTO DAILY'!AC57+'LTO DAILY (repro+)'!$G$57</f>
        <v>2.0499999999999998</v>
      </c>
      <c r="AD57" s="3">
        <f>'LTO DAILY'!AD57+'LTO DAILY (repro+)'!$G$57</f>
        <v>2.0499999999999998</v>
      </c>
      <c r="AE57" s="3">
        <f>'LTO DAILY'!AE57+'LTO DAILY (repro+)'!$G$57</f>
        <v>2.0499999999999998</v>
      </c>
      <c r="AF57" s="3">
        <f>'LTO DAILY'!AF57+'LTO DAILY (repro+)'!$G$57</f>
        <v>2.0499999999999998</v>
      </c>
      <c r="AG57" s="3">
        <f>'LTO DAILY'!AG57+'LTO DAILY (repro+)'!$G$57</f>
        <v>2.0499999999999998</v>
      </c>
      <c r="AH57" s="3">
        <f>'LTO DAILY'!AH57+'LTO DAILY (repro+)'!$G$57</f>
        <v>2.0499999999999998</v>
      </c>
      <c r="AI57" s="3">
        <f>'LTO DAILY'!AI57+'LTO DAILY (repro+)'!$G$57</f>
        <v>2.0499999999999998</v>
      </c>
    </row>
    <row r="58" spans="4:35" ht="19.5" customHeight="1" x14ac:dyDescent="0.35">
      <c r="D58" s="97" t="s">
        <v>104</v>
      </c>
      <c r="E58" s="2693"/>
      <c r="F58" s="2696"/>
      <c r="G58" s="98">
        <v>2.2799999999999998</v>
      </c>
      <c r="H58" s="3">
        <f>'LTO DAILY'!H58+'LTO DAILY (repro+)'!$G$58</f>
        <v>2.2799999999999998</v>
      </c>
      <c r="I58" s="3">
        <f>'LTO DAILY'!I58+'LTO DAILY (repro+)'!$G$58</f>
        <v>32.479999999999997</v>
      </c>
      <c r="J58" s="3">
        <f>'LTO DAILY'!J58+'LTO DAILY (repro+)'!$G$58</f>
        <v>31.98</v>
      </c>
      <c r="K58" s="3">
        <f>'LTO DAILY'!K58+'LTO DAILY (repro+)'!$G$58</f>
        <v>31.080000000000002</v>
      </c>
      <c r="L58" s="3">
        <f>'LTO DAILY'!L58+'LTO DAILY (repro+)'!$G$58</f>
        <v>32.979999999999997</v>
      </c>
      <c r="M58" s="3">
        <f>'LTO DAILY'!M58+'LTO DAILY (repro+)'!$G$58</f>
        <v>30.580000000000002</v>
      </c>
      <c r="N58" s="3">
        <f>'LTO DAILY'!N58+'LTO DAILY (repro+)'!$G$58</f>
        <v>34.08</v>
      </c>
      <c r="O58" s="3">
        <f>'LTO DAILY'!O58+'LTO DAILY (repro+)'!$G$58</f>
        <v>32.68</v>
      </c>
      <c r="P58" s="3">
        <f>'LTO DAILY'!P58+'LTO DAILY (repro+)'!$G$58</f>
        <v>33.53</v>
      </c>
      <c r="Q58" s="3">
        <f>'LTO DAILY'!Q58+'LTO DAILY (repro+)'!$G$58</f>
        <v>32.479999999999997</v>
      </c>
      <c r="R58" s="3">
        <f>'LTO DAILY'!R58+'LTO DAILY (repro+)'!$G$58</f>
        <v>33.880000000000003</v>
      </c>
      <c r="S58" s="3">
        <f>'LTO DAILY'!S58+'LTO DAILY (repro+)'!$G$58</f>
        <v>32.479999999999997</v>
      </c>
      <c r="T58" s="3">
        <f>'LTO DAILY'!T58+'LTO DAILY (repro+)'!$G$58</f>
        <v>32.78</v>
      </c>
      <c r="U58" s="3">
        <f>'LTO DAILY'!U58+'LTO DAILY (repro+)'!$G$58</f>
        <v>2.2799999999999998</v>
      </c>
      <c r="V58" s="3">
        <f>'LTO DAILY'!V58+'LTO DAILY (repro+)'!$G$58</f>
        <v>2.2799999999999998</v>
      </c>
      <c r="W58" s="3">
        <f>'LTO DAILY'!W58+'LTO DAILY (repro+)'!$G$58</f>
        <v>2.2799999999999998</v>
      </c>
      <c r="X58" s="3">
        <f>'LTO DAILY'!X58+'LTO DAILY (repro+)'!$G$58</f>
        <v>2.2799999999999998</v>
      </c>
      <c r="Y58" s="3">
        <f>'LTO DAILY'!Y58+'LTO DAILY (repro+)'!$G$58</f>
        <v>2.2799999999999998</v>
      </c>
      <c r="Z58" s="3">
        <f>'LTO DAILY'!Z58+'LTO DAILY (repro+)'!$G$58</f>
        <v>2.2799999999999998</v>
      </c>
      <c r="AA58" s="3">
        <f>'LTO DAILY'!AA58+'LTO DAILY (repro+)'!$G$58</f>
        <v>2.2799999999999998</v>
      </c>
      <c r="AB58" s="3">
        <f>'LTO DAILY'!AB58+'LTO DAILY (repro+)'!$G$58</f>
        <v>2.2799999999999998</v>
      </c>
      <c r="AC58" s="3">
        <f>'LTO DAILY'!AC58+'LTO DAILY (repro+)'!$G$58</f>
        <v>2.2799999999999998</v>
      </c>
      <c r="AD58" s="3">
        <f>'LTO DAILY'!AD58+'LTO DAILY (repro+)'!$G$58</f>
        <v>2.2799999999999998</v>
      </c>
      <c r="AE58" s="3">
        <f>'LTO DAILY'!AE58+'LTO DAILY (repro+)'!$G$58</f>
        <v>2.2799999999999998</v>
      </c>
      <c r="AF58" s="3">
        <f>'LTO DAILY'!AF58+'LTO DAILY (repro+)'!$G$58</f>
        <v>2.2799999999999998</v>
      </c>
      <c r="AG58" s="3">
        <f>'LTO DAILY'!AG58+'LTO DAILY (repro+)'!$G$58</f>
        <v>2.2799999999999998</v>
      </c>
      <c r="AH58" s="3">
        <f>'LTO DAILY'!AH58+'LTO DAILY (repro+)'!$G$58</f>
        <v>2.2799999999999998</v>
      </c>
      <c r="AI58" s="3">
        <f>'LTO DAILY'!AI58+'LTO DAILY (repro+)'!$G$58</f>
        <v>2.2799999999999998</v>
      </c>
    </row>
    <row r="59" spans="4:35" ht="19.5" customHeight="1" x14ac:dyDescent="0.35">
      <c r="D59" s="97" t="s">
        <v>105</v>
      </c>
      <c r="E59" s="2693"/>
      <c r="F59" s="2696"/>
      <c r="G59" s="98">
        <v>2.58</v>
      </c>
      <c r="H59" s="3">
        <f>'LTO DAILY'!H59+'LTO DAILY (repro+)'!$G$59</f>
        <v>2.58</v>
      </c>
      <c r="I59" s="3">
        <f>'LTO DAILY'!I59+'LTO DAILY (repro+)'!$G$59</f>
        <v>16.380000000000003</v>
      </c>
      <c r="J59" s="3">
        <f>'LTO DAILY'!J59+'LTO DAILY (repro+)'!$G$59</f>
        <v>13.28</v>
      </c>
      <c r="K59" s="3">
        <f>'LTO DAILY'!K59+'LTO DAILY (repro+)'!$G$59</f>
        <v>11.68</v>
      </c>
      <c r="L59" s="3">
        <f>'LTO DAILY'!L59+'LTO DAILY (repro+)'!$G$59</f>
        <v>11.28</v>
      </c>
      <c r="M59" s="3">
        <f>'LTO DAILY'!M59+'LTO DAILY (repro+)'!$G$59</f>
        <v>9.18</v>
      </c>
      <c r="N59" s="3">
        <f>'LTO DAILY'!N59+'LTO DAILY (repro+)'!$G$59</f>
        <v>9.879999999999999</v>
      </c>
      <c r="O59" s="3">
        <f>'LTO DAILY'!O59+'LTO DAILY (repro+)'!$G$59</f>
        <v>9.48</v>
      </c>
      <c r="P59" s="3">
        <f>'LTO DAILY'!P59+'LTO DAILY (repro+)'!$G$59</f>
        <v>14.555</v>
      </c>
      <c r="Q59" s="3">
        <f>'LTO DAILY'!Q59+'LTO DAILY (repro+)'!$G$59</f>
        <v>11.08</v>
      </c>
      <c r="R59" s="3">
        <f>'LTO DAILY'!R59+'LTO DAILY (repro+)'!$G$59</f>
        <v>9.98</v>
      </c>
      <c r="S59" s="3">
        <f>'LTO DAILY'!S59+'LTO DAILY (repro+)'!$G$59</f>
        <v>9.48</v>
      </c>
      <c r="T59" s="3">
        <f>'LTO DAILY'!T59+'LTO DAILY (repro+)'!$G$59</f>
        <v>9.48</v>
      </c>
      <c r="U59" s="3">
        <f>'LTO DAILY'!U59+'LTO DAILY (repro+)'!$G$59</f>
        <v>2.58</v>
      </c>
      <c r="V59" s="3">
        <f>'LTO DAILY'!V59+'LTO DAILY (repro+)'!$G$59</f>
        <v>2.58</v>
      </c>
      <c r="W59" s="3">
        <f>'LTO DAILY'!W59+'LTO DAILY (repro+)'!$G$59</f>
        <v>2.58</v>
      </c>
      <c r="X59" s="3">
        <f>'LTO DAILY'!X59+'LTO DAILY (repro+)'!$G$59</f>
        <v>2.58</v>
      </c>
      <c r="Y59" s="3">
        <f>'LTO DAILY'!Y59+'LTO DAILY (repro+)'!$G$59</f>
        <v>2.58</v>
      </c>
      <c r="Z59" s="3">
        <f>'LTO DAILY'!Z59+'LTO DAILY (repro+)'!$G$59</f>
        <v>2.58</v>
      </c>
      <c r="AA59" s="3">
        <f>'LTO DAILY'!AA59+'LTO DAILY (repro+)'!$G$59</f>
        <v>2.58</v>
      </c>
      <c r="AB59" s="3">
        <f>'LTO DAILY'!AB59+'LTO DAILY (repro+)'!$G$59</f>
        <v>2.58</v>
      </c>
      <c r="AC59" s="3">
        <f>'LTO DAILY'!AC59+'LTO DAILY (repro+)'!$G$59</f>
        <v>2.58</v>
      </c>
      <c r="AD59" s="3">
        <f>'LTO DAILY'!AD59+'LTO DAILY (repro+)'!$G$59</f>
        <v>2.58</v>
      </c>
      <c r="AE59" s="3">
        <f>'LTO DAILY'!AE59+'LTO DAILY (repro+)'!$G$59</f>
        <v>2.58</v>
      </c>
      <c r="AF59" s="3">
        <f>'LTO DAILY'!AF59+'LTO DAILY (repro+)'!$G$59</f>
        <v>2.58</v>
      </c>
      <c r="AG59" s="3">
        <f>'LTO DAILY'!AG59+'LTO DAILY (repro+)'!$G$59</f>
        <v>2.58</v>
      </c>
      <c r="AH59" s="3">
        <f>'LTO DAILY'!AH59+'LTO DAILY (repro+)'!$G$59</f>
        <v>2.58</v>
      </c>
      <c r="AI59" s="3">
        <f>'LTO DAILY'!AI59+'LTO DAILY (repro+)'!$G$59</f>
        <v>2.58</v>
      </c>
    </row>
    <row r="60" spans="4:35" ht="19.5" customHeight="1" x14ac:dyDescent="0.35">
      <c r="D60" s="97" t="s">
        <v>100</v>
      </c>
      <c r="E60" s="2693"/>
      <c r="F60" s="2696"/>
      <c r="G60" s="98">
        <v>2.58</v>
      </c>
      <c r="H60" s="3">
        <f>'LTO DAILY'!H60+'LTO DAILY (repro+)'!$G$60</f>
        <v>2.58</v>
      </c>
      <c r="I60" s="3">
        <f>'LTO DAILY'!I60+'LTO DAILY (repro+)'!$G$60</f>
        <v>2.68</v>
      </c>
      <c r="J60" s="3">
        <f>'LTO DAILY'!J60+'LTO DAILY (repro+)'!$G$60</f>
        <v>2.58</v>
      </c>
      <c r="K60" s="3">
        <f>'LTO DAILY'!K60+'LTO DAILY (repro+)'!$G$60</f>
        <v>2.58</v>
      </c>
      <c r="L60" s="3">
        <f>'LTO DAILY'!L60+'LTO DAILY (repro+)'!$G$60</f>
        <v>2.58</v>
      </c>
      <c r="M60" s="3">
        <f>'LTO DAILY'!M60+'LTO DAILY (repro+)'!$G$60</f>
        <v>2.58</v>
      </c>
      <c r="N60" s="3">
        <f>'LTO DAILY'!N60+'LTO DAILY (repro+)'!$G$60</f>
        <v>2.58</v>
      </c>
      <c r="O60" s="3">
        <f>'LTO DAILY'!O60+'LTO DAILY (repro+)'!$G$60</f>
        <v>2.58</v>
      </c>
      <c r="P60" s="3">
        <f>'LTO DAILY'!P60+'LTO DAILY (repro+)'!$G$60</f>
        <v>2.58</v>
      </c>
      <c r="Q60" s="3">
        <f>'LTO DAILY'!Q60+'LTO DAILY (repro+)'!$G$60</f>
        <v>2.58</v>
      </c>
      <c r="R60" s="3">
        <f>'LTO DAILY'!R60+'LTO DAILY (repro+)'!$G$60</f>
        <v>2.58</v>
      </c>
      <c r="S60" s="3">
        <f>'LTO DAILY'!S60+'LTO DAILY (repro+)'!$G$60</f>
        <v>2.58</v>
      </c>
      <c r="T60" s="3">
        <f>'LTO DAILY'!T60+'LTO DAILY (repro+)'!$G$60</f>
        <v>2.58</v>
      </c>
      <c r="U60" s="3">
        <f>'LTO DAILY'!U60+'LTO DAILY (repro+)'!$G$60</f>
        <v>2.58</v>
      </c>
      <c r="V60" s="3">
        <f>'LTO DAILY'!V60+'LTO DAILY (repro+)'!$G$60</f>
        <v>2.58</v>
      </c>
      <c r="W60" s="3">
        <f>'LTO DAILY'!W60+'LTO DAILY (repro+)'!$G$60</f>
        <v>2.58</v>
      </c>
      <c r="X60" s="3">
        <f>'LTO DAILY'!X60+'LTO DAILY (repro+)'!$G$60</f>
        <v>2.58</v>
      </c>
      <c r="Y60" s="3">
        <f>'LTO DAILY'!Y60+'LTO DAILY (repro+)'!$G$60</f>
        <v>2.58</v>
      </c>
      <c r="Z60" s="3">
        <f>'LTO DAILY'!Z60+'LTO DAILY (repro+)'!$G$60</f>
        <v>2.58</v>
      </c>
      <c r="AA60" s="3">
        <f>'LTO DAILY'!AA60+'LTO DAILY (repro+)'!$G$60</f>
        <v>2.58</v>
      </c>
      <c r="AB60" s="3">
        <f>'LTO DAILY'!AB60+'LTO DAILY (repro+)'!$G$60</f>
        <v>2.58</v>
      </c>
      <c r="AC60" s="3">
        <f>'LTO DAILY'!AC60+'LTO DAILY (repro+)'!$G$60</f>
        <v>2.58</v>
      </c>
      <c r="AD60" s="3">
        <f>'LTO DAILY'!AD60+'LTO DAILY (repro+)'!$G$60</f>
        <v>2.58</v>
      </c>
      <c r="AE60" s="3">
        <f>'LTO DAILY'!AE60+'LTO DAILY (repro+)'!$G$60</f>
        <v>2.58</v>
      </c>
      <c r="AF60" s="3">
        <f>'LTO DAILY'!AF60+'LTO DAILY (repro+)'!$G$60</f>
        <v>2.58</v>
      </c>
      <c r="AG60" s="3">
        <f>'LTO DAILY'!AG60+'LTO DAILY (repro+)'!$G$60</f>
        <v>2.58</v>
      </c>
      <c r="AH60" s="3">
        <f>'LTO DAILY'!AH60+'LTO DAILY (repro+)'!$G$60</f>
        <v>2.58</v>
      </c>
      <c r="AI60" s="3">
        <f>'LTO DAILY'!AI60+'LTO DAILY (repro+)'!$G$60</f>
        <v>2.58</v>
      </c>
    </row>
    <row r="61" spans="4:35" ht="19.5" customHeight="1" x14ac:dyDescent="0.35">
      <c r="D61" s="97" t="s">
        <v>160</v>
      </c>
      <c r="E61" s="2694"/>
      <c r="F61" s="2697"/>
      <c r="G61" s="98">
        <v>3.03</v>
      </c>
      <c r="H61" s="3">
        <f>'LTO DAILY'!H61+'LTO DAILY (repro+)'!$G$61</f>
        <v>3.03</v>
      </c>
      <c r="I61" s="3">
        <f>'LTO DAILY'!I61+'LTO DAILY (repro+)'!$G$61</f>
        <v>3.03</v>
      </c>
      <c r="J61" s="3">
        <f>'LTO DAILY'!J61+'LTO DAILY (repro+)'!$G$61</f>
        <v>3.03</v>
      </c>
      <c r="K61" s="3">
        <f>'LTO DAILY'!K61+'LTO DAILY (repro+)'!$G$61</f>
        <v>3.03</v>
      </c>
      <c r="L61" s="3">
        <f>'LTO DAILY'!L61+'LTO DAILY (repro+)'!$G$61</f>
        <v>3.03</v>
      </c>
      <c r="M61" s="3">
        <f>'LTO DAILY'!M61+'LTO DAILY (repro+)'!$G$61</f>
        <v>3.03</v>
      </c>
      <c r="N61" s="3">
        <f>'LTO DAILY'!N61+'LTO DAILY (repro+)'!$G$61</f>
        <v>3.03</v>
      </c>
      <c r="O61" s="3">
        <f>'LTO DAILY'!O61+'LTO DAILY (repro+)'!$G$61</f>
        <v>3.03</v>
      </c>
      <c r="P61" s="3">
        <f>'LTO DAILY'!P61+'LTO DAILY (repro+)'!$G$61</f>
        <v>3.03</v>
      </c>
      <c r="Q61" s="3">
        <f>'LTO DAILY'!Q61+'LTO DAILY (repro+)'!$G$61</f>
        <v>3.03</v>
      </c>
      <c r="R61" s="3">
        <f>'LTO DAILY'!R61+'LTO DAILY (repro+)'!$G$61</f>
        <v>3.03</v>
      </c>
      <c r="S61" s="3">
        <f>'LTO DAILY'!S61+'LTO DAILY (repro+)'!$G$61</f>
        <v>3.03</v>
      </c>
      <c r="T61" s="3">
        <f>'LTO DAILY'!T61+'LTO DAILY (repro+)'!$G$61</f>
        <v>3.03</v>
      </c>
      <c r="U61" s="3">
        <f>'LTO DAILY'!U61+'LTO DAILY (repro+)'!$G$61</f>
        <v>3.03</v>
      </c>
      <c r="V61" s="3">
        <f>'LTO DAILY'!V61+'LTO DAILY (repro+)'!$G$61</f>
        <v>3.03</v>
      </c>
      <c r="W61" s="3">
        <f>'LTO DAILY'!W61+'LTO DAILY (repro+)'!$G$61</f>
        <v>3.03</v>
      </c>
      <c r="X61" s="3">
        <f>'LTO DAILY'!X61+'LTO DAILY (repro+)'!$G$61</f>
        <v>3.03</v>
      </c>
      <c r="Y61" s="3">
        <f>'LTO DAILY'!Y61+'LTO DAILY (repro+)'!$G$61</f>
        <v>3.03</v>
      </c>
      <c r="Z61" s="3">
        <f>'LTO DAILY'!Z61+'LTO DAILY (repro+)'!$G$61</f>
        <v>3.03</v>
      </c>
      <c r="AA61" s="3">
        <f>'LTO DAILY'!AA61+'LTO DAILY (repro+)'!$G$61</f>
        <v>3.03</v>
      </c>
      <c r="AB61" s="3">
        <f>'LTO DAILY'!AB61+'LTO DAILY (repro+)'!$G$61</f>
        <v>3.03</v>
      </c>
      <c r="AC61" s="3">
        <f>'LTO DAILY'!AC61+'LTO DAILY (repro+)'!$G$61</f>
        <v>3.03</v>
      </c>
      <c r="AD61" s="3">
        <f>'LTO DAILY'!AD61+'LTO DAILY (repro+)'!$G$61</f>
        <v>3.03</v>
      </c>
      <c r="AE61" s="3">
        <f>'LTO DAILY'!AE61+'LTO DAILY (repro+)'!$G$61</f>
        <v>3.03</v>
      </c>
      <c r="AF61" s="3">
        <f>'LTO DAILY'!AF61+'LTO DAILY (repro+)'!$G$61</f>
        <v>3.03</v>
      </c>
      <c r="AG61" s="3">
        <f>'LTO DAILY'!AG61+'LTO DAILY (repro+)'!$G$61</f>
        <v>3.03</v>
      </c>
      <c r="AH61" s="3">
        <f>'LTO DAILY'!AH61+'LTO DAILY (repro+)'!$G$61</f>
        <v>3.03</v>
      </c>
      <c r="AI61" s="3">
        <f>'LTO DAILY'!AI61+'LTO DAILY (repro+)'!$G$61</f>
        <v>3.03</v>
      </c>
    </row>
    <row r="62" spans="4:35" ht="19.5" customHeight="1" thickBot="1" x14ac:dyDescent="0.4">
      <c r="D62" s="100" t="s">
        <v>161</v>
      </c>
      <c r="E62" s="93"/>
      <c r="F62" s="94"/>
      <c r="G62" s="101"/>
      <c r="H62" s="443">
        <f>SUM(H55:H61)</f>
        <v>15.999999999999998</v>
      </c>
      <c r="I62" s="443">
        <f t="shared" ref="I62:X62" si="9">SUM(I55:I61)</f>
        <v>116</v>
      </c>
      <c r="J62" s="443">
        <f t="shared" si="9"/>
        <v>116</v>
      </c>
      <c r="K62" s="443">
        <f t="shared" si="9"/>
        <v>115.99999999999999</v>
      </c>
      <c r="L62" s="443">
        <f t="shared" si="9"/>
        <v>115.99999999999999</v>
      </c>
      <c r="M62" s="443">
        <f t="shared" si="9"/>
        <v>115.99999999999999</v>
      </c>
      <c r="N62" s="443">
        <f>SUM(N55:N61)</f>
        <v>115.99999999999999</v>
      </c>
      <c r="O62" s="443">
        <f t="shared" si="9"/>
        <v>116</v>
      </c>
      <c r="P62" s="443">
        <f t="shared" si="9"/>
        <v>115.99999999999999</v>
      </c>
      <c r="Q62" s="443">
        <f t="shared" si="9"/>
        <v>115.99999999999997</v>
      </c>
      <c r="R62" s="443">
        <f t="shared" si="9"/>
        <v>116</v>
      </c>
      <c r="S62" s="443">
        <f t="shared" si="9"/>
        <v>116</v>
      </c>
      <c r="T62" s="443">
        <f t="shared" si="9"/>
        <v>116</v>
      </c>
      <c r="U62" s="443">
        <f t="shared" si="9"/>
        <v>15.999999999999998</v>
      </c>
      <c r="V62" s="443">
        <f t="shared" si="9"/>
        <v>15.999999999999998</v>
      </c>
      <c r="W62" s="443">
        <f t="shared" si="9"/>
        <v>15.999999999999998</v>
      </c>
      <c r="X62" s="443">
        <f t="shared" si="9"/>
        <v>15.999999999999998</v>
      </c>
      <c r="Y62" s="443">
        <f t="shared" ref="Y62:AF62" si="10">SUM(Y55:Y61)</f>
        <v>15.999999999999998</v>
      </c>
      <c r="Z62" s="443">
        <f t="shared" si="10"/>
        <v>15.999999999999998</v>
      </c>
      <c r="AA62" s="443">
        <f t="shared" si="10"/>
        <v>15.999999999999998</v>
      </c>
      <c r="AB62" s="443">
        <f t="shared" si="10"/>
        <v>15.999999999999998</v>
      </c>
      <c r="AC62" s="443">
        <f t="shared" si="10"/>
        <v>15.999999999999998</v>
      </c>
      <c r="AD62" s="443">
        <f t="shared" si="10"/>
        <v>15.999999999999998</v>
      </c>
      <c r="AE62" s="443">
        <f t="shared" si="10"/>
        <v>15.999999999999998</v>
      </c>
      <c r="AF62" s="443">
        <f t="shared" si="10"/>
        <v>15.999999999999998</v>
      </c>
      <c r="AG62" s="443">
        <f t="shared" ref="AG62:AI62" si="11">SUM(AG55:AG61)</f>
        <v>15.999999999999998</v>
      </c>
      <c r="AH62" s="443">
        <f t="shared" si="11"/>
        <v>15.999999999999998</v>
      </c>
      <c r="AI62" s="443">
        <f t="shared" si="11"/>
        <v>15.999999999999998</v>
      </c>
    </row>
    <row r="63" spans="4:35" ht="18.75" customHeight="1" x14ac:dyDescent="0.35">
      <c r="D63" s="75" t="s">
        <v>62</v>
      </c>
      <c r="E63" s="2684" t="s">
        <v>63</v>
      </c>
      <c r="F63" s="2698" t="s">
        <v>55</v>
      </c>
      <c r="G63" s="47"/>
      <c r="H63" s="47"/>
      <c r="I63" s="47"/>
      <c r="J63" s="55"/>
      <c r="K63" s="55"/>
      <c r="L63" s="55"/>
      <c r="M63" s="55"/>
      <c r="N63" s="55"/>
      <c r="O63" s="55"/>
      <c r="P63" s="55"/>
      <c r="Q63" s="55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</row>
    <row r="64" spans="4:35" ht="18.75" customHeight="1" x14ac:dyDescent="0.35">
      <c r="D64" s="44" t="s">
        <v>64</v>
      </c>
      <c r="E64" s="2684"/>
      <c r="F64" s="2698"/>
      <c r="G64" s="60"/>
      <c r="H64" s="47"/>
      <c r="I64" s="47"/>
      <c r="J64" s="55"/>
      <c r="K64" s="55"/>
      <c r="L64" s="55"/>
      <c r="M64" s="55"/>
      <c r="N64" s="55"/>
      <c r="O64" s="55"/>
      <c r="P64" s="55"/>
      <c r="Q64" s="55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</row>
    <row r="65" spans="2:35" ht="18.75" customHeight="1" x14ac:dyDescent="0.35">
      <c r="D65" s="44" t="s">
        <v>65</v>
      </c>
      <c r="E65" s="2684"/>
      <c r="F65" s="2698"/>
      <c r="G65" s="60"/>
      <c r="H65" s="47"/>
      <c r="I65" s="47"/>
      <c r="J65" s="55"/>
      <c r="K65" s="55"/>
      <c r="L65" s="55"/>
      <c r="M65" s="55"/>
      <c r="N65" s="55"/>
      <c r="O65" s="55"/>
      <c r="P65" s="55"/>
      <c r="Q65" s="55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</row>
    <row r="66" spans="2:35" ht="18.75" customHeight="1" x14ac:dyDescent="0.35">
      <c r="D66" s="44" t="s">
        <v>66</v>
      </c>
      <c r="E66" s="2684"/>
      <c r="F66" s="2698"/>
      <c r="G66" s="60"/>
      <c r="H66" s="47"/>
      <c r="I66" s="47"/>
      <c r="J66" s="276"/>
      <c r="K66" s="55"/>
      <c r="L66" s="55"/>
      <c r="M66" s="55"/>
      <c r="N66" s="55"/>
      <c r="O66" s="55"/>
      <c r="P66" s="55"/>
      <c r="Q66" s="55"/>
      <c r="R66" s="277"/>
      <c r="S66" s="277"/>
      <c r="T66" s="277"/>
      <c r="U66" s="277"/>
      <c r="V66" s="277"/>
      <c r="W66" s="277"/>
      <c r="X66" s="277"/>
      <c r="Y66" s="277"/>
      <c r="Z66" s="277"/>
      <c r="AA66" s="277"/>
      <c r="AB66" s="277"/>
      <c r="AC66" s="277"/>
      <c r="AD66" s="277"/>
      <c r="AE66" s="277"/>
      <c r="AF66" s="277"/>
      <c r="AG66" s="277"/>
      <c r="AH66" s="277"/>
      <c r="AI66" s="277"/>
    </row>
    <row r="67" spans="2:35" ht="18.75" customHeight="1" x14ac:dyDescent="0.35">
      <c r="D67" s="44" t="s">
        <v>67</v>
      </c>
      <c r="E67" s="2684"/>
      <c r="F67" s="2698"/>
      <c r="G67" s="60"/>
      <c r="H67" s="47"/>
      <c r="I67" s="47"/>
      <c r="J67" s="55"/>
      <c r="K67" s="55"/>
      <c r="L67" s="55"/>
      <c r="M67" s="55"/>
      <c r="N67" s="55"/>
      <c r="O67" s="55"/>
      <c r="P67" s="55"/>
      <c r="Q67" s="55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</row>
    <row r="68" spans="2:35" x14ac:dyDescent="0.35">
      <c r="B68" s="103"/>
      <c r="C68" s="10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</row>
    <row r="69" spans="2:35" x14ac:dyDescent="0.35">
      <c r="B69" s="103"/>
      <c r="C69" s="103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</row>
    <row r="70" spans="2:35" s="18" customFormat="1" x14ac:dyDescent="0.35">
      <c r="B70" s="13"/>
      <c r="C70" s="13"/>
      <c r="D70" s="105"/>
      <c r="E70" s="106"/>
      <c r="F70" s="107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</row>
    <row r="71" spans="2:35" x14ac:dyDescent="0.35">
      <c r="B71" s="103"/>
      <c r="C71" s="103"/>
      <c r="D71" s="105"/>
      <c r="E71" s="106"/>
      <c r="F71" s="107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</row>
    <row r="72" spans="2:35" x14ac:dyDescent="0.35">
      <c r="B72" s="103"/>
      <c r="C72" s="103"/>
      <c r="D72" s="108"/>
      <c r="E72" s="106"/>
      <c r="F72" s="107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</row>
    <row r="73" spans="2:35" x14ac:dyDescent="0.35">
      <c r="B73" s="103"/>
      <c r="C73" s="103"/>
      <c r="D73" s="108"/>
      <c r="E73" s="106"/>
      <c r="F73" s="107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</row>
    <row r="74" spans="2:35" x14ac:dyDescent="0.35">
      <c r="B74" s="103"/>
      <c r="C74" s="103"/>
      <c r="D74" s="108"/>
      <c r="E74" s="106"/>
      <c r="F74" s="107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</row>
    <row r="75" spans="2:35" x14ac:dyDescent="0.35">
      <c r="B75" s="103"/>
      <c r="C75" s="103"/>
      <c r="D75" s="105"/>
      <c r="E75" s="106"/>
      <c r="F75" s="107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</row>
    <row r="76" spans="2:35" x14ac:dyDescent="0.35">
      <c r="B76" s="103"/>
      <c r="C76" s="103"/>
      <c r="D76" s="105"/>
      <c r="E76" s="106"/>
      <c r="F76" s="107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</row>
    <row r="77" spans="2:35" x14ac:dyDescent="0.35">
      <c r="B77" s="103"/>
      <c r="C77" s="103"/>
      <c r="D77" s="108"/>
      <c r="E77" s="106"/>
      <c r="F77" s="107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</row>
    <row r="78" spans="2:35" x14ac:dyDescent="0.35">
      <c r="B78" s="103"/>
      <c r="C78" s="103"/>
      <c r="D78" s="108"/>
      <c r="E78" s="106"/>
      <c r="F78" s="107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</row>
    <row r="79" spans="2:35" x14ac:dyDescent="0.35">
      <c r="B79" s="103"/>
      <c r="C79" s="103"/>
      <c r="D79" s="105"/>
      <c r="E79" s="106"/>
      <c r="F79" s="107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</row>
    <row r="80" spans="2:35" x14ac:dyDescent="0.35">
      <c r="B80" s="103"/>
      <c r="C80" s="103"/>
      <c r="D80" s="108"/>
      <c r="E80" s="106"/>
      <c r="F80" s="107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</row>
    <row r="81" spans="2:22" x14ac:dyDescent="0.35">
      <c r="B81" s="103"/>
      <c r="C81" s="103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</row>
    <row r="82" spans="2:22" x14ac:dyDescent="0.35">
      <c r="B82" s="103"/>
      <c r="C82" s="103"/>
      <c r="D82" s="105"/>
      <c r="E82" s="106"/>
      <c r="F82" s="107"/>
      <c r="G82" s="13"/>
      <c r="H82" s="13"/>
      <c r="I82" s="13"/>
      <c r="J82" s="13"/>
      <c r="K82" s="109"/>
      <c r="L82" s="13"/>
      <c r="M82" s="13"/>
      <c r="N82" s="13"/>
      <c r="O82" s="13"/>
      <c r="P82" s="13"/>
      <c r="Q82" s="13"/>
      <c r="R82" s="109"/>
      <c r="S82" s="109"/>
      <c r="T82" s="109"/>
      <c r="U82" s="109"/>
      <c r="V82" s="109"/>
    </row>
    <row r="83" spans="2:22" x14ac:dyDescent="0.35">
      <c r="B83" s="103"/>
      <c r="C83" s="103"/>
      <c r="D83" s="105"/>
      <c r="E83" s="106"/>
      <c r="F83" s="107"/>
      <c r="G83" s="13"/>
      <c r="H83" s="13"/>
      <c r="I83" s="13"/>
      <c r="J83" s="13"/>
      <c r="K83" s="109"/>
      <c r="L83" s="13"/>
      <c r="M83" s="13"/>
      <c r="N83" s="13"/>
      <c r="O83" s="13"/>
      <c r="P83" s="13"/>
      <c r="Q83" s="13"/>
      <c r="R83" s="109"/>
      <c r="S83" s="109"/>
      <c r="T83" s="109"/>
      <c r="U83" s="109"/>
      <c r="V83" s="109"/>
    </row>
    <row r="84" spans="2:22" x14ac:dyDescent="0.35">
      <c r="B84" s="103"/>
      <c r="C84" s="103"/>
      <c r="D84" s="108"/>
      <c r="E84" s="106"/>
      <c r="F84" s="107"/>
      <c r="G84" s="13"/>
      <c r="H84" s="13"/>
      <c r="I84" s="13"/>
      <c r="J84" s="13"/>
      <c r="K84" s="109"/>
      <c r="L84" s="13"/>
      <c r="M84" s="13"/>
      <c r="N84" s="13"/>
      <c r="O84" s="13"/>
      <c r="P84" s="13"/>
      <c r="Q84" s="13"/>
      <c r="R84" s="109"/>
      <c r="S84" s="109"/>
      <c r="T84" s="109"/>
      <c r="U84" s="109"/>
      <c r="V84" s="109"/>
    </row>
    <row r="85" spans="2:22" x14ac:dyDescent="0.35">
      <c r="B85" s="103"/>
      <c r="C85" s="103"/>
      <c r="D85" s="108"/>
      <c r="E85" s="106"/>
      <c r="F85" s="107"/>
      <c r="G85" s="13"/>
      <c r="H85" s="13"/>
      <c r="I85" s="13"/>
      <c r="J85" s="13"/>
      <c r="K85" s="109"/>
      <c r="L85" s="13"/>
      <c r="M85" s="13"/>
      <c r="N85" s="13"/>
      <c r="O85" s="13"/>
      <c r="P85" s="13"/>
      <c r="Q85" s="13"/>
      <c r="R85" s="109"/>
      <c r="S85" s="109"/>
      <c r="T85" s="109"/>
      <c r="U85" s="109"/>
      <c r="V85" s="109"/>
    </row>
    <row r="86" spans="2:22" x14ac:dyDescent="0.35">
      <c r="B86" s="103"/>
      <c r="C86" s="103"/>
      <c r="D86" s="108"/>
      <c r="E86" s="106"/>
      <c r="F86" s="107"/>
      <c r="G86" s="13"/>
      <c r="H86" s="13"/>
      <c r="I86" s="13"/>
      <c r="J86" s="13"/>
      <c r="K86" s="109"/>
      <c r="L86" s="13"/>
      <c r="M86" s="13"/>
      <c r="N86" s="13"/>
      <c r="O86" s="13"/>
      <c r="P86" s="13"/>
      <c r="Q86" s="13"/>
      <c r="R86" s="109"/>
      <c r="S86" s="109"/>
      <c r="T86" s="109"/>
      <c r="U86" s="109"/>
      <c r="V86" s="109"/>
    </row>
    <row r="87" spans="2:22" x14ac:dyDescent="0.35">
      <c r="B87" s="103"/>
      <c r="C87" s="103"/>
      <c r="D87" s="105"/>
      <c r="E87" s="106"/>
      <c r="F87" s="107"/>
      <c r="G87" s="13"/>
      <c r="H87" s="13"/>
      <c r="I87" s="13"/>
      <c r="J87" s="13"/>
      <c r="K87" s="109"/>
      <c r="L87" s="13"/>
      <c r="M87" s="13"/>
      <c r="N87" s="13"/>
      <c r="O87" s="13"/>
      <c r="P87" s="13"/>
      <c r="Q87" s="13"/>
      <c r="R87" s="109"/>
      <c r="S87" s="109"/>
      <c r="T87" s="109"/>
      <c r="U87" s="109"/>
      <c r="V87" s="109"/>
    </row>
    <row r="88" spans="2:22" x14ac:dyDescent="0.35">
      <c r="B88" s="103"/>
      <c r="C88" s="103"/>
      <c r="D88" s="105"/>
      <c r="E88" s="106"/>
      <c r="F88" s="107"/>
      <c r="G88" s="13"/>
      <c r="H88" s="13"/>
      <c r="I88" s="13"/>
      <c r="J88" s="13"/>
      <c r="K88" s="109"/>
      <c r="L88" s="13"/>
      <c r="M88" s="13"/>
      <c r="N88" s="13"/>
      <c r="O88" s="13"/>
      <c r="P88" s="13"/>
      <c r="Q88" s="13"/>
      <c r="R88" s="109"/>
      <c r="S88" s="109"/>
      <c r="T88" s="109"/>
      <c r="U88" s="109"/>
      <c r="V88" s="109"/>
    </row>
    <row r="89" spans="2:22" x14ac:dyDescent="0.35">
      <c r="B89" s="103"/>
      <c r="C89" s="103"/>
      <c r="D89" s="108"/>
      <c r="E89" s="106"/>
      <c r="F89" s="107"/>
      <c r="G89" s="13"/>
      <c r="H89" s="13"/>
      <c r="I89" s="13"/>
      <c r="J89" s="13"/>
      <c r="K89" s="109"/>
      <c r="L89" s="13"/>
      <c r="M89" s="13"/>
      <c r="N89" s="13"/>
      <c r="O89" s="13"/>
      <c r="P89" s="13"/>
      <c r="Q89" s="13"/>
      <c r="R89" s="109"/>
      <c r="S89" s="109"/>
      <c r="T89" s="109"/>
      <c r="U89" s="109"/>
      <c r="V89" s="109"/>
    </row>
    <row r="90" spans="2:22" x14ac:dyDescent="0.35">
      <c r="B90" s="103"/>
      <c r="C90" s="103"/>
      <c r="D90" s="108"/>
      <c r="E90" s="106"/>
      <c r="F90" s="107"/>
      <c r="G90" s="13"/>
      <c r="H90" s="13"/>
      <c r="I90" s="13"/>
      <c r="J90" s="13"/>
      <c r="K90" s="109"/>
      <c r="L90" s="13"/>
      <c r="M90" s="13"/>
      <c r="N90" s="13"/>
      <c r="O90" s="13"/>
      <c r="P90" s="13"/>
      <c r="Q90" s="13"/>
      <c r="R90" s="109"/>
      <c r="S90" s="109"/>
      <c r="T90" s="109"/>
      <c r="U90" s="109"/>
      <c r="V90" s="109"/>
    </row>
    <row r="91" spans="2:22" x14ac:dyDescent="0.35">
      <c r="B91" s="103"/>
      <c r="C91" s="103"/>
      <c r="D91" s="105"/>
      <c r="E91" s="106"/>
      <c r="F91" s="107"/>
      <c r="G91" s="13"/>
      <c r="H91" s="13"/>
      <c r="I91" s="13"/>
      <c r="J91" s="13"/>
      <c r="K91" s="109"/>
      <c r="L91" s="13"/>
      <c r="M91" s="13"/>
      <c r="N91" s="13"/>
      <c r="O91" s="13"/>
      <c r="P91" s="13"/>
      <c r="Q91" s="13"/>
      <c r="R91" s="109"/>
      <c r="S91" s="109"/>
      <c r="T91" s="109"/>
      <c r="U91" s="109"/>
      <c r="V91" s="109"/>
    </row>
    <row r="92" spans="2:22" x14ac:dyDescent="0.35">
      <c r="B92" s="103"/>
      <c r="C92" s="103"/>
      <c r="D92" s="108"/>
      <c r="E92" s="106"/>
      <c r="F92" s="107"/>
      <c r="G92" s="13"/>
      <c r="H92" s="13"/>
      <c r="I92" s="13"/>
      <c r="J92" s="13"/>
      <c r="K92" s="109"/>
      <c r="L92" s="13"/>
      <c r="M92" s="13"/>
      <c r="N92" s="13"/>
      <c r="O92" s="13"/>
      <c r="P92" s="13"/>
      <c r="Q92" s="13"/>
      <c r="R92" s="109"/>
      <c r="S92" s="109"/>
      <c r="T92" s="109"/>
      <c r="U92" s="109"/>
      <c r="V92" s="109"/>
    </row>
    <row r="93" spans="2:22" x14ac:dyDescent="0.35">
      <c r="B93" s="103"/>
      <c r="C93" s="10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</row>
    <row r="94" spans="2:22" x14ac:dyDescent="0.35">
      <c r="B94" s="103"/>
      <c r="C94" s="10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</row>
    <row r="95" spans="2:22" x14ac:dyDescent="0.35">
      <c r="B95" s="103"/>
      <c r="C95" s="10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</row>
  </sheetData>
  <mergeCells count="16">
    <mergeCell ref="E55:E61"/>
    <mergeCell ref="F55:F61"/>
    <mergeCell ref="E63:E67"/>
    <mergeCell ref="F63:F67"/>
    <mergeCell ref="D21:D23"/>
    <mergeCell ref="E22:E23"/>
    <mergeCell ref="E24:E27"/>
    <mergeCell ref="F24:F27"/>
    <mergeCell ref="E39:E52"/>
    <mergeCell ref="F39:F53"/>
    <mergeCell ref="D1:H1"/>
    <mergeCell ref="H4:V4"/>
    <mergeCell ref="E12:E17"/>
    <mergeCell ref="F12:F17"/>
    <mergeCell ref="D18:D20"/>
    <mergeCell ref="E19:E20"/>
  </mergeCells>
  <printOptions horizontalCentered="1"/>
  <pageMargins left="0.24" right="0.17" top="0.52" bottom="0.38" header="0.31496062992126" footer="0.16"/>
  <pageSetup paperSize="9" scale="63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D776C3-7027-4E47-B480-92519E6603DA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894f6e4e-e59c-47ff-be1e-b63a852cfb53}" enabled="0" method="" siteId="{894f6e4e-e59c-47ff-be1e-b63a852cfb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17</vt:i4>
      </vt:variant>
    </vt:vector>
  </HeadingPairs>
  <TitlesOfParts>
    <vt:vector size="57" baseType="lpstr">
      <vt:lpstr>Lab Results Summary</vt:lpstr>
      <vt:lpstr>LTO DAILY</vt:lpstr>
      <vt:lpstr>ISV</vt:lpstr>
      <vt:lpstr>HPS DAILY</vt:lpstr>
      <vt:lpstr>HPS LTO DAILY </vt:lpstr>
      <vt:lpstr>Master Template</vt:lpstr>
      <vt:lpstr>CrkConv</vt:lpstr>
      <vt:lpstr>MetConv(Ni+V)</vt:lpstr>
      <vt:lpstr>SConv</vt:lpstr>
      <vt:lpstr>MCRConv</vt:lpstr>
      <vt:lpstr>SedM</vt:lpstr>
      <vt:lpstr>MoC</vt:lpstr>
      <vt:lpstr>Breakdown Yld</vt:lpstr>
      <vt:lpstr>Sheet1</vt:lpstr>
      <vt:lpstr>LSHS Master Template</vt:lpstr>
      <vt:lpstr>LSHS LTO DAILY</vt:lpstr>
      <vt:lpstr>LSHS HPS DAILY</vt:lpstr>
      <vt:lpstr>CONVERSION D0</vt:lpstr>
      <vt:lpstr>Condition</vt:lpstr>
      <vt:lpstr>ABQ3358</vt:lpstr>
      <vt:lpstr>LCF R1 Products</vt:lpstr>
      <vt:lpstr>LCF R2 Products</vt:lpstr>
      <vt:lpstr>Kinetic</vt:lpstr>
      <vt:lpstr>CII</vt:lpstr>
      <vt:lpstr>FeedStock_Summ</vt:lpstr>
      <vt:lpstr>MetConv_Ni_V</vt:lpstr>
      <vt:lpstr>API</vt:lpstr>
      <vt:lpstr>LTO Split</vt:lpstr>
      <vt:lpstr>560+</vt:lpstr>
      <vt:lpstr>Rx</vt:lpstr>
      <vt:lpstr>To do list</vt:lpstr>
      <vt:lpstr>Sheet3</vt:lpstr>
      <vt:lpstr>HPS Comparing</vt:lpstr>
      <vt:lpstr>SCEP FULL TEST</vt:lpstr>
      <vt:lpstr>Master Template (repro-)</vt:lpstr>
      <vt:lpstr>Master Template (repro+)</vt:lpstr>
      <vt:lpstr>HPS DAILY (repro-)</vt:lpstr>
      <vt:lpstr>HPS DAILY (repro+)</vt:lpstr>
      <vt:lpstr>LTO DAILY (repro-)</vt:lpstr>
      <vt:lpstr>LTO DAILY (repro+)</vt:lpstr>
      <vt:lpstr>'CONVERSION D0'!Print_Area</vt:lpstr>
      <vt:lpstr>'HPS Comparing'!Print_Area</vt:lpstr>
      <vt:lpstr>'HPS DAILY'!Print_Area</vt:lpstr>
      <vt:lpstr>'HPS DAILY (repro-)'!Print_Area</vt:lpstr>
      <vt:lpstr>'HPS DAILY (repro+)'!Print_Area</vt:lpstr>
      <vt:lpstr>'HPS LTO DAILY '!Print_Area</vt:lpstr>
      <vt:lpstr>ISV!Print_Area</vt:lpstr>
      <vt:lpstr>'Lab Results Summary'!Print_Area</vt:lpstr>
      <vt:lpstr>'LSHS HPS DAILY'!Print_Area</vt:lpstr>
      <vt:lpstr>'LSHS LTO DAILY'!Print_Area</vt:lpstr>
      <vt:lpstr>'LTO DAILY'!Print_Area</vt:lpstr>
      <vt:lpstr>'LTO DAILY (repro-)'!Print_Area</vt:lpstr>
      <vt:lpstr>'LTO DAILY (repro+)'!Print_Area</vt:lpstr>
      <vt:lpstr>MCRConv!Print_Area</vt:lpstr>
      <vt:lpstr>'MetConv(Ni+V)'!Print_Area</vt:lpstr>
      <vt:lpstr>MetConv_Ni_V!Print_Area</vt:lpstr>
      <vt:lpstr>SConv!Print_Area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 RHRD-Nikom C.;TOP EOSL-A-ST Krongkiat</dc:creator>
  <cp:lastModifiedBy>TOP RDCU-Nikom C.</cp:lastModifiedBy>
  <cp:lastPrinted>2025-08-08T08:58:06Z</cp:lastPrinted>
  <dcterms:created xsi:type="dcterms:W3CDTF">2024-12-16T06:21:12Z</dcterms:created>
  <dcterms:modified xsi:type="dcterms:W3CDTF">2026-03-17T06:37:37Z</dcterms:modified>
</cp:coreProperties>
</file>